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Q:\ltfm\"/>
    </mc:Choice>
  </mc:AlternateContent>
  <bookViews>
    <workbookView xWindow="0" yWindow="0" windowWidth="25200" windowHeight="11385" firstSheet="1" activeTab="1"/>
  </bookViews>
  <sheets>
    <sheet name="Display" sheetId="16" state="hidden" r:id="rId1"/>
    <sheet name="Intro" sheetId="43" r:id="rId2"/>
    <sheet name="Guide" sheetId="30" r:id="rId3"/>
    <sheet name="Sources" sheetId="31" r:id="rId4"/>
    <sheet name="Popn" sheetId="1" r:id="rId5"/>
    <sheet name="LabourForce" sheetId="2" r:id="rId6"/>
    <sheet name="Exogenous" sheetId="3" r:id="rId7"/>
    <sheet name="Actuals" sheetId="17" r:id="rId8"/>
    <sheet name="Economic" sheetId="4" r:id="rId9"/>
    <sheet name="Fiscal" sheetId="7" r:id="rId10"/>
    <sheet name="Allocate" sheetId="19" r:id="rId11"/>
    <sheet name="Assumptions" sheetId="5" r:id="rId12"/>
    <sheet name="Historical Spending Patterns" sheetId="39" r:id="rId13"/>
    <sheet name="Stabilise Net Debt" sheetId="42" r:id="rId1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5" i="1" l="1"/>
  <c r="Q7" i="1"/>
  <c r="J24" i="39"/>
  <c r="K24" i="39" s="1"/>
  <c r="L24" i="39" s="1"/>
  <c r="M24" i="39" s="1"/>
  <c r="Q6" i="1"/>
  <c r="R7" i="1"/>
  <c r="J19" i="39"/>
  <c r="D24" i="39"/>
  <c r="AW22" i="39"/>
  <c r="C207" i="1"/>
  <c r="J21" i="39"/>
  <c r="E21" i="39"/>
  <c r="I19" i="39"/>
  <c r="AU5" i="2" l="1"/>
  <c r="B285" i="42" l="1"/>
  <c r="B286" i="42"/>
  <c r="B284" i="42"/>
  <c r="B283" i="42"/>
  <c r="B251" i="42"/>
  <c r="B252" i="42"/>
  <c r="B253" i="42"/>
  <c r="B250" i="42"/>
  <c r="B251" i="39"/>
  <c r="B252" i="39"/>
  <c r="B253" i="39"/>
  <c r="B250" i="39"/>
  <c r="B286" i="39"/>
  <c r="B285" i="39"/>
  <c r="B284" i="39"/>
  <c r="B283" i="39"/>
  <c r="C1" i="42" l="1"/>
  <c r="C1" i="39"/>
  <c r="C48" i="17" l="1"/>
  <c r="D48" i="17"/>
  <c r="E48" i="17"/>
  <c r="F48" i="17"/>
  <c r="G48" i="17"/>
  <c r="H48" i="17"/>
  <c r="I48" i="17"/>
  <c r="J48" i="17"/>
  <c r="K48" i="17"/>
  <c r="L48" i="17"/>
  <c r="B48" i="17"/>
  <c r="K244" i="39" l="1"/>
  <c r="L244" i="39"/>
  <c r="M244" i="39"/>
  <c r="N244" i="39"/>
  <c r="O244" i="39"/>
  <c r="P244" i="39"/>
  <c r="Q244" i="39"/>
  <c r="R244" i="39"/>
  <c r="S244" i="39"/>
  <c r="T244" i="39"/>
  <c r="U244" i="39"/>
  <c r="V244" i="39"/>
  <c r="W244" i="39"/>
  <c r="X244" i="39"/>
  <c r="Y244" i="39"/>
  <c r="Z244" i="39"/>
  <c r="AA244" i="39"/>
  <c r="AB244" i="39"/>
  <c r="AC244" i="39"/>
  <c r="AD244" i="39"/>
  <c r="AE244" i="39"/>
  <c r="AF244" i="39"/>
  <c r="AG244" i="39"/>
  <c r="AH244" i="39"/>
  <c r="AI244" i="39"/>
  <c r="AJ244" i="39"/>
  <c r="AK244" i="39"/>
  <c r="AL244" i="39"/>
  <c r="AM244" i="39"/>
  <c r="AN244" i="39"/>
  <c r="AO244" i="39"/>
  <c r="AP244" i="39"/>
  <c r="AQ244" i="39"/>
  <c r="AR244" i="39"/>
  <c r="AS244" i="39"/>
  <c r="AT244" i="39"/>
  <c r="AU244" i="39"/>
  <c r="AV244" i="39"/>
  <c r="AW244" i="39"/>
  <c r="K245" i="39"/>
  <c r="L245" i="39"/>
  <c r="M245" i="39"/>
  <c r="N245" i="39"/>
  <c r="O245" i="39"/>
  <c r="P245" i="39"/>
  <c r="Q245" i="39"/>
  <c r="R245" i="39"/>
  <c r="S245" i="39"/>
  <c r="T245" i="39"/>
  <c r="U245" i="39"/>
  <c r="V245" i="39"/>
  <c r="W245" i="39"/>
  <c r="X245" i="39"/>
  <c r="Y245" i="39"/>
  <c r="Z245" i="39"/>
  <c r="AA245" i="39"/>
  <c r="AB245" i="39"/>
  <c r="AC245" i="39"/>
  <c r="AD245" i="39"/>
  <c r="AE245" i="39"/>
  <c r="AF245" i="39"/>
  <c r="AG245" i="39"/>
  <c r="AH245" i="39"/>
  <c r="AI245" i="39"/>
  <c r="AJ245" i="39"/>
  <c r="AK245" i="39"/>
  <c r="AL245" i="39"/>
  <c r="AM245" i="39"/>
  <c r="AN245" i="39"/>
  <c r="AO245" i="39"/>
  <c r="AP245" i="39"/>
  <c r="AQ245" i="39"/>
  <c r="AR245" i="39"/>
  <c r="AS245" i="39"/>
  <c r="AT245" i="39"/>
  <c r="AU245" i="39"/>
  <c r="AV245" i="39"/>
  <c r="AW245" i="39"/>
  <c r="J245" i="39"/>
  <c r="J244" i="39"/>
  <c r="K244" i="42" l="1"/>
  <c r="L244" i="42"/>
  <c r="M244" i="42"/>
  <c r="N244" i="42"/>
  <c r="O244" i="42"/>
  <c r="P244" i="42"/>
  <c r="Q244" i="42"/>
  <c r="R244" i="42"/>
  <c r="S244" i="42"/>
  <c r="T244" i="42"/>
  <c r="U244" i="42"/>
  <c r="V244" i="42"/>
  <c r="W244" i="42"/>
  <c r="X244" i="42"/>
  <c r="Y244" i="42"/>
  <c r="Z244" i="42"/>
  <c r="AA244" i="42"/>
  <c r="AB244" i="42"/>
  <c r="AC244" i="42"/>
  <c r="AD244" i="42"/>
  <c r="AE244" i="42"/>
  <c r="AF244" i="42"/>
  <c r="AG244" i="42"/>
  <c r="AH244" i="42"/>
  <c r="AI244" i="42"/>
  <c r="AJ244" i="42"/>
  <c r="AK244" i="42"/>
  <c r="AL244" i="42"/>
  <c r="AM244" i="42"/>
  <c r="AN244" i="42"/>
  <c r="AO244" i="42"/>
  <c r="AP244" i="42"/>
  <c r="AQ244" i="42"/>
  <c r="AR244" i="42"/>
  <c r="AS244" i="42"/>
  <c r="AT244" i="42"/>
  <c r="AU244" i="42"/>
  <c r="AV244" i="42"/>
  <c r="AW244" i="42"/>
  <c r="K245" i="42"/>
  <c r="L245" i="42"/>
  <c r="M245" i="42"/>
  <c r="N245" i="42"/>
  <c r="O245" i="42"/>
  <c r="P245" i="42"/>
  <c r="Q245" i="42"/>
  <c r="R245" i="42"/>
  <c r="S245" i="42"/>
  <c r="T245" i="42"/>
  <c r="U245" i="42"/>
  <c r="V245" i="42"/>
  <c r="W245" i="42"/>
  <c r="X245" i="42"/>
  <c r="Y245" i="42"/>
  <c r="Z245" i="42"/>
  <c r="AA245" i="42"/>
  <c r="AB245" i="42"/>
  <c r="AC245" i="42"/>
  <c r="AD245" i="42"/>
  <c r="AE245" i="42"/>
  <c r="AF245" i="42"/>
  <c r="AG245" i="42"/>
  <c r="AH245" i="42"/>
  <c r="AI245" i="42"/>
  <c r="AJ245" i="42"/>
  <c r="AK245" i="42"/>
  <c r="AL245" i="42"/>
  <c r="AM245" i="42"/>
  <c r="AN245" i="42"/>
  <c r="AO245" i="42"/>
  <c r="AP245" i="42"/>
  <c r="AQ245" i="42"/>
  <c r="AR245" i="42"/>
  <c r="AS245" i="42"/>
  <c r="AT245" i="42"/>
  <c r="AU245" i="42"/>
  <c r="AV245" i="42"/>
  <c r="AW245" i="42"/>
  <c r="J244" i="42"/>
  <c r="J245" i="42"/>
  <c r="F244" i="42"/>
  <c r="G244" i="42"/>
  <c r="H244" i="42"/>
  <c r="I244" i="42"/>
  <c r="F245" i="42"/>
  <c r="G245" i="42"/>
  <c r="H245" i="42"/>
  <c r="I245" i="42"/>
  <c r="E244" i="42"/>
  <c r="E245" i="42"/>
  <c r="D245" i="42"/>
  <c r="D244" i="42"/>
  <c r="D244" i="39"/>
  <c r="D245" i="39"/>
  <c r="E244" i="39"/>
  <c r="F244" i="39"/>
  <c r="G244" i="39"/>
  <c r="H244" i="39"/>
  <c r="E245" i="39"/>
  <c r="F245" i="39"/>
  <c r="G245" i="39"/>
  <c r="H245" i="39"/>
  <c r="I244" i="39"/>
  <c r="I245" i="39"/>
  <c r="B521" i="42" l="1"/>
  <c r="B498" i="42"/>
  <c r="I494" i="42"/>
  <c r="H494" i="42"/>
  <c r="G494" i="42"/>
  <c r="F494" i="42"/>
  <c r="E494" i="42"/>
  <c r="D494" i="42"/>
  <c r="B494" i="42"/>
  <c r="I492" i="42"/>
  <c r="H492" i="42"/>
  <c r="G492" i="42"/>
  <c r="F492" i="42"/>
  <c r="E492" i="42"/>
  <c r="D492" i="42"/>
  <c r="B492" i="42"/>
  <c r="I491" i="42"/>
  <c r="H491" i="42"/>
  <c r="G491" i="42"/>
  <c r="F491" i="42"/>
  <c r="E491" i="42"/>
  <c r="D491" i="42"/>
  <c r="B491" i="42"/>
  <c r="B488" i="42"/>
  <c r="I483" i="42"/>
  <c r="H483" i="42"/>
  <c r="G483" i="42"/>
  <c r="F483" i="42"/>
  <c r="E483" i="42"/>
  <c r="D483" i="42"/>
  <c r="B483" i="42"/>
  <c r="I482" i="42"/>
  <c r="H482" i="42"/>
  <c r="G482" i="42"/>
  <c r="F482" i="42"/>
  <c r="E482" i="42"/>
  <c r="D482" i="42"/>
  <c r="B482" i="42"/>
  <c r="D481" i="42"/>
  <c r="B481" i="42"/>
  <c r="I478" i="42"/>
  <c r="H478" i="42"/>
  <c r="G478" i="42"/>
  <c r="F478" i="42"/>
  <c r="E478" i="42"/>
  <c r="D478" i="42"/>
  <c r="B478" i="42"/>
  <c r="D477" i="42"/>
  <c r="B477" i="42"/>
  <c r="I476" i="42"/>
  <c r="H476" i="42"/>
  <c r="G476" i="42"/>
  <c r="F476" i="42"/>
  <c r="E476" i="42"/>
  <c r="D476" i="42"/>
  <c r="B476" i="42"/>
  <c r="I475" i="42"/>
  <c r="H475" i="42"/>
  <c r="G475" i="42"/>
  <c r="F475" i="42"/>
  <c r="E475" i="42"/>
  <c r="D475" i="42"/>
  <c r="B475" i="42"/>
  <c r="I474" i="42"/>
  <c r="H474" i="42"/>
  <c r="G474" i="42"/>
  <c r="F474" i="42"/>
  <c r="E474" i="42"/>
  <c r="D474" i="42"/>
  <c r="B474" i="42"/>
  <c r="I473" i="42"/>
  <c r="H473" i="42"/>
  <c r="G473" i="42"/>
  <c r="F473" i="42"/>
  <c r="E473" i="42"/>
  <c r="D473" i="42"/>
  <c r="B473" i="42"/>
  <c r="I472" i="42"/>
  <c r="H472" i="42"/>
  <c r="G472" i="42"/>
  <c r="F472" i="42"/>
  <c r="E472" i="42"/>
  <c r="D472" i="42"/>
  <c r="B472" i="42"/>
  <c r="I469" i="42"/>
  <c r="H469" i="42"/>
  <c r="G469" i="42"/>
  <c r="F469" i="42"/>
  <c r="E469" i="42"/>
  <c r="D469" i="42"/>
  <c r="B469" i="42"/>
  <c r="I468" i="42"/>
  <c r="H468" i="42"/>
  <c r="G468" i="42"/>
  <c r="F468" i="42"/>
  <c r="E468" i="42"/>
  <c r="D468" i="42"/>
  <c r="B468" i="42"/>
  <c r="I465" i="42"/>
  <c r="E465" i="42"/>
  <c r="B464" i="42"/>
  <c r="J463" i="42"/>
  <c r="I463" i="42"/>
  <c r="I464" i="42" s="1"/>
  <c r="H463" i="42"/>
  <c r="G463" i="42"/>
  <c r="F463" i="42"/>
  <c r="F464" i="42" s="1"/>
  <c r="E463" i="42"/>
  <c r="E464" i="42" s="1"/>
  <c r="D463" i="42"/>
  <c r="D464" i="42" s="1"/>
  <c r="B463" i="42"/>
  <c r="I459" i="42"/>
  <c r="B459" i="42"/>
  <c r="I458" i="42"/>
  <c r="J458" i="42" s="1"/>
  <c r="K458" i="42" s="1"/>
  <c r="L458" i="42" s="1"/>
  <c r="M458" i="42" s="1"/>
  <c r="N458" i="42" s="1"/>
  <c r="O458" i="42" s="1"/>
  <c r="P458" i="42" s="1"/>
  <c r="Q458" i="42" s="1"/>
  <c r="R458" i="42" s="1"/>
  <c r="S458" i="42" s="1"/>
  <c r="T458" i="42" s="1"/>
  <c r="U458" i="42" s="1"/>
  <c r="V458" i="42" s="1"/>
  <c r="W458" i="42" s="1"/>
  <c r="X458" i="42" s="1"/>
  <c r="Y458" i="42" s="1"/>
  <c r="Z458" i="42" s="1"/>
  <c r="AA458" i="42" s="1"/>
  <c r="AB458" i="42" s="1"/>
  <c r="AC458" i="42" s="1"/>
  <c r="AD458" i="42" s="1"/>
  <c r="AE458" i="42" s="1"/>
  <c r="AF458" i="42" s="1"/>
  <c r="AG458" i="42" s="1"/>
  <c r="AH458" i="42" s="1"/>
  <c r="AI458" i="42" s="1"/>
  <c r="AJ458" i="42" s="1"/>
  <c r="AK458" i="42" s="1"/>
  <c r="AL458" i="42" s="1"/>
  <c r="AM458" i="42" s="1"/>
  <c r="AN458" i="42" s="1"/>
  <c r="AO458" i="42" s="1"/>
  <c r="AP458" i="42" s="1"/>
  <c r="AQ458" i="42" s="1"/>
  <c r="AR458" i="42" s="1"/>
  <c r="AS458" i="42" s="1"/>
  <c r="H458" i="42"/>
  <c r="G458" i="42"/>
  <c r="F458" i="42"/>
  <c r="E458" i="42"/>
  <c r="D458" i="42"/>
  <c r="B458" i="42"/>
  <c r="I457" i="42"/>
  <c r="H457" i="42"/>
  <c r="H459" i="42" s="1"/>
  <c r="G457" i="42"/>
  <c r="G459" i="42" s="1"/>
  <c r="F457" i="42"/>
  <c r="F459" i="42" s="1"/>
  <c r="E457" i="42"/>
  <c r="D457" i="42"/>
  <c r="D459" i="42" s="1"/>
  <c r="B457" i="42"/>
  <c r="I454" i="42"/>
  <c r="H454" i="42"/>
  <c r="G454" i="42"/>
  <c r="F454" i="42"/>
  <c r="E454" i="42"/>
  <c r="D454" i="42"/>
  <c r="B454" i="42"/>
  <c r="I453" i="42"/>
  <c r="H453" i="42"/>
  <c r="G453" i="42"/>
  <c r="F453" i="42"/>
  <c r="E453" i="42"/>
  <c r="D453" i="42"/>
  <c r="B453" i="42"/>
  <c r="I450" i="42"/>
  <c r="H450" i="42"/>
  <c r="G450" i="42"/>
  <c r="F450" i="42"/>
  <c r="E450" i="42"/>
  <c r="D450" i="42"/>
  <c r="B450" i="42"/>
  <c r="B448" i="42"/>
  <c r="I447" i="42"/>
  <c r="H447" i="42"/>
  <c r="G447" i="42"/>
  <c r="F447" i="42"/>
  <c r="E447" i="42"/>
  <c r="D447" i="42"/>
  <c r="B447" i="42"/>
  <c r="I443" i="42"/>
  <c r="H443" i="42"/>
  <c r="G443" i="42"/>
  <c r="F443" i="42"/>
  <c r="E443" i="42"/>
  <c r="D443" i="42"/>
  <c r="B443" i="42"/>
  <c r="D440" i="42"/>
  <c r="B440" i="42"/>
  <c r="D439" i="42"/>
  <c r="B439" i="42"/>
  <c r="D438" i="42"/>
  <c r="B438" i="42"/>
  <c r="D435" i="42"/>
  <c r="B435" i="42"/>
  <c r="D434" i="42"/>
  <c r="B434" i="42"/>
  <c r="D433" i="42"/>
  <c r="B433" i="42"/>
  <c r="D432" i="42"/>
  <c r="B432" i="42"/>
  <c r="D431" i="42"/>
  <c r="B431" i="42"/>
  <c r="D430" i="42"/>
  <c r="B430" i="42"/>
  <c r="I426" i="42"/>
  <c r="H426" i="42"/>
  <c r="G426" i="42"/>
  <c r="F426" i="42"/>
  <c r="E426" i="42"/>
  <c r="D426" i="42"/>
  <c r="B426" i="42"/>
  <c r="I425" i="42"/>
  <c r="H425" i="42"/>
  <c r="G425" i="42"/>
  <c r="F425" i="42"/>
  <c r="E425" i="42"/>
  <c r="D425" i="42"/>
  <c r="B425" i="42"/>
  <c r="I424" i="42"/>
  <c r="H424" i="42"/>
  <c r="H427" i="42" s="1"/>
  <c r="G424" i="42"/>
  <c r="F424" i="42"/>
  <c r="E424" i="42"/>
  <c r="D424" i="42"/>
  <c r="B424" i="42"/>
  <c r="I421" i="42"/>
  <c r="H421" i="42"/>
  <c r="G421" i="42"/>
  <c r="F421" i="42"/>
  <c r="E421" i="42"/>
  <c r="D421" i="42"/>
  <c r="B421" i="42"/>
  <c r="B419" i="42"/>
  <c r="B415" i="42"/>
  <c r="I414" i="42"/>
  <c r="H414" i="42"/>
  <c r="G414" i="42"/>
  <c r="F414" i="42"/>
  <c r="E414" i="42"/>
  <c r="D414" i="42"/>
  <c r="B414" i="42"/>
  <c r="I413" i="42"/>
  <c r="H413" i="42"/>
  <c r="G413" i="42"/>
  <c r="F413" i="42"/>
  <c r="E413" i="42"/>
  <c r="D413" i="42"/>
  <c r="B413" i="42"/>
  <c r="I412" i="42"/>
  <c r="H412" i="42"/>
  <c r="G412" i="42"/>
  <c r="F412" i="42"/>
  <c r="E412" i="42"/>
  <c r="D412" i="42"/>
  <c r="B412" i="42"/>
  <c r="I407" i="42"/>
  <c r="H407" i="42"/>
  <c r="G407" i="42"/>
  <c r="F407" i="42"/>
  <c r="E407" i="42"/>
  <c r="D407" i="42"/>
  <c r="B407" i="42"/>
  <c r="I406" i="42"/>
  <c r="H406" i="42"/>
  <c r="G406" i="42"/>
  <c r="F406" i="42"/>
  <c r="E406" i="42"/>
  <c r="D406" i="42"/>
  <c r="B406" i="42"/>
  <c r="C405" i="42"/>
  <c r="B404" i="42"/>
  <c r="I400" i="42"/>
  <c r="H400" i="42"/>
  <c r="G400" i="42"/>
  <c r="G395" i="42" s="1"/>
  <c r="G399" i="42" s="1"/>
  <c r="F400" i="42"/>
  <c r="E400" i="42"/>
  <c r="D400" i="42"/>
  <c r="B400" i="42"/>
  <c r="B399" i="42"/>
  <c r="I396" i="42"/>
  <c r="H396" i="42"/>
  <c r="H395" i="42" s="1"/>
  <c r="H399" i="42" s="1"/>
  <c r="G396" i="42"/>
  <c r="F396" i="42"/>
  <c r="E396" i="42"/>
  <c r="D396" i="42"/>
  <c r="D395" i="42" s="1"/>
  <c r="D399" i="42" s="1"/>
  <c r="B396" i="42"/>
  <c r="F395" i="42"/>
  <c r="F399" i="42" s="1"/>
  <c r="B395" i="42"/>
  <c r="C392" i="42"/>
  <c r="I391" i="42"/>
  <c r="H391" i="42"/>
  <c r="G391" i="42"/>
  <c r="F391" i="42"/>
  <c r="E391" i="42"/>
  <c r="D391" i="42"/>
  <c r="B391" i="42"/>
  <c r="AW390" i="42"/>
  <c r="AV390" i="42"/>
  <c r="AU390" i="42"/>
  <c r="AT390" i="42"/>
  <c r="AT255" i="42" s="1"/>
  <c r="AS390" i="42"/>
  <c r="AR390" i="42"/>
  <c r="AQ390" i="42"/>
  <c r="AP390" i="42"/>
  <c r="AP255" i="42" s="1"/>
  <c r="AO390" i="42"/>
  <c r="AN390" i="42"/>
  <c r="AM390" i="42"/>
  <c r="AL390" i="42"/>
  <c r="AL255" i="42" s="1"/>
  <c r="AK390" i="42"/>
  <c r="AJ390" i="42"/>
  <c r="AI390" i="42"/>
  <c r="AH390" i="42"/>
  <c r="AH255" i="42" s="1"/>
  <c r="AG390" i="42"/>
  <c r="AF390" i="42"/>
  <c r="AE390" i="42"/>
  <c r="AD390" i="42"/>
  <c r="AD255" i="42" s="1"/>
  <c r="AC390" i="42"/>
  <c r="AB390" i="42"/>
  <c r="AA390" i="42"/>
  <c r="Z390" i="42"/>
  <c r="Z255" i="42" s="1"/>
  <c r="Y390" i="42"/>
  <c r="X390" i="42"/>
  <c r="W390" i="42"/>
  <c r="V390" i="42"/>
  <c r="V255" i="42" s="1"/>
  <c r="U390" i="42"/>
  <c r="T390" i="42"/>
  <c r="S390" i="42"/>
  <c r="R390" i="42"/>
  <c r="R255" i="42" s="1"/>
  <c r="Q390" i="42"/>
  <c r="P390" i="42"/>
  <c r="O390" i="42"/>
  <c r="N390" i="42"/>
  <c r="N255" i="42" s="1"/>
  <c r="M390" i="42"/>
  <c r="L390" i="42"/>
  <c r="K390" i="42"/>
  <c r="J390" i="42"/>
  <c r="J255" i="42" s="1"/>
  <c r="I390" i="42"/>
  <c r="H390" i="42"/>
  <c r="G390" i="42"/>
  <c r="F390" i="42"/>
  <c r="E390" i="42"/>
  <c r="D390" i="42"/>
  <c r="B390" i="42"/>
  <c r="AW389" i="42"/>
  <c r="AW152" i="42" s="1"/>
  <c r="AV389" i="42"/>
  <c r="AU389" i="42"/>
  <c r="AU152" i="42" s="1"/>
  <c r="AT389" i="42"/>
  <c r="AT152" i="42" s="1"/>
  <c r="AS389" i="42"/>
  <c r="AS152" i="42" s="1"/>
  <c r="AR389" i="42"/>
  <c r="AQ389" i="42"/>
  <c r="AQ152" i="42" s="1"/>
  <c r="AP389" i="42"/>
  <c r="AP152" i="42" s="1"/>
  <c r="AO389" i="42"/>
  <c r="AO152" i="42" s="1"/>
  <c r="AN389" i="42"/>
  <c r="AM389" i="42"/>
  <c r="AM152" i="42" s="1"/>
  <c r="AL389" i="42"/>
  <c r="AL152" i="42" s="1"/>
  <c r="AK389" i="42"/>
  <c r="AK152" i="42" s="1"/>
  <c r="AJ389" i="42"/>
  <c r="AI389" i="42"/>
  <c r="AI152" i="42" s="1"/>
  <c r="AH389" i="42"/>
  <c r="AH152" i="42" s="1"/>
  <c r="AG389" i="42"/>
  <c r="AG152" i="42" s="1"/>
  <c r="AF389" i="42"/>
  <c r="AE389" i="42"/>
  <c r="AE152" i="42" s="1"/>
  <c r="AD389" i="42"/>
  <c r="AD152" i="42" s="1"/>
  <c r="AC389" i="42"/>
  <c r="AC152" i="42" s="1"/>
  <c r="AB389" i="42"/>
  <c r="AA389" i="42"/>
  <c r="AA152" i="42" s="1"/>
  <c r="Z389" i="42"/>
  <c r="Z152" i="42" s="1"/>
  <c r="Y389" i="42"/>
  <c r="Y152" i="42" s="1"/>
  <c r="X389" i="42"/>
  <c r="W389" i="42"/>
  <c r="W152" i="42" s="1"/>
  <c r="V389" i="42"/>
  <c r="V152" i="42" s="1"/>
  <c r="U389" i="42"/>
  <c r="U152" i="42" s="1"/>
  <c r="T389" i="42"/>
  <c r="S389" i="42"/>
  <c r="S152" i="42" s="1"/>
  <c r="R389" i="42"/>
  <c r="R152" i="42" s="1"/>
  <c r="Q389" i="42"/>
  <c r="Q152" i="42" s="1"/>
  <c r="P389" i="42"/>
  <c r="O389" i="42"/>
  <c r="O152" i="42" s="1"/>
  <c r="N389" i="42"/>
  <c r="N152" i="42" s="1"/>
  <c r="M389" i="42"/>
  <c r="M152" i="42" s="1"/>
  <c r="L389" i="42"/>
  <c r="K389" i="42"/>
  <c r="K152" i="42" s="1"/>
  <c r="J389" i="42"/>
  <c r="J152" i="42" s="1"/>
  <c r="I389" i="42"/>
  <c r="H389" i="42"/>
  <c r="G389" i="42"/>
  <c r="F389" i="42"/>
  <c r="E389" i="42"/>
  <c r="D389" i="42"/>
  <c r="B389" i="42"/>
  <c r="AW388" i="42"/>
  <c r="AV388" i="42"/>
  <c r="AU388" i="42"/>
  <c r="AT388" i="42"/>
  <c r="AS388" i="42"/>
  <c r="AR388" i="42"/>
  <c r="AQ388" i="42"/>
  <c r="AP388" i="42"/>
  <c r="AO388" i="42"/>
  <c r="AN388" i="42"/>
  <c r="AM388" i="42"/>
  <c r="AL388" i="42"/>
  <c r="AK388" i="42"/>
  <c r="AJ388" i="42"/>
  <c r="AI388" i="42"/>
  <c r="AH388" i="42"/>
  <c r="AG388" i="42"/>
  <c r="AF388" i="42"/>
  <c r="AE388" i="42"/>
  <c r="AD388" i="42"/>
  <c r="AC388" i="42"/>
  <c r="AB388" i="42"/>
  <c r="AA388" i="42"/>
  <c r="Z388" i="42"/>
  <c r="Y388" i="42"/>
  <c r="X388" i="42"/>
  <c r="W388" i="42"/>
  <c r="V388" i="42"/>
  <c r="U388" i="42"/>
  <c r="T388" i="42"/>
  <c r="S388" i="42"/>
  <c r="R388" i="42"/>
  <c r="Q388" i="42"/>
  <c r="P388" i="42"/>
  <c r="O388" i="42"/>
  <c r="N388" i="42"/>
  <c r="M388" i="42"/>
  <c r="L388" i="42"/>
  <c r="K388" i="42"/>
  <c r="J388" i="42"/>
  <c r="I388" i="42"/>
  <c r="H388" i="42"/>
  <c r="G388" i="42"/>
  <c r="F388" i="42"/>
  <c r="E388" i="42"/>
  <c r="D388" i="42"/>
  <c r="B388" i="42"/>
  <c r="AW387" i="42"/>
  <c r="AW115" i="42" s="1"/>
  <c r="AV387" i="42"/>
  <c r="AV255" i="42" s="1"/>
  <c r="AU387" i="42"/>
  <c r="AU115" i="42" s="1"/>
  <c r="AT387" i="42"/>
  <c r="AS387" i="42"/>
  <c r="AR387" i="42"/>
  <c r="AR255" i="42" s="1"/>
  <c r="AQ387" i="42"/>
  <c r="AQ115" i="42" s="1"/>
  <c r="AP387" i="42"/>
  <c r="AO387" i="42"/>
  <c r="AN387" i="42"/>
  <c r="AN255" i="42" s="1"/>
  <c r="AM387" i="42"/>
  <c r="AL387" i="42"/>
  <c r="AK387" i="42"/>
  <c r="AJ387" i="42"/>
  <c r="AJ255" i="42" s="1"/>
  <c r="AI387" i="42"/>
  <c r="AH387" i="42"/>
  <c r="AG387" i="42"/>
  <c r="AF387" i="42"/>
  <c r="AF255" i="42" s="1"/>
  <c r="AE387" i="42"/>
  <c r="AE115" i="42" s="1"/>
  <c r="AD387" i="42"/>
  <c r="AC387" i="42"/>
  <c r="AB387" i="42"/>
  <c r="AB255" i="42" s="1"/>
  <c r="AA387" i="42"/>
  <c r="AA115" i="42" s="1"/>
  <c r="Z387" i="42"/>
  <c r="Y387" i="42"/>
  <c r="X387" i="42"/>
  <c r="X255" i="42" s="1"/>
  <c r="W387" i="42"/>
  <c r="V387" i="42"/>
  <c r="U387" i="42"/>
  <c r="T387" i="42"/>
  <c r="T255" i="42" s="1"/>
  <c r="S387" i="42"/>
  <c r="R387" i="42"/>
  <c r="Q387" i="42"/>
  <c r="Q115" i="42" s="1"/>
  <c r="P387" i="42"/>
  <c r="P255" i="42" s="1"/>
  <c r="O387" i="42"/>
  <c r="O115" i="42" s="1"/>
  <c r="N387" i="42"/>
  <c r="M387" i="42"/>
  <c r="L387" i="42"/>
  <c r="L255" i="42" s="1"/>
  <c r="K387" i="42"/>
  <c r="K115" i="42" s="1"/>
  <c r="J387" i="42"/>
  <c r="I387" i="42"/>
  <c r="H387" i="42"/>
  <c r="G387" i="42"/>
  <c r="F387" i="42"/>
  <c r="E387" i="42"/>
  <c r="D387" i="42"/>
  <c r="B387" i="42"/>
  <c r="AW386" i="42"/>
  <c r="AV386" i="42"/>
  <c r="AU386" i="42"/>
  <c r="AT386" i="42"/>
  <c r="AS386" i="42"/>
  <c r="AR386" i="42"/>
  <c r="AQ386" i="42"/>
  <c r="AP386" i="42"/>
  <c r="AO386" i="42"/>
  <c r="AN386" i="42"/>
  <c r="AM386" i="42"/>
  <c r="AL386" i="42"/>
  <c r="AK386" i="42"/>
  <c r="AJ386" i="42"/>
  <c r="AI386" i="42"/>
  <c r="AH386" i="42"/>
  <c r="AG386" i="42"/>
  <c r="AF386" i="42"/>
  <c r="AE386" i="42"/>
  <c r="AD386" i="42"/>
  <c r="AC386" i="42"/>
  <c r="AB386" i="42"/>
  <c r="AA386" i="42"/>
  <c r="Z386" i="42"/>
  <c r="Y386" i="42"/>
  <c r="X386" i="42"/>
  <c r="W386" i="42"/>
  <c r="V386" i="42"/>
  <c r="U386" i="42"/>
  <c r="T386" i="42"/>
  <c r="S386" i="42"/>
  <c r="R386" i="42"/>
  <c r="Q386" i="42"/>
  <c r="P386" i="42"/>
  <c r="O386" i="42"/>
  <c r="N386" i="42"/>
  <c r="M386" i="42"/>
  <c r="L386" i="42"/>
  <c r="K386" i="42"/>
  <c r="J386" i="42"/>
  <c r="I386" i="42"/>
  <c r="H386" i="42"/>
  <c r="G386" i="42"/>
  <c r="F386" i="42"/>
  <c r="E386" i="42"/>
  <c r="D386" i="42"/>
  <c r="B386" i="42"/>
  <c r="B382" i="42"/>
  <c r="I381" i="42"/>
  <c r="H381" i="42"/>
  <c r="G381" i="42"/>
  <c r="F381" i="42"/>
  <c r="E381" i="42"/>
  <c r="D381" i="42"/>
  <c r="B381" i="42"/>
  <c r="B377" i="42"/>
  <c r="I374" i="42"/>
  <c r="H374" i="42"/>
  <c r="G374" i="42"/>
  <c r="F374" i="42"/>
  <c r="E374" i="42"/>
  <c r="D374" i="42"/>
  <c r="B374" i="42"/>
  <c r="I373" i="42"/>
  <c r="H373" i="42"/>
  <c r="G373" i="42"/>
  <c r="F373" i="42"/>
  <c r="E373" i="42"/>
  <c r="D373" i="42"/>
  <c r="B373" i="42"/>
  <c r="I372" i="42"/>
  <c r="H372" i="42"/>
  <c r="G372" i="42"/>
  <c r="F372" i="42"/>
  <c r="E372" i="42"/>
  <c r="D372" i="42"/>
  <c r="B372" i="42"/>
  <c r="C370" i="42"/>
  <c r="I369" i="42"/>
  <c r="H369" i="42"/>
  <c r="G369" i="42"/>
  <c r="F369" i="42"/>
  <c r="E369" i="42"/>
  <c r="D369" i="42"/>
  <c r="B369" i="42"/>
  <c r="AW368" i="42"/>
  <c r="AW484" i="42" s="1"/>
  <c r="AV368" i="42"/>
  <c r="AV484" i="42" s="1"/>
  <c r="AU368" i="42"/>
  <c r="AU484" i="42" s="1"/>
  <c r="AT368" i="42"/>
  <c r="AT484" i="42" s="1"/>
  <c r="AS368" i="42"/>
  <c r="AS484" i="42" s="1"/>
  <c r="AR368" i="42"/>
  <c r="AR484" i="42" s="1"/>
  <c r="AQ368" i="42"/>
  <c r="AQ484" i="42" s="1"/>
  <c r="AP368" i="42"/>
  <c r="AP484" i="42" s="1"/>
  <c r="AO368" i="42"/>
  <c r="AO484" i="42" s="1"/>
  <c r="AN368" i="42"/>
  <c r="AN484" i="42" s="1"/>
  <c r="AM368" i="42"/>
  <c r="AM484" i="42" s="1"/>
  <c r="AL368" i="42"/>
  <c r="AL484" i="42" s="1"/>
  <c r="AK368" i="42"/>
  <c r="AK484" i="42" s="1"/>
  <c r="AJ368" i="42"/>
  <c r="AJ484" i="42" s="1"/>
  <c r="AI368" i="42"/>
  <c r="AI484" i="42" s="1"/>
  <c r="AH368" i="42"/>
  <c r="AH484" i="42" s="1"/>
  <c r="AG368" i="42"/>
  <c r="AG484" i="42" s="1"/>
  <c r="AF368" i="42"/>
  <c r="AF484" i="42" s="1"/>
  <c r="AE368" i="42"/>
  <c r="AE484" i="42" s="1"/>
  <c r="AD368" i="42"/>
  <c r="AD484" i="42" s="1"/>
  <c r="AC368" i="42"/>
  <c r="AC484" i="42" s="1"/>
  <c r="AB368" i="42"/>
  <c r="AB484" i="42" s="1"/>
  <c r="AA368" i="42"/>
  <c r="AA484" i="42" s="1"/>
  <c r="Z368" i="42"/>
  <c r="Z484" i="42" s="1"/>
  <c r="Y368" i="42"/>
  <c r="Y484" i="42" s="1"/>
  <c r="X368" i="42"/>
  <c r="X484" i="42" s="1"/>
  <c r="W368" i="42"/>
  <c r="W484" i="42" s="1"/>
  <c r="V368" i="42"/>
  <c r="V484" i="42" s="1"/>
  <c r="U368" i="42"/>
  <c r="U484" i="42" s="1"/>
  <c r="T368" i="42"/>
  <c r="T484" i="42" s="1"/>
  <c r="S368" i="42"/>
  <c r="S484" i="42" s="1"/>
  <c r="R368" i="42"/>
  <c r="R484" i="42" s="1"/>
  <c r="Q368" i="42"/>
  <c r="Q484" i="42" s="1"/>
  <c r="P368" i="42"/>
  <c r="P484" i="42" s="1"/>
  <c r="O368" i="42"/>
  <c r="O484" i="42" s="1"/>
  <c r="N368" i="42"/>
  <c r="N484" i="42" s="1"/>
  <c r="M368" i="42"/>
  <c r="M484" i="42" s="1"/>
  <c r="L368" i="42"/>
  <c r="L484" i="42" s="1"/>
  <c r="K368" i="42"/>
  <c r="K484" i="42" s="1"/>
  <c r="J368" i="42"/>
  <c r="J484" i="42" s="1"/>
  <c r="I368" i="42"/>
  <c r="I484" i="42" s="1"/>
  <c r="H368" i="42"/>
  <c r="H484" i="42" s="1"/>
  <c r="G368" i="42"/>
  <c r="G484" i="42" s="1"/>
  <c r="F368" i="42"/>
  <c r="F484" i="42" s="1"/>
  <c r="E368" i="42"/>
  <c r="E484" i="42" s="1"/>
  <c r="D368" i="42"/>
  <c r="D484" i="42" s="1"/>
  <c r="B368" i="42"/>
  <c r="I366" i="42"/>
  <c r="H366" i="42"/>
  <c r="G366" i="42"/>
  <c r="F366" i="42"/>
  <c r="E366" i="42"/>
  <c r="D366" i="42"/>
  <c r="B366" i="42"/>
  <c r="I365" i="42"/>
  <c r="H365" i="42"/>
  <c r="G365" i="42"/>
  <c r="F365" i="42"/>
  <c r="E365" i="42"/>
  <c r="D365" i="42"/>
  <c r="B365" i="42"/>
  <c r="AW364" i="42"/>
  <c r="AV364" i="42"/>
  <c r="AU364" i="42"/>
  <c r="AT364" i="42"/>
  <c r="AS364" i="42"/>
  <c r="AR364" i="42"/>
  <c r="AQ364" i="42"/>
  <c r="AP364" i="42"/>
  <c r="AO364" i="42"/>
  <c r="AN364" i="42"/>
  <c r="AM364" i="42"/>
  <c r="AL364" i="42"/>
  <c r="AK364" i="42"/>
  <c r="AJ364" i="42"/>
  <c r="AI364" i="42"/>
  <c r="AH364" i="42"/>
  <c r="AG364" i="42"/>
  <c r="AF364" i="42"/>
  <c r="AE364" i="42"/>
  <c r="AD364" i="42"/>
  <c r="AC364" i="42"/>
  <c r="AB364" i="42"/>
  <c r="AA364" i="42"/>
  <c r="Z364" i="42"/>
  <c r="Y364" i="42"/>
  <c r="X364" i="42"/>
  <c r="W364" i="42"/>
  <c r="V364" i="42"/>
  <c r="U364" i="42"/>
  <c r="T364" i="42"/>
  <c r="S364" i="42"/>
  <c r="R364" i="42"/>
  <c r="Q364" i="42"/>
  <c r="P364" i="42"/>
  <c r="O364" i="42"/>
  <c r="N364" i="42"/>
  <c r="M364" i="42"/>
  <c r="L364" i="42"/>
  <c r="K364" i="42"/>
  <c r="J364" i="42"/>
  <c r="I364" i="42"/>
  <c r="H364" i="42"/>
  <c r="G364" i="42"/>
  <c r="F364" i="42"/>
  <c r="E364" i="42"/>
  <c r="D364" i="42"/>
  <c r="B364" i="42"/>
  <c r="I363" i="42"/>
  <c r="I367" i="42" s="1"/>
  <c r="H363" i="42"/>
  <c r="G363" i="42"/>
  <c r="G367" i="42" s="1"/>
  <c r="F363" i="42"/>
  <c r="F367" i="42" s="1"/>
  <c r="E363" i="42"/>
  <c r="E367" i="42" s="1"/>
  <c r="D363" i="42"/>
  <c r="B363" i="42"/>
  <c r="B359" i="42"/>
  <c r="I358" i="42"/>
  <c r="H358" i="42"/>
  <c r="G358" i="42"/>
  <c r="F358" i="42"/>
  <c r="E358" i="42"/>
  <c r="D358" i="42"/>
  <c r="B358" i="42"/>
  <c r="I357" i="42"/>
  <c r="J357" i="42" s="1"/>
  <c r="K357" i="42" s="1"/>
  <c r="L357" i="42" s="1"/>
  <c r="M357" i="42" s="1"/>
  <c r="N357" i="42" s="1"/>
  <c r="O357" i="42" s="1"/>
  <c r="P357" i="42" s="1"/>
  <c r="Q357" i="42" s="1"/>
  <c r="R357" i="42" s="1"/>
  <c r="S357" i="42" s="1"/>
  <c r="T357" i="42" s="1"/>
  <c r="U357" i="42" s="1"/>
  <c r="V357" i="42" s="1"/>
  <c r="W357" i="42" s="1"/>
  <c r="X357" i="42" s="1"/>
  <c r="Y357" i="42" s="1"/>
  <c r="Z357" i="42" s="1"/>
  <c r="AA357" i="42" s="1"/>
  <c r="AB357" i="42" s="1"/>
  <c r="AC357" i="42" s="1"/>
  <c r="AD357" i="42" s="1"/>
  <c r="AE357" i="42" s="1"/>
  <c r="AF357" i="42" s="1"/>
  <c r="AG357" i="42" s="1"/>
  <c r="AH357" i="42" s="1"/>
  <c r="AI357" i="42" s="1"/>
  <c r="AJ357" i="42" s="1"/>
  <c r="AK357" i="42" s="1"/>
  <c r="AL357" i="42" s="1"/>
  <c r="AM357" i="42" s="1"/>
  <c r="AN357" i="42" s="1"/>
  <c r="AO357" i="42" s="1"/>
  <c r="AP357" i="42" s="1"/>
  <c r="AQ357" i="42" s="1"/>
  <c r="AR357" i="42" s="1"/>
  <c r="AS357" i="42" s="1"/>
  <c r="H357" i="42"/>
  <c r="G357" i="42"/>
  <c r="F357" i="42"/>
  <c r="E357" i="42"/>
  <c r="D357" i="42"/>
  <c r="B357" i="42"/>
  <c r="B355" i="42"/>
  <c r="B354" i="42"/>
  <c r="B350" i="42"/>
  <c r="I349" i="42"/>
  <c r="H349" i="42"/>
  <c r="G349" i="42"/>
  <c r="F349" i="42"/>
  <c r="E349" i="42"/>
  <c r="D349" i="42"/>
  <c r="B349" i="42"/>
  <c r="I348" i="42"/>
  <c r="J348" i="42" s="1"/>
  <c r="K348" i="42" s="1"/>
  <c r="L348" i="42" s="1"/>
  <c r="M348" i="42" s="1"/>
  <c r="N348" i="42" s="1"/>
  <c r="O348" i="42" s="1"/>
  <c r="P348" i="42" s="1"/>
  <c r="Q348" i="42" s="1"/>
  <c r="R348" i="42" s="1"/>
  <c r="S348" i="42" s="1"/>
  <c r="T348" i="42" s="1"/>
  <c r="U348" i="42" s="1"/>
  <c r="V348" i="42" s="1"/>
  <c r="W348" i="42" s="1"/>
  <c r="X348" i="42" s="1"/>
  <c r="Y348" i="42" s="1"/>
  <c r="Z348" i="42" s="1"/>
  <c r="AA348" i="42" s="1"/>
  <c r="AB348" i="42" s="1"/>
  <c r="AC348" i="42" s="1"/>
  <c r="AD348" i="42" s="1"/>
  <c r="AE348" i="42" s="1"/>
  <c r="AF348" i="42" s="1"/>
  <c r="AG348" i="42" s="1"/>
  <c r="AH348" i="42" s="1"/>
  <c r="AI348" i="42" s="1"/>
  <c r="AJ348" i="42" s="1"/>
  <c r="AK348" i="42" s="1"/>
  <c r="AL348" i="42" s="1"/>
  <c r="AM348" i="42" s="1"/>
  <c r="AN348" i="42" s="1"/>
  <c r="AO348" i="42" s="1"/>
  <c r="AP348" i="42" s="1"/>
  <c r="AQ348" i="42" s="1"/>
  <c r="AR348" i="42" s="1"/>
  <c r="AS348" i="42" s="1"/>
  <c r="H348" i="42"/>
  <c r="G348" i="42"/>
  <c r="F348" i="42"/>
  <c r="E348" i="42"/>
  <c r="D348" i="42"/>
  <c r="B348" i="42"/>
  <c r="B346" i="42"/>
  <c r="I342" i="42"/>
  <c r="H342" i="42"/>
  <c r="G342" i="42"/>
  <c r="F342" i="42"/>
  <c r="E342" i="42"/>
  <c r="D342" i="42"/>
  <c r="B342" i="42"/>
  <c r="B340" i="42"/>
  <c r="I339" i="42"/>
  <c r="H339" i="42"/>
  <c r="G339" i="42"/>
  <c r="F339" i="42"/>
  <c r="E339" i="42"/>
  <c r="D339" i="42"/>
  <c r="B339" i="42"/>
  <c r="I335" i="42"/>
  <c r="H335" i="42"/>
  <c r="G335" i="42"/>
  <c r="F335" i="42"/>
  <c r="E335" i="42"/>
  <c r="D335" i="42"/>
  <c r="B335" i="42"/>
  <c r="B332" i="42"/>
  <c r="I329" i="42"/>
  <c r="H329" i="42"/>
  <c r="G329" i="42"/>
  <c r="F329" i="42"/>
  <c r="E329" i="42"/>
  <c r="D329" i="42"/>
  <c r="B329" i="42"/>
  <c r="I328" i="42"/>
  <c r="H328" i="42"/>
  <c r="G328" i="42"/>
  <c r="F328" i="42"/>
  <c r="E328" i="42"/>
  <c r="D328" i="42"/>
  <c r="B328" i="42"/>
  <c r="B324" i="42"/>
  <c r="I323" i="42"/>
  <c r="H323" i="42"/>
  <c r="G323" i="42"/>
  <c r="F323" i="42"/>
  <c r="E323" i="42"/>
  <c r="D323" i="42"/>
  <c r="B323" i="42"/>
  <c r="I322" i="42"/>
  <c r="J322" i="42" s="1"/>
  <c r="K322" i="42" s="1"/>
  <c r="L322" i="42" s="1"/>
  <c r="M322" i="42" s="1"/>
  <c r="N322" i="42" s="1"/>
  <c r="O322" i="42" s="1"/>
  <c r="P322" i="42" s="1"/>
  <c r="Q322" i="42" s="1"/>
  <c r="R322" i="42" s="1"/>
  <c r="S322" i="42" s="1"/>
  <c r="T322" i="42" s="1"/>
  <c r="U322" i="42" s="1"/>
  <c r="V322" i="42" s="1"/>
  <c r="W322" i="42" s="1"/>
  <c r="X322" i="42" s="1"/>
  <c r="Y322" i="42" s="1"/>
  <c r="Z322" i="42" s="1"/>
  <c r="AA322" i="42" s="1"/>
  <c r="AB322" i="42" s="1"/>
  <c r="AC322" i="42" s="1"/>
  <c r="AD322" i="42" s="1"/>
  <c r="AE322" i="42" s="1"/>
  <c r="AF322" i="42" s="1"/>
  <c r="AG322" i="42" s="1"/>
  <c r="AH322" i="42" s="1"/>
  <c r="AI322" i="42" s="1"/>
  <c r="AJ322" i="42" s="1"/>
  <c r="AK322" i="42" s="1"/>
  <c r="AL322" i="42" s="1"/>
  <c r="AM322" i="42" s="1"/>
  <c r="AN322" i="42" s="1"/>
  <c r="AO322" i="42" s="1"/>
  <c r="AP322" i="42" s="1"/>
  <c r="AQ322" i="42" s="1"/>
  <c r="AR322" i="42" s="1"/>
  <c r="AS322" i="42" s="1"/>
  <c r="H322" i="42"/>
  <c r="G322" i="42"/>
  <c r="F322" i="42"/>
  <c r="E322" i="42"/>
  <c r="D322" i="42"/>
  <c r="B322" i="42"/>
  <c r="I321" i="42"/>
  <c r="I324" i="42" s="1"/>
  <c r="H321" i="42"/>
  <c r="G321" i="42"/>
  <c r="G324" i="42" s="1"/>
  <c r="F321" i="42"/>
  <c r="E321" i="42"/>
  <c r="D321" i="42"/>
  <c r="B321" i="42"/>
  <c r="I318" i="42"/>
  <c r="H318" i="42"/>
  <c r="G318" i="42"/>
  <c r="F318" i="42"/>
  <c r="E318" i="42"/>
  <c r="D318" i="42"/>
  <c r="B318" i="42"/>
  <c r="I317" i="42"/>
  <c r="H317" i="42"/>
  <c r="G317" i="42"/>
  <c r="F317" i="42"/>
  <c r="E317" i="42"/>
  <c r="D317" i="42"/>
  <c r="B317" i="42"/>
  <c r="I316" i="42"/>
  <c r="H316" i="42"/>
  <c r="G316" i="42"/>
  <c r="F316" i="42"/>
  <c r="E316" i="42"/>
  <c r="D316" i="42"/>
  <c r="B316" i="42"/>
  <c r="I313" i="42"/>
  <c r="H313" i="42"/>
  <c r="G313" i="42"/>
  <c r="F313" i="42"/>
  <c r="E313" i="42"/>
  <c r="D313" i="42"/>
  <c r="B313" i="42"/>
  <c r="I312" i="42"/>
  <c r="H312" i="42"/>
  <c r="G312" i="42"/>
  <c r="F312" i="42"/>
  <c r="E312" i="42"/>
  <c r="D312" i="42"/>
  <c r="B312" i="42"/>
  <c r="D309" i="42"/>
  <c r="B309" i="42"/>
  <c r="D308" i="42"/>
  <c r="B308" i="42"/>
  <c r="D305" i="42"/>
  <c r="B305" i="42"/>
  <c r="D304" i="42"/>
  <c r="B304" i="42"/>
  <c r="D301" i="42"/>
  <c r="B301" i="42"/>
  <c r="D300" i="42"/>
  <c r="B300" i="42"/>
  <c r="D297" i="42"/>
  <c r="B297" i="42"/>
  <c r="D296" i="42"/>
  <c r="B296" i="42"/>
  <c r="D293" i="42"/>
  <c r="B293" i="42"/>
  <c r="B291" i="42"/>
  <c r="I285" i="42"/>
  <c r="H285" i="42"/>
  <c r="G285" i="42"/>
  <c r="F285" i="42"/>
  <c r="E285" i="42"/>
  <c r="D285" i="42"/>
  <c r="I284" i="42"/>
  <c r="H284" i="42"/>
  <c r="G284" i="42"/>
  <c r="F284" i="42"/>
  <c r="E284" i="42"/>
  <c r="D284" i="42"/>
  <c r="D286" i="42" s="1"/>
  <c r="I283" i="42"/>
  <c r="I286" i="42" s="1"/>
  <c r="H283" i="42"/>
  <c r="G283" i="42"/>
  <c r="F283" i="42"/>
  <c r="F286" i="42" s="1"/>
  <c r="E283" i="42"/>
  <c r="E286" i="42" s="1"/>
  <c r="D283" i="42"/>
  <c r="D280" i="42"/>
  <c r="B280" i="42"/>
  <c r="D279" i="42"/>
  <c r="B279" i="42"/>
  <c r="D276" i="42"/>
  <c r="B276" i="42"/>
  <c r="D275" i="42"/>
  <c r="B275" i="42"/>
  <c r="D272" i="42"/>
  <c r="B272" i="42"/>
  <c r="B270" i="42"/>
  <c r="I269" i="42"/>
  <c r="H269" i="42"/>
  <c r="G269" i="42"/>
  <c r="F269" i="42"/>
  <c r="E269" i="42"/>
  <c r="D269" i="42"/>
  <c r="AW265" i="42"/>
  <c r="AV265" i="42"/>
  <c r="AU265" i="42"/>
  <c r="AT265" i="42"/>
  <c r="AS265" i="42"/>
  <c r="AR265" i="42"/>
  <c r="AQ265" i="42"/>
  <c r="AP265" i="42"/>
  <c r="AO265" i="42"/>
  <c r="AN265" i="42"/>
  <c r="AM265" i="42"/>
  <c r="AL265" i="42"/>
  <c r="AK265" i="42"/>
  <c r="AJ265" i="42"/>
  <c r="AI265" i="42"/>
  <c r="AH265" i="42"/>
  <c r="AG265" i="42"/>
  <c r="AF265" i="42"/>
  <c r="AE265" i="42"/>
  <c r="AD265" i="42"/>
  <c r="AC265" i="42"/>
  <c r="AB265" i="42"/>
  <c r="AA265" i="42"/>
  <c r="Z265" i="42"/>
  <c r="Y265" i="42"/>
  <c r="X265" i="42"/>
  <c r="W265" i="42"/>
  <c r="V265" i="42"/>
  <c r="U265" i="42"/>
  <c r="T265" i="42"/>
  <c r="S265" i="42"/>
  <c r="R265" i="42"/>
  <c r="Q265" i="42"/>
  <c r="P265" i="42"/>
  <c r="O265" i="42"/>
  <c r="N265" i="42"/>
  <c r="M265" i="42"/>
  <c r="L265" i="42"/>
  <c r="K265" i="42"/>
  <c r="J265" i="42"/>
  <c r="I265" i="42"/>
  <c r="H265" i="42"/>
  <c r="G265" i="42"/>
  <c r="F265" i="42"/>
  <c r="E265" i="42"/>
  <c r="D265" i="42"/>
  <c r="AW264" i="42"/>
  <c r="AV264" i="42"/>
  <c r="AU264" i="42"/>
  <c r="AT264" i="42"/>
  <c r="AS264" i="42"/>
  <c r="AR264" i="42"/>
  <c r="AQ264" i="42"/>
  <c r="AP264" i="42"/>
  <c r="AO264" i="42"/>
  <c r="AN264" i="42"/>
  <c r="AM264" i="42"/>
  <c r="AL264" i="42"/>
  <c r="AK264" i="42"/>
  <c r="AJ264" i="42"/>
  <c r="AI264" i="42"/>
  <c r="AH264" i="42"/>
  <c r="AG264" i="42"/>
  <c r="AF264" i="42"/>
  <c r="AE264" i="42"/>
  <c r="AD264" i="42"/>
  <c r="AC264" i="42"/>
  <c r="AB264" i="42"/>
  <c r="AA264" i="42"/>
  <c r="Z264" i="42"/>
  <c r="Y264" i="42"/>
  <c r="X264" i="42"/>
  <c r="W264" i="42"/>
  <c r="V264" i="42"/>
  <c r="U264" i="42"/>
  <c r="T264" i="42"/>
  <c r="S264" i="42"/>
  <c r="R264" i="42"/>
  <c r="Q264" i="42"/>
  <c r="P264" i="42"/>
  <c r="O264" i="42"/>
  <c r="N264" i="42"/>
  <c r="M264" i="42"/>
  <c r="L264" i="42"/>
  <c r="K264" i="42"/>
  <c r="J264" i="42"/>
  <c r="I264" i="42"/>
  <c r="H264" i="42"/>
  <c r="G264" i="42"/>
  <c r="F264" i="42"/>
  <c r="E264" i="42"/>
  <c r="D264" i="42"/>
  <c r="AW263" i="42"/>
  <c r="AV263" i="42"/>
  <c r="AU263" i="42"/>
  <c r="AT263" i="42"/>
  <c r="AS263" i="42"/>
  <c r="AR263" i="42"/>
  <c r="AQ263" i="42"/>
  <c r="AP263" i="42"/>
  <c r="AO263" i="42"/>
  <c r="AN263" i="42"/>
  <c r="AM263" i="42"/>
  <c r="AL263" i="42"/>
  <c r="AK263" i="42"/>
  <c r="AJ263" i="42"/>
  <c r="AI263" i="42"/>
  <c r="AH263" i="42"/>
  <c r="AG263" i="42"/>
  <c r="AF263" i="42"/>
  <c r="AE263" i="42"/>
  <c r="AD263" i="42"/>
  <c r="AC263" i="42"/>
  <c r="AB263" i="42"/>
  <c r="AA263" i="42"/>
  <c r="Z263" i="42"/>
  <c r="Y263" i="42"/>
  <c r="X263" i="42"/>
  <c r="W263" i="42"/>
  <c r="V263" i="42"/>
  <c r="U263" i="42"/>
  <c r="T263" i="42"/>
  <c r="S263" i="42"/>
  <c r="R263" i="42"/>
  <c r="Q263" i="42"/>
  <c r="P263" i="42"/>
  <c r="O263" i="42"/>
  <c r="N263" i="42"/>
  <c r="M263" i="42"/>
  <c r="L263" i="42"/>
  <c r="K263" i="42"/>
  <c r="J263" i="42"/>
  <c r="I263" i="42"/>
  <c r="H263" i="42"/>
  <c r="G263" i="42"/>
  <c r="F263" i="42"/>
  <c r="E263" i="42"/>
  <c r="D263" i="42"/>
  <c r="AW262" i="42"/>
  <c r="AV262" i="42"/>
  <c r="AU262" i="42"/>
  <c r="AT262" i="42"/>
  <c r="AS262" i="42"/>
  <c r="AR262" i="42"/>
  <c r="AQ262" i="42"/>
  <c r="AP262" i="42"/>
  <c r="AO262" i="42"/>
  <c r="AN262" i="42"/>
  <c r="AM262" i="42"/>
  <c r="AL262" i="42"/>
  <c r="AK262" i="42"/>
  <c r="AJ262" i="42"/>
  <c r="AI262" i="42"/>
  <c r="AH262" i="42"/>
  <c r="AG262" i="42"/>
  <c r="AF262" i="42"/>
  <c r="AE262" i="42"/>
  <c r="AD262" i="42"/>
  <c r="AC262" i="42"/>
  <c r="AB262" i="42"/>
  <c r="AA262" i="42"/>
  <c r="Z262" i="42"/>
  <c r="Y262" i="42"/>
  <c r="X262" i="42"/>
  <c r="W262" i="42"/>
  <c r="V262" i="42"/>
  <c r="U262" i="42"/>
  <c r="T262" i="42"/>
  <c r="S262" i="42"/>
  <c r="R262" i="42"/>
  <c r="Q262" i="42"/>
  <c r="P262" i="42"/>
  <c r="O262" i="42"/>
  <c r="N262" i="42"/>
  <c r="M262" i="42"/>
  <c r="L262" i="42"/>
  <c r="K262" i="42"/>
  <c r="J262" i="42"/>
  <c r="I262" i="42"/>
  <c r="H262" i="42"/>
  <c r="G262" i="42"/>
  <c r="F262" i="42"/>
  <c r="E262" i="42"/>
  <c r="D262" i="42"/>
  <c r="B261" i="42"/>
  <c r="B259" i="42"/>
  <c r="I258" i="42"/>
  <c r="H258" i="42"/>
  <c r="G258" i="42"/>
  <c r="F258" i="42"/>
  <c r="E258" i="42"/>
  <c r="D258" i="42"/>
  <c r="B258" i="42"/>
  <c r="D256" i="42"/>
  <c r="B256" i="42"/>
  <c r="AW255" i="42"/>
  <c r="AS255" i="42"/>
  <c r="AO255" i="42"/>
  <c r="AK255" i="42"/>
  <c r="AG255" i="42"/>
  <c r="AC255" i="42"/>
  <c r="Y255" i="42"/>
  <c r="U255" i="42"/>
  <c r="Q255" i="42"/>
  <c r="M255" i="42"/>
  <c r="I255" i="42"/>
  <c r="H255" i="42"/>
  <c r="G255" i="42"/>
  <c r="F255" i="42"/>
  <c r="E255" i="42"/>
  <c r="D255" i="42"/>
  <c r="D253" i="42"/>
  <c r="D252" i="42"/>
  <c r="D251" i="42"/>
  <c r="D250" i="42"/>
  <c r="B247" i="42"/>
  <c r="B246" i="42"/>
  <c r="B243" i="42"/>
  <c r="B241" i="42"/>
  <c r="I240" i="42"/>
  <c r="H240" i="42"/>
  <c r="G240" i="42"/>
  <c r="F240" i="42"/>
  <c r="E240" i="42"/>
  <c r="D240" i="42"/>
  <c r="B240" i="42"/>
  <c r="D239" i="42"/>
  <c r="B239" i="42"/>
  <c r="I236" i="42"/>
  <c r="J236" i="42" s="1"/>
  <c r="H236" i="42"/>
  <c r="G236" i="42"/>
  <c r="F236" i="42"/>
  <c r="E236" i="42"/>
  <c r="D236" i="42"/>
  <c r="B236" i="42"/>
  <c r="I235" i="42"/>
  <c r="J235" i="42" s="1"/>
  <c r="K235" i="42" s="1"/>
  <c r="L235" i="42" s="1"/>
  <c r="M235" i="42" s="1"/>
  <c r="N235" i="42" s="1"/>
  <c r="O235" i="42" s="1"/>
  <c r="P235" i="42" s="1"/>
  <c r="Q235" i="42" s="1"/>
  <c r="R235" i="42" s="1"/>
  <c r="S235" i="42" s="1"/>
  <c r="T235" i="42" s="1"/>
  <c r="U235" i="42" s="1"/>
  <c r="V235" i="42" s="1"/>
  <c r="W235" i="42" s="1"/>
  <c r="X235" i="42" s="1"/>
  <c r="Y235" i="42" s="1"/>
  <c r="Z235" i="42" s="1"/>
  <c r="AA235" i="42" s="1"/>
  <c r="AB235" i="42" s="1"/>
  <c r="AC235" i="42" s="1"/>
  <c r="AD235" i="42" s="1"/>
  <c r="AE235" i="42" s="1"/>
  <c r="AF235" i="42" s="1"/>
  <c r="AG235" i="42" s="1"/>
  <c r="AH235" i="42" s="1"/>
  <c r="AI235" i="42" s="1"/>
  <c r="AJ235" i="42" s="1"/>
  <c r="AK235" i="42" s="1"/>
  <c r="AL235" i="42" s="1"/>
  <c r="AM235" i="42" s="1"/>
  <c r="AN235" i="42" s="1"/>
  <c r="AO235" i="42" s="1"/>
  <c r="AP235" i="42" s="1"/>
  <c r="AQ235" i="42" s="1"/>
  <c r="AR235" i="42" s="1"/>
  <c r="AS235" i="42" s="1"/>
  <c r="AT235" i="42" s="1"/>
  <c r="AU235" i="42" s="1"/>
  <c r="AV235" i="42" s="1"/>
  <c r="AW235" i="42" s="1"/>
  <c r="H235" i="42"/>
  <c r="G235" i="42"/>
  <c r="F235" i="42"/>
  <c r="E235" i="42"/>
  <c r="D235" i="42"/>
  <c r="B235" i="42"/>
  <c r="B232" i="42"/>
  <c r="D231" i="42"/>
  <c r="B231" i="42"/>
  <c r="D229" i="42"/>
  <c r="B229" i="42"/>
  <c r="I226" i="42"/>
  <c r="H226" i="42"/>
  <c r="G226" i="42"/>
  <c r="F226" i="42"/>
  <c r="E226" i="42"/>
  <c r="D226" i="42"/>
  <c r="B226" i="42"/>
  <c r="I225" i="42"/>
  <c r="J225" i="42" s="1"/>
  <c r="K225" i="42" s="1"/>
  <c r="L225" i="42" s="1"/>
  <c r="M225" i="42" s="1"/>
  <c r="N225" i="42" s="1"/>
  <c r="O225" i="42" s="1"/>
  <c r="P225" i="42" s="1"/>
  <c r="Q225" i="42" s="1"/>
  <c r="R225" i="42" s="1"/>
  <c r="S225" i="42" s="1"/>
  <c r="T225" i="42" s="1"/>
  <c r="U225" i="42" s="1"/>
  <c r="V225" i="42" s="1"/>
  <c r="W225" i="42" s="1"/>
  <c r="X225" i="42" s="1"/>
  <c r="Y225" i="42" s="1"/>
  <c r="Z225" i="42" s="1"/>
  <c r="AA225" i="42" s="1"/>
  <c r="AB225" i="42" s="1"/>
  <c r="AC225" i="42" s="1"/>
  <c r="AD225" i="42" s="1"/>
  <c r="AE225" i="42" s="1"/>
  <c r="AF225" i="42" s="1"/>
  <c r="AG225" i="42" s="1"/>
  <c r="AH225" i="42" s="1"/>
  <c r="AI225" i="42" s="1"/>
  <c r="AJ225" i="42" s="1"/>
  <c r="AK225" i="42" s="1"/>
  <c r="AL225" i="42" s="1"/>
  <c r="AM225" i="42" s="1"/>
  <c r="AN225" i="42" s="1"/>
  <c r="AO225" i="42" s="1"/>
  <c r="AP225" i="42" s="1"/>
  <c r="AQ225" i="42" s="1"/>
  <c r="AR225" i="42" s="1"/>
  <c r="AS225" i="42" s="1"/>
  <c r="H225" i="42"/>
  <c r="G225" i="42"/>
  <c r="F225" i="42"/>
  <c r="E225" i="42"/>
  <c r="D225" i="42"/>
  <c r="B225" i="42"/>
  <c r="I223" i="42"/>
  <c r="H223" i="42"/>
  <c r="G223" i="42"/>
  <c r="F223" i="42"/>
  <c r="E223" i="42"/>
  <c r="D223" i="42"/>
  <c r="B223" i="42"/>
  <c r="I222" i="42"/>
  <c r="H222" i="42"/>
  <c r="G222" i="42"/>
  <c r="F222" i="42"/>
  <c r="E222" i="42"/>
  <c r="D222" i="42"/>
  <c r="B222" i="42"/>
  <c r="I221" i="42"/>
  <c r="H221" i="42"/>
  <c r="G221" i="42"/>
  <c r="G224" i="42" s="1"/>
  <c r="F221" i="42"/>
  <c r="F224" i="42" s="1"/>
  <c r="E221" i="42"/>
  <c r="D221" i="42"/>
  <c r="B221" i="42"/>
  <c r="I215" i="42"/>
  <c r="H215" i="42"/>
  <c r="G215" i="42"/>
  <c r="F215" i="42"/>
  <c r="E215" i="42"/>
  <c r="D215" i="42"/>
  <c r="B215" i="42"/>
  <c r="I214" i="42"/>
  <c r="H214" i="42"/>
  <c r="G214" i="42"/>
  <c r="F214" i="42"/>
  <c r="E214" i="42"/>
  <c r="D214" i="42"/>
  <c r="B214" i="42"/>
  <c r="I213" i="42"/>
  <c r="H213" i="42"/>
  <c r="G213" i="42"/>
  <c r="F213" i="42"/>
  <c r="E213" i="42"/>
  <c r="D213" i="42"/>
  <c r="B213" i="42"/>
  <c r="I212" i="42"/>
  <c r="H212" i="42"/>
  <c r="G212" i="42"/>
  <c r="F212" i="42"/>
  <c r="E212" i="42"/>
  <c r="D212" i="42"/>
  <c r="B212" i="42"/>
  <c r="I208" i="42"/>
  <c r="H208" i="42"/>
  <c r="G208" i="42"/>
  <c r="F208" i="42"/>
  <c r="E208" i="42"/>
  <c r="D208" i="42"/>
  <c r="B208" i="42"/>
  <c r="I207" i="42"/>
  <c r="H207" i="42"/>
  <c r="G207" i="42"/>
  <c r="F207" i="42"/>
  <c r="E207" i="42"/>
  <c r="D207" i="42"/>
  <c r="B207" i="42"/>
  <c r="I206" i="42"/>
  <c r="H206" i="42"/>
  <c r="G206" i="42"/>
  <c r="F206" i="42"/>
  <c r="E206" i="42"/>
  <c r="D206" i="42"/>
  <c r="B206" i="42"/>
  <c r="D205" i="42"/>
  <c r="B205" i="42"/>
  <c r="I201" i="42"/>
  <c r="H201" i="42"/>
  <c r="G201" i="42"/>
  <c r="F201" i="42"/>
  <c r="E201" i="42"/>
  <c r="D201" i="42"/>
  <c r="B201" i="42"/>
  <c r="I200" i="42"/>
  <c r="H200" i="42"/>
  <c r="G200" i="42"/>
  <c r="F200" i="42"/>
  <c r="E200" i="42"/>
  <c r="D200" i="42"/>
  <c r="B200" i="42"/>
  <c r="I199" i="42"/>
  <c r="H199" i="42"/>
  <c r="G199" i="42"/>
  <c r="G202" i="42" s="1"/>
  <c r="G114" i="42" s="1"/>
  <c r="F199" i="42"/>
  <c r="E199" i="42"/>
  <c r="D199" i="42"/>
  <c r="B199" i="42"/>
  <c r="I195" i="42"/>
  <c r="H195" i="42"/>
  <c r="G195" i="42"/>
  <c r="F195" i="42"/>
  <c r="E195" i="42"/>
  <c r="D195" i="42"/>
  <c r="B195" i="42"/>
  <c r="I194" i="42"/>
  <c r="H194" i="42"/>
  <c r="G194" i="42"/>
  <c r="F194" i="42"/>
  <c r="E194" i="42"/>
  <c r="D194" i="42"/>
  <c r="B194" i="42"/>
  <c r="I193" i="42"/>
  <c r="H193" i="42"/>
  <c r="G193" i="42"/>
  <c r="F193" i="42"/>
  <c r="E193" i="42"/>
  <c r="D193" i="42"/>
  <c r="B193" i="42"/>
  <c r="D192" i="42"/>
  <c r="B192" i="42"/>
  <c r="I189" i="42"/>
  <c r="H189" i="42"/>
  <c r="G189" i="42"/>
  <c r="F189" i="42"/>
  <c r="E189" i="42"/>
  <c r="D189" i="42"/>
  <c r="B189" i="42"/>
  <c r="I188" i="42"/>
  <c r="H188" i="42"/>
  <c r="G188" i="42"/>
  <c r="F188" i="42"/>
  <c r="E188" i="42"/>
  <c r="D188" i="42"/>
  <c r="B188" i="42"/>
  <c r="I187" i="42"/>
  <c r="H187" i="42"/>
  <c r="G187" i="42"/>
  <c r="F187" i="42"/>
  <c r="E187" i="42"/>
  <c r="D187" i="42"/>
  <c r="B187" i="42"/>
  <c r="I186" i="42"/>
  <c r="H186" i="42"/>
  <c r="G186" i="42"/>
  <c r="F186" i="42"/>
  <c r="E186" i="42"/>
  <c r="D186" i="42"/>
  <c r="B186" i="42"/>
  <c r="B182" i="42"/>
  <c r="I181" i="42"/>
  <c r="J181" i="42" s="1"/>
  <c r="K181" i="42" s="1"/>
  <c r="L181" i="42" s="1"/>
  <c r="M181" i="42" s="1"/>
  <c r="N181" i="42" s="1"/>
  <c r="O181" i="42" s="1"/>
  <c r="P181" i="42" s="1"/>
  <c r="Q181" i="42" s="1"/>
  <c r="R181" i="42" s="1"/>
  <c r="S181" i="42" s="1"/>
  <c r="T181" i="42" s="1"/>
  <c r="U181" i="42" s="1"/>
  <c r="H181" i="42"/>
  <c r="G181" i="42"/>
  <c r="F181" i="42"/>
  <c r="E181" i="42"/>
  <c r="D181" i="42"/>
  <c r="B181" i="42"/>
  <c r="B179" i="42"/>
  <c r="I178" i="42"/>
  <c r="H178" i="42"/>
  <c r="G178" i="42"/>
  <c r="F178" i="42"/>
  <c r="E178" i="42"/>
  <c r="D178" i="42"/>
  <c r="B178" i="42"/>
  <c r="I176" i="42"/>
  <c r="I268" i="42" s="1"/>
  <c r="H176" i="42"/>
  <c r="H268" i="42" s="1"/>
  <c r="G176" i="42"/>
  <c r="G268" i="42" s="1"/>
  <c r="F176" i="42"/>
  <c r="F268" i="42" s="1"/>
  <c r="E176" i="42"/>
  <c r="E268" i="42" s="1"/>
  <c r="D176" i="42"/>
  <c r="D268" i="42" s="1"/>
  <c r="B176" i="42"/>
  <c r="I175" i="42"/>
  <c r="I290" i="42" s="1"/>
  <c r="H175" i="42"/>
  <c r="H290" i="42" s="1"/>
  <c r="G175" i="42"/>
  <c r="G290" i="42" s="1"/>
  <c r="F175" i="42"/>
  <c r="F290" i="42" s="1"/>
  <c r="E175" i="42"/>
  <c r="E290" i="42" s="1"/>
  <c r="D175" i="42"/>
  <c r="D290" i="42" s="1"/>
  <c r="B175" i="42"/>
  <c r="I173" i="42"/>
  <c r="I254" i="42" s="1"/>
  <c r="H173" i="42"/>
  <c r="H254" i="42" s="1"/>
  <c r="G173" i="42"/>
  <c r="G254" i="42" s="1"/>
  <c r="F173" i="42"/>
  <c r="F254" i="42" s="1"/>
  <c r="E173" i="42"/>
  <c r="E254" i="42" s="1"/>
  <c r="D173" i="42"/>
  <c r="D254" i="42" s="1"/>
  <c r="B173" i="42"/>
  <c r="I171" i="42"/>
  <c r="H171" i="42"/>
  <c r="G171" i="42"/>
  <c r="F171" i="42"/>
  <c r="E171" i="42"/>
  <c r="D171" i="42"/>
  <c r="B171" i="42"/>
  <c r="I170" i="42"/>
  <c r="H170" i="42"/>
  <c r="G170" i="42"/>
  <c r="F170" i="42"/>
  <c r="E170" i="42"/>
  <c r="D170" i="42"/>
  <c r="B170" i="42"/>
  <c r="I169" i="42"/>
  <c r="H169" i="42"/>
  <c r="G169" i="42"/>
  <c r="F169" i="42"/>
  <c r="E169" i="42"/>
  <c r="D169" i="42"/>
  <c r="B169" i="42"/>
  <c r="I168" i="42"/>
  <c r="H168" i="42"/>
  <c r="G168" i="42"/>
  <c r="F168" i="42"/>
  <c r="E168" i="42"/>
  <c r="D168" i="42"/>
  <c r="B168" i="42"/>
  <c r="I167" i="42"/>
  <c r="H167" i="42"/>
  <c r="G167" i="42"/>
  <c r="F167" i="42"/>
  <c r="E167" i="42"/>
  <c r="D167" i="42"/>
  <c r="B167" i="42"/>
  <c r="I166" i="42"/>
  <c r="H166" i="42"/>
  <c r="G166" i="42"/>
  <c r="F166" i="42"/>
  <c r="E166" i="42"/>
  <c r="D166" i="42"/>
  <c r="B166" i="42"/>
  <c r="I163" i="42"/>
  <c r="H163" i="42"/>
  <c r="G163" i="42"/>
  <c r="F163" i="42"/>
  <c r="E163" i="42"/>
  <c r="D163" i="42"/>
  <c r="B163" i="42"/>
  <c r="I162" i="42"/>
  <c r="H162" i="42"/>
  <c r="G162" i="42"/>
  <c r="F162" i="42"/>
  <c r="E162" i="42"/>
  <c r="D162" i="42"/>
  <c r="B162" i="42"/>
  <c r="I158" i="42"/>
  <c r="H158" i="42"/>
  <c r="G158" i="42"/>
  <c r="F158" i="42"/>
  <c r="E158" i="42"/>
  <c r="D158" i="42"/>
  <c r="B158" i="42"/>
  <c r="I157" i="42"/>
  <c r="H157" i="42"/>
  <c r="G157" i="42"/>
  <c r="F157" i="42"/>
  <c r="E157" i="42"/>
  <c r="D157" i="42"/>
  <c r="B157" i="42"/>
  <c r="I156" i="42"/>
  <c r="J156" i="42" s="1"/>
  <c r="K156" i="42" s="1"/>
  <c r="L156" i="42" s="1"/>
  <c r="M156" i="42" s="1"/>
  <c r="N156" i="42" s="1"/>
  <c r="O156" i="42" s="1"/>
  <c r="P156" i="42" s="1"/>
  <c r="Q156" i="42" s="1"/>
  <c r="R156" i="42" s="1"/>
  <c r="S156" i="42" s="1"/>
  <c r="T156" i="42" s="1"/>
  <c r="U156" i="42" s="1"/>
  <c r="V156" i="42" s="1"/>
  <c r="W156" i="42" s="1"/>
  <c r="X156" i="42" s="1"/>
  <c r="Y156" i="42" s="1"/>
  <c r="Z156" i="42" s="1"/>
  <c r="AA156" i="42" s="1"/>
  <c r="AB156" i="42" s="1"/>
  <c r="AC156" i="42" s="1"/>
  <c r="AD156" i="42" s="1"/>
  <c r="AE156" i="42" s="1"/>
  <c r="AF156" i="42" s="1"/>
  <c r="AG156" i="42" s="1"/>
  <c r="AH156" i="42" s="1"/>
  <c r="AI156" i="42" s="1"/>
  <c r="AJ156" i="42" s="1"/>
  <c r="AK156" i="42" s="1"/>
  <c r="AL156" i="42" s="1"/>
  <c r="AM156" i="42" s="1"/>
  <c r="AN156" i="42" s="1"/>
  <c r="AO156" i="42" s="1"/>
  <c r="AP156" i="42" s="1"/>
  <c r="AQ156" i="42" s="1"/>
  <c r="AR156" i="42" s="1"/>
  <c r="AS156" i="42" s="1"/>
  <c r="H156" i="42"/>
  <c r="G156" i="42"/>
  <c r="F156" i="42"/>
  <c r="E156" i="42"/>
  <c r="D156" i="42"/>
  <c r="B156" i="42"/>
  <c r="B154" i="42"/>
  <c r="I153" i="42"/>
  <c r="H153" i="42"/>
  <c r="G153" i="42"/>
  <c r="F153" i="42"/>
  <c r="E153" i="42"/>
  <c r="D153" i="42"/>
  <c r="AV152" i="42"/>
  <c r="AR152" i="42"/>
  <c r="AN152" i="42"/>
  <c r="AJ152" i="42"/>
  <c r="AF152" i="42"/>
  <c r="AB152" i="42"/>
  <c r="X152" i="42"/>
  <c r="T152" i="42"/>
  <c r="P152" i="42"/>
  <c r="L152" i="42"/>
  <c r="I152" i="42"/>
  <c r="H152" i="42"/>
  <c r="G152" i="42"/>
  <c r="G154" i="42" s="1"/>
  <c r="F152" i="42"/>
  <c r="E152" i="42"/>
  <c r="D152" i="42"/>
  <c r="I149" i="42"/>
  <c r="H149" i="42"/>
  <c r="G149" i="42"/>
  <c r="F149" i="42"/>
  <c r="E149" i="42"/>
  <c r="D149" i="42"/>
  <c r="B149" i="42"/>
  <c r="I148" i="42"/>
  <c r="H148" i="42"/>
  <c r="G148" i="42"/>
  <c r="F148" i="42"/>
  <c r="E148" i="42"/>
  <c r="D148" i="42"/>
  <c r="B148" i="42"/>
  <c r="H144" i="42"/>
  <c r="D144" i="42"/>
  <c r="B144" i="42"/>
  <c r="J143" i="42"/>
  <c r="K143" i="42" s="1"/>
  <c r="L143" i="42" s="1"/>
  <c r="M143" i="42" s="1"/>
  <c r="N143" i="42" s="1"/>
  <c r="O143" i="42" s="1"/>
  <c r="P143" i="42" s="1"/>
  <c r="Q143" i="42" s="1"/>
  <c r="R143" i="42" s="1"/>
  <c r="S143" i="42" s="1"/>
  <c r="T143" i="42" s="1"/>
  <c r="U143" i="42" s="1"/>
  <c r="V143" i="42" s="1"/>
  <c r="W143" i="42" s="1"/>
  <c r="X143" i="42" s="1"/>
  <c r="Y143" i="42" s="1"/>
  <c r="Z143" i="42" s="1"/>
  <c r="AA143" i="42" s="1"/>
  <c r="AB143" i="42" s="1"/>
  <c r="AC143" i="42" s="1"/>
  <c r="AD143" i="42" s="1"/>
  <c r="AE143" i="42" s="1"/>
  <c r="AF143" i="42" s="1"/>
  <c r="AG143" i="42" s="1"/>
  <c r="AH143" i="42" s="1"/>
  <c r="AI143" i="42" s="1"/>
  <c r="AJ143" i="42" s="1"/>
  <c r="AK143" i="42" s="1"/>
  <c r="AL143" i="42" s="1"/>
  <c r="AM143" i="42" s="1"/>
  <c r="AN143" i="42" s="1"/>
  <c r="AO143" i="42" s="1"/>
  <c r="AP143" i="42" s="1"/>
  <c r="AQ143" i="42" s="1"/>
  <c r="AR143" i="42" s="1"/>
  <c r="AS143" i="42" s="1"/>
  <c r="I143" i="42"/>
  <c r="H143" i="42"/>
  <c r="G143" i="42"/>
  <c r="F143" i="42"/>
  <c r="E143" i="42"/>
  <c r="D143" i="42"/>
  <c r="B143" i="42"/>
  <c r="I142" i="42"/>
  <c r="I144" i="42" s="1"/>
  <c r="H142" i="42"/>
  <c r="G142" i="42"/>
  <c r="G144" i="42" s="1"/>
  <c r="F142" i="42"/>
  <c r="F144" i="42" s="1"/>
  <c r="E142" i="42"/>
  <c r="D142" i="42"/>
  <c r="B142" i="42"/>
  <c r="B138" i="42"/>
  <c r="I136" i="42"/>
  <c r="H136" i="42"/>
  <c r="G136" i="42"/>
  <c r="F136" i="42"/>
  <c r="E136" i="42"/>
  <c r="D136" i="42"/>
  <c r="B136" i="42"/>
  <c r="I135" i="42"/>
  <c r="H135" i="42"/>
  <c r="G135" i="42"/>
  <c r="F135" i="42"/>
  <c r="E135" i="42"/>
  <c r="D135" i="42"/>
  <c r="B135" i="42"/>
  <c r="I134" i="42"/>
  <c r="H134" i="42"/>
  <c r="G134" i="42"/>
  <c r="F134" i="42"/>
  <c r="E134" i="42"/>
  <c r="D134" i="42"/>
  <c r="B134" i="42"/>
  <c r="I133" i="42"/>
  <c r="H133" i="42"/>
  <c r="G133" i="42"/>
  <c r="F133" i="42"/>
  <c r="E133" i="42"/>
  <c r="D133" i="42"/>
  <c r="B133" i="42"/>
  <c r="I132" i="42"/>
  <c r="I137" i="42" s="1"/>
  <c r="H132" i="42"/>
  <c r="G132" i="42"/>
  <c r="G137" i="42" s="1"/>
  <c r="G138" i="42" s="1"/>
  <c r="F132" i="42"/>
  <c r="F137" i="42" s="1"/>
  <c r="F138" i="42" s="1"/>
  <c r="E132" i="42"/>
  <c r="E137" i="42" s="1"/>
  <c r="D132" i="42"/>
  <c r="B132" i="42"/>
  <c r="I125" i="42"/>
  <c r="H125" i="42"/>
  <c r="G125" i="42"/>
  <c r="F125" i="42"/>
  <c r="E125" i="42"/>
  <c r="D125" i="42"/>
  <c r="I124" i="42"/>
  <c r="H124" i="42"/>
  <c r="G124" i="42"/>
  <c r="F124" i="42"/>
  <c r="E124" i="42"/>
  <c r="D124" i="42"/>
  <c r="I123" i="42"/>
  <c r="H123" i="42"/>
  <c r="G123" i="42"/>
  <c r="F123" i="42"/>
  <c r="E123" i="42"/>
  <c r="D123" i="42"/>
  <c r="I122" i="42"/>
  <c r="H122" i="42"/>
  <c r="G122" i="42"/>
  <c r="F122" i="42"/>
  <c r="E122" i="42"/>
  <c r="D122" i="42"/>
  <c r="I121" i="42"/>
  <c r="H121" i="42"/>
  <c r="G121" i="42"/>
  <c r="F121" i="42"/>
  <c r="E121" i="42"/>
  <c r="D121" i="42"/>
  <c r="I120" i="42"/>
  <c r="H120" i="42"/>
  <c r="G120" i="42"/>
  <c r="F120" i="42"/>
  <c r="F126" i="42" s="1"/>
  <c r="E120" i="42"/>
  <c r="D120" i="42"/>
  <c r="I118" i="42"/>
  <c r="H118" i="42"/>
  <c r="G118" i="42"/>
  <c r="F118" i="42"/>
  <c r="E118" i="42"/>
  <c r="D118" i="42"/>
  <c r="I117" i="42"/>
  <c r="H117" i="42"/>
  <c r="G117" i="42"/>
  <c r="F117" i="42"/>
  <c r="E117" i="42"/>
  <c r="D117" i="42"/>
  <c r="I116" i="42"/>
  <c r="H116" i="42"/>
  <c r="G116" i="42"/>
  <c r="F116" i="42"/>
  <c r="E116" i="42"/>
  <c r="D116" i="42"/>
  <c r="AT115" i="42"/>
  <c r="AJ115" i="42"/>
  <c r="AD115" i="42"/>
  <c r="T115" i="42"/>
  <c r="N115" i="42"/>
  <c r="I115" i="42"/>
  <c r="H115" i="42"/>
  <c r="G115" i="42"/>
  <c r="F115" i="42"/>
  <c r="E115" i="42"/>
  <c r="D115" i="42"/>
  <c r="I107" i="42"/>
  <c r="H107" i="42"/>
  <c r="G107" i="42"/>
  <c r="F107" i="42"/>
  <c r="E107" i="42"/>
  <c r="D107" i="42"/>
  <c r="B107" i="42"/>
  <c r="I106" i="42"/>
  <c r="H106" i="42"/>
  <c r="G106" i="42"/>
  <c r="F106" i="42"/>
  <c r="E106" i="42"/>
  <c r="E108" i="42" s="1"/>
  <c r="D106" i="42"/>
  <c r="B106" i="42"/>
  <c r="I105" i="42"/>
  <c r="I493" i="42" s="1"/>
  <c r="I495" i="42" s="1"/>
  <c r="H105" i="42"/>
  <c r="H493" i="42" s="1"/>
  <c r="H495" i="42" s="1"/>
  <c r="G105" i="42"/>
  <c r="G493" i="42" s="1"/>
  <c r="G495" i="42" s="1"/>
  <c r="F105" i="42"/>
  <c r="F493" i="42" s="1"/>
  <c r="F495" i="42" s="1"/>
  <c r="E105" i="42"/>
  <c r="E493" i="42" s="1"/>
  <c r="E495" i="42" s="1"/>
  <c r="D105" i="42"/>
  <c r="D493" i="42" s="1"/>
  <c r="D495" i="42" s="1"/>
  <c r="B105" i="42"/>
  <c r="D103" i="42"/>
  <c r="I102" i="42"/>
  <c r="H102" i="42"/>
  <c r="G102" i="42"/>
  <c r="F102" i="42"/>
  <c r="E102" i="42"/>
  <c r="D102" i="42"/>
  <c r="B102" i="42"/>
  <c r="I101" i="42"/>
  <c r="H101" i="42"/>
  <c r="G101" i="42"/>
  <c r="F101" i="42"/>
  <c r="E101" i="42"/>
  <c r="D101" i="42"/>
  <c r="B101" i="42"/>
  <c r="I100" i="42"/>
  <c r="H100" i="42"/>
  <c r="G100" i="42"/>
  <c r="F100" i="42"/>
  <c r="E100" i="42"/>
  <c r="D100" i="42"/>
  <c r="B100" i="42"/>
  <c r="I99" i="42"/>
  <c r="H99" i="42"/>
  <c r="G99" i="42"/>
  <c r="F99" i="42"/>
  <c r="E99" i="42"/>
  <c r="D99" i="42"/>
  <c r="B99" i="42"/>
  <c r="I98" i="42"/>
  <c r="H98" i="42"/>
  <c r="G98" i="42"/>
  <c r="F98" i="42"/>
  <c r="E98" i="42"/>
  <c r="D98" i="42"/>
  <c r="B98" i="42"/>
  <c r="D95" i="42"/>
  <c r="I94" i="42"/>
  <c r="H94" i="42"/>
  <c r="G94" i="42"/>
  <c r="F94" i="42"/>
  <c r="E94" i="42"/>
  <c r="D94" i="42"/>
  <c r="B94" i="42"/>
  <c r="D93" i="42"/>
  <c r="B93" i="42"/>
  <c r="I92" i="42"/>
  <c r="H92" i="42"/>
  <c r="G92" i="42"/>
  <c r="F92" i="42"/>
  <c r="E92" i="42"/>
  <c r="D92" i="42"/>
  <c r="B92" i="42"/>
  <c r="I90" i="42"/>
  <c r="H90" i="42"/>
  <c r="G90" i="42"/>
  <c r="F90" i="42"/>
  <c r="E90" i="42"/>
  <c r="D90" i="42"/>
  <c r="B90" i="42"/>
  <c r="I89" i="42"/>
  <c r="H89" i="42"/>
  <c r="G89" i="42"/>
  <c r="F89" i="42"/>
  <c r="E89" i="42"/>
  <c r="D89" i="42"/>
  <c r="B89" i="42"/>
  <c r="I88" i="42"/>
  <c r="H88" i="42"/>
  <c r="G88" i="42"/>
  <c r="F88" i="42"/>
  <c r="E88" i="42"/>
  <c r="D88" i="42"/>
  <c r="B88" i="42"/>
  <c r="I87" i="42"/>
  <c r="H87" i="42"/>
  <c r="G87" i="42"/>
  <c r="F87" i="42"/>
  <c r="E87" i="42"/>
  <c r="D87" i="42"/>
  <c r="B87" i="42"/>
  <c r="I86" i="42"/>
  <c r="H86" i="42"/>
  <c r="G86" i="42"/>
  <c r="G91" i="42" s="1"/>
  <c r="F86" i="42"/>
  <c r="F91" i="42" s="1"/>
  <c r="E86" i="42"/>
  <c r="D86" i="42"/>
  <c r="B86" i="42"/>
  <c r="B83" i="42"/>
  <c r="I81" i="42"/>
  <c r="I338" i="42" s="1"/>
  <c r="H81" i="42"/>
  <c r="H338" i="42" s="1"/>
  <c r="G81" i="42"/>
  <c r="G338" i="42" s="1"/>
  <c r="F81" i="42"/>
  <c r="F338" i="42" s="1"/>
  <c r="E81" i="42"/>
  <c r="E338" i="42" s="1"/>
  <c r="D81" i="42"/>
  <c r="D338" i="42" s="1"/>
  <c r="B81" i="42"/>
  <c r="I80" i="42"/>
  <c r="H80" i="42"/>
  <c r="G80" i="42"/>
  <c r="F80" i="42"/>
  <c r="E80" i="42"/>
  <c r="D80" i="42"/>
  <c r="B80" i="42"/>
  <c r="I78" i="42"/>
  <c r="H78" i="42"/>
  <c r="G78" i="42"/>
  <c r="F78" i="42"/>
  <c r="E78" i="42"/>
  <c r="D78" i="42"/>
  <c r="B78" i="42"/>
  <c r="I76" i="42"/>
  <c r="I446" i="42" s="1"/>
  <c r="H76" i="42"/>
  <c r="H446" i="42" s="1"/>
  <c r="G76" i="42"/>
  <c r="G446" i="42" s="1"/>
  <c r="F76" i="42"/>
  <c r="E76" i="42"/>
  <c r="E446" i="42" s="1"/>
  <c r="D76" i="42"/>
  <c r="D446" i="42" s="1"/>
  <c r="B76" i="42"/>
  <c r="I75" i="42"/>
  <c r="H75" i="42"/>
  <c r="H77" i="42" s="1"/>
  <c r="H79" i="42" s="1"/>
  <c r="H82" i="42" s="1"/>
  <c r="H83" i="42" s="1"/>
  <c r="G75" i="42"/>
  <c r="G77" i="42" s="1"/>
  <c r="G79" i="42" s="1"/>
  <c r="G82" i="42" s="1"/>
  <c r="G83" i="42" s="1"/>
  <c r="F75" i="42"/>
  <c r="E75" i="42"/>
  <c r="D75" i="42"/>
  <c r="D77" i="42" s="1"/>
  <c r="D79" i="42" s="1"/>
  <c r="D82" i="42" s="1"/>
  <c r="D83" i="42" s="1"/>
  <c r="B75" i="42"/>
  <c r="I74" i="42"/>
  <c r="H74" i="42"/>
  <c r="G74" i="42"/>
  <c r="F74" i="42"/>
  <c r="E74" i="42"/>
  <c r="D74" i="42"/>
  <c r="B74" i="42"/>
  <c r="B71" i="42"/>
  <c r="B70" i="42"/>
  <c r="I67" i="42"/>
  <c r="H67" i="42"/>
  <c r="G67" i="42"/>
  <c r="F67" i="42"/>
  <c r="E67" i="42"/>
  <c r="D67" i="42"/>
  <c r="B67" i="42"/>
  <c r="I62" i="42"/>
  <c r="H62" i="42"/>
  <c r="G62" i="42"/>
  <c r="F62" i="42"/>
  <c r="E62" i="42"/>
  <c r="D62" i="42"/>
  <c r="B62" i="42"/>
  <c r="D52" i="42"/>
  <c r="I47" i="42"/>
  <c r="H47" i="42"/>
  <c r="G47" i="42"/>
  <c r="F47" i="42"/>
  <c r="E47" i="42"/>
  <c r="D47" i="42"/>
  <c r="I46" i="42"/>
  <c r="H46" i="42"/>
  <c r="G46" i="42"/>
  <c r="F46" i="42"/>
  <c r="E46" i="42"/>
  <c r="D46" i="42"/>
  <c r="B46" i="42"/>
  <c r="I43" i="42"/>
  <c r="H43" i="42"/>
  <c r="G43" i="42"/>
  <c r="F43" i="42"/>
  <c r="E43" i="42"/>
  <c r="D43" i="42"/>
  <c r="I35" i="42"/>
  <c r="H35" i="42"/>
  <c r="G35" i="42"/>
  <c r="F35" i="42"/>
  <c r="E35" i="42"/>
  <c r="D35" i="42"/>
  <c r="B35" i="42"/>
  <c r="A34" i="42"/>
  <c r="I33" i="42"/>
  <c r="I34" i="42" s="1"/>
  <c r="H33" i="42"/>
  <c r="G33" i="42"/>
  <c r="G34" i="42" s="1"/>
  <c r="F33" i="42"/>
  <c r="E33" i="42"/>
  <c r="E34" i="42" s="1"/>
  <c r="D33" i="42"/>
  <c r="B33" i="42"/>
  <c r="I30" i="42"/>
  <c r="H30" i="42"/>
  <c r="G30" i="42"/>
  <c r="F30" i="42"/>
  <c r="E30" i="42"/>
  <c r="D30" i="42"/>
  <c r="B30" i="42"/>
  <c r="I29" i="42"/>
  <c r="H29" i="42"/>
  <c r="G29" i="42"/>
  <c r="F29" i="42"/>
  <c r="E29" i="42"/>
  <c r="D29" i="42"/>
  <c r="B29" i="42"/>
  <c r="I28" i="42"/>
  <c r="H28" i="42"/>
  <c r="G28" i="42"/>
  <c r="F28" i="42"/>
  <c r="E28" i="42"/>
  <c r="D28" i="42"/>
  <c r="B28" i="42"/>
  <c r="I27" i="42"/>
  <c r="H27" i="42"/>
  <c r="G27" i="42"/>
  <c r="F27" i="42"/>
  <c r="E27" i="42"/>
  <c r="D27" i="42"/>
  <c r="B27" i="42"/>
  <c r="I26" i="42"/>
  <c r="H26" i="42"/>
  <c r="G26" i="42"/>
  <c r="F26" i="42"/>
  <c r="E26" i="42"/>
  <c r="D26" i="42"/>
  <c r="B26" i="42"/>
  <c r="E25" i="42"/>
  <c r="A25" i="42"/>
  <c r="I24" i="42"/>
  <c r="I25" i="42" s="1"/>
  <c r="H24" i="42"/>
  <c r="H25" i="42" s="1"/>
  <c r="G24" i="42"/>
  <c r="G25" i="42" s="1"/>
  <c r="F24" i="42"/>
  <c r="F25" i="42" s="1"/>
  <c r="E24" i="42"/>
  <c r="D24" i="42"/>
  <c r="B24" i="42"/>
  <c r="A22" i="42"/>
  <c r="I21" i="42"/>
  <c r="H21" i="42"/>
  <c r="H22" i="42" s="1"/>
  <c r="G21" i="42"/>
  <c r="G22" i="42" s="1"/>
  <c r="F21" i="42"/>
  <c r="E21" i="42"/>
  <c r="E22" i="42" s="1"/>
  <c r="D21" i="42"/>
  <c r="B21" i="42"/>
  <c r="A20" i="42"/>
  <c r="I19" i="42"/>
  <c r="I20" i="42" s="1"/>
  <c r="H19" i="42"/>
  <c r="H23" i="42" s="1"/>
  <c r="G19" i="42"/>
  <c r="G20" i="42" s="1"/>
  <c r="F19" i="42"/>
  <c r="F23" i="42" s="1"/>
  <c r="E19" i="42"/>
  <c r="D19" i="42"/>
  <c r="D23" i="42" s="1"/>
  <c r="B19" i="42"/>
  <c r="A15" i="42"/>
  <c r="I14" i="42"/>
  <c r="I15" i="42" s="1"/>
  <c r="H14" i="42"/>
  <c r="H232" i="42" s="1"/>
  <c r="G14" i="42"/>
  <c r="G232" i="42" s="1"/>
  <c r="F14" i="42"/>
  <c r="F232" i="42" s="1"/>
  <c r="E14" i="42"/>
  <c r="E232" i="42" s="1"/>
  <c r="D14" i="42"/>
  <c r="D232" i="42" s="1"/>
  <c r="B14" i="42"/>
  <c r="H13" i="42"/>
  <c r="I12" i="42"/>
  <c r="I13" i="42" s="1"/>
  <c r="H12" i="42"/>
  <c r="G12" i="42"/>
  <c r="F12" i="42"/>
  <c r="F13" i="42" s="1"/>
  <c r="E12" i="42"/>
  <c r="D12" i="42"/>
  <c r="AH247" i="42"/>
  <c r="P82" i="3"/>
  <c r="P81" i="3"/>
  <c r="P80" i="3"/>
  <c r="P76" i="3"/>
  <c r="P79" i="3" s="1"/>
  <c r="P75" i="3"/>
  <c r="P78" i="3" s="1"/>
  <c r="P74" i="3"/>
  <c r="P77" i="3" s="1"/>
  <c r="Q72" i="3"/>
  <c r="R72" i="3" s="1"/>
  <c r="Q73" i="3"/>
  <c r="Q71" i="3"/>
  <c r="F188" i="39"/>
  <c r="G188" i="39"/>
  <c r="H188" i="39"/>
  <c r="I188" i="39"/>
  <c r="F186" i="39"/>
  <c r="G186" i="39"/>
  <c r="H186" i="39"/>
  <c r="I186" i="39"/>
  <c r="E186" i="39"/>
  <c r="E188" i="39"/>
  <c r="D188" i="39"/>
  <c r="D186" i="39"/>
  <c r="B188" i="39"/>
  <c r="B186" i="39"/>
  <c r="H15" i="42" l="1"/>
  <c r="D91" i="42"/>
  <c r="H91" i="42"/>
  <c r="E126" i="42"/>
  <c r="I126" i="42"/>
  <c r="G172" i="42"/>
  <c r="D196" i="42"/>
  <c r="E224" i="42"/>
  <c r="I224" i="42"/>
  <c r="H20" i="42"/>
  <c r="E13" i="42"/>
  <c r="E20" i="42"/>
  <c r="E91" i="42"/>
  <c r="I91" i="42"/>
  <c r="D137" i="42"/>
  <c r="H137" i="42"/>
  <c r="H138" i="42" s="1"/>
  <c r="E144" i="42"/>
  <c r="E145" i="42" s="1"/>
  <c r="D172" i="42"/>
  <c r="H172" i="42"/>
  <c r="E172" i="42"/>
  <c r="I172" i="42"/>
  <c r="I174" i="42" s="1"/>
  <c r="I177" i="42" s="1"/>
  <c r="F172" i="42"/>
  <c r="F202" i="42"/>
  <c r="F114" i="42" s="1"/>
  <c r="F216" i="42"/>
  <c r="G216" i="42"/>
  <c r="E395" i="42"/>
  <c r="E399" i="42" s="1"/>
  <c r="H460" i="42"/>
  <c r="G119" i="42"/>
  <c r="D270" i="42"/>
  <c r="G286" i="42"/>
  <c r="F324" i="42"/>
  <c r="G325" i="42"/>
  <c r="H324" i="42"/>
  <c r="H325" i="42" s="1"/>
  <c r="D427" i="42"/>
  <c r="F427" i="42"/>
  <c r="D485" i="42"/>
  <c r="G13" i="42"/>
  <c r="G15" i="42"/>
  <c r="F22" i="42"/>
  <c r="D104" i="42"/>
  <c r="D216" i="42"/>
  <c r="H286" i="42"/>
  <c r="D324" i="42"/>
  <c r="D325" i="42" s="1"/>
  <c r="D367" i="42"/>
  <c r="H367" i="42"/>
  <c r="E427" i="42"/>
  <c r="H464" i="42"/>
  <c r="H465" i="42" s="1"/>
  <c r="H60" i="42" s="1"/>
  <c r="V115" i="42"/>
  <c r="K255" i="42"/>
  <c r="S255" i="42"/>
  <c r="AA255" i="42"/>
  <c r="AI255" i="42"/>
  <c r="AQ255" i="42"/>
  <c r="Q81" i="3"/>
  <c r="J115" i="42"/>
  <c r="P115" i="42"/>
  <c r="Z115" i="42"/>
  <c r="AF115" i="42"/>
  <c r="AP115" i="42"/>
  <c r="AV115" i="42"/>
  <c r="D154" i="42"/>
  <c r="D155" i="42" s="1"/>
  <c r="D159" i="42" s="1"/>
  <c r="H154" i="42"/>
  <c r="AL115" i="42"/>
  <c r="O255" i="42"/>
  <c r="W255" i="42"/>
  <c r="AE255" i="42"/>
  <c r="AM255" i="42"/>
  <c r="AU255" i="42"/>
  <c r="Q76" i="3"/>
  <c r="R115" i="42"/>
  <c r="AH115" i="42"/>
  <c r="E154" i="42"/>
  <c r="I154" i="42"/>
  <c r="O509" i="42"/>
  <c r="Q75" i="3"/>
  <c r="Q78" i="3" s="1"/>
  <c r="J509" i="42"/>
  <c r="N509" i="42"/>
  <c r="R509" i="42"/>
  <c r="V509" i="42"/>
  <c r="Z509" i="42"/>
  <c r="AD509" i="42"/>
  <c r="AH509" i="42"/>
  <c r="AL509" i="42"/>
  <c r="AP509" i="42"/>
  <c r="AT509" i="42"/>
  <c r="Q74" i="3"/>
  <c r="Q80" i="3"/>
  <c r="R71" i="3"/>
  <c r="R75" i="3" s="1"/>
  <c r="R78" i="3" s="1"/>
  <c r="R81" i="3"/>
  <c r="S72" i="3"/>
  <c r="R73" i="3"/>
  <c r="Q82" i="3"/>
  <c r="Q79" i="3"/>
  <c r="Q77" i="3"/>
  <c r="L115" i="42"/>
  <c r="W115" i="42"/>
  <c r="AB115" i="42"/>
  <c r="AM115" i="42"/>
  <c r="AR115" i="42"/>
  <c r="M509" i="42"/>
  <c r="M115" i="42"/>
  <c r="U509" i="42"/>
  <c r="U115" i="42"/>
  <c r="Y509" i="42"/>
  <c r="Y115" i="42"/>
  <c r="AC509" i="42"/>
  <c r="AC115" i="42"/>
  <c r="AG509" i="42"/>
  <c r="AG115" i="42"/>
  <c r="AK509" i="42"/>
  <c r="AK115" i="42"/>
  <c r="AO509" i="42"/>
  <c r="AO115" i="42"/>
  <c r="AS509" i="42"/>
  <c r="AS115" i="42"/>
  <c r="S115" i="42"/>
  <c r="X115" i="42"/>
  <c r="AI115" i="42"/>
  <c r="AN115" i="42"/>
  <c r="K509" i="42"/>
  <c r="S509" i="42"/>
  <c r="W509" i="42"/>
  <c r="AA509" i="42"/>
  <c r="AE509" i="42"/>
  <c r="AI509" i="42"/>
  <c r="AM509" i="42"/>
  <c r="AQ509" i="42"/>
  <c r="AU509" i="42"/>
  <c r="G287" i="42"/>
  <c r="H287" i="42"/>
  <c r="I287" i="42"/>
  <c r="P2" i="42"/>
  <c r="AN2" i="42"/>
  <c r="I192" i="42"/>
  <c r="I196" i="42" s="1"/>
  <c r="K2" i="42"/>
  <c r="S2" i="42"/>
  <c r="AA2" i="42"/>
  <c r="AI2" i="42"/>
  <c r="AQ2" i="42"/>
  <c r="J33" i="42"/>
  <c r="J34" i="42" s="1"/>
  <c r="K33" i="42" s="1"/>
  <c r="AV229" i="42"/>
  <c r="AG246" i="42"/>
  <c r="AF2" i="42"/>
  <c r="J28" i="42"/>
  <c r="J27" i="42" s="1"/>
  <c r="L2" i="42"/>
  <c r="T2" i="42"/>
  <c r="AB2" i="42"/>
  <c r="AJ2" i="42"/>
  <c r="AR2" i="42"/>
  <c r="J26" i="42"/>
  <c r="K26" i="42" s="1"/>
  <c r="L26" i="42" s="1"/>
  <c r="M26" i="42" s="1"/>
  <c r="N26" i="42" s="1"/>
  <c r="O26" i="42" s="1"/>
  <c r="P26" i="42" s="1"/>
  <c r="Q26" i="42" s="1"/>
  <c r="R26" i="42" s="1"/>
  <c r="S26" i="42" s="1"/>
  <c r="T26" i="42" s="1"/>
  <c r="U26" i="42" s="1"/>
  <c r="V26" i="42" s="1"/>
  <c r="W26" i="42" s="1"/>
  <c r="X26" i="42" s="1"/>
  <c r="Y26" i="42" s="1"/>
  <c r="Z26" i="42" s="1"/>
  <c r="AA26" i="42" s="1"/>
  <c r="AB26" i="42" s="1"/>
  <c r="AC26" i="42" s="1"/>
  <c r="AD26" i="42" s="1"/>
  <c r="AE26" i="42" s="1"/>
  <c r="AF26" i="42" s="1"/>
  <c r="AG26" i="42" s="1"/>
  <c r="AH26" i="42" s="1"/>
  <c r="AI26" i="42" s="1"/>
  <c r="AJ26" i="42" s="1"/>
  <c r="AK26" i="42" s="1"/>
  <c r="AL26" i="42" s="1"/>
  <c r="AM26" i="42" s="1"/>
  <c r="AN26" i="42" s="1"/>
  <c r="AO26" i="42" s="1"/>
  <c r="AP26" i="42" s="1"/>
  <c r="AQ26" i="42" s="1"/>
  <c r="AR26" i="42" s="1"/>
  <c r="AS26" i="42" s="1"/>
  <c r="AT26" i="42" s="1"/>
  <c r="AU26" i="42" s="1"/>
  <c r="AV26" i="42" s="1"/>
  <c r="AW26" i="42" s="1"/>
  <c r="J35" i="42"/>
  <c r="K35" i="42" s="1"/>
  <c r="L35" i="42" s="1"/>
  <c r="M35" i="42" s="1"/>
  <c r="N35" i="42" s="1"/>
  <c r="O35" i="42" s="1"/>
  <c r="P35" i="42" s="1"/>
  <c r="Q35" i="42" s="1"/>
  <c r="R35" i="42" s="1"/>
  <c r="S35" i="42" s="1"/>
  <c r="T35" i="42" s="1"/>
  <c r="U35" i="42" s="1"/>
  <c r="V35" i="42" s="1"/>
  <c r="W35" i="42" s="1"/>
  <c r="X35" i="42" s="1"/>
  <c r="Y35" i="42" s="1"/>
  <c r="Z35" i="42" s="1"/>
  <c r="AA35" i="42" s="1"/>
  <c r="AB35" i="42" s="1"/>
  <c r="AC35" i="42" s="1"/>
  <c r="AD35" i="42" s="1"/>
  <c r="AE35" i="42" s="1"/>
  <c r="AF35" i="42" s="1"/>
  <c r="AG35" i="42" s="1"/>
  <c r="AH35" i="42" s="1"/>
  <c r="AI35" i="42" s="1"/>
  <c r="AJ35" i="42" s="1"/>
  <c r="AK35" i="42" s="1"/>
  <c r="AL35" i="42" s="1"/>
  <c r="AM35" i="42" s="1"/>
  <c r="AN35" i="42" s="1"/>
  <c r="AO35" i="42" s="1"/>
  <c r="AP35" i="42" s="1"/>
  <c r="AQ35" i="42" s="1"/>
  <c r="AR35" i="42" s="1"/>
  <c r="AS35" i="42" s="1"/>
  <c r="AT35" i="42" s="1"/>
  <c r="AU35" i="42" s="1"/>
  <c r="AV35" i="42" s="1"/>
  <c r="AW35" i="42" s="1"/>
  <c r="H179" i="42"/>
  <c r="H180" i="42" s="1"/>
  <c r="X2" i="42"/>
  <c r="AV2" i="42"/>
  <c r="H93" i="42"/>
  <c r="P229" i="42"/>
  <c r="O2" i="42"/>
  <c r="W2" i="42"/>
  <c r="AE2" i="42"/>
  <c r="AM2" i="42"/>
  <c r="AU2" i="42"/>
  <c r="J29" i="42"/>
  <c r="K29" i="42" s="1"/>
  <c r="L29" i="42" s="1"/>
  <c r="V181" i="42"/>
  <c r="W181" i="42" s="1"/>
  <c r="X181" i="42" s="1"/>
  <c r="Y181" i="42" s="1"/>
  <c r="Z181" i="42" s="1"/>
  <c r="AA181" i="42" s="1"/>
  <c r="AB181" i="42" s="1"/>
  <c r="AC181" i="42" s="1"/>
  <c r="AD181" i="42" s="1"/>
  <c r="AE181" i="42" s="1"/>
  <c r="AF181" i="42" s="1"/>
  <c r="AG181" i="42" s="1"/>
  <c r="AH181" i="42" s="1"/>
  <c r="AI181" i="42" s="1"/>
  <c r="AJ181" i="42" s="1"/>
  <c r="AK181" i="42" s="1"/>
  <c r="AL181" i="42" s="1"/>
  <c r="G174" i="42"/>
  <c r="G177" i="42" s="1"/>
  <c r="G179" i="42"/>
  <c r="G180" i="42" s="1"/>
  <c r="F174" i="42"/>
  <c r="F177" i="42" s="1"/>
  <c r="F179" i="42"/>
  <c r="F180" i="42" s="1"/>
  <c r="I16" i="42"/>
  <c r="E23" i="42"/>
  <c r="D179" i="42"/>
  <c r="D174" i="42"/>
  <c r="D177" i="42" s="1"/>
  <c r="I179" i="42"/>
  <c r="I180" i="42" s="1"/>
  <c r="E77" i="42"/>
  <c r="E79" i="42" s="1"/>
  <c r="E82" i="42" s="1"/>
  <c r="E83" i="42" s="1"/>
  <c r="I77" i="42"/>
  <c r="I79" i="42" s="1"/>
  <c r="I82" i="42" s="1"/>
  <c r="F446" i="42"/>
  <c r="F77" i="42"/>
  <c r="F79" i="42" s="1"/>
  <c r="F82" i="42" s="1"/>
  <c r="F83" i="42" s="1"/>
  <c r="G377" i="42"/>
  <c r="D340" i="42"/>
  <c r="D341" i="42" s="1"/>
  <c r="H340" i="42"/>
  <c r="H341" i="42" s="1"/>
  <c r="I93" i="42"/>
  <c r="G139" i="42"/>
  <c r="F145" i="42"/>
  <c r="H174" i="42"/>
  <c r="H177" i="42" s="1"/>
  <c r="E217" i="42"/>
  <c r="I217" i="42"/>
  <c r="J217" i="42" s="1"/>
  <c r="K217" i="42" s="1"/>
  <c r="L217" i="42" s="1"/>
  <c r="M217" i="42" s="1"/>
  <c r="N217" i="42" s="1"/>
  <c r="O217" i="42" s="1"/>
  <c r="P217" i="42" s="1"/>
  <c r="Q217" i="42" s="1"/>
  <c r="R217" i="42" s="1"/>
  <c r="S217" i="42" s="1"/>
  <c r="T217" i="42" s="1"/>
  <c r="U217" i="42" s="1"/>
  <c r="V217" i="42" s="1"/>
  <c r="W217" i="42" s="1"/>
  <c r="X217" i="42" s="1"/>
  <c r="Y217" i="42" s="1"/>
  <c r="Z217" i="42" s="1"/>
  <c r="AA217" i="42" s="1"/>
  <c r="AB217" i="42" s="1"/>
  <c r="AC217" i="42" s="1"/>
  <c r="AD217" i="42" s="1"/>
  <c r="AE217" i="42" s="1"/>
  <c r="AF217" i="42" s="1"/>
  <c r="AG217" i="42" s="1"/>
  <c r="AH217" i="42" s="1"/>
  <c r="AI217" i="42" s="1"/>
  <c r="AJ217" i="42" s="1"/>
  <c r="AK217" i="42" s="1"/>
  <c r="AL217" i="42" s="1"/>
  <c r="AM217" i="42" s="1"/>
  <c r="AN217" i="42" s="1"/>
  <c r="AO217" i="42" s="1"/>
  <c r="AP217" i="42" s="1"/>
  <c r="AQ217" i="42" s="1"/>
  <c r="AR217" i="42" s="1"/>
  <c r="AS217" i="42" s="1"/>
  <c r="AT217" i="42" s="1"/>
  <c r="AU217" i="42" s="1"/>
  <c r="AV217" i="42" s="1"/>
  <c r="AW217" i="42" s="1"/>
  <c r="AB229" i="42"/>
  <c r="AK246" i="42"/>
  <c r="AP247" i="42"/>
  <c r="AK312" i="42"/>
  <c r="U313" i="42"/>
  <c r="I23" i="42"/>
  <c r="H34" i="42"/>
  <c r="E448" i="42"/>
  <c r="E449" i="42" s="1"/>
  <c r="E68" i="42" s="1"/>
  <c r="E179" i="42"/>
  <c r="E180" i="42" s="1"/>
  <c r="E174" i="42"/>
  <c r="E177" i="42" s="1"/>
  <c r="H217" i="42"/>
  <c r="F16" i="42"/>
  <c r="F481" i="42"/>
  <c r="H477" i="42"/>
  <c r="I481" i="42"/>
  <c r="E481" i="42"/>
  <c r="G440" i="42"/>
  <c r="F439" i="42"/>
  <c r="AW438" i="42"/>
  <c r="AS438" i="42"/>
  <c r="AO438" i="42"/>
  <c r="AK438" i="42"/>
  <c r="AG438" i="42"/>
  <c r="AC438" i="42"/>
  <c r="Y438" i="42"/>
  <c r="U438" i="42"/>
  <c r="Q438" i="42"/>
  <c r="M438" i="42"/>
  <c r="I438" i="42"/>
  <c r="E438" i="42"/>
  <c r="AW435" i="42"/>
  <c r="AS435" i="42"/>
  <c r="AO435" i="42"/>
  <c r="AK435" i="42"/>
  <c r="AG435" i="42"/>
  <c r="AC435" i="42"/>
  <c r="Y435" i="42"/>
  <c r="U435" i="42"/>
  <c r="Q435" i="42"/>
  <c r="M435" i="42"/>
  <c r="I435" i="42"/>
  <c r="E435" i="42"/>
  <c r="AV434" i="42"/>
  <c r="AR434" i="42"/>
  <c r="AN434" i="42"/>
  <c r="AJ434" i="42"/>
  <c r="AF434" i="42"/>
  <c r="AB434" i="42"/>
  <c r="X434" i="42"/>
  <c r="T434" i="42"/>
  <c r="P434" i="42"/>
  <c r="L434" i="42"/>
  <c r="H434" i="42"/>
  <c r="AU433" i="42"/>
  <c r="AQ433" i="42"/>
  <c r="AM433" i="42"/>
  <c r="AI433" i="42"/>
  <c r="AE433" i="42"/>
  <c r="AA433" i="42"/>
  <c r="W433" i="42"/>
  <c r="S433" i="42"/>
  <c r="O433" i="42"/>
  <c r="K433" i="42"/>
  <c r="G433" i="42"/>
  <c r="J432" i="42"/>
  <c r="K432" i="42" s="1"/>
  <c r="L432" i="42" s="1"/>
  <c r="M432" i="42" s="1"/>
  <c r="N432" i="42" s="1"/>
  <c r="O432" i="42" s="1"/>
  <c r="P432" i="42" s="1"/>
  <c r="Q432" i="42" s="1"/>
  <c r="R432" i="42" s="1"/>
  <c r="S432" i="42" s="1"/>
  <c r="T432" i="42" s="1"/>
  <c r="U432" i="42" s="1"/>
  <c r="V432" i="42" s="1"/>
  <c r="W432" i="42" s="1"/>
  <c r="X432" i="42" s="1"/>
  <c r="Y432" i="42" s="1"/>
  <c r="Z432" i="42" s="1"/>
  <c r="AA432" i="42" s="1"/>
  <c r="AB432" i="42" s="1"/>
  <c r="AC432" i="42" s="1"/>
  <c r="AD432" i="42" s="1"/>
  <c r="AE432" i="42" s="1"/>
  <c r="AF432" i="42" s="1"/>
  <c r="AG432" i="42" s="1"/>
  <c r="AH432" i="42" s="1"/>
  <c r="AI432" i="42" s="1"/>
  <c r="AJ432" i="42" s="1"/>
  <c r="AK432" i="42" s="1"/>
  <c r="AL432" i="42" s="1"/>
  <c r="AM432" i="42" s="1"/>
  <c r="AN432" i="42" s="1"/>
  <c r="AO432" i="42" s="1"/>
  <c r="AP432" i="42" s="1"/>
  <c r="AQ432" i="42" s="1"/>
  <c r="AR432" i="42" s="1"/>
  <c r="AS432" i="42" s="1"/>
  <c r="AT432" i="42" s="1"/>
  <c r="AU432" i="42" s="1"/>
  <c r="AV432" i="42" s="1"/>
  <c r="AW432" i="42" s="1"/>
  <c r="F432" i="42"/>
  <c r="I431" i="42"/>
  <c r="E431" i="42"/>
  <c r="H430" i="42"/>
  <c r="E477" i="42"/>
  <c r="F440" i="42"/>
  <c r="G439" i="42"/>
  <c r="AV438" i="42"/>
  <c r="AQ438" i="42"/>
  <c r="AL438" i="42"/>
  <c r="AF438" i="42"/>
  <c r="AA438" i="42"/>
  <c r="V438" i="42"/>
  <c r="P438" i="42"/>
  <c r="K438" i="42"/>
  <c r="F438" i="42"/>
  <c r="C436" i="42"/>
  <c r="D436" i="42" s="1"/>
  <c r="AR435" i="42"/>
  <c r="AM435" i="42"/>
  <c r="AH435" i="42"/>
  <c r="AB435" i="42"/>
  <c r="W435" i="42"/>
  <c r="R435" i="42"/>
  <c r="G435" i="42"/>
  <c r="AW434" i="42"/>
  <c r="AQ434" i="42"/>
  <c r="AL434" i="42"/>
  <c r="AG434" i="42"/>
  <c r="AA434" i="42"/>
  <c r="V434" i="42"/>
  <c r="Q434" i="42"/>
  <c r="F434" i="42"/>
  <c r="AW433" i="42"/>
  <c r="AR433" i="42"/>
  <c r="AL433" i="42"/>
  <c r="AG433" i="42"/>
  <c r="AB433" i="42"/>
  <c r="V433" i="42"/>
  <c r="Q433" i="42"/>
  <c r="L433" i="42"/>
  <c r="F433" i="42"/>
  <c r="G432" i="42"/>
  <c r="F431" i="42"/>
  <c r="J430" i="42"/>
  <c r="K430" i="42" s="1"/>
  <c r="E430" i="42"/>
  <c r="I477" i="42"/>
  <c r="E440" i="42"/>
  <c r="E439" i="42"/>
  <c r="AU438" i="42"/>
  <c r="AP438" i="42"/>
  <c r="AJ438" i="42"/>
  <c r="AE438" i="42"/>
  <c r="Z438" i="42"/>
  <c r="T438" i="42"/>
  <c r="O438" i="42"/>
  <c r="J438" i="42"/>
  <c r="J436" i="42" s="1"/>
  <c r="AV435" i="42"/>
  <c r="AQ435" i="42"/>
  <c r="AL435" i="42"/>
  <c r="AF435" i="42"/>
  <c r="AA435" i="42"/>
  <c r="V435" i="42"/>
  <c r="P435" i="42"/>
  <c r="F435" i="42"/>
  <c r="AU434" i="42"/>
  <c r="AP434" i="42"/>
  <c r="AK434" i="42"/>
  <c r="AE434" i="42"/>
  <c r="Z434" i="42"/>
  <c r="U434" i="42"/>
  <c r="O434" i="42"/>
  <c r="E434" i="42"/>
  <c r="AV433" i="42"/>
  <c r="AP433" i="42"/>
  <c r="AK433" i="42"/>
  <c r="AF433" i="42"/>
  <c r="Z433" i="42"/>
  <c r="U433" i="42"/>
  <c r="P433" i="42"/>
  <c r="E433" i="42"/>
  <c r="E432" i="42"/>
  <c r="J431" i="42"/>
  <c r="K431" i="42" s="1"/>
  <c r="L431" i="42" s="1"/>
  <c r="M431" i="42" s="1"/>
  <c r="N431" i="42" s="1"/>
  <c r="O431" i="42" s="1"/>
  <c r="P431" i="42" s="1"/>
  <c r="Q431" i="42" s="1"/>
  <c r="R431" i="42" s="1"/>
  <c r="S431" i="42" s="1"/>
  <c r="T431" i="42" s="1"/>
  <c r="U431" i="42" s="1"/>
  <c r="V431" i="42" s="1"/>
  <c r="W431" i="42" s="1"/>
  <c r="X431" i="42" s="1"/>
  <c r="Y431" i="42" s="1"/>
  <c r="Z431" i="42" s="1"/>
  <c r="AA431" i="42" s="1"/>
  <c r="AB431" i="42" s="1"/>
  <c r="AC431" i="42" s="1"/>
  <c r="AD431" i="42" s="1"/>
  <c r="AE431" i="42" s="1"/>
  <c r="AF431" i="42" s="1"/>
  <c r="AG431" i="42" s="1"/>
  <c r="AH431" i="42" s="1"/>
  <c r="AI431" i="42" s="1"/>
  <c r="AJ431" i="42" s="1"/>
  <c r="AK431" i="42" s="1"/>
  <c r="AL431" i="42" s="1"/>
  <c r="AM431" i="42" s="1"/>
  <c r="AN431" i="42" s="1"/>
  <c r="AO431" i="42" s="1"/>
  <c r="AP431" i="42" s="1"/>
  <c r="AQ431" i="42" s="1"/>
  <c r="AR431" i="42" s="1"/>
  <c r="AS431" i="42" s="1"/>
  <c r="AT431" i="42" s="1"/>
  <c r="AU431" i="42" s="1"/>
  <c r="AV431" i="42" s="1"/>
  <c r="AW431" i="42" s="1"/>
  <c r="I430" i="42"/>
  <c r="H440" i="42"/>
  <c r="AM438" i="42"/>
  <c r="AB438" i="42"/>
  <c r="R438" i="42"/>
  <c r="G438" i="42"/>
  <c r="AP435" i="42"/>
  <c r="AE435" i="42"/>
  <c r="T435" i="42"/>
  <c r="AT434" i="42"/>
  <c r="AI434" i="42"/>
  <c r="Y434" i="42"/>
  <c r="N434" i="42"/>
  <c r="AO433" i="42"/>
  <c r="AD433" i="42"/>
  <c r="T433" i="42"/>
  <c r="I433" i="42"/>
  <c r="H431" i="42"/>
  <c r="F430" i="42"/>
  <c r="J365" i="42"/>
  <c r="I439" i="42"/>
  <c r="AT438" i="42"/>
  <c r="AI438" i="42"/>
  <c r="X438" i="42"/>
  <c r="N438" i="42"/>
  <c r="AN435" i="42"/>
  <c r="AD435" i="42"/>
  <c r="S435" i="42"/>
  <c r="H435" i="42"/>
  <c r="AS434" i="42"/>
  <c r="AH434" i="42"/>
  <c r="W434" i="42"/>
  <c r="M434" i="42"/>
  <c r="AN433" i="42"/>
  <c r="AC433" i="42"/>
  <c r="R433" i="42"/>
  <c r="H433" i="42"/>
  <c r="G431" i="42"/>
  <c r="J369" i="42"/>
  <c r="K369" i="42" s="1"/>
  <c r="L369" i="42" s="1"/>
  <c r="M369" i="42" s="1"/>
  <c r="N369" i="42" s="1"/>
  <c r="O369" i="42" s="1"/>
  <c r="P369" i="42" s="1"/>
  <c r="Q369" i="42" s="1"/>
  <c r="R369" i="42" s="1"/>
  <c r="S369" i="42" s="1"/>
  <c r="T369" i="42" s="1"/>
  <c r="U369" i="42" s="1"/>
  <c r="V369" i="42" s="1"/>
  <c r="W369" i="42" s="1"/>
  <c r="X369" i="42" s="1"/>
  <c r="Y369" i="42" s="1"/>
  <c r="Z369" i="42" s="1"/>
  <c r="AA369" i="42" s="1"/>
  <c r="AB369" i="42" s="1"/>
  <c r="AC369" i="42" s="1"/>
  <c r="AD369" i="42" s="1"/>
  <c r="AE369" i="42" s="1"/>
  <c r="AF369" i="42" s="1"/>
  <c r="AG369" i="42" s="1"/>
  <c r="AH369" i="42" s="1"/>
  <c r="AI369" i="42" s="1"/>
  <c r="AJ369" i="42" s="1"/>
  <c r="AK369" i="42" s="1"/>
  <c r="AL369" i="42" s="1"/>
  <c r="AM369" i="42" s="1"/>
  <c r="AN369" i="42" s="1"/>
  <c r="AO369" i="42" s="1"/>
  <c r="AP369" i="42" s="1"/>
  <c r="AQ369" i="42" s="1"/>
  <c r="AR369" i="42" s="1"/>
  <c r="AS369" i="42" s="1"/>
  <c r="AT369" i="42" s="1"/>
  <c r="AU369" i="42" s="1"/>
  <c r="AV369" i="42" s="1"/>
  <c r="AW369" i="42" s="1"/>
  <c r="J366" i="42"/>
  <c r="H481" i="42"/>
  <c r="I440" i="42"/>
  <c r="J440" i="42" s="1"/>
  <c r="K440" i="42" s="1"/>
  <c r="L440" i="42" s="1"/>
  <c r="M440" i="42" s="1"/>
  <c r="N440" i="42" s="1"/>
  <c r="O440" i="42" s="1"/>
  <c r="P440" i="42" s="1"/>
  <c r="Q440" i="42" s="1"/>
  <c r="R440" i="42" s="1"/>
  <c r="S440" i="42" s="1"/>
  <c r="T440" i="42" s="1"/>
  <c r="U440" i="42" s="1"/>
  <c r="V440" i="42" s="1"/>
  <c r="W440" i="42" s="1"/>
  <c r="X440" i="42" s="1"/>
  <c r="Y440" i="42" s="1"/>
  <c r="Z440" i="42" s="1"/>
  <c r="AA440" i="42" s="1"/>
  <c r="AB440" i="42" s="1"/>
  <c r="AC440" i="42" s="1"/>
  <c r="AD440" i="42" s="1"/>
  <c r="AE440" i="42" s="1"/>
  <c r="AF440" i="42" s="1"/>
  <c r="AG440" i="42" s="1"/>
  <c r="AH440" i="42" s="1"/>
  <c r="AI440" i="42" s="1"/>
  <c r="AJ440" i="42" s="1"/>
  <c r="AK440" i="42" s="1"/>
  <c r="AL440" i="42" s="1"/>
  <c r="AM440" i="42" s="1"/>
  <c r="AN440" i="42" s="1"/>
  <c r="AO440" i="42" s="1"/>
  <c r="AP440" i="42" s="1"/>
  <c r="AQ440" i="42" s="1"/>
  <c r="AR440" i="42" s="1"/>
  <c r="AS440" i="42" s="1"/>
  <c r="AT440" i="42" s="1"/>
  <c r="AU440" i="42" s="1"/>
  <c r="AV440" i="42" s="1"/>
  <c r="AW440" i="42" s="1"/>
  <c r="AD438" i="42"/>
  <c r="H438" i="42"/>
  <c r="AU435" i="42"/>
  <c r="Z435" i="42"/>
  <c r="AD434" i="42"/>
  <c r="I434" i="42"/>
  <c r="AT433" i="42"/>
  <c r="Y433" i="42"/>
  <c r="I432" i="42"/>
  <c r="J363" i="42"/>
  <c r="AV313" i="42"/>
  <c r="AR313" i="42"/>
  <c r="AN313" i="42"/>
  <c r="AJ313" i="42"/>
  <c r="AF313" i="42"/>
  <c r="AB313" i="42"/>
  <c r="X313" i="42"/>
  <c r="T313" i="42"/>
  <c r="P313" i="42"/>
  <c r="L313" i="42"/>
  <c r="AU312" i="42"/>
  <c r="AQ312" i="42"/>
  <c r="AM312" i="42"/>
  <c r="AI312" i="42"/>
  <c r="AE312" i="42"/>
  <c r="AA312" i="42"/>
  <c r="W312" i="42"/>
  <c r="S312" i="42"/>
  <c r="O312" i="42"/>
  <c r="K312" i="42"/>
  <c r="F309" i="42"/>
  <c r="I308" i="42"/>
  <c r="E308" i="42"/>
  <c r="H305" i="42"/>
  <c r="G304" i="42"/>
  <c r="F301" i="42"/>
  <c r="I300" i="42"/>
  <c r="E300" i="42"/>
  <c r="H297" i="42"/>
  <c r="G296" i="42"/>
  <c r="F293" i="42"/>
  <c r="F280" i="42"/>
  <c r="I279" i="42"/>
  <c r="E279" i="42"/>
  <c r="H276" i="42"/>
  <c r="G275" i="42"/>
  <c r="F272" i="42"/>
  <c r="G270" i="42"/>
  <c r="G271" i="42" s="1"/>
  <c r="G481" i="42"/>
  <c r="AR438" i="42"/>
  <c r="W438" i="42"/>
  <c r="AT435" i="42"/>
  <c r="X435" i="42"/>
  <c r="AC434" i="42"/>
  <c r="G434" i="42"/>
  <c r="AS433" i="42"/>
  <c r="X433" i="42"/>
  <c r="H432" i="42"/>
  <c r="G430" i="42"/>
  <c r="J391" i="42"/>
  <c r="K391" i="42" s="1"/>
  <c r="L391" i="42" s="1"/>
  <c r="M391" i="42" s="1"/>
  <c r="N391" i="42" s="1"/>
  <c r="O391" i="42" s="1"/>
  <c r="P391" i="42" s="1"/>
  <c r="Q391" i="42" s="1"/>
  <c r="R391" i="42" s="1"/>
  <c r="S391" i="42" s="1"/>
  <c r="T391" i="42" s="1"/>
  <c r="U391" i="42" s="1"/>
  <c r="V391" i="42" s="1"/>
  <c r="W391" i="42" s="1"/>
  <c r="X391" i="42" s="1"/>
  <c r="Y391" i="42" s="1"/>
  <c r="Z391" i="42" s="1"/>
  <c r="AA391" i="42" s="1"/>
  <c r="AB391" i="42" s="1"/>
  <c r="AC391" i="42" s="1"/>
  <c r="AD391" i="42" s="1"/>
  <c r="AE391" i="42" s="1"/>
  <c r="AF391" i="42" s="1"/>
  <c r="AG391" i="42" s="1"/>
  <c r="AH391" i="42" s="1"/>
  <c r="AI391" i="42" s="1"/>
  <c r="AJ391" i="42" s="1"/>
  <c r="AK391" i="42" s="1"/>
  <c r="AL391" i="42" s="1"/>
  <c r="AM391" i="42" s="1"/>
  <c r="AN391" i="42" s="1"/>
  <c r="AO391" i="42" s="1"/>
  <c r="AP391" i="42" s="1"/>
  <c r="AQ391" i="42" s="1"/>
  <c r="AR391" i="42" s="1"/>
  <c r="AS391" i="42" s="1"/>
  <c r="AT391" i="42" s="1"/>
  <c r="AU391" i="42" s="1"/>
  <c r="AV391" i="42" s="1"/>
  <c r="AW391" i="42" s="1"/>
  <c r="AU313" i="42"/>
  <c r="AQ313" i="42"/>
  <c r="AM313" i="42"/>
  <c r="AI313" i="42"/>
  <c r="AE313" i="42"/>
  <c r="AA313" i="42"/>
  <c r="W313" i="42"/>
  <c r="S313" i="42"/>
  <c r="O313" i="42"/>
  <c r="K313" i="42"/>
  <c r="AT312" i="42"/>
  <c r="AP312" i="42"/>
  <c r="AL312" i="42"/>
  <c r="AH312" i="42"/>
  <c r="AD312" i="42"/>
  <c r="Z312" i="42"/>
  <c r="V312" i="42"/>
  <c r="R312" i="42"/>
  <c r="N312" i="42"/>
  <c r="J312" i="42"/>
  <c r="I309" i="42"/>
  <c r="E309" i="42"/>
  <c r="H308" i="42"/>
  <c r="G305" i="42"/>
  <c r="F304" i="42"/>
  <c r="I301" i="42"/>
  <c r="E301" i="42"/>
  <c r="H300" i="42"/>
  <c r="G297" i="42"/>
  <c r="F296" i="42"/>
  <c r="I293" i="42"/>
  <c r="E293" i="42"/>
  <c r="I280" i="42"/>
  <c r="E280" i="42"/>
  <c r="H279" i="42"/>
  <c r="G276" i="42"/>
  <c r="F275" i="42"/>
  <c r="I272" i="42"/>
  <c r="E272" i="42"/>
  <c r="F270" i="42"/>
  <c r="F271" i="42" s="1"/>
  <c r="H439" i="42"/>
  <c r="AN438" i="42"/>
  <c r="S438" i="42"/>
  <c r="AJ435" i="42"/>
  <c r="O435" i="42"/>
  <c r="AO434" i="42"/>
  <c r="S434" i="42"/>
  <c r="AJ433" i="42"/>
  <c r="N433" i="42"/>
  <c r="AH438" i="42"/>
  <c r="H403" i="42"/>
  <c r="AP313" i="42"/>
  <c r="AH313" i="42"/>
  <c r="Z313" i="42"/>
  <c r="R313" i="42"/>
  <c r="J313" i="42"/>
  <c r="AW312" i="42"/>
  <c r="AO312" i="42"/>
  <c r="AG312" i="42"/>
  <c r="Y312" i="42"/>
  <c r="Q312" i="42"/>
  <c r="G309" i="42"/>
  <c r="F308" i="42"/>
  <c r="F305" i="42"/>
  <c r="I304" i="42"/>
  <c r="L438" i="42"/>
  <c r="AI435" i="42"/>
  <c r="AM434" i="42"/>
  <c r="AH433" i="42"/>
  <c r="C333" i="42"/>
  <c r="D333" i="42" s="1"/>
  <c r="AW313" i="42"/>
  <c r="AO313" i="42"/>
  <c r="AG313" i="42"/>
  <c r="Y313" i="42"/>
  <c r="Q313" i="42"/>
  <c r="AV312" i="42"/>
  <c r="AN312" i="42"/>
  <c r="AF312" i="42"/>
  <c r="X312" i="42"/>
  <c r="P312" i="42"/>
  <c r="E305" i="42"/>
  <c r="H304" i="42"/>
  <c r="H301" i="42"/>
  <c r="G300" i="42"/>
  <c r="N435" i="42"/>
  <c r="R434" i="42"/>
  <c r="M433" i="42"/>
  <c r="AT313" i="42"/>
  <c r="AD313" i="42"/>
  <c r="N313" i="42"/>
  <c r="AJ312" i="42"/>
  <c r="T312" i="42"/>
  <c r="H309" i="42"/>
  <c r="G301" i="42"/>
  <c r="I297" i="42"/>
  <c r="H280" i="42"/>
  <c r="G279" i="42"/>
  <c r="I276" i="42"/>
  <c r="I270" i="42"/>
  <c r="I271" i="42" s="1"/>
  <c r="I403" i="42"/>
  <c r="AS313" i="42"/>
  <c r="AC313" i="42"/>
  <c r="M313" i="42"/>
  <c r="AS312" i="42"/>
  <c r="AC312" i="42"/>
  <c r="M312" i="42"/>
  <c r="G308" i="42"/>
  <c r="F300" i="42"/>
  <c r="F297" i="42"/>
  <c r="I296" i="42"/>
  <c r="G280" i="42"/>
  <c r="F279" i="42"/>
  <c r="F276" i="42"/>
  <c r="I275" i="42"/>
  <c r="H270" i="42"/>
  <c r="H271" i="42" s="1"/>
  <c r="I256" i="42"/>
  <c r="E256" i="42"/>
  <c r="H253" i="42"/>
  <c r="F252" i="42"/>
  <c r="H251" i="42"/>
  <c r="F250" i="42"/>
  <c r="AV247" i="42"/>
  <c r="AR247" i="42"/>
  <c r="AN247" i="42"/>
  <c r="AJ247" i="42"/>
  <c r="AF247" i="42"/>
  <c r="AB247" i="42"/>
  <c r="X247" i="42"/>
  <c r="T247" i="42"/>
  <c r="P247" i="42"/>
  <c r="L247" i="42"/>
  <c r="AW246" i="42"/>
  <c r="AL313" i="42"/>
  <c r="V313" i="42"/>
  <c r="AR312" i="42"/>
  <c r="AB312" i="42"/>
  <c r="L312" i="42"/>
  <c r="I305" i="42"/>
  <c r="E297" i="42"/>
  <c r="H296" i="42"/>
  <c r="H293" i="42"/>
  <c r="E276" i="42"/>
  <c r="H275" i="42"/>
  <c r="H272" i="42"/>
  <c r="E270" i="42"/>
  <c r="E271" i="42" s="1"/>
  <c r="H256" i="42"/>
  <c r="G253" i="42"/>
  <c r="I252" i="42"/>
  <c r="E252" i="42"/>
  <c r="G251" i="42"/>
  <c r="I250" i="42"/>
  <c r="E250" i="42"/>
  <c r="AU247" i="42"/>
  <c r="AQ247" i="42"/>
  <c r="AM247" i="42"/>
  <c r="AI247" i="42"/>
  <c r="AE247" i="42"/>
  <c r="AA247" i="42"/>
  <c r="W247" i="42"/>
  <c r="S247" i="42"/>
  <c r="O247" i="42"/>
  <c r="K247" i="42"/>
  <c r="AV246" i="42"/>
  <c r="U312" i="42"/>
  <c r="E304" i="42"/>
  <c r="E253" i="42"/>
  <c r="AW247" i="42"/>
  <c r="AO247" i="42"/>
  <c r="AG247" i="42"/>
  <c r="Y247" i="42"/>
  <c r="Q247" i="42"/>
  <c r="AR246" i="42"/>
  <c r="AN246" i="42"/>
  <c r="AJ246" i="42"/>
  <c r="AF246" i="42"/>
  <c r="AB246" i="42"/>
  <c r="X246" i="42"/>
  <c r="T246" i="42"/>
  <c r="P246" i="42"/>
  <c r="L246" i="42"/>
  <c r="F239" i="42"/>
  <c r="F231" i="42"/>
  <c r="AU229" i="42"/>
  <c r="AQ229" i="42"/>
  <c r="AM229" i="42"/>
  <c r="AI229" i="42"/>
  <c r="AE229" i="42"/>
  <c r="AA229" i="42"/>
  <c r="W229" i="42"/>
  <c r="S229" i="42"/>
  <c r="O229" i="42"/>
  <c r="K229" i="42"/>
  <c r="G229" i="42"/>
  <c r="C229" i="42"/>
  <c r="D230" i="42" s="1"/>
  <c r="G205" i="42"/>
  <c r="G209" i="42" s="1"/>
  <c r="H192" i="42"/>
  <c r="E275" i="42"/>
  <c r="G272" i="42"/>
  <c r="G256" i="42"/>
  <c r="I251" i="42"/>
  <c r="H250" i="42"/>
  <c r="AT247" i="42"/>
  <c r="AL247" i="42"/>
  <c r="AD247" i="42"/>
  <c r="V247" i="42"/>
  <c r="N247" i="42"/>
  <c r="AU246" i="42"/>
  <c r="AQ246" i="42"/>
  <c r="AM246" i="42"/>
  <c r="AI246" i="42"/>
  <c r="AE246" i="42"/>
  <c r="AA246" i="42"/>
  <c r="W246" i="42"/>
  <c r="S246" i="42"/>
  <c r="O246" i="42"/>
  <c r="K246" i="42"/>
  <c r="I239" i="42"/>
  <c r="E239" i="42"/>
  <c r="E241" i="42" s="1"/>
  <c r="I231" i="42"/>
  <c r="J231" i="42" s="1"/>
  <c r="K231" i="42" s="1"/>
  <c r="L231" i="42" s="1"/>
  <c r="M231" i="42" s="1"/>
  <c r="N231" i="42" s="1"/>
  <c r="O231" i="42" s="1"/>
  <c r="P231" i="42" s="1"/>
  <c r="Q231" i="42" s="1"/>
  <c r="R231" i="42" s="1"/>
  <c r="S231" i="42" s="1"/>
  <c r="T231" i="42" s="1"/>
  <c r="U231" i="42" s="1"/>
  <c r="V231" i="42" s="1"/>
  <c r="W231" i="42" s="1"/>
  <c r="X231" i="42" s="1"/>
  <c r="Y231" i="42" s="1"/>
  <c r="Z231" i="42" s="1"/>
  <c r="AA231" i="42" s="1"/>
  <c r="AB231" i="42" s="1"/>
  <c r="AC231" i="42" s="1"/>
  <c r="AD231" i="42" s="1"/>
  <c r="AE231" i="42" s="1"/>
  <c r="AF231" i="42" s="1"/>
  <c r="AG231" i="42" s="1"/>
  <c r="AH231" i="42" s="1"/>
  <c r="AI231" i="42" s="1"/>
  <c r="AJ231" i="42" s="1"/>
  <c r="AK231" i="42" s="1"/>
  <c r="AL231" i="42" s="1"/>
  <c r="AM231" i="42" s="1"/>
  <c r="AN231" i="42" s="1"/>
  <c r="AO231" i="42" s="1"/>
  <c r="AP231" i="42" s="1"/>
  <c r="AQ231" i="42" s="1"/>
  <c r="AR231" i="42" s="1"/>
  <c r="AS231" i="42" s="1"/>
  <c r="AT231" i="42" s="1"/>
  <c r="AU231" i="42" s="1"/>
  <c r="AV231" i="42" s="1"/>
  <c r="E231" i="42"/>
  <c r="AT229" i="42"/>
  <c r="AP229" i="42"/>
  <c r="AL229" i="42"/>
  <c r="AH229" i="42"/>
  <c r="AD229" i="42"/>
  <c r="Z229" i="42"/>
  <c r="V229" i="42"/>
  <c r="R229" i="42"/>
  <c r="N229" i="42"/>
  <c r="J229" i="42"/>
  <c r="F229" i="42"/>
  <c r="F205" i="42"/>
  <c r="F209" i="42" s="1"/>
  <c r="G192" i="42"/>
  <c r="K175" i="42"/>
  <c r="K290" i="42" s="1"/>
  <c r="AK313" i="42"/>
  <c r="F256" i="42"/>
  <c r="I253" i="42"/>
  <c r="H252" i="42"/>
  <c r="F251" i="42"/>
  <c r="G250" i="42"/>
  <c r="AS247" i="42"/>
  <c r="AK247" i="42"/>
  <c r="AC247" i="42"/>
  <c r="U247" i="42"/>
  <c r="M247" i="42"/>
  <c r="AT246" i="42"/>
  <c r="AP246" i="42"/>
  <c r="AL246" i="42"/>
  <c r="AH246" i="42"/>
  <c r="AD246" i="42"/>
  <c r="Z246" i="42"/>
  <c r="V246" i="42"/>
  <c r="R246" i="42"/>
  <c r="N246" i="42"/>
  <c r="J246" i="42"/>
  <c r="H239" i="42"/>
  <c r="H241" i="42" s="1"/>
  <c r="H231" i="42"/>
  <c r="AW229" i="42"/>
  <c r="AS229" i="42"/>
  <c r="AO229" i="42"/>
  <c r="AK229" i="42"/>
  <c r="AG229" i="42"/>
  <c r="AC229" i="42"/>
  <c r="Y229" i="42"/>
  <c r="U229" i="42"/>
  <c r="Q229" i="42"/>
  <c r="M229" i="42"/>
  <c r="I229" i="42"/>
  <c r="E229" i="42"/>
  <c r="I205" i="42"/>
  <c r="I209" i="42" s="1"/>
  <c r="E205" i="42"/>
  <c r="F192" i="42"/>
  <c r="J175" i="42"/>
  <c r="J290" i="42" s="1"/>
  <c r="F253" i="42"/>
  <c r="Z247" i="42"/>
  <c r="AS246" i="42"/>
  <c r="AC246" i="42"/>
  <c r="M246" i="42"/>
  <c r="G239" i="42"/>
  <c r="G241" i="42" s="1"/>
  <c r="G231" i="42"/>
  <c r="AN229" i="42"/>
  <c r="X229" i="42"/>
  <c r="H229" i="42"/>
  <c r="E192" i="42"/>
  <c r="E196" i="42" s="1"/>
  <c r="R247" i="42"/>
  <c r="AO246" i="42"/>
  <c r="Y246" i="42"/>
  <c r="AJ229" i="42"/>
  <c r="T229" i="42"/>
  <c r="M2" i="42"/>
  <c r="Q2" i="42"/>
  <c r="U2" i="42"/>
  <c r="Y2" i="42"/>
  <c r="AC2" i="42"/>
  <c r="AG2" i="42"/>
  <c r="AK2" i="42"/>
  <c r="AO2" i="42"/>
  <c r="AS2" i="42"/>
  <c r="AW2" i="42"/>
  <c r="E15" i="42"/>
  <c r="G16" i="42"/>
  <c r="F20" i="42"/>
  <c r="I22" i="42"/>
  <c r="G23" i="42"/>
  <c r="D377" i="42"/>
  <c r="H377" i="42"/>
  <c r="E340" i="42"/>
  <c r="E341" i="42" s="1"/>
  <c r="I340" i="42"/>
  <c r="I341" i="42" s="1"/>
  <c r="F108" i="42"/>
  <c r="F119" i="42"/>
  <c r="G126" i="42"/>
  <c r="H139" i="42"/>
  <c r="D145" i="42"/>
  <c r="H145" i="42"/>
  <c r="G145" i="42"/>
  <c r="E155" i="42"/>
  <c r="E159" i="42" s="1"/>
  <c r="I155" i="42"/>
  <c r="I159" i="42" s="1"/>
  <c r="I41" i="42" s="1"/>
  <c r="G155" i="42"/>
  <c r="G159" i="42" s="1"/>
  <c r="D209" i="42"/>
  <c r="D51" i="42"/>
  <c r="G218" i="42"/>
  <c r="AF229" i="42"/>
  <c r="Q246" i="42"/>
  <c r="E251" i="42"/>
  <c r="G252" i="42"/>
  <c r="I232" i="42"/>
  <c r="E16" i="42"/>
  <c r="I448" i="42"/>
  <c r="I449" i="42" s="1"/>
  <c r="I68" i="42" s="1"/>
  <c r="J2" i="42"/>
  <c r="N2" i="42"/>
  <c r="R2" i="42"/>
  <c r="V2" i="42"/>
  <c r="Z2" i="42"/>
  <c r="AD2" i="42"/>
  <c r="AH2" i="42"/>
  <c r="AL2" i="42"/>
  <c r="AP2" i="42"/>
  <c r="AT2" i="42"/>
  <c r="F15" i="42"/>
  <c r="D16" i="42"/>
  <c r="H16" i="42"/>
  <c r="F34" i="42"/>
  <c r="D96" i="42"/>
  <c r="D97" i="42" s="1"/>
  <c r="E93" i="42"/>
  <c r="I108" i="42"/>
  <c r="D126" i="42"/>
  <c r="H126" i="42"/>
  <c r="E138" i="42"/>
  <c r="E139" i="42" s="1"/>
  <c r="E50" i="42" s="1"/>
  <c r="I138" i="42"/>
  <c r="I139" i="42" s="1"/>
  <c r="D138" i="42"/>
  <c r="D139" i="42" s="1"/>
  <c r="F139" i="42"/>
  <c r="I145" i="42"/>
  <c r="F154" i="42"/>
  <c r="F155" i="42" s="1"/>
  <c r="F159" i="42" s="1"/>
  <c r="F41" i="42" s="1"/>
  <c r="H155" i="42"/>
  <c r="H159" i="42" s="1"/>
  <c r="D180" i="42"/>
  <c r="H205" i="42"/>
  <c r="H209" i="42" s="1"/>
  <c r="J221" i="42"/>
  <c r="K221" i="42" s="1"/>
  <c r="L221" i="42" s="1"/>
  <c r="M221" i="42" s="1"/>
  <c r="L229" i="42"/>
  <c r="AR229" i="42"/>
  <c r="U246" i="42"/>
  <c r="J247" i="42"/>
  <c r="G293" i="42"/>
  <c r="E296" i="42"/>
  <c r="G448" i="42"/>
  <c r="G449" i="42" s="1"/>
  <c r="G68" i="42" s="1"/>
  <c r="E377" i="42"/>
  <c r="I377" i="42"/>
  <c r="F340" i="42"/>
  <c r="F341" i="42" s="1"/>
  <c r="G108" i="42"/>
  <c r="D291" i="42"/>
  <c r="D292" i="42" s="1"/>
  <c r="D202" i="42"/>
  <c r="D114" i="42" s="1"/>
  <c r="D119" i="42" s="1"/>
  <c r="H202" i="42"/>
  <c r="H114" i="42" s="1"/>
  <c r="H119" i="42" s="1"/>
  <c r="F218" i="42"/>
  <c r="F217" i="42"/>
  <c r="D224" i="42"/>
  <c r="H224" i="42"/>
  <c r="D479" i="42"/>
  <c r="D241" i="42"/>
  <c r="D242" i="42" s="1"/>
  <c r="D257" i="42"/>
  <c r="D448" i="42"/>
  <c r="D449" i="42" s="1"/>
  <c r="D68" i="42" s="1"/>
  <c r="H448" i="42"/>
  <c r="H449" i="42" s="1"/>
  <c r="H68" i="42" s="1"/>
  <c r="F377" i="42"/>
  <c r="G341" i="42"/>
  <c r="G340" i="42"/>
  <c r="D108" i="42"/>
  <c r="H108" i="42"/>
  <c r="E291" i="42"/>
  <c r="E292" i="42" s="1"/>
  <c r="I291" i="42"/>
  <c r="I292" i="42" s="1"/>
  <c r="E202" i="42"/>
  <c r="E114" i="42" s="1"/>
  <c r="E119" i="42" s="1"/>
  <c r="I202" i="42"/>
  <c r="I114" i="42" s="1"/>
  <c r="I119" i="42" s="1"/>
  <c r="G217" i="42"/>
  <c r="K236" i="42"/>
  <c r="F291" i="42"/>
  <c r="F292" i="42" s="1"/>
  <c r="H216" i="42"/>
  <c r="H218" i="42" s="1"/>
  <c r="D287" i="42"/>
  <c r="G291" i="42"/>
  <c r="G292" i="42" s="1"/>
  <c r="D271" i="42"/>
  <c r="E216" i="42"/>
  <c r="E218" i="42" s="1"/>
  <c r="I216" i="42"/>
  <c r="I218" i="42" s="1"/>
  <c r="J218" i="42" s="1"/>
  <c r="K218" i="42" s="1"/>
  <c r="L218" i="42" s="1"/>
  <c r="M218" i="42" s="1"/>
  <c r="N218" i="42" s="1"/>
  <c r="O218" i="42" s="1"/>
  <c r="P218" i="42" s="1"/>
  <c r="Q218" i="42" s="1"/>
  <c r="R218" i="42" s="1"/>
  <c r="S218" i="42" s="1"/>
  <c r="T218" i="42" s="1"/>
  <c r="U218" i="42" s="1"/>
  <c r="V218" i="42" s="1"/>
  <c r="W218" i="42" s="1"/>
  <c r="X218" i="42" s="1"/>
  <c r="Y218" i="42" s="1"/>
  <c r="Z218" i="42" s="1"/>
  <c r="AA218" i="42" s="1"/>
  <c r="AB218" i="42" s="1"/>
  <c r="AC218" i="42" s="1"/>
  <c r="AD218" i="42" s="1"/>
  <c r="AE218" i="42" s="1"/>
  <c r="AF218" i="42" s="1"/>
  <c r="AG218" i="42" s="1"/>
  <c r="AH218" i="42" s="1"/>
  <c r="AI218" i="42" s="1"/>
  <c r="AJ218" i="42" s="1"/>
  <c r="AK218" i="42" s="1"/>
  <c r="AL218" i="42" s="1"/>
  <c r="AM218" i="42" s="1"/>
  <c r="AN218" i="42" s="1"/>
  <c r="AO218" i="42" s="1"/>
  <c r="AP218" i="42" s="1"/>
  <c r="AQ218" i="42" s="1"/>
  <c r="AR218" i="42" s="1"/>
  <c r="AS218" i="42" s="1"/>
  <c r="AT218" i="42" s="1"/>
  <c r="AU218" i="42" s="1"/>
  <c r="AV218" i="42" s="1"/>
  <c r="AW218" i="42" s="1"/>
  <c r="H291" i="42"/>
  <c r="H292" i="42" s="1"/>
  <c r="E287" i="42"/>
  <c r="F287" i="42"/>
  <c r="Q509" i="42"/>
  <c r="AW509" i="42"/>
  <c r="F460" i="42"/>
  <c r="I325" i="42"/>
  <c r="F325" i="42"/>
  <c r="D370" i="42"/>
  <c r="E370" i="42" s="1"/>
  <c r="F370" i="42" s="1"/>
  <c r="G370" i="42" s="1"/>
  <c r="H370" i="42" s="1"/>
  <c r="I370" i="42" s="1"/>
  <c r="E403" i="42"/>
  <c r="E418" i="42" s="1"/>
  <c r="I395" i="42"/>
  <c r="E324" i="42"/>
  <c r="E325" i="42" s="1"/>
  <c r="D392" i="42"/>
  <c r="I427" i="42"/>
  <c r="D486" i="42"/>
  <c r="D403" i="42"/>
  <c r="D418" i="42" s="1"/>
  <c r="F403" i="42"/>
  <c r="F418" i="42" s="1"/>
  <c r="J510" i="42"/>
  <c r="K463" i="42"/>
  <c r="L509" i="42"/>
  <c r="P509" i="42"/>
  <c r="T509" i="42"/>
  <c r="X509" i="42"/>
  <c r="AB509" i="42"/>
  <c r="AF509" i="42"/>
  <c r="AJ509" i="42"/>
  <c r="AN509" i="42"/>
  <c r="AR509" i="42"/>
  <c r="AV509" i="42"/>
  <c r="G403" i="42"/>
  <c r="E460" i="42"/>
  <c r="E60" i="42" s="1"/>
  <c r="E459" i="42"/>
  <c r="I460" i="42"/>
  <c r="I60" i="42" s="1"/>
  <c r="F465" i="42"/>
  <c r="D460" i="42"/>
  <c r="G464" i="42"/>
  <c r="J464" i="42" s="1"/>
  <c r="J465" i="42" s="1"/>
  <c r="J116" i="42" s="1"/>
  <c r="G427" i="42"/>
  <c r="G460" i="42"/>
  <c r="D465" i="42"/>
  <c r="D480" i="42"/>
  <c r="B247" i="39"/>
  <c r="B521" i="39"/>
  <c r="B498" i="39"/>
  <c r="I494" i="39"/>
  <c r="H494" i="39"/>
  <c r="G494" i="39"/>
  <c r="F494" i="39"/>
  <c r="E494" i="39"/>
  <c r="D494" i="39"/>
  <c r="B494" i="39"/>
  <c r="I492" i="39"/>
  <c r="H492" i="39"/>
  <c r="G492" i="39"/>
  <c r="F492" i="39"/>
  <c r="E492" i="39"/>
  <c r="D492" i="39"/>
  <c r="B492" i="39"/>
  <c r="I491" i="39"/>
  <c r="H491" i="39"/>
  <c r="G491" i="39"/>
  <c r="F491" i="39"/>
  <c r="E491" i="39"/>
  <c r="D491" i="39"/>
  <c r="B491" i="39"/>
  <c r="B488" i="39"/>
  <c r="I483" i="39"/>
  <c r="H483" i="39"/>
  <c r="G483" i="39"/>
  <c r="F483" i="39"/>
  <c r="E483" i="39"/>
  <c r="D483" i="39"/>
  <c r="B483" i="39"/>
  <c r="I482" i="39"/>
  <c r="H482" i="39"/>
  <c r="G482" i="39"/>
  <c r="F482" i="39"/>
  <c r="E482" i="39"/>
  <c r="D482" i="39"/>
  <c r="B482" i="39"/>
  <c r="D481" i="39"/>
  <c r="B481" i="39"/>
  <c r="I478" i="39"/>
  <c r="H478" i="39"/>
  <c r="G478" i="39"/>
  <c r="F478" i="39"/>
  <c r="E478" i="39"/>
  <c r="D478" i="39"/>
  <c r="B478" i="39"/>
  <c r="D477" i="39"/>
  <c r="B477" i="39"/>
  <c r="I476" i="39"/>
  <c r="H476" i="39"/>
  <c r="G476" i="39"/>
  <c r="F476" i="39"/>
  <c r="E476" i="39"/>
  <c r="D476" i="39"/>
  <c r="B476" i="39"/>
  <c r="I475" i="39"/>
  <c r="H475" i="39"/>
  <c r="G475" i="39"/>
  <c r="F475" i="39"/>
  <c r="E475" i="39"/>
  <c r="D475" i="39"/>
  <c r="B475" i="39"/>
  <c r="I474" i="39"/>
  <c r="H474" i="39"/>
  <c r="G474" i="39"/>
  <c r="F474" i="39"/>
  <c r="E474" i="39"/>
  <c r="D474" i="39"/>
  <c r="B474" i="39"/>
  <c r="I473" i="39"/>
  <c r="H473" i="39"/>
  <c r="G473" i="39"/>
  <c r="F473" i="39"/>
  <c r="E473" i="39"/>
  <c r="D473" i="39"/>
  <c r="B473" i="39"/>
  <c r="I472" i="39"/>
  <c r="H472" i="39"/>
  <c r="G472" i="39"/>
  <c r="F472" i="39"/>
  <c r="E472" i="39"/>
  <c r="D472" i="39"/>
  <c r="B472" i="39"/>
  <c r="I469" i="39"/>
  <c r="H469" i="39"/>
  <c r="G469" i="39"/>
  <c r="F469" i="39"/>
  <c r="E469" i="39"/>
  <c r="D469" i="39"/>
  <c r="B469" i="39"/>
  <c r="I468" i="39"/>
  <c r="H468" i="39"/>
  <c r="G468" i="39"/>
  <c r="F468" i="39"/>
  <c r="E468" i="39"/>
  <c r="D468" i="39"/>
  <c r="B468" i="39"/>
  <c r="B464" i="39"/>
  <c r="I463" i="39"/>
  <c r="I464" i="39" s="1"/>
  <c r="H463" i="39"/>
  <c r="H464" i="39" s="1"/>
  <c r="G463" i="39"/>
  <c r="G464" i="39" s="1"/>
  <c r="G465" i="39" s="1"/>
  <c r="F463" i="39"/>
  <c r="F464" i="39" s="1"/>
  <c r="E463" i="39"/>
  <c r="D463" i="39"/>
  <c r="B463" i="39"/>
  <c r="B459" i="39"/>
  <c r="I458" i="39"/>
  <c r="J458" i="39" s="1"/>
  <c r="K458" i="39" s="1"/>
  <c r="L458" i="39" s="1"/>
  <c r="M458" i="39" s="1"/>
  <c r="N458" i="39" s="1"/>
  <c r="O458" i="39" s="1"/>
  <c r="P458" i="39" s="1"/>
  <c r="Q458" i="39" s="1"/>
  <c r="R458" i="39" s="1"/>
  <c r="S458" i="39" s="1"/>
  <c r="T458" i="39" s="1"/>
  <c r="U458" i="39" s="1"/>
  <c r="V458" i="39" s="1"/>
  <c r="W458" i="39" s="1"/>
  <c r="X458" i="39" s="1"/>
  <c r="Y458" i="39" s="1"/>
  <c r="Z458" i="39" s="1"/>
  <c r="AA458" i="39" s="1"/>
  <c r="AB458" i="39" s="1"/>
  <c r="AC458" i="39" s="1"/>
  <c r="AD458" i="39" s="1"/>
  <c r="AE458" i="39" s="1"/>
  <c r="AF458" i="39" s="1"/>
  <c r="AG458" i="39" s="1"/>
  <c r="AH458" i="39" s="1"/>
  <c r="AI458" i="39" s="1"/>
  <c r="AJ458" i="39" s="1"/>
  <c r="AK458" i="39" s="1"/>
  <c r="AL458" i="39" s="1"/>
  <c r="AM458" i="39" s="1"/>
  <c r="AN458" i="39" s="1"/>
  <c r="AO458" i="39" s="1"/>
  <c r="AP458" i="39" s="1"/>
  <c r="AQ458" i="39" s="1"/>
  <c r="AR458" i="39" s="1"/>
  <c r="AS458" i="39" s="1"/>
  <c r="H458" i="39"/>
  <c r="G458" i="39"/>
  <c r="F458" i="39"/>
  <c r="E458" i="39"/>
  <c r="D458" i="39"/>
  <c r="B458" i="39"/>
  <c r="I457" i="39"/>
  <c r="H457" i="39"/>
  <c r="H459" i="39" s="1"/>
  <c r="G457" i="39"/>
  <c r="G459" i="39" s="1"/>
  <c r="F457" i="39"/>
  <c r="E457" i="39"/>
  <c r="D457" i="39"/>
  <c r="D459" i="39" s="1"/>
  <c r="B457" i="39"/>
  <c r="I454" i="39"/>
  <c r="H454" i="39"/>
  <c r="G454" i="39"/>
  <c r="F454" i="39"/>
  <c r="E454" i="39"/>
  <c r="D454" i="39"/>
  <c r="B454" i="39"/>
  <c r="I453" i="39"/>
  <c r="H453" i="39"/>
  <c r="G453" i="39"/>
  <c r="F453" i="39"/>
  <c r="E453" i="39"/>
  <c r="D453" i="39"/>
  <c r="B453" i="39"/>
  <c r="I450" i="39"/>
  <c r="H450" i="39"/>
  <c r="G450" i="39"/>
  <c r="F450" i="39"/>
  <c r="E450" i="39"/>
  <c r="D450" i="39"/>
  <c r="B450" i="39"/>
  <c r="B448" i="39"/>
  <c r="I447" i="39"/>
  <c r="H447" i="39"/>
  <c r="G447" i="39"/>
  <c r="F447" i="39"/>
  <c r="E447" i="39"/>
  <c r="D447" i="39"/>
  <c r="B447" i="39"/>
  <c r="I443" i="39"/>
  <c r="H443" i="39"/>
  <c r="G443" i="39"/>
  <c r="F443" i="39"/>
  <c r="E443" i="39"/>
  <c r="D443" i="39"/>
  <c r="B443" i="39"/>
  <c r="D440" i="39"/>
  <c r="B440" i="39"/>
  <c r="D439" i="39"/>
  <c r="B439" i="39"/>
  <c r="D438" i="39"/>
  <c r="B438" i="39"/>
  <c r="D435" i="39"/>
  <c r="B435" i="39"/>
  <c r="D434" i="39"/>
  <c r="B434" i="39"/>
  <c r="D433" i="39"/>
  <c r="B433" i="39"/>
  <c r="D432" i="39"/>
  <c r="B432" i="39"/>
  <c r="D431" i="39"/>
  <c r="B431" i="39"/>
  <c r="D430" i="39"/>
  <c r="B430" i="39"/>
  <c r="I426" i="39"/>
  <c r="H426" i="39"/>
  <c r="G426" i="39"/>
  <c r="F426" i="39"/>
  <c r="E426" i="39"/>
  <c r="D426" i="39"/>
  <c r="B426" i="39"/>
  <c r="I425" i="39"/>
  <c r="H425" i="39"/>
  <c r="G425" i="39"/>
  <c r="F425" i="39"/>
  <c r="E425" i="39"/>
  <c r="D425" i="39"/>
  <c r="B425" i="39"/>
  <c r="I424" i="39"/>
  <c r="H424" i="39"/>
  <c r="G424" i="39"/>
  <c r="F424" i="39"/>
  <c r="E424" i="39"/>
  <c r="D424" i="39"/>
  <c r="B424" i="39"/>
  <c r="I421" i="39"/>
  <c r="H421" i="39"/>
  <c r="G421" i="39"/>
  <c r="F421" i="39"/>
  <c r="E421" i="39"/>
  <c r="D421" i="39"/>
  <c r="B421" i="39"/>
  <c r="B419" i="39"/>
  <c r="B415" i="39"/>
  <c r="I414" i="39"/>
  <c r="H414" i="39"/>
  <c r="G414" i="39"/>
  <c r="F414" i="39"/>
  <c r="E414" i="39"/>
  <c r="D414" i="39"/>
  <c r="B414" i="39"/>
  <c r="I413" i="39"/>
  <c r="H413" i="39"/>
  <c r="G413" i="39"/>
  <c r="F413" i="39"/>
  <c r="E413" i="39"/>
  <c r="D413" i="39"/>
  <c r="B413" i="39"/>
  <c r="I412" i="39"/>
  <c r="H412" i="39"/>
  <c r="G412" i="39"/>
  <c r="F412" i="39"/>
  <c r="E412" i="39"/>
  <c r="D412" i="39"/>
  <c r="B412" i="39"/>
  <c r="I407" i="39"/>
  <c r="H407" i="39"/>
  <c r="G407" i="39"/>
  <c r="F407" i="39"/>
  <c r="E407" i="39"/>
  <c r="D407" i="39"/>
  <c r="B407" i="39"/>
  <c r="I406" i="39"/>
  <c r="H406" i="39"/>
  <c r="G406" i="39"/>
  <c r="F406" i="39"/>
  <c r="E406" i="39"/>
  <c r="D406" i="39"/>
  <c r="B406" i="39"/>
  <c r="C405" i="39"/>
  <c r="B404" i="39"/>
  <c r="I400" i="39"/>
  <c r="H400" i="39"/>
  <c r="G400" i="39"/>
  <c r="F400" i="39"/>
  <c r="E400" i="39"/>
  <c r="D400" i="39"/>
  <c r="B400" i="39"/>
  <c r="B399" i="39"/>
  <c r="I396" i="39"/>
  <c r="H396" i="39"/>
  <c r="G396" i="39"/>
  <c r="F396" i="39"/>
  <c r="E396" i="39"/>
  <c r="D396" i="39"/>
  <c r="B396" i="39"/>
  <c r="F395" i="39"/>
  <c r="F399" i="39" s="1"/>
  <c r="B395" i="39"/>
  <c r="C392" i="39"/>
  <c r="I391" i="39"/>
  <c r="H391" i="39"/>
  <c r="G391" i="39"/>
  <c r="F391" i="39"/>
  <c r="E391" i="39"/>
  <c r="D391" i="39"/>
  <c r="B391" i="39"/>
  <c r="AW390" i="39"/>
  <c r="AV390" i="39"/>
  <c r="AU390" i="39"/>
  <c r="AT390" i="39"/>
  <c r="AS390" i="39"/>
  <c r="AR390" i="39"/>
  <c r="AQ390" i="39"/>
  <c r="AP390" i="39"/>
  <c r="AO390" i="39"/>
  <c r="AN390" i="39"/>
  <c r="AM390" i="39"/>
  <c r="AL390" i="39"/>
  <c r="AK390" i="39"/>
  <c r="AJ390" i="39"/>
  <c r="AI390" i="39"/>
  <c r="AH390" i="39"/>
  <c r="AG390" i="39"/>
  <c r="AF390" i="39"/>
  <c r="AE390" i="39"/>
  <c r="AD390" i="39"/>
  <c r="AC390" i="39"/>
  <c r="AB390" i="39"/>
  <c r="AA390" i="39"/>
  <c r="Z390" i="39"/>
  <c r="Y390" i="39"/>
  <c r="X390" i="39"/>
  <c r="W390" i="39"/>
  <c r="V390" i="39"/>
  <c r="U390" i="39"/>
  <c r="T390" i="39"/>
  <c r="S390" i="39"/>
  <c r="R390" i="39"/>
  <c r="Q390" i="39"/>
  <c r="P390" i="39"/>
  <c r="O390" i="39"/>
  <c r="N390" i="39"/>
  <c r="M390" i="39"/>
  <c r="L390" i="39"/>
  <c r="K390" i="39"/>
  <c r="J390" i="39"/>
  <c r="I390" i="39"/>
  <c r="H390" i="39"/>
  <c r="G390" i="39"/>
  <c r="F390" i="39"/>
  <c r="E390" i="39"/>
  <c r="D390" i="39"/>
  <c r="B390" i="39"/>
  <c r="AW389" i="39"/>
  <c r="AW152" i="39" s="1"/>
  <c r="AV389" i="39"/>
  <c r="AV152" i="39" s="1"/>
  <c r="AU389" i="39"/>
  <c r="AU152" i="39" s="1"/>
  <c r="AT389" i="39"/>
  <c r="AT152" i="39" s="1"/>
  <c r="AS389" i="39"/>
  <c r="AS152" i="39" s="1"/>
  <c r="AR389" i="39"/>
  <c r="AR152" i="39" s="1"/>
  <c r="AQ389" i="39"/>
  <c r="AQ152" i="39" s="1"/>
  <c r="AP389" i="39"/>
  <c r="AP152" i="39" s="1"/>
  <c r="AO389" i="39"/>
  <c r="AO152" i="39" s="1"/>
  <c r="AN389" i="39"/>
  <c r="AN152" i="39" s="1"/>
  <c r="AM389" i="39"/>
  <c r="AM152" i="39" s="1"/>
  <c r="AL389" i="39"/>
  <c r="AL152" i="39" s="1"/>
  <c r="AK389" i="39"/>
  <c r="AK152" i="39" s="1"/>
  <c r="AJ389" i="39"/>
  <c r="AI389" i="39"/>
  <c r="AH389" i="39"/>
  <c r="AH152" i="39" s="1"/>
  <c r="AG389" i="39"/>
  <c r="AG152" i="39" s="1"/>
  <c r="AF389" i="39"/>
  <c r="AF152" i="39" s="1"/>
  <c r="AE389" i="39"/>
  <c r="AE152" i="39" s="1"/>
  <c r="AD389" i="39"/>
  <c r="AD152" i="39" s="1"/>
  <c r="AC389" i="39"/>
  <c r="AC152" i="39" s="1"/>
  <c r="AB389" i="39"/>
  <c r="AB152" i="39" s="1"/>
  <c r="AA389" i="39"/>
  <c r="AA152" i="39" s="1"/>
  <c r="Z389" i="39"/>
  <c r="Z152" i="39" s="1"/>
  <c r="Y389" i="39"/>
  <c r="Y152" i="39" s="1"/>
  <c r="X389" i="39"/>
  <c r="W389" i="39"/>
  <c r="W152" i="39" s="1"/>
  <c r="V389" i="39"/>
  <c r="V152" i="39" s="1"/>
  <c r="U389" i="39"/>
  <c r="U152" i="39" s="1"/>
  <c r="T389" i="39"/>
  <c r="T152" i="39" s="1"/>
  <c r="S389" i="39"/>
  <c r="S152" i="39" s="1"/>
  <c r="R389" i="39"/>
  <c r="R152" i="39" s="1"/>
  <c r="Q389" i="39"/>
  <c r="Q152" i="39" s="1"/>
  <c r="P389" i="39"/>
  <c r="P152" i="39" s="1"/>
  <c r="O389" i="39"/>
  <c r="O152" i="39" s="1"/>
  <c r="N389" i="39"/>
  <c r="N152" i="39" s="1"/>
  <c r="M389" i="39"/>
  <c r="M152" i="39" s="1"/>
  <c r="L389" i="39"/>
  <c r="K389" i="39"/>
  <c r="K152" i="39" s="1"/>
  <c r="J389" i="39"/>
  <c r="J152" i="39" s="1"/>
  <c r="I389" i="39"/>
  <c r="I152" i="39" s="1"/>
  <c r="H389" i="39"/>
  <c r="G389" i="39"/>
  <c r="G152" i="39" s="1"/>
  <c r="F389" i="39"/>
  <c r="F152" i="39" s="1"/>
  <c r="E389" i="39"/>
  <c r="E152" i="39" s="1"/>
  <c r="D389" i="39"/>
  <c r="D152" i="39" s="1"/>
  <c r="B389" i="39"/>
  <c r="AW388" i="39"/>
  <c r="AV388" i="39"/>
  <c r="AU388" i="39"/>
  <c r="AT388" i="39"/>
  <c r="AS388" i="39"/>
  <c r="AR388" i="39"/>
  <c r="AQ388" i="39"/>
  <c r="AP388" i="39"/>
  <c r="AO388" i="39"/>
  <c r="AN388" i="39"/>
  <c r="AM388" i="39"/>
  <c r="AL388" i="39"/>
  <c r="AK388" i="39"/>
  <c r="AJ388" i="39"/>
  <c r="AI388" i="39"/>
  <c r="AH388" i="39"/>
  <c r="AG388" i="39"/>
  <c r="AF388" i="39"/>
  <c r="AE388" i="39"/>
  <c r="AD388" i="39"/>
  <c r="AC388" i="39"/>
  <c r="AB388" i="39"/>
  <c r="AA388" i="39"/>
  <c r="Z388" i="39"/>
  <c r="Y388" i="39"/>
  <c r="X388" i="39"/>
  <c r="W388" i="39"/>
  <c r="V388" i="39"/>
  <c r="U388" i="39"/>
  <c r="T388" i="39"/>
  <c r="S388" i="39"/>
  <c r="R388" i="39"/>
  <c r="Q388" i="39"/>
  <c r="P388" i="39"/>
  <c r="O388" i="39"/>
  <c r="N388" i="39"/>
  <c r="M388" i="39"/>
  <c r="L388" i="39"/>
  <c r="K388" i="39"/>
  <c r="J388" i="39"/>
  <c r="I388" i="39"/>
  <c r="H388" i="39"/>
  <c r="G388" i="39"/>
  <c r="F388" i="39"/>
  <c r="E388" i="39"/>
  <c r="D388" i="39"/>
  <c r="B388" i="39"/>
  <c r="AW387" i="39"/>
  <c r="AV387" i="39"/>
  <c r="AU387" i="39"/>
  <c r="AT387" i="39"/>
  <c r="AS387" i="39"/>
  <c r="AR387" i="39"/>
  <c r="AQ387" i="39"/>
  <c r="AP387" i="39"/>
  <c r="AO387" i="39"/>
  <c r="AN387" i="39"/>
  <c r="AM387" i="39"/>
  <c r="AL387" i="39"/>
  <c r="AK387" i="39"/>
  <c r="AJ387" i="39"/>
  <c r="AI387" i="39"/>
  <c r="AH387" i="39"/>
  <c r="AG387" i="39"/>
  <c r="AF387" i="39"/>
  <c r="AE387" i="39"/>
  <c r="AD387" i="39"/>
  <c r="AC387" i="39"/>
  <c r="AB387" i="39"/>
  <c r="AA387" i="39"/>
  <c r="Z387" i="39"/>
  <c r="Y387" i="39"/>
  <c r="X387" i="39"/>
  <c r="W387" i="39"/>
  <c r="V387" i="39"/>
  <c r="U387" i="39"/>
  <c r="T387" i="39"/>
  <c r="S387" i="39"/>
  <c r="R387" i="39"/>
  <c r="Q387" i="39"/>
  <c r="P387" i="39"/>
  <c r="O387" i="39"/>
  <c r="N387" i="39"/>
  <c r="M387" i="39"/>
  <c r="L387" i="39"/>
  <c r="K387" i="39"/>
  <c r="J387" i="39"/>
  <c r="I387" i="39"/>
  <c r="H387" i="39"/>
  <c r="G387" i="39"/>
  <c r="F387" i="39"/>
  <c r="E387" i="39"/>
  <c r="D387" i="39"/>
  <c r="B387" i="39"/>
  <c r="AW386" i="39"/>
  <c r="AV386" i="39"/>
  <c r="AU386" i="39"/>
  <c r="AT386" i="39"/>
  <c r="AS386" i="39"/>
  <c r="AR386" i="39"/>
  <c r="AQ386" i="39"/>
  <c r="AP386" i="39"/>
  <c r="AO386" i="39"/>
  <c r="AN386" i="39"/>
  <c r="AM386" i="39"/>
  <c r="AL386" i="39"/>
  <c r="AK386" i="39"/>
  <c r="AJ386" i="39"/>
  <c r="AI386" i="39"/>
  <c r="AH386" i="39"/>
  <c r="AG386" i="39"/>
  <c r="AF386" i="39"/>
  <c r="AE386" i="39"/>
  <c r="AD386" i="39"/>
  <c r="AC386" i="39"/>
  <c r="AB386" i="39"/>
  <c r="AA386" i="39"/>
  <c r="Z386" i="39"/>
  <c r="Y386" i="39"/>
  <c r="X386" i="39"/>
  <c r="W386" i="39"/>
  <c r="V386" i="39"/>
  <c r="U386" i="39"/>
  <c r="T386" i="39"/>
  <c r="S386" i="39"/>
  <c r="R386" i="39"/>
  <c r="Q386" i="39"/>
  <c r="P386" i="39"/>
  <c r="O386" i="39"/>
  <c r="N386" i="39"/>
  <c r="M386" i="39"/>
  <c r="L386" i="39"/>
  <c r="K386" i="39"/>
  <c r="J386" i="39"/>
  <c r="I386" i="39"/>
  <c r="H386" i="39"/>
  <c r="G386" i="39"/>
  <c r="F386" i="39"/>
  <c r="E386" i="39"/>
  <c r="D386" i="39"/>
  <c r="B386" i="39"/>
  <c r="B382" i="39"/>
  <c r="I381" i="39"/>
  <c r="H381" i="39"/>
  <c r="G381" i="39"/>
  <c r="F381" i="39"/>
  <c r="E381" i="39"/>
  <c r="D381" i="39"/>
  <c r="B381" i="39"/>
  <c r="B377" i="39"/>
  <c r="I374" i="39"/>
  <c r="H374" i="39"/>
  <c r="G374" i="39"/>
  <c r="F374" i="39"/>
  <c r="E374" i="39"/>
  <c r="D374" i="39"/>
  <c r="B374" i="39"/>
  <c r="I373" i="39"/>
  <c r="H373" i="39"/>
  <c r="G373" i="39"/>
  <c r="F373" i="39"/>
  <c r="E373" i="39"/>
  <c r="D373" i="39"/>
  <c r="B373" i="39"/>
  <c r="I372" i="39"/>
  <c r="H372" i="39"/>
  <c r="G372" i="39"/>
  <c r="F372" i="39"/>
  <c r="E372" i="39"/>
  <c r="D372" i="39"/>
  <c r="B372" i="39"/>
  <c r="C370" i="39"/>
  <c r="I369" i="39"/>
  <c r="H369" i="39"/>
  <c r="G369" i="39"/>
  <c r="F369" i="39"/>
  <c r="E369" i="39"/>
  <c r="D369" i="39"/>
  <c r="B369" i="39"/>
  <c r="AW368" i="39"/>
  <c r="AW484" i="39" s="1"/>
  <c r="AV368" i="39"/>
  <c r="AV484" i="39" s="1"/>
  <c r="AU368" i="39"/>
  <c r="AU484" i="39" s="1"/>
  <c r="AT368" i="39"/>
  <c r="AT484" i="39" s="1"/>
  <c r="AS368" i="39"/>
  <c r="AS484" i="39" s="1"/>
  <c r="AR368" i="39"/>
  <c r="AR484" i="39" s="1"/>
  <c r="AQ368" i="39"/>
  <c r="AQ484" i="39" s="1"/>
  <c r="AP368" i="39"/>
  <c r="AP484" i="39" s="1"/>
  <c r="AO368" i="39"/>
  <c r="AO484" i="39" s="1"/>
  <c r="AN368" i="39"/>
  <c r="AN484" i="39" s="1"/>
  <c r="AM368" i="39"/>
  <c r="AM484" i="39" s="1"/>
  <c r="AL368" i="39"/>
  <c r="AL484" i="39" s="1"/>
  <c r="AK368" i="39"/>
  <c r="AK484" i="39" s="1"/>
  <c r="AJ368" i="39"/>
  <c r="AJ484" i="39" s="1"/>
  <c r="AI368" i="39"/>
  <c r="AI484" i="39" s="1"/>
  <c r="AH368" i="39"/>
  <c r="AH484" i="39" s="1"/>
  <c r="AG368" i="39"/>
  <c r="AG484" i="39" s="1"/>
  <c r="AF368" i="39"/>
  <c r="AF484" i="39" s="1"/>
  <c r="AE368" i="39"/>
  <c r="AE484" i="39" s="1"/>
  <c r="AD368" i="39"/>
  <c r="AD484" i="39" s="1"/>
  <c r="AC368" i="39"/>
  <c r="AC484" i="39" s="1"/>
  <c r="AB368" i="39"/>
  <c r="AB484" i="39" s="1"/>
  <c r="AA368" i="39"/>
  <c r="AA484" i="39" s="1"/>
  <c r="Z368" i="39"/>
  <c r="Z484" i="39" s="1"/>
  <c r="Y368" i="39"/>
  <c r="Y484" i="39" s="1"/>
  <c r="X368" i="39"/>
  <c r="X484" i="39" s="1"/>
  <c r="W368" i="39"/>
  <c r="W484" i="39" s="1"/>
  <c r="V368" i="39"/>
  <c r="V484" i="39" s="1"/>
  <c r="U368" i="39"/>
  <c r="U484" i="39" s="1"/>
  <c r="T368" i="39"/>
  <c r="T484" i="39" s="1"/>
  <c r="S368" i="39"/>
  <c r="S484" i="39" s="1"/>
  <c r="R368" i="39"/>
  <c r="R484" i="39" s="1"/>
  <c r="Q368" i="39"/>
  <c r="Q484" i="39" s="1"/>
  <c r="P368" i="39"/>
  <c r="P484" i="39" s="1"/>
  <c r="O368" i="39"/>
  <c r="O484" i="39" s="1"/>
  <c r="N368" i="39"/>
  <c r="N484" i="39" s="1"/>
  <c r="M368" i="39"/>
  <c r="M484" i="39" s="1"/>
  <c r="L368" i="39"/>
  <c r="L484" i="39" s="1"/>
  <c r="K368" i="39"/>
  <c r="K484" i="39" s="1"/>
  <c r="J368" i="39"/>
  <c r="J484" i="39" s="1"/>
  <c r="I368" i="39"/>
  <c r="I484" i="39" s="1"/>
  <c r="H368" i="39"/>
  <c r="H484" i="39" s="1"/>
  <c r="G368" i="39"/>
  <c r="G484" i="39" s="1"/>
  <c r="F368" i="39"/>
  <c r="F484" i="39" s="1"/>
  <c r="E368" i="39"/>
  <c r="E484" i="39" s="1"/>
  <c r="D368" i="39"/>
  <c r="D484" i="39" s="1"/>
  <c r="B368" i="39"/>
  <c r="I366" i="39"/>
  <c r="H366" i="39"/>
  <c r="G366" i="39"/>
  <c r="F366" i="39"/>
  <c r="E366" i="39"/>
  <c r="D366" i="39"/>
  <c r="B366" i="39"/>
  <c r="I365" i="39"/>
  <c r="H365" i="39"/>
  <c r="G365" i="39"/>
  <c r="F365" i="39"/>
  <c r="E365" i="39"/>
  <c r="D365" i="39"/>
  <c r="B365" i="39"/>
  <c r="AW364" i="39"/>
  <c r="AV364" i="39"/>
  <c r="AU364" i="39"/>
  <c r="AT364" i="39"/>
  <c r="AS364" i="39"/>
  <c r="AR364" i="39"/>
  <c r="AQ364" i="39"/>
  <c r="AP364" i="39"/>
  <c r="AO364" i="39"/>
  <c r="AN364" i="39"/>
  <c r="AM364" i="39"/>
  <c r="AL364" i="39"/>
  <c r="AK364" i="39"/>
  <c r="AJ364" i="39"/>
  <c r="AI364" i="39"/>
  <c r="AH364" i="39"/>
  <c r="AG364" i="39"/>
  <c r="AF364" i="39"/>
  <c r="AE364" i="39"/>
  <c r="AD364" i="39"/>
  <c r="AC364" i="39"/>
  <c r="AB364" i="39"/>
  <c r="AA364" i="39"/>
  <c r="Z364" i="39"/>
  <c r="Y364" i="39"/>
  <c r="X364" i="39"/>
  <c r="W364" i="39"/>
  <c r="V364" i="39"/>
  <c r="U364" i="39"/>
  <c r="T364" i="39"/>
  <c r="S364" i="39"/>
  <c r="R364" i="39"/>
  <c r="Q364" i="39"/>
  <c r="P364" i="39"/>
  <c r="O364" i="39"/>
  <c r="N364" i="39"/>
  <c r="M364" i="39"/>
  <c r="L364" i="39"/>
  <c r="K364" i="39"/>
  <c r="J364" i="39"/>
  <c r="I364" i="39"/>
  <c r="H364" i="39"/>
  <c r="G364" i="39"/>
  <c r="F364" i="39"/>
  <c r="E364" i="39"/>
  <c r="D364" i="39"/>
  <c r="B364" i="39"/>
  <c r="I363" i="39"/>
  <c r="H363" i="39"/>
  <c r="G363" i="39"/>
  <c r="F363" i="39"/>
  <c r="E363" i="39"/>
  <c r="D363" i="39"/>
  <c r="B363" i="39"/>
  <c r="B359" i="39"/>
  <c r="I358" i="39"/>
  <c r="H358" i="39"/>
  <c r="G358" i="39"/>
  <c r="F358" i="39"/>
  <c r="E358" i="39"/>
  <c r="D358" i="39"/>
  <c r="B358" i="39"/>
  <c r="I357" i="39"/>
  <c r="J357" i="39" s="1"/>
  <c r="K357" i="39" s="1"/>
  <c r="L357" i="39" s="1"/>
  <c r="M357" i="39" s="1"/>
  <c r="N357" i="39" s="1"/>
  <c r="O357" i="39" s="1"/>
  <c r="P357" i="39" s="1"/>
  <c r="Q357" i="39" s="1"/>
  <c r="R357" i="39" s="1"/>
  <c r="S357" i="39" s="1"/>
  <c r="T357" i="39" s="1"/>
  <c r="U357" i="39" s="1"/>
  <c r="V357" i="39" s="1"/>
  <c r="W357" i="39" s="1"/>
  <c r="X357" i="39" s="1"/>
  <c r="Y357" i="39" s="1"/>
  <c r="Z357" i="39" s="1"/>
  <c r="AA357" i="39" s="1"/>
  <c r="AB357" i="39" s="1"/>
  <c r="AC357" i="39" s="1"/>
  <c r="AD357" i="39" s="1"/>
  <c r="AE357" i="39" s="1"/>
  <c r="AF357" i="39" s="1"/>
  <c r="AG357" i="39" s="1"/>
  <c r="AH357" i="39" s="1"/>
  <c r="AI357" i="39" s="1"/>
  <c r="AJ357" i="39" s="1"/>
  <c r="AK357" i="39" s="1"/>
  <c r="AL357" i="39" s="1"/>
  <c r="AM357" i="39" s="1"/>
  <c r="AN357" i="39" s="1"/>
  <c r="AO357" i="39" s="1"/>
  <c r="AP357" i="39" s="1"/>
  <c r="AQ357" i="39" s="1"/>
  <c r="AR357" i="39" s="1"/>
  <c r="AS357" i="39" s="1"/>
  <c r="H357" i="39"/>
  <c r="G357" i="39"/>
  <c r="F357" i="39"/>
  <c r="E357" i="39"/>
  <c r="D357" i="39"/>
  <c r="B357" i="39"/>
  <c r="B355" i="39"/>
  <c r="B354" i="39"/>
  <c r="B350" i="39"/>
  <c r="I349" i="39"/>
  <c r="H349" i="39"/>
  <c r="G349" i="39"/>
  <c r="F349" i="39"/>
  <c r="E349" i="39"/>
  <c r="D349" i="39"/>
  <c r="B349" i="39"/>
  <c r="I348" i="39"/>
  <c r="J348" i="39" s="1"/>
  <c r="K348" i="39" s="1"/>
  <c r="L348" i="39" s="1"/>
  <c r="M348" i="39" s="1"/>
  <c r="N348" i="39" s="1"/>
  <c r="O348" i="39" s="1"/>
  <c r="P348" i="39" s="1"/>
  <c r="Q348" i="39" s="1"/>
  <c r="R348" i="39" s="1"/>
  <c r="S348" i="39" s="1"/>
  <c r="T348" i="39" s="1"/>
  <c r="U348" i="39" s="1"/>
  <c r="V348" i="39" s="1"/>
  <c r="W348" i="39" s="1"/>
  <c r="X348" i="39" s="1"/>
  <c r="Y348" i="39" s="1"/>
  <c r="Z348" i="39" s="1"/>
  <c r="AA348" i="39" s="1"/>
  <c r="AB348" i="39" s="1"/>
  <c r="AC348" i="39" s="1"/>
  <c r="AD348" i="39" s="1"/>
  <c r="AE348" i="39" s="1"/>
  <c r="AF348" i="39" s="1"/>
  <c r="AG348" i="39" s="1"/>
  <c r="AH348" i="39" s="1"/>
  <c r="AI348" i="39" s="1"/>
  <c r="AJ348" i="39" s="1"/>
  <c r="AK348" i="39" s="1"/>
  <c r="AL348" i="39" s="1"/>
  <c r="AM348" i="39" s="1"/>
  <c r="AN348" i="39" s="1"/>
  <c r="AO348" i="39" s="1"/>
  <c r="AP348" i="39" s="1"/>
  <c r="AQ348" i="39" s="1"/>
  <c r="AR348" i="39" s="1"/>
  <c r="AS348" i="39" s="1"/>
  <c r="H348" i="39"/>
  <c r="G348" i="39"/>
  <c r="F348" i="39"/>
  <c r="E348" i="39"/>
  <c r="D348" i="39"/>
  <c r="B348" i="39"/>
  <c r="B346" i="39"/>
  <c r="I342" i="39"/>
  <c r="H342" i="39"/>
  <c r="G342" i="39"/>
  <c r="F342" i="39"/>
  <c r="E342" i="39"/>
  <c r="D342" i="39"/>
  <c r="B342" i="39"/>
  <c r="B340" i="39"/>
  <c r="I339" i="39"/>
  <c r="H339" i="39"/>
  <c r="G339" i="39"/>
  <c r="F339" i="39"/>
  <c r="E339" i="39"/>
  <c r="D339" i="39"/>
  <c r="B339" i="39"/>
  <c r="I335" i="39"/>
  <c r="H335" i="39"/>
  <c r="G335" i="39"/>
  <c r="F335" i="39"/>
  <c r="E335" i="39"/>
  <c r="D335" i="39"/>
  <c r="B335" i="39"/>
  <c r="B332" i="39"/>
  <c r="I329" i="39"/>
  <c r="I47" i="39" s="1"/>
  <c r="H329" i="39"/>
  <c r="H47" i="39" s="1"/>
  <c r="G329" i="39"/>
  <c r="G47" i="39" s="1"/>
  <c r="F329" i="39"/>
  <c r="E329" i="39"/>
  <c r="E47" i="39" s="1"/>
  <c r="D329" i="39"/>
  <c r="D47" i="39" s="1"/>
  <c r="B329" i="39"/>
  <c r="I328" i="39"/>
  <c r="H328" i="39"/>
  <c r="G328" i="39"/>
  <c r="F328" i="39"/>
  <c r="E328" i="39"/>
  <c r="D328" i="39"/>
  <c r="B328" i="39"/>
  <c r="B324" i="39"/>
  <c r="I323" i="39"/>
  <c r="H323" i="39"/>
  <c r="G323" i="39"/>
  <c r="F323" i="39"/>
  <c r="E323" i="39"/>
  <c r="D323" i="39"/>
  <c r="B323" i="39"/>
  <c r="I322" i="39"/>
  <c r="H322" i="39"/>
  <c r="G322" i="39"/>
  <c r="F322" i="39"/>
  <c r="E322" i="39"/>
  <c r="D322" i="39"/>
  <c r="B322" i="39"/>
  <c r="I321" i="39"/>
  <c r="H321" i="39"/>
  <c r="G321" i="39"/>
  <c r="F321" i="39"/>
  <c r="E321" i="39"/>
  <c r="D321" i="39"/>
  <c r="B321" i="39"/>
  <c r="I318" i="39"/>
  <c r="H318" i="39"/>
  <c r="G318" i="39"/>
  <c r="F318" i="39"/>
  <c r="E318" i="39"/>
  <c r="D318" i="39"/>
  <c r="B318" i="39"/>
  <c r="I317" i="39"/>
  <c r="H317" i="39"/>
  <c r="G317" i="39"/>
  <c r="F317" i="39"/>
  <c r="E317" i="39"/>
  <c r="D317" i="39"/>
  <c r="B317" i="39"/>
  <c r="I316" i="39"/>
  <c r="H316" i="39"/>
  <c r="G316" i="39"/>
  <c r="F316" i="39"/>
  <c r="E316" i="39"/>
  <c r="D316" i="39"/>
  <c r="B316" i="39"/>
  <c r="I313" i="39"/>
  <c r="H313" i="39"/>
  <c r="G313" i="39"/>
  <c r="F313" i="39"/>
  <c r="E313" i="39"/>
  <c r="D313" i="39"/>
  <c r="B313" i="39"/>
  <c r="I312" i="39"/>
  <c r="H312" i="39"/>
  <c r="G312" i="39"/>
  <c r="F312" i="39"/>
  <c r="E312" i="39"/>
  <c r="D312" i="39"/>
  <c r="B312" i="39"/>
  <c r="D309" i="39"/>
  <c r="B309" i="39"/>
  <c r="D308" i="39"/>
  <c r="B308" i="39"/>
  <c r="D305" i="39"/>
  <c r="B305" i="39"/>
  <c r="D304" i="39"/>
  <c r="B304" i="39"/>
  <c r="D301" i="39"/>
  <c r="B301" i="39"/>
  <c r="D300" i="39"/>
  <c r="B300" i="39"/>
  <c r="D297" i="39"/>
  <c r="B297" i="39"/>
  <c r="D296" i="39"/>
  <c r="B296" i="39"/>
  <c r="D293" i="39"/>
  <c r="B293" i="39"/>
  <c r="B291" i="39"/>
  <c r="I285" i="39"/>
  <c r="H285" i="39"/>
  <c r="G285" i="39"/>
  <c r="F285" i="39"/>
  <c r="E285" i="39"/>
  <c r="D285" i="39"/>
  <c r="I284" i="39"/>
  <c r="H284" i="39"/>
  <c r="G284" i="39"/>
  <c r="F284" i="39"/>
  <c r="E284" i="39"/>
  <c r="D284" i="39"/>
  <c r="I283" i="39"/>
  <c r="H283" i="39"/>
  <c r="G283" i="39"/>
  <c r="F283" i="39"/>
  <c r="E283" i="39"/>
  <c r="D283" i="39"/>
  <c r="D280" i="39"/>
  <c r="B280" i="39"/>
  <c r="D279" i="39"/>
  <c r="B279" i="39"/>
  <c r="D276" i="39"/>
  <c r="B276" i="39"/>
  <c r="D275" i="39"/>
  <c r="B275" i="39"/>
  <c r="D272" i="39"/>
  <c r="B272" i="39"/>
  <c r="B270" i="39"/>
  <c r="I269" i="39"/>
  <c r="H269" i="39"/>
  <c r="G269" i="39"/>
  <c r="F269" i="39"/>
  <c r="E269" i="39"/>
  <c r="D269" i="39"/>
  <c r="AW265" i="39"/>
  <c r="AV265" i="39"/>
  <c r="AU265" i="39"/>
  <c r="AT265" i="39"/>
  <c r="AS265" i="39"/>
  <c r="AR265" i="39"/>
  <c r="AQ265" i="39"/>
  <c r="AP265" i="39"/>
  <c r="AO265" i="39"/>
  <c r="AN265" i="39"/>
  <c r="AM265" i="39"/>
  <c r="AL265" i="39"/>
  <c r="AK265" i="39"/>
  <c r="AJ265" i="39"/>
  <c r="AI265" i="39"/>
  <c r="AH265" i="39"/>
  <c r="AG265" i="39"/>
  <c r="AF265" i="39"/>
  <c r="AE265" i="39"/>
  <c r="AD265" i="39"/>
  <c r="AC265" i="39"/>
  <c r="AB265" i="39"/>
  <c r="AA265" i="39"/>
  <c r="Z265" i="39"/>
  <c r="Y265" i="39"/>
  <c r="X265" i="39"/>
  <c r="W265" i="39"/>
  <c r="V265" i="39"/>
  <c r="U265" i="39"/>
  <c r="T265" i="39"/>
  <c r="S265" i="39"/>
  <c r="R265" i="39"/>
  <c r="Q265" i="39"/>
  <c r="P265" i="39"/>
  <c r="O265" i="39"/>
  <c r="N265" i="39"/>
  <c r="M265" i="39"/>
  <c r="L265" i="39"/>
  <c r="K265" i="39"/>
  <c r="J265" i="39"/>
  <c r="I265" i="39"/>
  <c r="H265" i="39"/>
  <c r="G265" i="39"/>
  <c r="F265" i="39"/>
  <c r="E265" i="39"/>
  <c r="D265" i="39"/>
  <c r="AW264" i="39"/>
  <c r="AV264" i="39"/>
  <c r="AU264" i="39"/>
  <c r="AT264" i="39"/>
  <c r="AS264" i="39"/>
  <c r="AR264" i="39"/>
  <c r="AQ264" i="39"/>
  <c r="AP264" i="39"/>
  <c r="AO264" i="39"/>
  <c r="AN264" i="39"/>
  <c r="AM264" i="39"/>
  <c r="AL264" i="39"/>
  <c r="AK264" i="39"/>
  <c r="AJ264" i="39"/>
  <c r="AI264" i="39"/>
  <c r="AH264" i="39"/>
  <c r="AG264" i="39"/>
  <c r="AF264" i="39"/>
  <c r="AE264" i="39"/>
  <c r="AD264" i="39"/>
  <c r="AC264" i="39"/>
  <c r="AB264" i="39"/>
  <c r="AA264" i="39"/>
  <c r="Z264" i="39"/>
  <c r="Y264" i="39"/>
  <c r="X264" i="39"/>
  <c r="W264" i="39"/>
  <c r="V264" i="39"/>
  <c r="U264" i="39"/>
  <c r="T264" i="39"/>
  <c r="S264" i="39"/>
  <c r="R264" i="39"/>
  <c r="Q264" i="39"/>
  <c r="P264" i="39"/>
  <c r="O264" i="39"/>
  <c r="N264" i="39"/>
  <c r="M264" i="39"/>
  <c r="L264" i="39"/>
  <c r="K264" i="39"/>
  <c r="J264" i="39"/>
  <c r="I264" i="39"/>
  <c r="H264" i="39"/>
  <c r="G264" i="39"/>
  <c r="F264" i="39"/>
  <c r="E264" i="39"/>
  <c r="D264" i="39"/>
  <c r="AW263" i="39"/>
  <c r="AV263" i="39"/>
  <c r="AU263" i="39"/>
  <c r="AT263" i="39"/>
  <c r="AS263" i="39"/>
  <c r="AR263" i="39"/>
  <c r="AQ263" i="39"/>
  <c r="AP263" i="39"/>
  <c r="AO263" i="39"/>
  <c r="AN263" i="39"/>
  <c r="AM263" i="39"/>
  <c r="AL263" i="39"/>
  <c r="AK263" i="39"/>
  <c r="AJ263" i="39"/>
  <c r="AI263" i="39"/>
  <c r="AH263" i="39"/>
  <c r="AG263" i="39"/>
  <c r="AF263" i="39"/>
  <c r="AE263" i="39"/>
  <c r="AD263" i="39"/>
  <c r="AC263" i="39"/>
  <c r="AB263" i="39"/>
  <c r="AA263" i="39"/>
  <c r="Z263" i="39"/>
  <c r="Y263" i="39"/>
  <c r="X263" i="39"/>
  <c r="W263" i="39"/>
  <c r="V263" i="39"/>
  <c r="U263" i="39"/>
  <c r="T263" i="39"/>
  <c r="S263" i="39"/>
  <c r="R263" i="39"/>
  <c r="Q263" i="39"/>
  <c r="P263" i="39"/>
  <c r="O263" i="39"/>
  <c r="N263" i="39"/>
  <c r="M263" i="39"/>
  <c r="L263" i="39"/>
  <c r="K263" i="39"/>
  <c r="J263" i="39"/>
  <c r="I263" i="39"/>
  <c r="H263" i="39"/>
  <c r="G263" i="39"/>
  <c r="F263" i="39"/>
  <c r="E263" i="39"/>
  <c r="D263" i="39"/>
  <c r="AW262" i="39"/>
  <c r="AV262" i="39"/>
  <c r="AU262" i="39"/>
  <c r="AT262" i="39"/>
  <c r="AS262" i="39"/>
  <c r="AR262" i="39"/>
  <c r="AQ262" i="39"/>
  <c r="AP262" i="39"/>
  <c r="AO262" i="39"/>
  <c r="AN262" i="39"/>
  <c r="AM262" i="39"/>
  <c r="AL262" i="39"/>
  <c r="AK262" i="39"/>
  <c r="AJ262" i="39"/>
  <c r="AI262" i="39"/>
  <c r="AH262" i="39"/>
  <c r="AG262" i="39"/>
  <c r="AF262" i="39"/>
  <c r="AE262" i="39"/>
  <c r="AD262" i="39"/>
  <c r="AC262" i="39"/>
  <c r="AB262" i="39"/>
  <c r="AA262" i="39"/>
  <c r="Z262" i="39"/>
  <c r="Y262" i="39"/>
  <c r="X262" i="39"/>
  <c r="W262" i="39"/>
  <c r="V262" i="39"/>
  <c r="U262" i="39"/>
  <c r="T262" i="39"/>
  <c r="S262" i="39"/>
  <c r="R262" i="39"/>
  <c r="Q262" i="39"/>
  <c r="P262" i="39"/>
  <c r="O262" i="39"/>
  <c r="N262" i="39"/>
  <c r="M262" i="39"/>
  <c r="L262" i="39"/>
  <c r="K262" i="39"/>
  <c r="J262" i="39"/>
  <c r="I262" i="39"/>
  <c r="H262" i="39"/>
  <c r="G262" i="39"/>
  <c r="F262" i="39"/>
  <c r="E262" i="39"/>
  <c r="D262" i="39"/>
  <c r="B261" i="39"/>
  <c r="B259" i="39"/>
  <c r="I258" i="39"/>
  <c r="H258" i="39"/>
  <c r="G258" i="39"/>
  <c r="F258" i="39"/>
  <c r="E258" i="39"/>
  <c r="D258" i="39"/>
  <c r="B258" i="39"/>
  <c r="D256" i="39"/>
  <c r="B256" i="39"/>
  <c r="I255" i="39"/>
  <c r="D253" i="39"/>
  <c r="D252" i="39"/>
  <c r="D251" i="39"/>
  <c r="D250" i="39"/>
  <c r="B246" i="39"/>
  <c r="B243" i="39"/>
  <c r="B241" i="39"/>
  <c r="I240" i="39"/>
  <c r="H240" i="39"/>
  <c r="G240" i="39"/>
  <c r="F240" i="39"/>
  <c r="E240" i="39"/>
  <c r="D240" i="39"/>
  <c r="B240" i="39"/>
  <c r="D239" i="39"/>
  <c r="B239" i="39"/>
  <c r="I236" i="39"/>
  <c r="J236" i="39" s="1"/>
  <c r="K236" i="39" s="1"/>
  <c r="H236" i="39"/>
  <c r="G236" i="39"/>
  <c r="F236" i="39"/>
  <c r="E236" i="39"/>
  <c r="D236" i="39"/>
  <c r="B236" i="39"/>
  <c r="I235" i="39"/>
  <c r="J235" i="39" s="1"/>
  <c r="K235" i="39" s="1"/>
  <c r="L235" i="39" s="1"/>
  <c r="M235" i="39" s="1"/>
  <c r="N235" i="39" s="1"/>
  <c r="O235" i="39" s="1"/>
  <c r="P235" i="39" s="1"/>
  <c r="Q235" i="39" s="1"/>
  <c r="R235" i="39" s="1"/>
  <c r="S235" i="39" s="1"/>
  <c r="T235" i="39" s="1"/>
  <c r="U235" i="39" s="1"/>
  <c r="V235" i="39" s="1"/>
  <c r="W235" i="39" s="1"/>
  <c r="X235" i="39" s="1"/>
  <c r="Y235" i="39" s="1"/>
  <c r="Z235" i="39" s="1"/>
  <c r="AA235" i="39" s="1"/>
  <c r="AB235" i="39" s="1"/>
  <c r="AC235" i="39" s="1"/>
  <c r="AD235" i="39" s="1"/>
  <c r="AE235" i="39" s="1"/>
  <c r="AF235" i="39" s="1"/>
  <c r="AG235" i="39" s="1"/>
  <c r="AH235" i="39" s="1"/>
  <c r="AI235" i="39" s="1"/>
  <c r="AJ235" i="39" s="1"/>
  <c r="AK235" i="39" s="1"/>
  <c r="AL235" i="39" s="1"/>
  <c r="AM235" i="39" s="1"/>
  <c r="AN235" i="39" s="1"/>
  <c r="AO235" i="39" s="1"/>
  <c r="AP235" i="39" s="1"/>
  <c r="AQ235" i="39" s="1"/>
  <c r="AR235" i="39" s="1"/>
  <c r="AS235" i="39" s="1"/>
  <c r="AT235" i="39" s="1"/>
  <c r="AU235" i="39" s="1"/>
  <c r="AV235" i="39" s="1"/>
  <c r="AW235" i="39" s="1"/>
  <c r="H235" i="39"/>
  <c r="G235" i="39"/>
  <c r="F235" i="39"/>
  <c r="E235" i="39"/>
  <c r="D235" i="39"/>
  <c r="B235" i="39"/>
  <c r="B232" i="39"/>
  <c r="D231" i="39"/>
  <c r="B231" i="39"/>
  <c r="D229" i="39"/>
  <c r="B229" i="39"/>
  <c r="I226" i="39"/>
  <c r="H226" i="39"/>
  <c r="G226" i="39"/>
  <c r="F226" i="39"/>
  <c r="E226" i="39"/>
  <c r="D226" i="39"/>
  <c r="B226" i="39"/>
  <c r="I225" i="39"/>
  <c r="J225" i="39" s="1"/>
  <c r="K225" i="39" s="1"/>
  <c r="L225" i="39" s="1"/>
  <c r="M225" i="39" s="1"/>
  <c r="N225" i="39" s="1"/>
  <c r="O225" i="39" s="1"/>
  <c r="P225" i="39" s="1"/>
  <c r="Q225" i="39" s="1"/>
  <c r="R225" i="39" s="1"/>
  <c r="S225" i="39" s="1"/>
  <c r="T225" i="39" s="1"/>
  <c r="U225" i="39" s="1"/>
  <c r="V225" i="39" s="1"/>
  <c r="W225" i="39" s="1"/>
  <c r="X225" i="39" s="1"/>
  <c r="Y225" i="39" s="1"/>
  <c r="Z225" i="39" s="1"/>
  <c r="AA225" i="39" s="1"/>
  <c r="AB225" i="39" s="1"/>
  <c r="AC225" i="39" s="1"/>
  <c r="AD225" i="39" s="1"/>
  <c r="AE225" i="39" s="1"/>
  <c r="AF225" i="39" s="1"/>
  <c r="AG225" i="39" s="1"/>
  <c r="AH225" i="39" s="1"/>
  <c r="AI225" i="39" s="1"/>
  <c r="AJ225" i="39" s="1"/>
  <c r="AK225" i="39" s="1"/>
  <c r="AL225" i="39" s="1"/>
  <c r="AM225" i="39" s="1"/>
  <c r="AN225" i="39" s="1"/>
  <c r="AO225" i="39" s="1"/>
  <c r="AP225" i="39" s="1"/>
  <c r="AQ225" i="39" s="1"/>
  <c r="AR225" i="39" s="1"/>
  <c r="AS225" i="39" s="1"/>
  <c r="H225" i="39"/>
  <c r="G225" i="39"/>
  <c r="F225" i="39"/>
  <c r="E225" i="39"/>
  <c r="D225" i="39"/>
  <c r="B225" i="39"/>
  <c r="I223" i="39"/>
  <c r="H223" i="39"/>
  <c r="G223" i="39"/>
  <c r="F223" i="39"/>
  <c r="E223" i="39"/>
  <c r="D223" i="39"/>
  <c r="B223" i="39"/>
  <c r="I222" i="39"/>
  <c r="H222" i="39"/>
  <c r="G222" i="39"/>
  <c r="F222" i="39"/>
  <c r="E222" i="39"/>
  <c r="D222" i="39"/>
  <c r="B222" i="39"/>
  <c r="I221" i="39"/>
  <c r="H221" i="39"/>
  <c r="G221" i="39"/>
  <c r="F221" i="39"/>
  <c r="E221" i="39"/>
  <c r="D221" i="39"/>
  <c r="B221" i="39"/>
  <c r="I215" i="39"/>
  <c r="H215" i="39"/>
  <c r="G215" i="39"/>
  <c r="F215" i="39"/>
  <c r="E215" i="39"/>
  <c r="D215" i="39"/>
  <c r="B215" i="39"/>
  <c r="I214" i="39"/>
  <c r="H214" i="39"/>
  <c r="G214" i="39"/>
  <c r="F214" i="39"/>
  <c r="E214" i="39"/>
  <c r="D214" i="39"/>
  <c r="B214" i="39"/>
  <c r="I213" i="39"/>
  <c r="H213" i="39"/>
  <c r="G213" i="39"/>
  <c r="F213" i="39"/>
  <c r="E213" i="39"/>
  <c r="D213" i="39"/>
  <c r="B213" i="39"/>
  <c r="I212" i="39"/>
  <c r="H212" i="39"/>
  <c r="G212" i="39"/>
  <c r="F212" i="39"/>
  <c r="E212" i="39"/>
  <c r="D212" i="39"/>
  <c r="B212" i="39"/>
  <c r="I208" i="39"/>
  <c r="H208" i="39"/>
  <c r="G208" i="39"/>
  <c r="F208" i="39"/>
  <c r="E208" i="39"/>
  <c r="D208" i="39"/>
  <c r="B208" i="39"/>
  <c r="I207" i="39"/>
  <c r="H207" i="39"/>
  <c r="G207" i="39"/>
  <c r="F207" i="39"/>
  <c r="E207" i="39"/>
  <c r="D207" i="39"/>
  <c r="B207" i="39"/>
  <c r="I206" i="39"/>
  <c r="H206" i="39"/>
  <c r="G206" i="39"/>
  <c r="F206" i="39"/>
  <c r="E206" i="39"/>
  <c r="D206" i="39"/>
  <c r="B206" i="39"/>
  <c r="D205" i="39"/>
  <c r="B205" i="39"/>
  <c r="I201" i="39"/>
  <c r="H201" i="39"/>
  <c r="G201" i="39"/>
  <c r="F201" i="39"/>
  <c r="E201" i="39"/>
  <c r="D201" i="39"/>
  <c r="B201" i="39"/>
  <c r="I200" i="39"/>
  <c r="H200" i="39"/>
  <c r="G200" i="39"/>
  <c r="F200" i="39"/>
  <c r="E200" i="39"/>
  <c r="D200" i="39"/>
  <c r="B200" i="39"/>
  <c r="I199" i="39"/>
  <c r="H199" i="39"/>
  <c r="G199" i="39"/>
  <c r="F199" i="39"/>
  <c r="E199" i="39"/>
  <c r="D199" i="39"/>
  <c r="B199" i="39"/>
  <c r="I195" i="39"/>
  <c r="H195" i="39"/>
  <c r="G195" i="39"/>
  <c r="F195" i="39"/>
  <c r="E195" i="39"/>
  <c r="D195" i="39"/>
  <c r="B195" i="39"/>
  <c r="I194" i="39"/>
  <c r="H194" i="39"/>
  <c r="G194" i="39"/>
  <c r="F194" i="39"/>
  <c r="E194" i="39"/>
  <c r="D194" i="39"/>
  <c r="B194" i="39"/>
  <c r="I193" i="39"/>
  <c r="H193" i="39"/>
  <c r="G193" i="39"/>
  <c r="F193" i="39"/>
  <c r="E193" i="39"/>
  <c r="D193" i="39"/>
  <c r="B193" i="39"/>
  <c r="D192" i="39"/>
  <c r="B192" i="39"/>
  <c r="I189" i="39"/>
  <c r="H189" i="39"/>
  <c r="G189" i="39"/>
  <c r="F189" i="39"/>
  <c r="E189" i="39"/>
  <c r="D189" i="39"/>
  <c r="B189" i="39"/>
  <c r="I187" i="39"/>
  <c r="H187" i="39"/>
  <c r="G187" i="39"/>
  <c r="F187" i="39"/>
  <c r="E187" i="39"/>
  <c r="D187" i="39"/>
  <c r="B187" i="39"/>
  <c r="B182" i="39"/>
  <c r="I181" i="39"/>
  <c r="J181" i="39" s="1"/>
  <c r="K181" i="39" s="1"/>
  <c r="L181" i="39" s="1"/>
  <c r="M181" i="39" s="1"/>
  <c r="N181" i="39" s="1"/>
  <c r="O181" i="39" s="1"/>
  <c r="P181" i="39" s="1"/>
  <c r="Q181" i="39" s="1"/>
  <c r="R181" i="39" s="1"/>
  <c r="S181" i="39" s="1"/>
  <c r="T181" i="39" s="1"/>
  <c r="U181" i="39" s="1"/>
  <c r="V181" i="39" s="1"/>
  <c r="W181" i="39" s="1"/>
  <c r="X181" i="39" s="1"/>
  <c r="Y181" i="39" s="1"/>
  <c r="Z181" i="39" s="1"/>
  <c r="AA181" i="39" s="1"/>
  <c r="AB181" i="39" s="1"/>
  <c r="AC181" i="39" s="1"/>
  <c r="AD181" i="39" s="1"/>
  <c r="AE181" i="39" s="1"/>
  <c r="AF181" i="39" s="1"/>
  <c r="AG181" i="39" s="1"/>
  <c r="AH181" i="39" s="1"/>
  <c r="AI181" i="39" s="1"/>
  <c r="AJ181" i="39" s="1"/>
  <c r="AK181" i="39" s="1"/>
  <c r="AL181" i="39" s="1"/>
  <c r="AM181" i="39" s="1"/>
  <c r="AN181" i="39" s="1"/>
  <c r="AO181" i="39" s="1"/>
  <c r="AP181" i="39" s="1"/>
  <c r="AQ181" i="39" s="1"/>
  <c r="AR181" i="39" s="1"/>
  <c r="AS181" i="39" s="1"/>
  <c r="H181" i="39"/>
  <c r="G181" i="39"/>
  <c r="F181" i="39"/>
  <c r="E181" i="39"/>
  <c r="D181" i="39"/>
  <c r="B181" i="39"/>
  <c r="B179" i="39"/>
  <c r="I178" i="39"/>
  <c r="H178" i="39"/>
  <c r="G178" i="39"/>
  <c r="F178" i="39"/>
  <c r="E178" i="39"/>
  <c r="D178" i="39"/>
  <c r="B178" i="39"/>
  <c r="I176" i="39"/>
  <c r="I268" i="39" s="1"/>
  <c r="H176" i="39"/>
  <c r="H268" i="39" s="1"/>
  <c r="G176" i="39"/>
  <c r="G268" i="39" s="1"/>
  <c r="F176" i="39"/>
  <c r="F268" i="39" s="1"/>
  <c r="E176" i="39"/>
  <c r="E268" i="39" s="1"/>
  <c r="D176" i="39"/>
  <c r="D268" i="39" s="1"/>
  <c r="B176" i="39"/>
  <c r="I175" i="39"/>
  <c r="I290" i="39" s="1"/>
  <c r="H175" i="39"/>
  <c r="H290" i="39" s="1"/>
  <c r="G175" i="39"/>
  <c r="G290" i="39" s="1"/>
  <c r="F175" i="39"/>
  <c r="F290" i="39" s="1"/>
  <c r="E175" i="39"/>
  <c r="E290" i="39" s="1"/>
  <c r="D175" i="39"/>
  <c r="D290" i="39" s="1"/>
  <c r="D291" i="39" s="1"/>
  <c r="B175" i="39"/>
  <c r="I173" i="39"/>
  <c r="I254" i="39" s="1"/>
  <c r="H173" i="39"/>
  <c r="H254" i="39" s="1"/>
  <c r="G173" i="39"/>
  <c r="G254" i="39" s="1"/>
  <c r="F173" i="39"/>
  <c r="F254" i="39" s="1"/>
  <c r="E173" i="39"/>
  <c r="E254" i="39" s="1"/>
  <c r="D173" i="39"/>
  <c r="D254" i="39" s="1"/>
  <c r="B173" i="39"/>
  <c r="I171" i="39"/>
  <c r="H171" i="39"/>
  <c r="G171" i="39"/>
  <c r="F171" i="39"/>
  <c r="E171" i="39"/>
  <c r="D171" i="39"/>
  <c r="B171" i="39"/>
  <c r="I170" i="39"/>
  <c r="H170" i="39"/>
  <c r="G170" i="39"/>
  <c r="F170" i="39"/>
  <c r="E170" i="39"/>
  <c r="D170" i="39"/>
  <c r="B170" i="39"/>
  <c r="I169" i="39"/>
  <c r="H169" i="39"/>
  <c r="G169" i="39"/>
  <c r="F169" i="39"/>
  <c r="E169" i="39"/>
  <c r="D169" i="39"/>
  <c r="B169" i="39"/>
  <c r="I168" i="39"/>
  <c r="H168" i="39"/>
  <c r="G168" i="39"/>
  <c r="F168" i="39"/>
  <c r="E168" i="39"/>
  <c r="D168" i="39"/>
  <c r="B168" i="39"/>
  <c r="I167" i="39"/>
  <c r="H167" i="39"/>
  <c r="G167" i="39"/>
  <c r="F167" i="39"/>
  <c r="E167" i="39"/>
  <c r="D167" i="39"/>
  <c r="B167" i="39"/>
  <c r="I166" i="39"/>
  <c r="H166" i="39"/>
  <c r="G166" i="39"/>
  <c r="F166" i="39"/>
  <c r="E166" i="39"/>
  <c r="D166" i="39"/>
  <c r="B166" i="39"/>
  <c r="I163" i="39"/>
  <c r="H163" i="39"/>
  <c r="G163" i="39"/>
  <c r="F163" i="39"/>
  <c r="E163" i="39"/>
  <c r="D163" i="39"/>
  <c r="B163" i="39"/>
  <c r="I162" i="39"/>
  <c r="H162" i="39"/>
  <c r="G162" i="39"/>
  <c r="F162" i="39"/>
  <c r="E162" i="39"/>
  <c r="D162" i="39"/>
  <c r="B162" i="39"/>
  <c r="I158" i="39"/>
  <c r="H158" i="39"/>
  <c r="G158" i="39"/>
  <c r="F158" i="39"/>
  <c r="E158" i="39"/>
  <c r="D158" i="39"/>
  <c r="B158" i="39"/>
  <c r="I157" i="39"/>
  <c r="H157" i="39"/>
  <c r="G157" i="39"/>
  <c r="F157" i="39"/>
  <c r="E157" i="39"/>
  <c r="D157" i="39"/>
  <c r="B157" i="39"/>
  <c r="I156" i="39"/>
  <c r="J156" i="39" s="1"/>
  <c r="K156" i="39" s="1"/>
  <c r="L156" i="39" s="1"/>
  <c r="M156" i="39" s="1"/>
  <c r="N156" i="39" s="1"/>
  <c r="O156" i="39" s="1"/>
  <c r="P156" i="39" s="1"/>
  <c r="Q156" i="39" s="1"/>
  <c r="R156" i="39" s="1"/>
  <c r="S156" i="39" s="1"/>
  <c r="T156" i="39" s="1"/>
  <c r="U156" i="39" s="1"/>
  <c r="V156" i="39" s="1"/>
  <c r="W156" i="39" s="1"/>
  <c r="X156" i="39" s="1"/>
  <c r="Y156" i="39" s="1"/>
  <c r="Z156" i="39" s="1"/>
  <c r="AA156" i="39" s="1"/>
  <c r="AB156" i="39" s="1"/>
  <c r="AC156" i="39" s="1"/>
  <c r="AD156" i="39" s="1"/>
  <c r="AE156" i="39" s="1"/>
  <c r="AF156" i="39" s="1"/>
  <c r="AG156" i="39" s="1"/>
  <c r="AH156" i="39" s="1"/>
  <c r="AI156" i="39" s="1"/>
  <c r="AJ156" i="39" s="1"/>
  <c r="AK156" i="39" s="1"/>
  <c r="AL156" i="39" s="1"/>
  <c r="AM156" i="39" s="1"/>
  <c r="AN156" i="39" s="1"/>
  <c r="AO156" i="39" s="1"/>
  <c r="AP156" i="39" s="1"/>
  <c r="AQ156" i="39" s="1"/>
  <c r="AR156" i="39" s="1"/>
  <c r="AS156" i="39" s="1"/>
  <c r="H156" i="39"/>
  <c r="G156" i="39"/>
  <c r="F156" i="39"/>
  <c r="E156" i="39"/>
  <c r="D156" i="39"/>
  <c r="B156" i="39"/>
  <c r="B154" i="39"/>
  <c r="AJ152" i="39"/>
  <c r="AI152" i="39"/>
  <c r="X152" i="39"/>
  <c r="L152" i="39"/>
  <c r="H152" i="39"/>
  <c r="I149" i="39"/>
  <c r="H149" i="39"/>
  <c r="G149" i="39"/>
  <c r="F149" i="39"/>
  <c r="E149" i="39"/>
  <c r="D149" i="39"/>
  <c r="B149" i="39"/>
  <c r="I148" i="39"/>
  <c r="H148" i="39"/>
  <c r="G148" i="39"/>
  <c r="F148" i="39"/>
  <c r="E148" i="39"/>
  <c r="D148" i="39"/>
  <c r="B148" i="39"/>
  <c r="B144" i="39"/>
  <c r="I143" i="39"/>
  <c r="J143" i="39" s="1"/>
  <c r="K143" i="39" s="1"/>
  <c r="L143" i="39" s="1"/>
  <c r="M143" i="39" s="1"/>
  <c r="N143" i="39" s="1"/>
  <c r="O143" i="39" s="1"/>
  <c r="P143" i="39" s="1"/>
  <c r="Q143" i="39" s="1"/>
  <c r="R143" i="39" s="1"/>
  <c r="S143" i="39" s="1"/>
  <c r="T143" i="39" s="1"/>
  <c r="U143" i="39" s="1"/>
  <c r="V143" i="39" s="1"/>
  <c r="W143" i="39" s="1"/>
  <c r="X143" i="39" s="1"/>
  <c r="Y143" i="39" s="1"/>
  <c r="Z143" i="39" s="1"/>
  <c r="AA143" i="39" s="1"/>
  <c r="AB143" i="39" s="1"/>
  <c r="AC143" i="39" s="1"/>
  <c r="AD143" i="39" s="1"/>
  <c r="AE143" i="39" s="1"/>
  <c r="AF143" i="39" s="1"/>
  <c r="AG143" i="39" s="1"/>
  <c r="AH143" i="39" s="1"/>
  <c r="AI143" i="39" s="1"/>
  <c r="AJ143" i="39" s="1"/>
  <c r="AK143" i="39" s="1"/>
  <c r="AL143" i="39" s="1"/>
  <c r="AM143" i="39" s="1"/>
  <c r="AN143" i="39" s="1"/>
  <c r="AO143" i="39" s="1"/>
  <c r="AP143" i="39" s="1"/>
  <c r="AQ143" i="39" s="1"/>
  <c r="AR143" i="39" s="1"/>
  <c r="AS143" i="39" s="1"/>
  <c r="H143" i="39"/>
  <c r="G143" i="39"/>
  <c r="F143" i="39"/>
  <c r="E143" i="39"/>
  <c r="D143" i="39"/>
  <c r="B143" i="39"/>
  <c r="I142" i="39"/>
  <c r="H142" i="39"/>
  <c r="G142" i="39"/>
  <c r="G144" i="39" s="1"/>
  <c r="F142" i="39"/>
  <c r="F144" i="39" s="1"/>
  <c r="E142" i="39"/>
  <c r="E144" i="39" s="1"/>
  <c r="D142" i="39"/>
  <c r="D144" i="39" s="1"/>
  <c r="B142" i="39"/>
  <c r="B138" i="39"/>
  <c r="I136" i="39"/>
  <c r="H136" i="39"/>
  <c r="G136" i="39"/>
  <c r="F136" i="39"/>
  <c r="E136" i="39"/>
  <c r="D136" i="39"/>
  <c r="B136" i="39"/>
  <c r="I135" i="39"/>
  <c r="H135" i="39"/>
  <c r="G135" i="39"/>
  <c r="F135" i="39"/>
  <c r="E135" i="39"/>
  <c r="D135" i="39"/>
  <c r="B135" i="39"/>
  <c r="I134" i="39"/>
  <c r="H134" i="39"/>
  <c r="G134" i="39"/>
  <c r="F134" i="39"/>
  <c r="E134" i="39"/>
  <c r="D134" i="39"/>
  <c r="B134" i="39"/>
  <c r="I133" i="39"/>
  <c r="H133" i="39"/>
  <c r="G133" i="39"/>
  <c r="F133" i="39"/>
  <c r="E133" i="39"/>
  <c r="D133" i="39"/>
  <c r="B133" i="39"/>
  <c r="I132" i="39"/>
  <c r="H132" i="39"/>
  <c r="G132" i="39"/>
  <c r="F132" i="39"/>
  <c r="E132" i="39"/>
  <c r="D132" i="39"/>
  <c r="B132" i="39"/>
  <c r="I125" i="39"/>
  <c r="H125" i="39"/>
  <c r="G125" i="39"/>
  <c r="F125" i="39"/>
  <c r="E125" i="39"/>
  <c r="D125" i="39"/>
  <c r="I124" i="39"/>
  <c r="H124" i="39"/>
  <c r="G124" i="39"/>
  <c r="F124" i="39"/>
  <c r="E124" i="39"/>
  <c r="D124" i="39"/>
  <c r="I123" i="39"/>
  <c r="H123" i="39"/>
  <c r="G123" i="39"/>
  <c r="F123" i="39"/>
  <c r="E123" i="39"/>
  <c r="D123" i="39"/>
  <c r="I122" i="39"/>
  <c r="H122" i="39"/>
  <c r="G122" i="39"/>
  <c r="F122" i="39"/>
  <c r="E122" i="39"/>
  <c r="D122" i="39"/>
  <c r="I121" i="39"/>
  <c r="H121" i="39"/>
  <c r="G121" i="39"/>
  <c r="F121" i="39"/>
  <c r="E121" i="39"/>
  <c r="D121" i="39"/>
  <c r="I120" i="39"/>
  <c r="H120" i="39"/>
  <c r="G120" i="39"/>
  <c r="F120" i="39"/>
  <c r="E120" i="39"/>
  <c r="D120" i="39"/>
  <c r="I118" i="39"/>
  <c r="H118" i="39"/>
  <c r="G118" i="39"/>
  <c r="F118" i="39"/>
  <c r="E118" i="39"/>
  <c r="D118" i="39"/>
  <c r="I117" i="39"/>
  <c r="H117" i="39"/>
  <c r="G117" i="39"/>
  <c r="F117" i="39"/>
  <c r="E117" i="39"/>
  <c r="D117" i="39"/>
  <c r="I116" i="39"/>
  <c r="H116" i="39"/>
  <c r="G116" i="39"/>
  <c r="F116" i="39"/>
  <c r="E116" i="39"/>
  <c r="D116" i="39"/>
  <c r="I115" i="39"/>
  <c r="H115" i="39"/>
  <c r="G115" i="39"/>
  <c r="F115" i="39"/>
  <c r="E115" i="39"/>
  <c r="D115" i="39"/>
  <c r="I107" i="39"/>
  <c r="H107" i="39"/>
  <c r="G107" i="39"/>
  <c r="F107" i="39"/>
  <c r="E107" i="39"/>
  <c r="D107" i="39"/>
  <c r="B107" i="39"/>
  <c r="I106" i="39"/>
  <c r="H106" i="39"/>
  <c r="G106" i="39"/>
  <c r="F106" i="39"/>
  <c r="E106" i="39"/>
  <c r="D106" i="39"/>
  <c r="B106" i="39"/>
  <c r="I105" i="39"/>
  <c r="H105" i="39"/>
  <c r="G105" i="39"/>
  <c r="G493" i="39" s="1"/>
  <c r="G495" i="39" s="1"/>
  <c r="F105" i="39"/>
  <c r="F493" i="39" s="1"/>
  <c r="E105" i="39"/>
  <c r="D105" i="39"/>
  <c r="B105" i="39"/>
  <c r="I102" i="39"/>
  <c r="H102" i="39"/>
  <c r="G102" i="39"/>
  <c r="F102" i="39"/>
  <c r="E102" i="39"/>
  <c r="D102" i="39"/>
  <c r="B102" i="39"/>
  <c r="I101" i="39"/>
  <c r="H101" i="39"/>
  <c r="G101" i="39"/>
  <c r="F101" i="39"/>
  <c r="E101" i="39"/>
  <c r="D101" i="39"/>
  <c r="B101" i="39"/>
  <c r="I100" i="39"/>
  <c r="H100" i="39"/>
  <c r="G100" i="39"/>
  <c r="F100" i="39"/>
  <c r="E100" i="39"/>
  <c r="D100" i="39"/>
  <c r="B100" i="39"/>
  <c r="I99" i="39"/>
  <c r="H99" i="39"/>
  <c r="G99" i="39"/>
  <c r="F99" i="39"/>
  <c r="E99" i="39"/>
  <c r="D99" i="39"/>
  <c r="B99" i="39"/>
  <c r="I98" i="39"/>
  <c r="H98" i="39"/>
  <c r="G98" i="39"/>
  <c r="F98" i="39"/>
  <c r="E98" i="39"/>
  <c r="D98" i="39"/>
  <c r="B98" i="39"/>
  <c r="I94" i="39"/>
  <c r="H94" i="39"/>
  <c r="G94" i="39"/>
  <c r="F94" i="39"/>
  <c r="E94" i="39"/>
  <c r="D94" i="39"/>
  <c r="B94" i="39"/>
  <c r="D93" i="39"/>
  <c r="B93" i="39"/>
  <c r="I92" i="39"/>
  <c r="H92" i="39"/>
  <c r="G92" i="39"/>
  <c r="F92" i="39"/>
  <c r="E92" i="39"/>
  <c r="D92" i="39"/>
  <c r="B92" i="39"/>
  <c r="I90" i="39"/>
  <c r="H90" i="39"/>
  <c r="G90" i="39"/>
  <c r="F90" i="39"/>
  <c r="E90" i="39"/>
  <c r="D90" i="39"/>
  <c r="B90" i="39"/>
  <c r="I89" i="39"/>
  <c r="H89" i="39"/>
  <c r="G89" i="39"/>
  <c r="F89" i="39"/>
  <c r="E89" i="39"/>
  <c r="D89" i="39"/>
  <c r="B89" i="39"/>
  <c r="I88" i="39"/>
  <c r="H88" i="39"/>
  <c r="G88" i="39"/>
  <c r="F88" i="39"/>
  <c r="E88" i="39"/>
  <c r="D88" i="39"/>
  <c r="B88" i="39"/>
  <c r="I87" i="39"/>
  <c r="H87" i="39"/>
  <c r="G87" i="39"/>
  <c r="F87" i="39"/>
  <c r="E87" i="39"/>
  <c r="D87" i="39"/>
  <c r="B87" i="39"/>
  <c r="I86" i="39"/>
  <c r="H86" i="39"/>
  <c r="G86" i="39"/>
  <c r="F86" i="39"/>
  <c r="E86" i="39"/>
  <c r="D86" i="39"/>
  <c r="B86" i="39"/>
  <c r="B83" i="39"/>
  <c r="I81" i="39"/>
  <c r="H81" i="39"/>
  <c r="G81" i="39"/>
  <c r="G338" i="39" s="1"/>
  <c r="F81" i="39"/>
  <c r="E81" i="39"/>
  <c r="D81" i="39"/>
  <c r="B81" i="39"/>
  <c r="I80" i="39"/>
  <c r="H80" i="39"/>
  <c r="G80" i="39"/>
  <c r="F80" i="39"/>
  <c r="E80" i="39"/>
  <c r="D80" i="39"/>
  <c r="B80" i="39"/>
  <c r="I78" i="39"/>
  <c r="H78" i="39"/>
  <c r="G78" i="39"/>
  <c r="F78" i="39"/>
  <c r="E78" i="39"/>
  <c r="D78" i="39"/>
  <c r="B78" i="39"/>
  <c r="I76" i="39"/>
  <c r="H76" i="39"/>
  <c r="H446" i="39" s="1"/>
  <c r="G76" i="39"/>
  <c r="G446" i="39" s="1"/>
  <c r="F76" i="39"/>
  <c r="E76" i="39"/>
  <c r="D76" i="39"/>
  <c r="D446" i="39" s="1"/>
  <c r="B76" i="39"/>
  <c r="I75" i="39"/>
  <c r="H75" i="39"/>
  <c r="G75" i="39"/>
  <c r="F75" i="39"/>
  <c r="E75" i="39"/>
  <c r="D75" i="39"/>
  <c r="B75" i="39"/>
  <c r="I74" i="39"/>
  <c r="H74" i="39"/>
  <c r="G74" i="39"/>
  <c r="F74" i="39"/>
  <c r="E74" i="39"/>
  <c r="D74" i="39"/>
  <c r="B74" i="39"/>
  <c r="B71" i="39"/>
  <c r="B70" i="39"/>
  <c r="I67" i="39"/>
  <c r="H67" i="39"/>
  <c r="G67" i="39"/>
  <c r="F67" i="39"/>
  <c r="E67" i="39"/>
  <c r="D67" i="39"/>
  <c r="B67" i="39"/>
  <c r="I62" i="39"/>
  <c r="H62" i="39"/>
  <c r="G62" i="39"/>
  <c r="F62" i="39"/>
  <c r="E62" i="39"/>
  <c r="D62" i="39"/>
  <c r="B62" i="39"/>
  <c r="F47" i="39"/>
  <c r="I46" i="39"/>
  <c r="H46" i="39"/>
  <c r="G46" i="39"/>
  <c r="F46" i="39"/>
  <c r="E46" i="39"/>
  <c r="D46" i="39"/>
  <c r="B46" i="39"/>
  <c r="I43" i="39"/>
  <c r="H43" i="39"/>
  <c r="G43" i="39"/>
  <c r="F43" i="39"/>
  <c r="E43" i="39"/>
  <c r="D43" i="39"/>
  <c r="I35" i="39"/>
  <c r="H35" i="39"/>
  <c r="G35" i="39"/>
  <c r="F35" i="39"/>
  <c r="E35" i="39"/>
  <c r="D35" i="39"/>
  <c r="B35" i="39"/>
  <c r="A34" i="39"/>
  <c r="I33" i="39"/>
  <c r="H33" i="39"/>
  <c r="G33" i="39"/>
  <c r="F33" i="39"/>
  <c r="E33" i="39"/>
  <c r="D33" i="39"/>
  <c r="B33" i="39"/>
  <c r="I30" i="39"/>
  <c r="H30" i="39"/>
  <c r="G30" i="39"/>
  <c r="F30" i="39"/>
  <c r="E30" i="39"/>
  <c r="D30" i="39"/>
  <c r="B30" i="39"/>
  <c r="I29" i="39"/>
  <c r="H29" i="39"/>
  <c r="G29" i="39"/>
  <c r="F29" i="39"/>
  <c r="E29" i="39"/>
  <c r="D29" i="39"/>
  <c r="B29" i="39"/>
  <c r="I28" i="39"/>
  <c r="H28" i="39"/>
  <c r="G28" i="39"/>
  <c r="F28" i="39"/>
  <c r="E28" i="39"/>
  <c r="D28" i="39"/>
  <c r="B28" i="39"/>
  <c r="I27" i="39"/>
  <c r="H27" i="39"/>
  <c r="G27" i="39"/>
  <c r="F27" i="39"/>
  <c r="E27" i="39"/>
  <c r="D27" i="39"/>
  <c r="B27" i="39"/>
  <c r="I26" i="39"/>
  <c r="H26" i="39"/>
  <c r="G26" i="39"/>
  <c r="F26" i="39"/>
  <c r="E26" i="39"/>
  <c r="D26" i="39"/>
  <c r="B26" i="39"/>
  <c r="A25" i="39"/>
  <c r="I24" i="39"/>
  <c r="H24" i="39"/>
  <c r="G24" i="39"/>
  <c r="F24" i="39"/>
  <c r="E24" i="39"/>
  <c r="B24" i="39"/>
  <c r="A22" i="39"/>
  <c r="I21" i="39"/>
  <c r="H21" i="39"/>
  <c r="G21" i="39"/>
  <c r="F21" i="39"/>
  <c r="D21" i="39"/>
  <c r="B21" i="39"/>
  <c r="A20" i="39"/>
  <c r="H19" i="39"/>
  <c r="G19" i="39"/>
  <c r="F19" i="39"/>
  <c r="F23" i="39" s="1"/>
  <c r="E19" i="39"/>
  <c r="D19" i="39"/>
  <c r="B19" i="39"/>
  <c r="A15" i="39"/>
  <c r="I14" i="39"/>
  <c r="H14" i="39"/>
  <c r="H232" i="39" s="1"/>
  <c r="G14" i="39"/>
  <c r="G232" i="39" s="1"/>
  <c r="F14" i="39"/>
  <c r="F232" i="39" s="1"/>
  <c r="E14" i="39"/>
  <c r="E232" i="39" s="1"/>
  <c r="D14" i="39"/>
  <c r="B14" i="39"/>
  <c r="I12" i="39"/>
  <c r="H12" i="39"/>
  <c r="G12" i="39"/>
  <c r="F12" i="39"/>
  <c r="E12" i="39"/>
  <c r="D12" i="39"/>
  <c r="AP2" i="39"/>
  <c r="C56" i="3"/>
  <c r="E255" i="39" l="1"/>
  <c r="Q115" i="39"/>
  <c r="AO255" i="39"/>
  <c r="F286" i="39"/>
  <c r="G153" i="39"/>
  <c r="F22" i="39"/>
  <c r="D113" i="42"/>
  <c r="D45" i="42"/>
  <c r="H45" i="42"/>
  <c r="H113" i="42"/>
  <c r="F60" i="42"/>
  <c r="E41" i="42"/>
  <c r="G113" i="42"/>
  <c r="G45" i="42"/>
  <c r="G41" i="42"/>
  <c r="D232" i="39"/>
  <c r="D153" i="39"/>
  <c r="H153" i="39"/>
  <c r="F153" i="39"/>
  <c r="D255" i="39"/>
  <c r="H255" i="39"/>
  <c r="L255" i="39"/>
  <c r="P255" i="39"/>
  <c r="T255" i="39"/>
  <c r="X255" i="39"/>
  <c r="AB255" i="39"/>
  <c r="AF255" i="39"/>
  <c r="AJ255" i="39"/>
  <c r="AN255" i="39"/>
  <c r="AR255" i="39"/>
  <c r="AV255" i="39"/>
  <c r="D50" i="42"/>
  <c r="H41" i="42"/>
  <c r="K115" i="39"/>
  <c r="D41" i="42"/>
  <c r="G50" i="42"/>
  <c r="AC255" i="39"/>
  <c r="AG115" i="39"/>
  <c r="T72" i="3"/>
  <c r="S73" i="3"/>
  <c r="R82" i="3"/>
  <c r="R76" i="3"/>
  <c r="R79" i="3" s="1"/>
  <c r="S71" i="3"/>
  <c r="S75" i="3" s="1"/>
  <c r="S78" i="3" s="1"/>
  <c r="R80" i="3"/>
  <c r="R74" i="3"/>
  <c r="R77" i="3"/>
  <c r="D487" i="42"/>
  <c r="D496" i="42" s="1"/>
  <c r="F182" i="42"/>
  <c r="F183" i="42" s="1"/>
  <c r="H182" i="42"/>
  <c r="H183" i="42" s="1"/>
  <c r="E182" i="42"/>
  <c r="E183" i="42" s="1"/>
  <c r="K28" i="42"/>
  <c r="L28" i="42" s="1"/>
  <c r="M28" i="42" s="1"/>
  <c r="N28" i="42" s="1"/>
  <c r="O28" i="42" s="1"/>
  <c r="P28" i="42" s="1"/>
  <c r="Q28" i="42" s="1"/>
  <c r="R28" i="42" s="1"/>
  <c r="S28" i="42" s="1"/>
  <c r="T28" i="42" s="1"/>
  <c r="U28" i="42" s="1"/>
  <c r="V28" i="42" s="1"/>
  <c r="W28" i="42" s="1"/>
  <c r="X28" i="42" s="1"/>
  <c r="Y28" i="42" s="1"/>
  <c r="Z28" i="42" s="1"/>
  <c r="AA28" i="42" s="1"/>
  <c r="AB28" i="42" s="1"/>
  <c r="AC28" i="42" s="1"/>
  <c r="AD28" i="42" s="1"/>
  <c r="AE28" i="42" s="1"/>
  <c r="AF28" i="42" s="1"/>
  <c r="AG28" i="42" s="1"/>
  <c r="AH28" i="42" s="1"/>
  <c r="AI28" i="42" s="1"/>
  <c r="AJ28" i="42" s="1"/>
  <c r="AK28" i="42" s="1"/>
  <c r="AL28" i="42" s="1"/>
  <c r="AM28" i="42" s="1"/>
  <c r="AN28" i="42" s="1"/>
  <c r="AO28" i="42" s="1"/>
  <c r="AP28" i="42" s="1"/>
  <c r="AQ28" i="42" s="1"/>
  <c r="AR28" i="42" s="1"/>
  <c r="AS28" i="42" s="1"/>
  <c r="AT28" i="42" s="1"/>
  <c r="AU28" i="42" s="1"/>
  <c r="AV28" i="42" s="1"/>
  <c r="AW28" i="42" s="1"/>
  <c r="AE436" i="42"/>
  <c r="AL436" i="42"/>
  <c r="AF436" i="42"/>
  <c r="J243" i="42"/>
  <c r="J30" i="42"/>
  <c r="J187" i="42" s="1"/>
  <c r="J189" i="42" s="1"/>
  <c r="J188" i="42" s="1"/>
  <c r="J433" i="42"/>
  <c r="E436" i="42"/>
  <c r="F436" i="42" s="1"/>
  <c r="G436" i="42" s="1"/>
  <c r="H436" i="42" s="1"/>
  <c r="I436" i="42" s="1"/>
  <c r="I437" i="42" s="1"/>
  <c r="D437" i="42"/>
  <c r="AV95" i="42"/>
  <c r="P230" i="42"/>
  <c r="AV230" i="42"/>
  <c r="P95" i="42"/>
  <c r="Q436" i="42"/>
  <c r="J435" i="42"/>
  <c r="K435" i="42" s="1"/>
  <c r="L435" i="42" s="1"/>
  <c r="AH436" i="42"/>
  <c r="AN436" i="42"/>
  <c r="K366" i="42"/>
  <c r="R436" i="42"/>
  <c r="AB436" i="42"/>
  <c r="AO436" i="42"/>
  <c r="J261" i="42"/>
  <c r="Y436" i="42"/>
  <c r="I52" i="42"/>
  <c r="G257" i="42"/>
  <c r="G259" i="42" s="1"/>
  <c r="G260" i="42" s="1"/>
  <c r="K365" i="42"/>
  <c r="P479" i="42"/>
  <c r="AQ436" i="42"/>
  <c r="AR436" i="42"/>
  <c r="K363" i="42"/>
  <c r="AC436" i="42"/>
  <c r="J434" i="42"/>
  <c r="K434" i="42" s="1"/>
  <c r="N436" i="42"/>
  <c r="AG436" i="42"/>
  <c r="Z436" i="42"/>
  <c r="H257" i="42"/>
  <c r="H259" i="42" s="1"/>
  <c r="H260" i="42" s="1"/>
  <c r="AI436" i="42"/>
  <c r="K436" i="42"/>
  <c r="AW436" i="42"/>
  <c r="AP436" i="42"/>
  <c r="AD436" i="42"/>
  <c r="D112" i="42"/>
  <c r="D109" i="42"/>
  <c r="D53" i="42"/>
  <c r="D54" i="42"/>
  <c r="N221" i="42"/>
  <c r="D55" i="42"/>
  <c r="E419" i="42"/>
  <c r="E420" i="42" s="1"/>
  <c r="D182" i="42"/>
  <c r="D183" i="42" s="1"/>
  <c r="H479" i="42"/>
  <c r="H480" i="42" s="1"/>
  <c r="H230" i="42"/>
  <c r="H95" i="42"/>
  <c r="H96" i="42" s="1"/>
  <c r="H97" i="42" s="1"/>
  <c r="AG479" i="42"/>
  <c r="AG230" i="42"/>
  <c r="AG95" i="42"/>
  <c r="AI479" i="42"/>
  <c r="AI230" i="42"/>
  <c r="AI95" i="42"/>
  <c r="X436" i="42"/>
  <c r="W436" i="42"/>
  <c r="G404" i="42"/>
  <c r="G405" i="42" s="1"/>
  <c r="D419" i="42"/>
  <c r="D420" i="42" s="1"/>
  <c r="I399" i="42"/>
  <c r="AR479" i="42"/>
  <c r="AR230" i="42"/>
  <c r="AR95" i="42"/>
  <c r="N479" i="42"/>
  <c r="N95" i="42"/>
  <c r="N230" i="42"/>
  <c r="W479" i="42"/>
  <c r="W230" i="42"/>
  <c r="W95" i="42"/>
  <c r="I404" i="42"/>
  <c r="AS436" i="42"/>
  <c r="G465" i="42"/>
  <c r="E113" i="42"/>
  <c r="E45" i="42"/>
  <c r="F113" i="42"/>
  <c r="F45" i="42"/>
  <c r="I241" i="42"/>
  <c r="I242" i="42" s="1"/>
  <c r="D56" i="42"/>
  <c r="T479" i="42"/>
  <c r="T230" i="42"/>
  <c r="T95" i="42"/>
  <c r="I479" i="42"/>
  <c r="I480" i="42" s="1"/>
  <c r="I230" i="42"/>
  <c r="I95" i="42"/>
  <c r="I96" i="42" s="1"/>
  <c r="I97" i="42" s="1"/>
  <c r="Y479" i="42"/>
  <c r="Y230" i="42"/>
  <c r="Y95" i="42"/>
  <c r="AO479" i="42"/>
  <c r="AO230" i="42"/>
  <c r="AO95" i="42"/>
  <c r="H242" i="42"/>
  <c r="F241" i="42"/>
  <c r="F242" i="42" s="1"/>
  <c r="G196" i="42"/>
  <c r="G42" i="42" s="1"/>
  <c r="G52" i="42"/>
  <c r="G51" i="42"/>
  <c r="G54" i="42" s="1"/>
  <c r="R479" i="42"/>
  <c r="R95" i="42"/>
  <c r="R230" i="42"/>
  <c r="AH479" i="42"/>
  <c r="AH95" i="42"/>
  <c r="AH230" i="42"/>
  <c r="H196" i="42"/>
  <c r="H42" i="42" s="1"/>
  <c r="H51" i="42"/>
  <c r="H52" i="42"/>
  <c r="K479" i="42"/>
  <c r="K230" i="42"/>
  <c r="K95" i="42"/>
  <c r="AA479" i="42"/>
  <c r="AA230" i="42"/>
  <c r="AA95" i="42"/>
  <c r="AQ479" i="42"/>
  <c r="AQ230" i="42"/>
  <c r="AQ95" i="42"/>
  <c r="F257" i="42"/>
  <c r="L436" i="42"/>
  <c r="O436" i="42"/>
  <c r="U436" i="42"/>
  <c r="V436" i="42"/>
  <c r="T436" i="42"/>
  <c r="AU436" i="42"/>
  <c r="AM436" i="42"/>
  <c r="K464" i="42"/>
  <c r="K465" i="42" s="1"/>
  <c r="K116" i="42" s="1"/>
  <c r="S436" i="42"/>
  <c r="I51" i="42"/>
  <c r="G242" i="42"/>
  <c r="E209" i="42"/>
  <c r="E42" i="42" s="1"/>
  <c r="E52" i="42"/>
  <c r="Q479" i="42"/>
  <c r="Q230" i="42"/>
  <c r="Q95" i="42"/>
  <c r="AW230" i="42"/>
  <c r="S479" i="42"/>
  <c r="S230" i="42"/>
  <c r="S95" i="42"/>
  <c r="F485" i="42"/>
  <c r="F486" i="42" s="1"/>
  <c r="F103" i="42"/>
  <c r="F104" i="42" s="1"/>
  <c r="X479" i="42"/>
  <c r="X230" i="42"/>
  <c r="X95" i="42"/>
  <c r="AD479" i="42"/>
  <c r="AD95" i="42"/>
  <c r="AD230" i="42"/>
  <c r="AT479" i="42"/>
  <c r="AT95" i="42"/>
  <c r="AT230" i="42"/>
  <c r="G479" i="42"/>
  <c r="G230" i="42"/>
  <c r="G95" i="42"/>
  <c r="AM479" i="42"/>
  <c r="AM230" i="42"/>
  <c r="AM95" i="42"/>
  <c r="H404" i="42"/>
  <c r="H405" i="42" s="1"/>
  <c r="H418" i="42"/>
  <c r="I418" i="42"/>
  <c r="E51" i="42"/>
  <c r="E53" i="42" s="1"/>
  <c r="H50" i="42"/>
  <c r="G60" i="42"/>
  <c r="G418" i="42"/>
  <c r="F419" i="42"/>
  <c r="F420" i="42" s="1"/>
  <c r="E404" i="42"/>
  <c r="E405" i="42" s="1"/>
  <c r="I113" i="42"/>
  <c r="I45" i="42"/>
  <c r="AF479" i="42"/>
  <c r="AF230" i="42"/>
  <c r="AF95" i="42"/>
  <c r="AJ479" i="42"/>
  <c r="AJ230" i="42"/>
  <c r="AJ95" i="42"/>
  <c r="F196" i="42"/>
  <c r="F42" i="42" s="1"/>
  <c r="F52" i="42"/>
  <c r="F51" i="42"/>
  <c r="M479" i="42"/>
  <c r="M230" i="42"/>
  <c r="M95" i="42"/>
  <c r="AC479" i="42"/>
  <c r="AC230" i="42"/>
  <c r="AC95" i="42"/>
  <c r="AS479" i="42"/>
  <c r="AS230" i="42"/>
  <c r="AS95" i="42"/>
  <c r="F479" i="42"/>
  <c r="F95" i="42"/>
  <c r="F230" i="42"/>
  <c r="V479" i="42"/>
  <c r="V95" i="42"/>
  <c r="V230" i="42"/>
  <c r="AL479" i="42"/>
  <c r="AL95" i="42"/>
  <c r="AL230" i="42"/>
  <c r="AW231" i="42"/>
  <c r="AW479" i="42" s="1"/>
  <c r="AV479" i="42"/>
  <c r="I182" i="42"/>
  <c r="J182" i="42" s="1"/>
  <c r="E257" i="42"/>
  <c r="P436" i="42"/>
  <c r="AV436" i="42"/>
  <c r="M436" i="42"/>
  <c r="AT436" i="42"/>
  <c r="G182" i="42"/>
  <c r="G183" i="42" s="1"/>
  <c r="I485" i="42"/>
  <c r="I486" i="42" s="1"/>
  <c r="I103" i="42"/>
  <c r="I104" i="42" s="1"/>
  <c r="AB479" i="42"/>
  <c r="AB230" i="42"/>
  <c r="AB95" i="42"/>
  <c r="F448" i="42"/>
  <c r="F449" i="42" s="1"/>
  <c r="F68" i="42" s="1"/>
  <c r="D42" i="42"/>
  <c r="M29" i="42"/>
  <c r="AM181" i="42"/>
  <c r="J367" i="42"/>
  <c r="J370" i="42" s="1"/>
  <c r="J153" i="42"/>
  <c r="AA436" i="42"/>
  <c r="J232" i="42"/>
  <c r="I83" i="42"/>
  <c r="I42" i="42"/>
  <c r="K34" i="42"/>
  <c r="L33" i="42" s="1"/>
  <c r="E333" i="42"/>
  <c r="D332" i="42"/>
  <c r="D60" i="42"/>
  <c r="K510" i="42"/>
  <c r="L463" i="42"/>
  <c r="F404" i="42"/>
  <c r="F405" i="42" s="1"/>
  <c r="D404" i="42"/>
  <c r="D405" i="42" s="1"/>
  <c r="E392" i="42"/>
  <c r="D378" i="42"/>
  <c r="L236" i="42"/>
  <c r="D259" i="42"/>
  <c r="D260" i="42" s="1"/>
  <c r="L479" i="42"/>
  <c r="L230" i="42"/>
  <c r="L95" i="42"/>
  <c r="F50" i="42"/>
  <c r="I50" i="42"/>
  <c r="D379" i="42"/>
  <c r="D380" i="42" s="1"/>
  <c r="AN479" i="42"/>
  <c r="AN230" i="42"/>
  <c r="AN95" i="42"/>
  <c r="E479" i="42"/>
  <c r="E480" i="42" s="1"/>
  <c r="E230" i="42"/>
  <c r="E95" i="42"/>
  <c r="E96" i="42" s="1"/>
  <c r="E97" i="42" s="1"/>
  <c r="U479" i="42"/>
  <c r="U230" i="42"/>
  <c r="U95" i="42"/>
  <c r="AK479" i="42"/>
  <c r="AK230" i="42"/>
  <c r="AK95" i="42"/>
  <c r="J479" i="42"/>
  <c r="J230" i="42"/>
  <c r="J95" i="42"/>
  <c r="Z479" i="42"/>
  <c r="Z230" i="42"/>
  <c r="Z95" i="42"/>
  <c r="AP479" i="42"/>
  <c r="AP230" i="42"/>
  <c r="AP95" i="42"/>
  <c r="E242" i="42"/>
  <c r="O479" i="42"/>
  <c r="O230" i="42"/>
  <c r="O95" i="42"/>
  <c r="AE479" i="42"/>
  <c r="AE230" i="42"/>
  <c r="AE95" i="42"/>
  <c r="AU479" i="42"/>
  <c r="AU230" i="42"/>
  <c r="AU95" i="42"/>
  <c r="I257" i="42"/>
  <c r="H485" i="42"/>
  <c r="H486" i="42" s="1"/>
  <c r="H103" i="42"/>
  <c r="H104" i="42" s="1"/>
  <c r="AJ436" i="42"/>
  <c r="AK436" i="42"/>
  <c r="E485" i="42"/>
  <c r="E486" i="42" s="1"/>
  <c r="E103" i="42"/>
  <c r="E104" i="42" s="1"/>
  <c r="G485" i="42"/>
  <c r="G486" i="42" s="1"/>
  <c r="G103" i="42"/>
  <c r="G104" i="42" s="1"/>
  <c r="L430" i="42"/>
  <c r="D103" i="39"/>
  <c r="AA115" i="39"/>
  <c r="AQ115" i="39"/>
  <c r="M509" i="39"/>
  <c r="Q509" i="39"/>
  <c r="U509" i="39"/>
  <c r="Y509" i="39"/>
  <c r="AC509" i="39"/>
  <c r="AG509" i="39"/>
  <c r="AK509" i="39"/>
  <c r="AO509" i="39"/>
  <c r="AS509" i="39"/>
  <c r="AW509" i="39"/>
  <c r="Y115" i="39"/>
  <c r="AO115" i="39"/>
  <c r="D126" i="39"/>
  <c r="H126" i="39"/>
  <c r="F202" i="39"/>
  <c r="F114" i="39" s="1"/>
  <c r="M255" i="39"/>
  <c r="AS255" i="39"/>
  <c r="E25" i="39"/>
  <c r="AN115" i="39"/>
  <c r="I34" i="39"/>
  <c r="J33" i="39" s="1"/>
  <c r="AF115" i="39"/>
  <c r="AS115" i="39"/>
  <c r="Y255" i="39"/>
  <c r="F25" i="39"/>
  <c r="T115" i="39"/>
  <c r="AV115" i="39"/>
  <c r="G22" i="39"/>
  <c r="M115" i="39"/>
  <c r="U115" i="39"/>
  <c r="AB115" i="39"/>
  <c r="AJ115" i="39"/>
  <c r="AW115" i="39"/>
  <c r="Q255" i="39"/>
  <c r="AG255" i="39"/>
  <c r="AW255" i="39"/>
  <c r="L115" i="39"/>
  <c r="D52" i="39"/>
  <c r="G20" i="39"/>
  <c r="H77" i="39"/>
  <c r="H79" i="39" s="1"/>
  <c r="H82" i="39" s="1"/>
  <c r="H83" i="39" s="1"/>
  <c r="P115" i="39"/>
  <c r="X115" i="39"/>
  <c r="AC115" i="39"/>
  <c r="AK115" i="39"/>
  <c r="AR115" i="39"/>
  <c r="E224" i="39"/>
  <c r="I224" i="39"/>
  <c r="U255" i="39"/>
  <c r="AK255" i="39"/>
  <c r="D286" i="39"/>
  <c r="G255" i="39"/>
  <c r="K255" i="39"/>
  <c r="O255" i="39"/>
  <c r="S255" i="39"/>
  <c r="W255" i="39"/>
  <c r="AA255" i="39"/>
  <c r="AE255" i="39"/>
  <c r="AI255" i="39"/>
  <c r="AM255" i="39"/>
  <c r="AQ255" i="39"/>
  <c r="AU255" i="39"/>
  <c r="F255" i="39"/>
  <c r="J115" i="39"/>
  <c r="N115" i="39"/>
  <c r="R115" i="39"/>
  <c r="V115" i="39"/>
  <c r="Z115" i="39"/>
  <c r="AD115" i="39"/>
  <c r="AH115" i="39"/>
  <c r="AL115" i="39"/>
  <c r="AP115" i="39"/>
  <c r="AT115" i="39"/>
  <c r="F13" i="39"/>
  <c r="J246" i="39"/>
  <c r="AT246" i="39"/>
  <c r="AP246" i="39"/>
  <c r="AL246" i="39"/>
  <c r="AH246" i="39"/>
  <c r="AD246" i="39"/>
  <c r="Z246" i="39"/>
  <c r="V246" i="39"/>
  <c r="R246" i="39"/>
  <c r="N246" i="39"/>
  <c r="J247" i="39"/>
  <c r="AT247" i="39"/>
  <c r="AP247" i="39"/>
  <c r="AL247" i="39"/>
  <c r="AH247" i="39"/>
  <c r="AD247" i="39"/>
  <c r="Z247" i="39"/>
  <c r="V247" i="39"/>
  <c r="R247" i="39"/>
  <c r="N247" i="39"/>
  <c r="AW246" i="39"/>
  <c r="AS246" i="39"/>
  <c r="AO246" i="39"/>
  <c r="AK246" i="39"/>
  <c r="AG246" i="39"/>
  <c r="AC246" i="39"/>
  <c r="Y246" i="39"/>
  <c r="U246" i="39"/>
  <c r="Q246" i="39"/>
  <c r="M246" i="39"/>
  <c r="AW247" i="39"/>
  <c r="AS247" i="39"/>
  <c r="AO247" i="39"/>
  <c r="AK247" i="39"/>
  <c r="AG247" i="39"/>
  <c r="AC247" i="39"/>
  <c r="Y247" i="39"/>
  <c r="U247" i="39"/>
  <c r="Q247" i="39"/>
  <c r="M247" i="39"/>
  <c r="AV246" i="39"/>
  <c r="AR246" i="39"/>
  <c r="AN246" i="39"/>
  <c r="AJ246" i="39"/>
  <c r="AF246" i="39"/>
  <c r="AB246" i="39"/>
  <c r="X246" i="39"/>
  <c r="T246" i="39"/>
  <c r="P246" i="39"/>
  <c r="L246" i="39"/>
  <c r="AV247" i="39"/>
  <c r="AR247" i="39"/>
  <c r="AN247" i="39"/>
  <c r="AJ247" i="39"/>
  <c r="AF247" i="39"/>
  <c r="AB247" i="39"/>
  <c r="X247" i="39"/>
  <c r="T247" i="39"/>
  <c r="P247" i="39"/>
  <c r="L247" i="39"/>
  <c r="D95" i="39"/>
  <c r="D96" i="39" s="1"/>
  <c r="AU246" i="39"/>
  <c r="AQ246" i="39"/>
  <c r="AM246" i="39"/>
  <c r="AI246" i="39"/>
  <c r="AE246" i="39"/>
  <c r="AA246" i="39"/>
  <c r="W246" i="39"/>
  <c r="S246" i="39"/>
  <c r="O246" i="39"/>
  <c r="K246" i="39"/>
  <c r="AU247" i="39"/>
  <c r="AQ247" i="39"/>
  <c r="AM247" i="39"/>
  <c r="AI247" i="39"/>
  <c r="AE247" i="39"/>
  <c r="AA247" i="39"/>
  <c r="W247" i="39"/>
  <c r="S247" i="39"/>
  <c r="O247" i="39"/>
  <c r="K247" i="39"/>
  <c r="W115" i="39"/>
  <c r="AM115" i="39"/>
  <c r="D51" i="39"/>
  <c r="G202" i="39"/>
  <c r="G114" i="39" s="1"/>
  <c r="G119" i="39" s="1"/>
  <c r="D287" i="39"/>
  <c r="J28" i="39"/>
  <c r="K28" i="39" s="1"/>
  <c r="L28" i="39" s="1"/>
  <c r="M28" i="39" s="1"/>
  <c r="N28" i="39" s="1"/>
  <c r="O28" i="39" s="1"/>
  <c r="P28" i="39" s="1"/>
  <c r="Q28" i="39" s="1"/>
  <c r="R28" i="39" s="1"/>
  <c r="S28" i="39" s="1"/>
  <c r="T28" i="39" s="1"/>
  <c r="U28" i="39" s="1"/>
  <c r="V28" i="39" s="1"/>
  <c r="W28" i="39" s="1"/>
  <c r="X28" i="39" s="1"/>
  <c r="Y28" i="39" s="1"/>
  <c r="Z28" i="39" s="1"/>
  <c r="AA28" i="39" s="1"/>
  <c r="AB28" i="39" s="1"/>
  <c r="AC28" i="39" s="1"/>
  <c r="AD28" i="39" s="1"/>
  <c r="AE28" i="39" s="1"/>
  <c r="AF28" i="39" s="1"/>
  <c r="AG28" i="39" s="1"/>
  <c r="AH28" i="39" s="1"/>
  <c r="AI28" i="39" s="1"/>
  <c r="AJ28" i="39" s="1"/>
  <c r="AK28" i="39" s="1"/>
  <c r="AL28" i="39" s="1"/>
  <c r="AM28" i="39" s="1"/>
  <c r="AN28" i="39" s="1"/>
  <c r="AO28" i="39" s="1"/>
  <c r="AP28" i="39" s="1"/>
  <c r="AQ28" i="39" s="1"/>
  <c r="AR28" i="39" s="1"/>
  <c r="AS28" i="39" s="1"/>
  <c r="AT28" i="39" s="1"/>
  <c r="AU28" i="39" s="1"/>
  <c r="H13" i="39"/>
  <c r="I15" i="39"/>
  <c r="E20" i="39"/>
  <c r="I20" i="39"/>
  <c r="E22" i="39"/>
  <c r="H25" i="39"/>
  <c r="E34" i="39"/>
  <c r="G77" i="39"/>
  <c r="G79" i="39" s="1"/>
  <c r="G82" i="39" s="1"/>
  <c r="G83" i="39" s="1"/>
  <c r="S115" i="39"/>
  <c r="AI115" i="39"/>
  <c r="E137" i="39"/>
  <c r="E138" i="39" s="1"/>
  <c r="E139" i="39" s="1"/>
  <c r="I137" i="39"/>
  <c r="I138" i="39" s="1"/>
  <c r="I139" i="39" s="1"/>
  <c r="G137" i="39"/>
  <c r="D241" i="39"/>
  <c r="D242" i="39" s="1"/>
  <c r="G286" i="39"/>
  <c r="E286" i="39"/>
  <c r="E287" i="39" s="1"/>
  <c r="I286" i="39"/>
  <c r="I287" i="39" s="1"/>
  <c r="E367" i="39"/>
  <c r="F427" i="39"/>
  <c r="F119" i="39"/>
  <c r="H22" i="39"/>
  <c r="G25" i="39"/>
  <c r="F77" i="39"/>
  <c r="F79" i="39" s="1"/>
  <c r="F82" i="39" s="1"/>
  <c r="F83" i="39" s="1"/>
  <c r="E13" i="39"/>
  <c r="I13" i="39"/>
  <c r="I25" i="39"/>
  <c r="O115" i="39"/>
  <c r="AE115" i="39"/>
  <c r="AU115" i="39"/>
  <c r="G126" i="39"/>
  <c r="E126" i="39"/>
  <c r="D209" i="39"/>
  <c r="D485" i="39"/>
  <c r="D486" i="39" s="1"/>
  <c r="D77" i="39"/>
  <c r="D79" i="39" s="1"/>
  <c r="D82" i="39" s="1"/>
  <c r="H338" i="39"/>
  <c r="H340" i="39" s="1"/>
  <c r="H341" i="39" s="1"/>
  <c r="G216" i="39"/>
  <c r="G218" i="39" s="1"/>
  <c r="F224" i="39"/>
  <c r="H286" i="39"/>
  <c r="H287" i="39" s="1"/>
  <c r="G287" i="39"/>
  <c r="I367" i="39"/>
  <c r="F367" i="39"/>
  <c r="I144" i="39"/>
  <c r="I145" i="39" s="1"/>
  <c r="I22" i="39"/>
  <c r="I446" i="39"/>
  <c r="N255" i="39"/>
  <c r="V255" i="39"/>
  <c r="AD255" i="39"/>
  <c r="AL255" i="39"/>
  <c r="AT255" i="39"/>
  <c r="G13" i="39"/>
  <c r="E15" i="39"/>
  <c r="D23" i="39"/>
  <c r="H20" i="39"/>
  <c r="J26" i="39"/>
  <c r="K26" i="39" s="1"/>
  <c r="L26" i="39" s="1"/>
  <c r="M26" i="39" s="1"/>
  <c r="N26" i="39" s="1"/>
  <c r="O26" i="39" s="1"/>
  <c r="P26" i="39" s="1"/>
  <c r="Q26" i="39" s="1"/>
  <c r="R26" i="39" s="1"/>
  <c r="S26" i="39" s="1"/>
  <c r="T26" i="39" s="1"/>
  <c r="U26" i="39" s="1"/>
  <c r="V26" i="39" s="1"/>
  <c r="W26" i="39" s="1"/>
  <c r="X26" i="39" s="1"/>
  <c r="Y26" i="39" s="1"/>
  <c r="Z26" i="39" s="1"/>
  <c r="AA26" i="39" s="1"/>
  <c r="AB26" i="39" s="1"/>
  <c r="AC26" i="39" s="1"/>
  <c r="AD26" i="39" s="1"/>
  <c r="AE26" i="39" s="1"/>
  <c r="AF26" i="39" s="1"/>
  <c r="AG26" i="39" s="1"/>
  <c r="AH26" i="39" s="1"/>
  <c r="AI26" i="39" s="1"/>
  <c r="AJ26" i="39" s="1"/>
  <c r="AK26" i="39" s="1"/>
  <c r="AL26" i="39" s="1"/>
  <c r="AM26" i="39" s="1"/>
  <c r="AN26" i="39" s="1"/>
  <c r="AO26" i="39" s="1"/>
  <c r="AP26" i="39" s="1"/>
  <c r="AQ26" i="39" s="1"/>
  <c r="AR26" i="39" s="1"/>
  <c r="AS26" i="39" s="1"/>
  <c r="AT26" i="39" s="1"/>
  <c r="AU26" i="39" s="1"/>
  <c r="AV26" i="39" s="1"/>
  <c r="AW26" i="39" s="1"/>
  <c r="F34" i="39"/>
  <c r="F446" i="39"/>
  <c r="F448" i="39" s="1"/>
  <c r="F449" i="39" s="1"/>
  <c r="F68" i="39" s="1"/>
  <c r="E91" i="39"/>
  <c r="I91" i="39"/>
  <c r="F91" i="39"/>
  <c r="G91" i="39"/>
  <c r="I126" i="39"/>
  <c r="E153" i="39"/>
  <c r="E154" i="39" s="1"/>
  <c r="E155" i="39" s="1"/>
  <c r="E159" i="39" s="1"/>
  <c r="I153" i="39"/>
  <c r="I154" i="39" s="1"/>
  <c r="I155" i="39" s="1"/>
  <c r="I159" i="39" s="1"/>
  <c r="D392" i="39"/>
  <c r="G395" i="39"/>
  <c r="G399" i="39" s="1"/>
  <c r="E395" i="39"/>
  <c r="E399" i="39" s="1"/>
  <c r="I395" i="39"/>
  <c r="I399" i="39" s="1"/>
  <c r="D427" i="39"/>
  <c r="H427" i="39"/>
  <c r="D460" i="39"/>
  <c r="H465" i="39"/>
  <c r="E145" i="39"/>
  <c r="F20" i="39"/>
  <c r="E446" i="39"/>
  <c r="E448" i="39" s="1"/>
  <c r="D338" i="39"/>
  <c r="D104" i="39"/>
  <c r="F154" i="39"/>
  <c r="F155" i="39" s="1"/>
  <c r="F159" i="39" s="1"/>
  <c r="J255" i="39"/>
  <c r="R255" i="39"/>
  <c r="Z255" i="39"/>
  <c r="AH255" i="39"/>
  <c r="AP255" i="39"/>
  <c r="F15" i="39"/>
  <c r="J35" i="39"/>
  <c r="K35" i="39" s="1"/>
  <c r="L35" i="39" s="1"/>
  <c r="M35" i="39" s="1"/>
  <c r="N35" i="39" s="1"/>
  <c r="O35" i="39" s="1"/>
  <c r="P35" i="39" s="1"/>
  <c r="Q35" i="39" s="1"/>
  <c r="R35" i="39" s="1"/>
  <c r="S35" i="39" s="1"/>
  <c r="T35" i="39" s="1"/>
  <c r="U35" i="39" s="1"/>
  <c r="V35" i="39" s="1"/>
  <c r="W35" i="39" s="1"/>
  <c r="X35" i="39" s="1"/>
  <c r="Y35" i="39" s="1"/>
  <c r="Z35" i="39" s="1"/>
  <c r="AA35" i="39" s="1"/>
  <c r="AB35" i="39" s="1"/>
  <c r="AC35" i="39" s="1"/>
  <c r="AD35" i="39" s="1"/>
  <c r="AE35" i="39" s="1"/>
  <c r="AF35" i="39" s="1"/>
  <c r="AG35" i="39" s="1"/>
  <c r="AH35" i="39" s="1"/>
  <c r="AI35" i="39" s="1"/>
  <c r="AJ35" i="39" s="1"/>
  <c r="AK35" i="39" s="1"/>
  <c r="AL35" i="39" s="1"/>
  <c r="AM35" i="39" s="1"/>
  <c r="AN35" i="39" s="1"/>
  <c r="AO35" i="39" s="1"/>
  <c r="AP35" i="39" s="1"/>
  <c r="AQ35" i="39" s="1"/>
  <c r="AR35" i="39" s="1"/>
  <c r="AS35" i="39" s="1"/>
  <c r="AT35" i="39" s="1"/>
  <c r="AU35" i="39" s="1"/>
  <c r="AV35" i="39" s="1"/>
  <c r="AW35" i="39" s="1"/>
  <c r="F495" i="39"/>
  <c r="G108" i="39"/>
  <c r="F126" i="39"/>
  <c r="D137" i="39"/>
  <c r="D138" i="39" s="1"/>
  <c r="D139" i="39" s="1"/>
  <c r="H137" i="39"/>
  <c r="D145" i="39"/>
  <c r="H144" i="39"/>
  <c r="H145" i="39" s="1"/>
  <c r="E202" i="39"/>
  <c r="E114" i="39" s="1"/>
  <c r="E119" i="39" s="1"/>
  <c r="I202" i="39"/>
  <c r="I114" i="39" s="1"/>
  <c r="I119" i="39" s="1"/>
  <c r="D324" i="39"/>
  <c r="D325" i="39" s="1"/>
  <c r="F324" i="39"/>
  <c r="G367" i="39"/>
  <c r="J509" i="39"/>
  <c r="N509" i="39"/>
  <c r="R509" i="39"/>
  <c r="V509" i="39"/>
  <c r="Z509" i="39"/>
  <c r="AD509" i="39"/>
  <c r="AH509" i="39"/>
  <c r="AL509" i="39"/>
  <c r="AP509" i="39"/>
  <c r="AT509" i="39"/>
  <c r="D395" i="39"/>
  <c r="D399" i="39" s="1"/>
  <c r="H395" i="39"/>
  <c r="H399" i="39" s="1"/>
  <c r="G460" i="39"/>
  <c r="G60" i="39" s="1"/>
  <c r="U2" i="39"/>
  <c r="AC2" i="39"/>
  <c r="AO2" i="39"/>
  <c r="G16" i="39"/>
  <c r="I192" i="39"/>
  <c r="J312" i="39"/>
  <c r="N2" i="39"/>
  <c r="Z2" i="39"/>
  <c r="I481" i="39"/>
  <c r="E481" i="39"/>
  <c r="H481" i="39"/>
  <c r="G481" i="39"/>
  <c r="I477" i="39"/>
  <c r="E477" i="39"/>
  <c r="F481" i="39"/>
  <c r="I440" i="39"/>
  <c r="J440" i="39" s="1"/>
  <c r="K440" i="39" s="1"/>
  <c r="L440" i="39" s="1"/>
  <c r="M440" i="39" s="1"/>
  <c r="N440" i="39" s="1"/>
  <c r="O440" i="39" s="1"/>
  <c r="P440" i="39" s="1"/>
  <c r="Q440" i="39" s="1"/>
  <c r="R440" i="39" s="1"/>
  <c r="S440" i="39" s="1"/>
  <c r="T440" i="39" s="1"/>
  <c r="U440" i="39" s="1"/>
  <c r="V440" i="39" s="1"/>
  <c r="W440" i="39" s="1"/>
  <c r="X440" i="39" s="1"/>
  <c r="Y440" i="39" s="1"/>
  <c r="Z440" i="39" s="1"/>
  <c r="AA440" i="39" s="1"/>
  <c r="AB440" i="39" s="1"/>
  <c r="AC440" i="39" s="1"/>
  <c r="AD440" i="39" s="1"/>
  <c r="AE440" i="39" s="1"/>
  <c r="AF440" i="39" s="1"/>
  <c r="AG440" i="39" s="1"/>
  <c r="AH440" i="39" s="1"/>
  <c r="AI440" i="39" s="1"/>
  <c r="AJ440" i="39" s="1"/>
  <c r="AK440" i="39" s="1"/>
  <c r="AL440" i="39" s="1"/>
  <c r="AM440" i="39" s="1"/>
  <c r="AN440" i="39" s="1"/>
  <c r="AO440" i="39" s="1"/>
  <c r="AP440" i="39" s="1"/>
  <c r="AQ440" i="39" s="1"/>
  <c r="AR440" i="39" s="1"/>
  <c r="AS440" i="39" s="1"/>
  <c r="AT440" i="39" s="1"/>
  <c r="AU440" i="39" s="1"/>
  <c r="AV440" i="39" s="1"/>
  <c r="AW440" i="39" s="1"/>
  <c r="E440" i="39"/>
  <c r="H439" i="39"/>
  <c r="G438" i="39"/>
  <c r="AU435" i="39"/>
  <c r="AQ435" i="39"/>
  <c r="AM435" i="39"/>
  <c r="AI435" i="39"/>
  <c r="AE435" i="39"/>
  <c r="AA435" i="39"/>
  <c r="W435" i="39"/>
  <c r="S435" i="39"/>
  <c r="O435" i="39"/>
  <c r="G435" i="39"/>
  <c r="AT434" i="39"/>
  <c r="AP434" i="39"/>
  <c r="AL434" i="39"/>
  <c r="AH434" i="39"/>
  <c r="AD434" i="39"/>
  <c r="Z434" i="39"/>
  <c r="V434" i="39"/>
  <c r="R434" i="39"/>
  <c r="N434" i="39"/>
  <c r="F434" i="39"/>
  <c r="AW433" i="39"/>
  <c r="AS433" i="39"/>
  <c r="AO433" i="39"/>
  <c r="AK433" i="39"/>
  <c r="AG433" i="39"/>
  <c r="AC433" i="39"/>
  <c r="Y433" i="39"/>
  <c r="U433" i="39"/>
  <c r="Q433" i="39"/>
  <c r="M433" i="39"/>
  <c r="I433" i="39"/>
  <c r="E433" i="39"/>
  <c r="H432" i="39"/>
  <c r="G431" i="39"/>
  <c r="J430" i="39"/>
  <c r="K430" i="39" s="1"/>
  <c r="L430" i="39" s="1"/>
  <c r="F430" i="39"/>
  <c r="H440" i="39"/>
  <c r="G439" i="39"/>
  <c r="J438" i="39"/>
  <c r="K438" i="39" s="1"/>
  <c r="L438" i="39" s="1"/>
  <c r="M438" i="39" s="1"/>
  <c r="N438" i="39" s="1"/>
  <c r="O438" i="39" s="1"/>
  <c r="P438" i="39" s="1"/>
  <c r="Q438" i="39" s="1"/>
  <c r="R438" i="39" s="1"/>
  <c r="S438" i="39" s="1"/>
  <c r="T438" i="39" s="1"/>
  <c r="U438" i="39" s="1"/>
  <c r="V438" i="39" s="1"/>
  <c r="W438" i="39" s="1"/>
  <c r="X438" i="39" s="1"/>
  <c r="Y438" i="39" s="1"/>
  <c r="Z438" i="39" s="1"/>
  <c r="AA438" i="39" s="1"/>
  <c r="AB438" i="39" s="1"/>
  <c r="AC438" i="39" s="1"/>
  <c r="AD438" i="39" s="1"/>
  <c r="AE438" i="39" s="1"/>
  <c r="AF438" i="39" s="1"/>
  <c r="AG438" i="39" s="1"/>
  <c r="AH438" i="39" s="1"/>
  <c r="AI438" i="39" s="1"/>
  <c r="AJ438" i="39" s="1"/>
  <c r="AK438" i="39" s="1"/>
  <c r="AL438" i="39" s="1"/>
  <c r="AM438" i="39" s="1"/>
  <c r="AN438" i="39" s="1"/>
  <c r="AO438" i="39" s="1"/>
  <c r="AP438" i="39" s="1"/>
  <c r="AQ438" i="39" s="1"/>
  <c r="AR438" i="39" s="1"/>
  <c r="AS438" i="39" s="1"/>
  <c r="AT438" i="39" s="1"/>
  <c r="AU438" i="39" s="1"/>
  <c r="AV438" i="39" s="1"/>
  <c r="AW438" i="39" s="1"/>
  <c r="F438" i="39"/>
  <c r="C436" i="39"/>
  <c r="D436" i="39" s="1"/>
  <c r="E436" i="39" s="1"/>
  <c r="F436" i="39" s="1"/>
  <c r="G436" i="39" s="1"/>
  <c r="H436" i="39" s="1"/>
  <c r="I436" i="39" s="1"/>
  <c r="AT435" i="39"/>
  <c r="AP435" i="39"/>
  <c r="AL435" i="39"/>
  <c r="AH435" i="39"/>
  <c r="AD435" i="39"/>
  <c r="Z435" i="39"/>
  <c r="V435" i="39"/>
  <c r="R435" i="39"/>
  <c r="N435" i="39"/>
  <c r="F435" i="39"/>
  <c r="AW434" i="39"/>
  <c r="AS434" i="39"/>
  <c r="AO434" i="39"/>
  <c r="AK434" i="39"/>
  <c r="AG434" i="39"/>
  <c r="AC434" i="39"/>
  <c r="Y434" i="39"/>
  <c r="U434" i="39"/>
  <c r="Q434" i="39"/>
  <c r="M434" i="39"/>
  <c r="I434" i="39"/>
  <c r="E434" i="39"/>
  <c r="AV433" i="39"/>
  <c r="AR433" i="39"/>
  <c r="AN433" i="39"/>
  <c r="AJ433" i="39"/>
  <c r="AF433" i="39"/>
  <c r="AB433" i="39"/>
  <c r="X433" i="39"/>
  <c r="T433" i="39"/>
  <c r="P433" i="39"/>
  <c r="L433" i="39"/>
  <c r="H433" i="39"/>
  <c r="G432" i="39"/>
  <c r="J431" i="39"/>
  <c r="K431" i="39" s="1"/>
  <c r="L431" i="39" s="1"/>
  <c r="M431" i="39" s="1"/>
  <c r="N431" i="39" s="1"/>
  <c r="O431" i="39" s="1"/>
  <c r="P431" i="39" s="1"/>
  <c r="Q431" i="39" s="1"/>
  <c r="R431" i="39" s="1"/>
  <c r="S431" i="39" s="1"/>
  <c r="T431" i="39" s="1"/>
  <c r="U431" i="39" s="1"/>
  <c r="V431" i="39" s="1"/>
  <c r="W431" i="39" s="1"/>
  <c r="X431" i="39" s="1"/>
  <c r="Y431" i="39" s="1"/>
  <c r="Z431" i="39" s="1"/>
  <c r="AA431" i="39" s="1"/>
  <c r="AB431" i="39" s="1"/>
  <c r="AC431" i="39" s="1"/>
  <c r="AD431" i="39" s="1"/>
  <c r="AE431" i="39" s="1"/>
  <c r="AF431" i="39" s="1"/>
  <c r="AG431" i="39" s="1"/>
  <c r="AH431" i="39" s="1"/>
  <c r="AI431" i="39" s="1"/>
  <c r="AJ431" i="39" s="1"/>
  <c r="AK431" i="39" s="1"/>
  <c r="AL431" i="39" s="1"/>
  <c r="AM431" i="39" s="1"/>
  <c r="AN431" i="39" s="1"/>
  <c r="AO431" i="39" s="1"/>
  <c r="AP431" i="39" s="1"/>
  <c r="AQ431" i="39" s="1"/>
  <c r="AR431" i="39" s="1"/>
  <c r="AS431" i="39" s="1"/>
  <c r="AT431" i="39" s="1"/>
  <c r="AU431" i="39" s="1"/>
  <c r="AV431" i="39" s="1"/>
  <c r="AW431" i="39" s="1"/>
  <c r="F431" i="39"/>
  <c r="I430" i="39"/>
  <c r="E430" i="39"/>
  <c r="H477" i="39"/>
  <c r="E438" i="39"/>
  <c r="AR435" i="39"/>
  <c r="AJ435" i="39"/>
  <c r="AB435" i="39"/>
  <c r="T435" i="39"/>
  <c r="AR434" i="39"/>
  <c r="AJ434" i="39"/>
  <c r="AB434" i="39"/>
  <c r="T434" i="39"/>
  <c r="L434" i="39"/>
  <c r="AQ433" i="39"/>
  <c r="AI433" i="39"/>
  <c r="AA433" i="39"/>
  <c r="S433" i="39"/>
  <c r="K433" i="39"/>
  <c r="E432" i="39"/>
  <c r="H431" i="39"/>
  <c r="H430" i="39"/>
  <c r="G440" i="39"/>
  <c r="I439" i="39"/>
  <c r="AW435" i="39"/>
  <c r="AO435" i="39"/>
  <c r="AG435" i="39"/>
  <c r="Y435" i="39"/>
  <c r="Q435" i="39"/>
  <c r="I435" i="39"/>
  <c r="AQ434" i="39"/>
  <c r="AI434" i="39"/>
  <c r="AA434" i="39"/>
  <c r="S434" i="39"/>
  <c r="AP433" i="39"/>
  <c r="AH433" i="39"/>
  <c r="Z433" i="39"/>
  <c r="R433" i="39"/>
  <c r="J432" i="39"/>
  <c r="K432" i="39" s="1"/>
  <c r="L432" i="39" s="1"/>
  <c r="M432" i="39" s="1"/>
  <c r="N432" i="39" s="1"/>
  <c r="O432" i="39" s="1"/>
  <c r="P432" i="39" s="1"/>
  <c r="Q432" i="39" s="1"/>
  <c r="R432" i="39" s="1"/>
  <c r="S432" i="39" s="1"/>
  <c r="T432" i="39" s="1"/>
  <c r="U432" i="39" s="1"/>
  <c r="V432" i="39" s="1"/>
  <c r="W432" i="39" s="1"/>
  <c r="X432" i="39" s="1"/>
  <c r="Y432" i="39" s="1"/>
  <c r="Z432" i="39" s="1"/>
  <c r="AA432" i="39" s="1"/>
  <c r="AB432" i="39" s="1"/>
  <c r="AC432" i="39" s="1"/>
  <c r="AD432" i="39" s="1"/>
  <c r="AE432" i="39" s="1"/>
  <c r="AF432" i="39" s="1"/>
  <c r="AG432" i="39" s="1"/>
  <c r="AH432" i="39" s="1"/>
  <c r="AI432" i="39" s="1"/>
  <c r="AJ432" i="39" s="1"/>
  <c r="AK432" i="39" s="1"/>
  <c r="AL432" i="39" s="1"/>
  <c r="AM432" i="39" s="1"/>
  <c r="AN432" i="39" s="1"/>
  <c r="AO432" i="39" s="1"/>
  <c r="AP432" i="39" s="1"/>
  <c r="AQ432" i="39" s="1"/>
  <c r="AR432" i="39" s="1"/>
  <c r="AS432" i="39" s="1"/>
  <c r="AT432" i="39" s="1"/>
  <c r="AU432" i="39" s="1"/>
  <c r="AV432" i="39" s="1"/>
  <c r="AW432" i="39" s="1"/>
  <c r="E431" i="39"/>
  <c r="G430" i="39"/>
  <c r="F440" i="39"/>
  <c r="H438" i="39"/>
  <c r="AN435" i="39"/>
  <c r="X435" i="39"/>
  <c r="H435" i="39"/>
  <c r="AV434" i="39"/>
  <c r="AF434" i="39"/>
  <c r="P434" i="39"/>
  <c r="AM433" i="39"/>
  <c r="W433" i="39"/>
  <c r="G433" i="39"/>
  <c r="I431" i="39"/>
  <c r="J369" i="39"/>
  <c r="K369" i="39" s="1"/>
  <c r="L369" i="39" s="1"/>
  <c r="M369" i="39" s="1"/>
  <c r="N369" i="39" s="1"/>
  <c r="O369" i="39" s="1"/>
  <c r="P369" i="39" s="1"/>
  <c r="Q369" i="39" s="1"/>
  <c r="R369" i="39" s="1"/>
  <c r="S369" i="39" s="1"/>
  <c r="T369" i="39" s="1"/>
  <c r="U369" i="39" s="1"/>
  <c r="V369" i="39" s="1"/>
  <c r="W369" i="39" s="1"/>
  <c r="X369" i="39" s="1"/>
  <c r="Y369" i="39" s="1"/>
  <c r="Z369" i="39" s="1"/>
  <c r="AA369" i="39" s="1"/>
  <c r="AB369" i="39" s="1"/>
  <c r="AC369" i="39" s="1"/>
  <c r="AD369" i="39" s="1"/>
  <c r="AE369" i="39" s="1"/>
  <c r="AF369" i="39" s="1"/>
  <c r="AG369" i="39" s="1"/>
  <c r="AH369" i="39" s="1"/>
  <c r="AI369" i="39" s="1"/>
  <c r="AJ369" i="39" s="1"/>
  <c r="AK369" i="39" s="1"/>
  <c r="AL369" i="39" s="1"/>
  <c r="AM369" i="39" s="1"/>
  <c r="AN369" i="39" s="1"/>
  <c r="AO369" i="39" s="1"/>
  <c r="AP369" i="39" s="1"/>
  <c r="AQ369" i="39" s="1"/>
  <c r="AR369" i="39" s="1"/>
  <c r="AS369" i="39" s="1"/>
  <c r="AT369" i="39" s="1"/>
  <c r="AU369" i="39" s="1"/>
  <c r="AV369" i="39" s="1"/>
  <c r="AW369" i="39" s="1"/>
  <c r="J366" i="39"/>
  <c r="F439" i="39"/>
  <c r="AK435" i="39"/>
  <c r="U435" i="39"/>
  <c r="E435" i="39"/>
  <c r="AU434" i="39"/>
  <c r="AE434" i="39"/>
  <c r="O434" i="39"/>
  <c r="AL433" i="39"/>
  <c r="V433" i="39"/>
  <c r="F433" i="39"/>
  <c r="J391" i="39"/>
  <c r="K391" i="39" s="1"/>
  <c r="L391" i="39" s="1"/>
  <c r="M391" i="39" s="1"/>
  <c r="N391" i="39" s="1"/>
  <c r="O391" i="39" s="1"/>
  <c r="P391" i="39" s="1"/>
  <c r="Q391" i="39" s="1"/>
  <c r="R391" i="39" s="1"/>
  <c r="S391" i="39" s="1"/>
  <c r="T391" i="39" s="1"/>
  <c r="U391" i="39" s="1"/>
  <c r="V391" i="39" s="1"/>
  <c r="W391" i="39" s="1"/>
  <c r="X391" i="39" s="1"/>
  <c r="Y391" i="39" s="1"/>
  <c r="Z391" i="39" s="1"/>
  <c r="AA391" i="39" s="1"/>
  <c r="AB391" i="39" s="1"/>
  <c r="AC391" i="39" s="1"/>
  <c r="AD391" i="39" s="1"/>
  <c r="AE391" i="39" s="1"/>
  <c r="AF391" i="39" s="1"/>
  <c r="AG391" i="39" s="1"/>
  <c r="AH391" i="39" s="1"/>
  <c r="AI391" i="39" s="1"/>
  <c r="AJ391" i="39" s="1"/>
  <c r="AK391" i="39" s="1"/>
  <c r="AL391" i="39" s="1"/>
  <c r="AM391" i="39" s="1"/>
  <c r="AN391" i="39" s="1"/>
  <c r="AO391" i="39" s="1"/>
  <c r="AP391" i="39" s="1"/>
  <c r="AQ391" i="39" s="1"/>
  <c r="AR391" i="39" s="1"/>
  <c r="AS391" i="39" s="1"/>
  <c r="AT391" i="39" s="1"/>
  <c r="AU391" i="39" s="1"/>
  <c r="AV391" i="39" s="1"/>
  <c r="AW391" i="39" s="1"/>
  <c r="J363" i="39"/>
  <c r="E439" i="39"/>
  <c r="I438" i="39"/>
  <c r="AF435" i="39"/>
  <c r="X434" i="39"/>
  <c r="AE433" i="39"/>
  <c r="C333" i="39"/>
  <c r="D333" i="39" s="1"/>
  <c r="AT313" i="39"/>
  <c r="AP313" i="39"/>
  <c r="AL313" i="39"/>
  <c r="AH313" i="39"/>
  <c r="AD313" i="39"/>
  <c r="Z313" i="39"/>
  <c r="V313" i="39"/>
  <c r="R313" i="39"/>
  <c r="N313" i="39"/>
  <c r="J313" i="39"/>
  <c r="AW312" i="39"/>
  <c r="AS312" i="39"/>
  <c r="AO312" i="39"/>
  <c r="AK312" i="39"/>
  <c r="AG312" i="39"/>
  <c r="AC312" i="39"/>
  <c r="Y312" i="39"/>
  <c r="U312" i="39"/>
  <c r="Q312" i="39"/>
  <c r="M312" i="39"/>
  <c r="H309" i="39"/>
  <c r="G308" i="39"/>
  <c r="F305" i="39"/>
  <c r="I304" i="39"/>
  <c r="E304" i="39"/>
  <c r="H301" i="39"/>
  <c r="G300" i="39"/>
  <c r="F297" i="39"/>
  <c r="I296" i="39"/>
  <c r="E296" i="39"/>
  <c r="H293" i="39"/>
  <c r="AC435" i="39"/>
  <c r="W434" i="39"/>
  <c r="AD433" i="39"/>
  <c r="J365" i="39"/>
  <c r="AW313" i="39"/>
  <c r="AS313" i="39"/>
  <c r="AO313" i="39"/>
  <c r="AK313" i="39"/>
  <c r="AG313" i="39"/>
  <c r="AC313" i="39"/>
  <c r="Y313" i="39"/>
  <c r="U313" i="39"/>
  <c r="Q313" i="39"/>
  <c r="M313" i="39"/>
  <c r="AV312" i="39"/>
  <c r="AR312" i="39"/>
  <c r="AN312" i="39"/>
  <c r="AJ312" i="39"/>
  <c r="AF312" i="39"/>
  <c r="AB312" i="39"/>
  <c r="X312" i="39"/>
  <c r="T312" i="39"/>
  <c r="P312" i="39"/>
  <c r="L312" i="39"/>
  <c r="G309" i="39"/>
  <c r="F308" i="39"/>
  <c r="I305" i="39"/>
  <c r="E305" i="39"/>
  <c r="H304" i="39"/>
  <c r="G301" i="39"/>
  <c r="F300" i="39"/>
  <c r="I297" i="39"/>
  <c r="E297" i="39"/>
  <c r="H296" i="39"/>
  <c r="G293" i="39"/>
  <c r="G280" i="39"/>
  <c r="P435" i="39"/>
  <c r="AN434" i="39"/>
  <c r="O433" i="39"/>
  <c r="AQ313" i="39"/>
  <c r="AI313" i="39"/>
  <c r="AA313" i="39"/>
  <c r="S313" i="39"/>
  <c r="K313" i="39"/>
  <c r="AU312" i="39"/>
  <c r="AM312" i="39"/>
  <c r="AE312" i="39"/>
  <c r="W312" i="39"/>
  <c r="O312" i="39"/>
  <c r="F309" i="39"/>
  <c r="I308" i="39"/>
  <c r="E300" i="39"/>
  <c r="G297" i="39"/>
  <c r="F296" i="39"/>
  <c r="F293" i="39"/>
  <c r="E280" i="39"/>
  <c r="F279" i="39"/>
  <c r="I276" i="39"/>
  <c r="E276" i="39"/>
  <c r="H275" i="39"/>
  <c r="G272" i="39"/>
  <c r="H270" i="39"/>
  <c r="H271" i="39" s="1"/>
  <c r="M435" i="39"/>
  <c r="AM434" i="39"/>
  <c r="N433" i="39"/>
  <c r="H403" i="39"/>
  <c r="H418" i="39" s="1"/>
  <c r="AV313" i="39"/>
  <c r="AN313" i="39"/>
  <c r="AF313" i="39"/>
  <c r="X313" i="39"/>
  <c r="P313" i="39"/>
  <c r="AT312" i="39"/>
  <c r="AL312" i="39"/>
  <c r="AD312" i="39"/>
  <c r="V312" i="39"/>
  <c r="N312" i="39"/>
  <c r="E309" i="39"/>
  <c r="H308" i="39"/>
  <c r="H305" i="39"/>
  <c r="G304" i="39"/>
  <c r="I301" i="39"/>
  <c r="E293" i="39"/>
  <c r="I280" i="39"/>
  <c r="I279" i="39"/>
  <c r="E279" i="39"/>
  <c r="H276" i="39"/>
  <c r="G275" i="39"/>
  <c r="F272" i="39"/>
  <c r="G270" i="39"/>
  <c r="G271" i="39" s="1"/>
  <c r="AV435" i="39"/>
  <c r="H434" i="39"/>
  <c r="AU433" i="39"/>
  <c r="I432" i="39"/>
  <c r="F432" i="39"/>
  <c r="AU313" i="39"/>
  <c r="AE313" i="39"/>
  <c r="O313" i="39"/>
  <c r="AH312" i="39"/>
  <c r="R312" i="39"/>
  <c r="I309" i="39"/>
  <c r="F301" i="39"/>
  <c r="H297" i="39"/>
  <c r="E272" i="39"/>
  <c r="E270" i="39"/>
  <c r="E271" i="39" s="1"/>
  <c r="F256" i="39"/>
  <c r="I253" i="39"/>
  <c r="E253" i="39"/>
  <c r="G252" i="39"/>
  <c r="I251" i="39"/>
  <c r="E251" i="39"/>
  <c r="G250" i="39"/>
  <c r="I239" i="39"/>
  <c r="E239" i="39"/>
  <c r="I231" i="39"/>
  <c r="J231" i="39" s="1"/>
  <c r="K231" i="39" s="1"/>
  <c r="L231" i="39" s="1"/>
  <c r="M231" i="39" s="1"/>
  <c r="N231" i="39" s="1"/>
  <c r="O231" i="39" s="1"/>
  <c r="P231" i="39" s="1"/>
  <c r="Q231" i="39" s="1"/>
  <c r="R231" i="39" s="1"/>
  <c r="S231" i="39" s="1"/>
  <c r="T231" i="39" s="1"/>
  <c r="U231" i="39" s="1"/>
  <c r="V231" i="39" s="1"/>
  <c r="W231" i="39" s="1"/>
  <c r="X231" i="39" s="1"/>
  <c r="Y231" i="39" s="1"/>
  <c r="Z231" i="39" s="1"/>
  <c r="AA231" i="39" s="1"/>
  <c r="AB231" i="39" s="1"/>
  <c r="AC231" i="39" s="1"/>
  <c r="AD231" i="39" s="1"/>
  <c r="AE231" i="39" s="1"/>
  <c r="AF231" i="39" s="1"/>
  <c r="AG231" i="39" s="1"/>
  <c r="AH231" i="39" s="1"/>
  <c r="AI231" i="39" s="1"/>
  <c r="AJ231" i="39" s="1"/>
  <c r="AK231" i="39" s="1"/>
  <c r="AL231" i="39" s="1"/>
  <c r="AM231" i="39" s="1"/>
  <c r="AN231" i="39" s="1"/>
  <c r="AO231" i="39" s="1"/>
  <c r="AP231" i="39" s="1"/>
  <c r="AQ231" i="39" s="1"/>
  <c r="AR231" i="39" s="1"/>
  <c r="AS231" i="39" s="1"/>
  <c r="AT231" i="39" s="1"/>
  <c r="AU231" i="39" s="1"/>
  <c r="AV231" i="39" s="1"/>
  <c r="AW231" i="39" s="1"/>
  <c r="E231" i="39"/>
  <c r="F229" i="39"/>
  <c r="F205" i="39"/>
  <c r="F209" i="39" s="1"/>
  <c r="G192" i="39"/>
  <c r="AT433" i="39"/>
  <c r="AR313" i="39"/>
  <c r="AB313" i="39"/>
  <c r="L313" i="39"/>
  <c r="AQ312" i="39"/>
  <c r="AA312" i="39"/>
  <c r="K312" i="39"/>
  <c r="E308" i="39"/>
  <c r="E301" i="39"/>
  <c r="G296" i="39"/>
  <c r="H279" i="39"/>
  <c r="G276" i="39"/>
  <c r="I275" i="39"/>
  <c r="I256" i="39"/>
  <c r="E256" i="39"/>
  <c r="H253" i="39"/>
  <c r="F252" i="39"/>
  <c r="H251" i="39"/>
  <c r="F250" i="39"/>
  <c r="H239" i="39"/>
  <c r="H231" i="39"/>
  <c r="I229" i="39"/>
  <c r="J229" i="39" s="1"/>
  <c r="K229" i="39" s="1"/>
  <c r="L229" i="39" s="1"/>
  <c r="M229" i="39" s="1"/>
  <c r="N229" i="39" s="1"/>
  <c r="O229" i="39" s="1"/>
  <c r="P229" i="39" s="1"/>
  <c r="Q229" i="39" s="1"/>
  <c r="R229" i="39" s="1"/>
  <c r="S229" i="39" s="1"/>
  <c r="T229" i="39" s="1"/>
  <c r="U229" i="39" s="1"/>
  <c r="V229" i="39" s="1"/>
  <c r="W229" i="39" s="1"/>
  <c r="X229" i="39" s="1"/>
  <c r="Y229" i="39" s="1"/>
  <c r="Z229" i="39" s="1"/>
  <c r="AA229" i="39" s="1"/>
  <c r="AB229" i="39" s="1"/>
  <c r="AC229" i="39" s="1"/>
  <c r="AD229" i="39" s="1"/>
  <c r="AE229" i="39" s="1"/>
  <c r="AF229" i="39" s="1"/>
  <c r="AG229" i="39" s="1"/>
  <c r="AH229" i="39" s="1"/>
  <c r="AI229" i="39" s="1"/>
  <c r="AJ229" i="39" s="1"/>
  <c r="AK229" i="39" s="1"/>
  <c r="AL229" i="39" s="1"/>
  <c r="AM229" i="39" s="1"/>
  <c r="AN229" i="39" s="1"/>
  <c r="AO229" i="39" s="1"/>
  <c r="AP229" i="39" s="1"/>
  <c r="AQ229" i="39" s="1"/>
  <c r="AR229" i="39" s="1"/>
  <c r="AS229" i="39" s="1"/>
  <c r="AT229" i="39" s="1"/>
  <c r="AU229" i="39" s="1"/>
  <c r="AV229" i="39" s="1"/>
  <c r="AW229" i="39" s="1"/>
  <c r="E229" i="39"/>
  <c r="I205" i="39"/>
  <c r="I209" i="39" s="1"/>
  <c r="E205" i="39"/>
  <c r="E209" i="39" s="1"/>
  <c r="F192" i="39"/>
  <c r="AM313" i="39"/>
  <c r="AI312" i="39"/>
  <c r="I293" i="39"/>
  <c r="G279" i="39"/>
  <c r="I272" i="39"/>
  <c r="H256" i="39"/>
  <c r="I250" i="39"/>
  <c r="G231" i="39"/>
  <c r="G229" i="39"/>
  <c r="G205" i="39"/>
  <c r="G209" i="39" s="1"/>
  <c r="E192" i="39"/>
  <c r="AJ313" i="39"/>
  <c r="Z312" i="39"/>
  <c r="I300" i="39"/>
  <c r="F276" i="39"/>
  <c r="H272" i="39"/>
  <c r="I270" i="39"/>
  <c r="I271" i="39" s="1"/>
  <c r="G256" i="39"/>
  <c r="I252" i="39"/>
  <c r="G251" i="39"/>
  <c r="H250" i="39"/>
  <c r="F231" i="39"/>
  <c r="K175" i="39"/>
  <c r="K290" i="39" s="1"/>
  <c r="G434" i="39"/>
  <c r="W313" i="39"/>
  <c r="S312" i="39"/>
  <c r="G305" i="39"/>
  <c r="F304" i="39"/>
  <c r="H300" i="39"/>
  <c r="H280" i="39"/>
  <c r="F275" i="39"/>
  <c r="F270" i="39"/>
  <c r="F271" i="39" s="1"/>
  <c r="G253" i="39"/>
  <c r="H252" i="39"/>
  <c r="F251" i="39"/>
  <c r="E250" i="39"/>
  <c r="Q2" i="39"/>
  <c r="AG2" i="39"/>
  <c r="AS2" i="39"/>
  <c r="G23" i="39"/>
  <c r="J29" i="39"/>
  <c r="R2" i="39"/>
  <c r="AD2" i="39"/>
  <c r="AL2" i="39"/>
  <c r="D16" i="39"/>
  <c r="H23" i="39"/>
  <c r="G34" i="39"/>
  <c r="H93" i="39"/>
  <c r="F108" i="39"/>
  <c r="J221" i="39"/>
  <c r="G239" i="39"/>
  <c r="F280" i="39"/>
  <c r="AP312" i="39"/>
  <c r="T313" i="39"/>
  <c r="AS435" i="39"/>
  <c r="K2" i="39"/>
  <c r="O2" i="39"/>
  <c r="S2" i="39"/>
  <c r="W2" i="39"/>
  <c r="AA2" i="39"/>
  <c r="AE2" i="39"/>
  <c r="AI2" i="39"/>
  <c r="AM2" i="39"/>
  <c r="AQ2" i="39"/>
  <c r="AU2" i="39"/>
  <c r="I232" i="39"/>
  <c r="G15" i="39"/>
  <c r="E16" i="39"/>
  <c r="I16" i="39"/>
  <c r="E23" i="39"/>
  <c r="I23" i="39"/>
  <c r="H34" i="39"/>
  <c r="E77" i="39"/>
  <c r="E79" i="39" s="1"/>
  <c r="E82" i="39" s="1"/>
  <c r="E83" i="39" s="1"/>
  <c r="I77" i="39"/>
  <c r="I79" i="39" s="1"/>
  <c r="I82" i="39" s="1"/>
  <c r="G377" i="39"/>
  <c r="D340" i="39"/>
  <c r="D341" i="39" s="1"/>
  <c r="I93" i="39"/>
  <c r="G154" i="39"/>
  <c r="G155" i="39" s="1"/>
  <c r="G172" i="39"/>
  <c r="F291" i="39"/>
  <c r="F292" i="39" s="1"/>
  <c r="J175" i="39"/>
  <c r="J290" i="39" s="1"/>
  <c r="H205" i="39"/>
  <c r="H209" i="39" s="1"/>
  <c r="E216" i="39"/>
  <c r="E218" i="39" s="1"/>
  <c r="I216" i="39"/>
  <c r="I218" i="39" s="1"/>
  <c r="J218" i="39" s="1"/>
  <c r="K218" i="39" s="1"/>
  <c r="L218" i="39" s="1"/>
  <c r="M218" i="39" s="1"/>
  <c r="N218" i="39" s="1"/>
  <c r="O218" i="39" s="1"/>
  <c r="P218" i="39" s="1"/>
  <c r="Q218" i="39" s="1"/>
  <c r="R218" i="39" s="1"/>
  <c r="S218" i="39" s="1"/>
  <c r="T218" i="39" s="1"/>
  <c r="U218" i="39" s="1"/>
  <c r="V218" i="39" s="1"/>
  <c r="W218" i="39" s="1"/>
  <c r="X218" i="39" s="1"/>
  <c r="Y218" i="39" s="1"/>
  <c r="Z218" i="39" s="1"/>
  <c r="AA218" i="39" s="1"/>
  <c r="AB218" i="39" s="1"/>
  <c r="AC218" i="39" s="1"/>
  <c r="AD218" i="39" s="1"/>
  <c r="AE218" i="39" s="1"/>
  <c r="AF218" i="39" s="1"/>
  <c r="AG218" i="39" s="1"/>
  <c r="AH218" i="39" s="1"/>
  <c r="AI218" i="39" s="1"/>
  <c r="AJ218" i="39" s="1"/>
  <c r="AK218" i="39" s="1"/>
  <c r="AL218" i="39" s="1"/>
  <c r="AM218" i="39" s="1"/>
  <c r="AN218" i="39" s="1"/>
  <c r="AO218" i="39" s="1"/>
  <c r="AP218" i="39" s="1"/>
  <c r="AQ218" i="39" s="1"/>
  <c r="AR218" i="39" s="1"/>
  <c r="AS218" i="39" s="1"/>
  <c r="AT218" i="39" s="1"/>
  <c r="AU218" i="39" s="1"/>
  <c r="AV218" i="39" s="1"/>
  <c r="AW218" i="39" s="1"/>
  <c r="I217" i="39"/>
  <c r="J217" i="39" s="1"/>
  <c r="K217" i="39" s="1"/>
  <c r="L217" i="39" s="1"/>
  <c r="M217" i="39" s="1"/>
  <c r="N217" i="39" s="1"/>
  <c r="O217" i="39" s="1"/>
  <c r="P217" i="39" s="1"/>
  <c r="Q217" i="39" s="1"/>
  <c r="R217" i="39" s="1"/>
  <c r="S217" i="39" s="1"/>
  <c r="T217" i="39" s="1"/>
  <c r="U217" i="39" s="1"/>
  <c r="V217" i="39" s="1"/>
  <c r="W217" i="39" s="1"/>
  <c r="X217" i="39" s="1"/>
  <c r="Y217" i="39" s="1"/>
  <c r="Z217" i="39" s="1"/>
  <c r="AA217" i="39" s="1"/>
  <c r="AB217" i="39" s="1"/>
  <c r="AC217" i="39" s="1"/>
  <c r="AD217" i="39" s="1"/>
  <c r="AE217" i="39" s="1"/>
  <c r="AF217" i="39" s="1"/>
  <c r="AG217" i="39" s="1"/>
  <c r="AH217" i="39" s="1"/>
  <c r="AI217" i="39" s="1"/>
  <c r="AJ217" i="39" s="1"/>
  <c r="AK217" i="39" s="1"/>
  <c r="AL217" i="39" s="1"/>
  <c r="AM217" i="39" s="1"/>
  <c r="AN217" i="39" s="1"/>
  <c r="AO217" i="39" s="1"/>
  <c r="AP217" i="39" s="1"/>
  <c r="AQ217" i="39" s="1"/>
  <c r="AR217" i="39" s="1"/>
  <c r="AS217" i="39" s="1"/>
  <c r="AT217" i="39" s="1"/>
  <c r="AU217" i="39" s="1"/>
  <c r="AV217" i="39" s="1"/>
  <c r="AW217" i="39" s="1"/>
  <c r="E217" i="39"/>
  <c r="H229" i="39"/>
  <c r="E275" i="39"/>
  <c r="I291" i="39"/>
  <c r="I292" i="39" s="1"/>
  <c r="M2" i="39"/>
  <c r="Y2" i="39"/>
  <c r="AK2" i="39"/>
  <c r="AW2" i="39"/>
  <c r="E93" i="39"/>
  <c r="C229" i="39"/>
  <c r="D230" i="39" s="1"/>
  <c r="F239" i="39"/>
  <c r="E252" i="39"/>
  <c r="J2" i="39"/>
  <c r="V2" i="39"/>
  <c r="AH2" i="39"/>
  <c r="AT2" i="39"/>
  <c r="H16" i="39"/>
  <c r="I448" i="39"/>
  <c r="G138" i="39"/>
  <c r="G139" i="39" s="1"/>
  <c r="L2" i="39"/>
  <c r="P2" i="39"/>
  <c r="T2" i="39"/>
  <c r="X2" i="39"/>
  <c r="AB2" i="39"/>
  <c r="AF2" i="39"/>
  <c r="AJ2" i="39"/>
  <c r="AN2" i="39"/>
  <c r="AR2" i="39"/>
  <c r="AV2" i="39"/>
  <c r="H15" i="39"/>
  <c r="F16" i="39"/>
  <c r="D379" i="39"/>
  <c r="D377" i="39"/>
  <c r="H377" i="39"/>
  <c r="D91" i="39"/>
  <c r="H91" i="39"/>
  <c r="E493" i="39"/>
  <c r="E495" i="39" s="1"/>
  <c r="E108" i="39"/>
  <c r="I493" i="39"/>
  <c r="I495" i="39" s="1"/>
  <c r="I108" i="39"/>
  <c r="F137" i="39"/>
  <c r="D172" i="39"/>
  <c r="H172" i="39"/>
  <c r="F172" i="39"/>
  <c r="H192" i="39"/>
  <c r="F216" i="39"/>
  <c r="F218" i="39" s="1"/>
  <c r="F217" i="39"/>
  <c r="L236" i="39"/>
  <c r="D257" i="39"/>
  <c r="F253" i="39"/>
  <c r="G448" i="39"/>
  <c r="G449" i="39" s="1"/>
  <c r="G68" i="39" s="1"/>
  <c r="E377" i="39"/>
  <c r="I377" i="39"/>
  <c r="F145" i="39"/>
  <c r="D154" i="39"/>
  <c r="D155" i="39" s="1"/>
  <c r="H154" i="39"/>
  <c r="H155" i="39" s="1"/>
  <c r="H159" i="39" s="1"/>
  <c r="E172" i="39"/>
  <c r="I172" i="39"/>
  <c r="G291" i="39"/>
  <c r="G292" i="39" s="1"/>
  <c r="D270" i="39"/>
  <c r="D271" i="39" s="1"/>
  <c r="D196" i="39"/>
  <c r="G217" i="39"/>
  <c r="D216" i="39"/>
  <c r="H216" i="39"/>
  <c r="H218" i="39" s="1"/>
  <c r="G224" i="39"/>
  <c r="D479" i="39"/>
  <c r="D480" i="39" s="1"/>
  <c r="H324" i="39"/>
  <c r="H325" i="39" s="1"/>
  <c r="D448" i="39"/>
  <c r="D449" i="39" s="1"/>
  <c r="D68" i="39" s="1"/>
  <c r="H448" i="39"/>
  <c r="H449" i="39" s="1"/>
  <c r="H68" i="39" s="1"/>
  <c r="F377" i="39"/>
  <c r="G340" i="39"/>
  <c r="G341" i="39" s="1"/>
  <c r="D493" i="39"/>
  <c r="D495" i="39" s="1"/>
  <c r="D108" i="39"/>
  <c r="H493" i="39"/>
  <c r="H495" i="39" s="1"/>
  <c r="H108" i="39"/>
  <c r="G145" i="39"/>
  <c r="D202" i="39"/>
  <c r="D114" i="39" s="1"/>
  <c r="D119" i="39" s="1"/>
  <c r="H202" i="39"/>
  <c r="H114" i="39" s="1"/>
  <c r="H119" i="39" s="1"/>
  <c r="H217" i="39"/>
  <c r="D224" i="39"/>
  <c r="H224" i="39"/>
  <c r="H291" i="39"/>
  <c r="H292" i="39" s="1"/>
  <c r="F287" i="39"/>
  <c r="J322" i="39"/>
  <c r="K322" i="39" s="1"/>
  <c r="L322" i="39" s="1"/>
  <c r="M322" i="39" s="1"/>
  <c r="N322" i="39" s="1"/>
  <c r="O322" i="39" s="1"/>
  <c r="P322" i="39" s="1"/>
  <c r="Q322" i="39" s="1"/>
  <c r="R322" i="39" s="1"/>
  <c r="S322" i="39" s="1"/>
  <c r="T322" i="39" s="1"/>
  <c r="U322" i="39" s="1"/>
  <c r="V322" i="39" s="1"/>
  <c r="W322" i="39" s="1"/>
  <c r="X322" i="39" s="1"/>
  <c r="Y322" i="39" s="1"/>
  <c r="Z322" i="39" s="1"/>
  <c r="AA322" i="39" s="1"/>
  <c r="AB322" i="39" s="1"/>
  <c r="AC322" i="39" s="1"/>
  <c r="AD322" i="39" s="1"/>
  <c r="AE322" i="39" s="1"/>
  <c r="AF322" i="39" s="1"/>
  <c r="AG322" i="39" s="1"/>
  <c r="AH322" i="39" s="1"/>
  <c r="AI322" i="39" s="1"/>
  <c r="AJ322" i="39" s="1"/>
  <c r="AK322" i="39" s="1"/>
  <c r="AL322" i="39" s="1"/>
  <c r="AM322" i="39" s="1"/>
  <c r="AN322" i="39" s="1"/>
  <c r="AO322" i="39" s="1"/>
  <c r="AP322" i="39" s="1"/>
  <c r="AQ322" i="39" s="1"/>
  <c r="AR322" i="39" s="1"/>
  <c r="AS322" i="39" s="1"/>
  <c r="F403" i="39"/>
  <c r="E291" i="39"/>
  <c r="E292" i="39" s="1"/>
  <c r="D292" i="39"/>
  <c r="G324" i="39"/>
  <c r="G325" i="39" s="1"/>
  <c r="E338" i="39"/>
  <c r="I338" i="39"/>
  <c r="G403" i="39"/>
  <c r="E324" i="39"/>
  <c r="E325" i="39" s="1"/>
  <c r="I324" i="39"/>
  <c r="I325" i="39" s="1"/>
  <c r="F325" i="39"/>
  <c r="D378" i="39"/>
  <c r="E392" i="39"/>
  <c r="E379" i="39" s="1"/>
  <c r="D367" i="39"/>
  <c r="D370" i="39" s="1"/>
  <c r="H367" i="39"/>
  <c r="F338" i="39"/>
  <c r="L509" i="39"/>
  <c r="P509" i="39"/>
  <c r="T509" i="39"/>
  <c r="X509" i="39"/>
  <c r="AB509" i="39"/>
  <c r="AF509" i="39"/>
  <c r="AJ509" i="39"/>
  <c r="AN509" i="39"/>
  <c r="AR509" i="39"/>
  <c r="AV509" i="39"/>
  <c r="D403" i="39"/>
  <c r="D418" i="39" s="1"/>
  <c r="G427" i="39"/>
  <c r="E464" i="39"/>
  <c r="E465" i="39" s="1"/>
  <c r="I465" i="39"/>
  <c r="J463" i="39"/>
  <c r="E403" i="39"/>
  <c r="I403" i="39"/>
  <c r="K509" i="39"/>
  <c r="O509" i="39"/>
  <c r="S509" i="39"/>
  <c r="W509" i="39"/>
  <c r="AA509" i="39"/>
  <c r="AE509" i="39"/>
  <c r="AI509" i="39"/>
  <c r="AM509" i="39"/>
  <c r="AQ509" i="39"/>
  <c r="AU509" i="39"/>
  <c r="E427" i="39"/>
  <c r="I427" i="39"/>
  <c r="I459" i="39"/>
  <c r="F459" i="39"/>
  <c r="F460" i="39" s="1"/>
  <c r="E459" i="39"/>
  <c r="E460" i="39" s="1"/>
  <c r="D464" i="39"/>
  <c r="D465" i="39" s="1"/>
  <c r="H460" i="39"/>
  <c r="H60" i="39" s="1"/>
  <c r="F465" i="39"/>
  <c r="AV28" i="39" l="1"/>
  <c r="AW28" i="39" s="1"/>
  <c r="D83" i="39"/>
  <c r="D159" i="39"/>
  <c r="U72" i="3"/>
  <c r="T71" i="3"/>
  <c r="T81" i="3" s="1"/>
  <c r="S80" i="3"/>
  <c r="S74" i="3"/>
  <c r="S77" i="3"/>
  <c r="S82" i="3"/>
  <c r="S76" i="3"/>
  <c r="S79" i="3" s="1"/>
  <c r="T73" i="3"/>
  <c r="S81" i="3"/>
  <c r="L366" i="42"/>
  <c r="H241" i="39"/>
  <c r="H242" i="39" s="1"/>
  <c r="I241" i="39"/>
  <c r="I242" i="39" s="1"/>
  <c r="K27" i="42"/>
  <c r="L27" i="42" s="1"/>
  <c r="M27" i="42" s="1"/>
  <c r="N27" i="42" s="1"/>
  <c r="O27" i="42" s="1"/>
  <c r="P27" i="42" s="1"/>
  <c r="Q27" i="42" s="1"/>
  <c r="R27" i="42" s="1"/>
  <c r="S27" i="42" s="1"/>
  <c r="T27" i="42" s="1"/>
  <c r="U27" i="42" s="1"/>
  <c r="V27" i="42" s="1"/>
  <c r="W27" i="42" s="1"/>
  <c r="X27" i="42" s="1"/>
  <c r="Y27" i="42" s="1"/>
  <c r="Z27" i="42" s="1"/>
  <c r="AA27" i="42" s="1"/>
  <c r="AB27" i="42" s="1"/>
  <c r="AC27" i="42" s="1"/>
  <c r="AD27" i="42" s="1"/>
  <c r="AE27" i="42" s="1"/>
  <c r="AF27" i="42" s="1"/>
  <c r="AG27" i="42" s="1"/>
  <c r="AH27" i="42" s="1"/>
  <c r="AI27" i="42" s="1"/>
  <c r="AJ27" i="42" s="1"/>
  <c r="AK27" i="42" s="1"/>
  <c r="AL27" i="42" s="1"/>
  <c r="AM27" i="42" s="1"/>
  <c r="AN27" i="42" s="1"/>
  <c r="AO27" i="42" s="1"/>
  <c r="AP27" i="42" s="1"/>
  <c r="AQ27" i="42" s="1"/>
  <c r="AR27" i="42" s="1"/>
  <c r="AS27" i="42" s="1"/>
  <c r="AT27" i="42" s="1"/>
  <c r="AU27" i="42" s="1"/>
  <c r="AV27" i="42" s="1"/>
  <c r="AW27" i="42" s="1"/>
  <c r="E437" i="42"/>
  <c r="J186" i="42"/>
  <c r="L365" i="42"/>
  <c r="F56" i="42"/>
  <c r="K437" i="42"/>
  <c r="F437" i="42"/>
  <c r="G56" i="42"/>
  <c r="H437" i="42"/>
  <c r="G53" i="42"/>
  <c r="G437" i="42"/>
  <c r="K153" i="42"/>
  <c r="K367" i="42"/>
  <c r="K370" i="42" s="1"/>
  <c r="L363" i="42"/>
  <c r="J437" i="42"/>
  <c r="H56" i="42"/>
  <c r="E56" i="42"/>
  <c r="AW95" i="42"/>
  <c r="E109" i="42"/>
  <c r="E112" i="42"/>
  <c r="H410" i="42"/>
  <c r="H408" i="42"/>
  <c r="H411" i="42"/>
  <c r="H49" i="42"/>
  <c r="H44" i="42"/>
  <c r="H48" i="42" s="1"/>
  <c r="H127" i="42" s="1"/>
  <c r="D410" i="42"/>
  <c r="D408" i="42"/>
  <c r="D411" i="42"/>
  <c r="J372" i="42"/>
  <c r="J373" i="42"/>
  <c r="J374" i="42"/>
  <c r="G49" i="42"/>
  <c r="G44" i="42"/>
  <c r="G48" i="42" s="1"/>
  <c r="F410" i="42"/>
  <c r="F408" i="42"/>
  <c r="F411" i="42"/>
  <c r="D382" i="42"/>
  <c r="D383" i="42"/>
  <c r="E378" i="42"/>
  <c r="F392" i="42"/>
  <c r="E379" i="42"/>
  <c r="K182" i="42"/>
  <c r="L182" i="42" s="1"/>
  <c r="M182" i="42" s="1"/>
  <c r="N182" i="42" s="1"/>
  <c r="O182" i="42" s="1"/>
  <c r="P182" i="42" s="1"/>
  <c r="Q182" i="42" s="1"/>
  <c r="R182" i="42" s="1"/>
  <c r="S182" i="42" s="1"/>
  <c r="T182" i="42" s="1"/>
  <c r="U182" i="42" s="1"/>
  <c r="V182" i="42" s="1"/>
  <c r="W182" i="42" s="1"/>
  <c r="X182" i="42" s="1"/>
  <c r="Y182" i="42" s="1"/>
  <c r="Z182" i="42" s="1"/>
  <c r="AA182" i="42" s="1"/>
  <c r="AB182" i="42" s="1"/>
  <c r="AC182" i="42" s="1"/>
  <c r="AD182" i="42" s="1"/>
  <c r="AE182" i="42" s="1"/>
  <c r="AF182" i="42" s="1"/>
  <c r="AG182" i="42" s="1"/>
  <c r="AH182" i="42" s="1"/>
  <c r="AI182" i="42" s="1"/>
  <c r="AJ182" i="42" s="1"/>
  <c r="AK182" i="42" s="1"/>
  <c r="AL182" i="42" s="1"/>
  <c r="AM182" i="42" s="1"/>
  <c r="AN182" i="42" s="1"/>
  <c r="AO182" i="42" s="1"/>
  <c r="AP182" i="42" s="1"/>
  <c r="AQ182" i="42" s="1"/>
  <c r="AR182" i="42" s="1"/>
  <c r="AS182" i="42" s="1"/>
  <c r="H419" i="42"/>
  <c r="H420" i="42" s="1"/>
  <c r="G408" i="42"/>
  <c r="G410" i="42"/>
  <c r="G411" i="42"/>
  <c r="I259" i="42"/>
  <c r="I260" i="42" s="1"/>
  <c r="M236" i="42"/>
  <c r="D49" i="42"/>
  <c r="E410" i="42"/>
  <c r="E411" i="42"/>
  <c r="E408" i="42"/>
  <c r="I183" i="42"/>
  <c r="H112" i="42"/>
  <c r="H109" i="42"/>
  <c r="F44" i="42"/>
  <c r="F48" i="42" s="1"/>
  <c r="L437" i="42"/>
  <c r="M430" i="42"/>
  <c r="E487" i="42"/>
  <c r="F54" i="42"/>
  <c r="F53" i="42"/>
  <c r="F333" i="42"/>
  <c r="E332" i="42"/>
  <c r="I109" i="42"/>
  <c r="I112" i="42"/>
  <c r="G419" i="42"/>
  <c r="G420" i="42" s="1"/>
  <c r="I44" i="42"/>
  <c r="I48" i="42" s="1"/>
  <c r="I127" i="42" s="1"/>
  <c r="D44" i="42"/>
  <c r="D48" i="42" s="1"/>
  <c r="D127" i="42" s="1"/>
  <c r="H487" i="42"/>
  <c r="L34" i="42"/>
  <c r="M33" i="42" s="1"/>
  <c r="H53" i="42"/>
  <c r="H54" i="42"/>
  <c r="I487" i="42"/>
  <c r="I53" i="42"/>
  <c r="I54" i="42"/>
  <c r="L510" i="42"/>
  <c r="M463" i="42"/>
  <c r="L464" i="42"/>
  <c r="L465" i="42" s="1"/>
  <c r="L116" i="42" s="1"/>
  <c r="D334" i="42"/>
  <c r="D354" i="42"/>
  <c r="D345" i="42" s="1"/>
  <c r="AN181" i="42"/>
  <c r="K261" i="42"/>
  <c r="K30" i="42"/>
  <c r="K243" i="42"/>
  <c r="N29" i="42"/>
  <c r="E259" i="42"/>
  <c r="E260" i="42" s="1"/>
  <c r="E49" i="42" s="1"/>
  <c r="I419" i="42"/>
  <c r="E54" i="42"/>
  <c r="E44" i="42"/>
  <c r="E48" i="42" s="1"/>
  <c r="E127" i="42" s="1"/>
  <c r="I56" i="42"/>
  <c r="F259" i="42"/>
  <c r="F260" i="42" s="1"/>
  <c r="F49" i="42" s="1"/>
  <c r="I405" i="42"/>
  <c r="O221" i="42"/>
  <c r="E41" i="39"/>
  <c r="D97" i="39"/>
  <c r="F60" i="39"/>
  <c r="D60" i="39"/>
  <c r="D437" i="39"/>
  <c r="J27" i="39"/>
  <c r="K27" i="39" s="1"/>
  <c r="L27" i="39" s="1"/>
  <c r="M27" i="39" s="1"/>
  <c r="N27" i="39" s="1"/>
  <c r="O27" i="39" s="1"/>
  <c r="P27" i="39" s="1"/>
  <c r="Q27" i="39" s="1"/>
  <c r="R27" i="39" s="1"/>
  <c r="S27" i="39" s="1"/>
  <c r="T27" i="39" s="1"/>
  <c r="U27" i="39" s="1"/>
  <c r="V27" i="39" s="1"/>
  <c r="W27" i="39" s="1"/>
  <c r="X27" i="39" s="1"/>
  <c r="Y27" i="39" s="1"/>
  <c r="Z27" i="39" s="1"/>
  <c r="AA27" i="39" s="1"/>
  <c r="AB27" i="39" s="1"/>
  <c r="AC27" i="39" s="1"/>
  <c r="AD27" i="39" s="1"/>
  <c r="AE27" i="39" s="1"/>
  <c r="AF27" i="39" s="1"/>
  <c r="AG27" i="39" s="1"/>
  <c r="AH27" i="39" s="1"/>
  <c r="AI27" i="39" s="1"/>
  <c r="AJ27" i="39" s="1"/>
  <c r="AK27" i="39" s="1"/>
  <c r="AL27" i="39" s="1"/>
  <c r="AM27" i="39" s="1"/>
  <c r="AN27" i="39" s="1"/>
  <c r="AO27" i="39" s="1"/>
  <c r="AP27" i="39" s="1"/>
  <c r="AQ27" i="39" s="1"/>
  <c r="AR27" i="39" s="1"/>
  <c r="AS27" i="39" s="1"/>
  <c r="AT27" i="39" s="1"/>
  <c r="AU27" i="39" s="1"/>
  <c r="E370" i="39"/>
  <c r="F370" i="39" s="1"/>
  <c r="D41" i="39"/>
  <c r="I41" i="39"/>
  <c r="G50" i="39"/>
  <c r="E449" i="39"/>
  <c r="E68" i="39" s="1"/>
  <c r="O436" i="39"/>
  <c r="AU436" i="39"/>
  <c r="D487" i="39"/>
  <c r="D496" i="39" s="1"/>
  <c r="G370" i="39"/>
  <c r="H370" i="39" s="1"/>
  <c r="I370" i="39" s="1"/>
  <c r="I50" i="39"/>
  <c r="H138" i="39"/>
  <c r="H139" i="39" s="1"/>
  <c r="H50" i="39" s="1"/>
  <c r="E60" i="39"/>
  <c r="H41" i="39"/>
  <c r="AK436" i="39"/>
  <c r="R436" i="39"/>
  <c r="AH436" i="39"/>
  <c r="AN436" i="39"/>
  <c r="AF436" i="39"/>
  <c r="AO436" i="39"/>
  <c r="J434" i="39"/>
  <c r="K434" i="39" s="1"/>
  <c r="AW436" i="39"/>
  <c r="K366" i="39"/>
  <c r="AJ436" i="39"/>
  <c r="K365" i="39"/>
  <c r="L436" i="39"/>
  <c r="J435" i="39"/>
  <c r="K435" i="39" s="1"/>
  <c r="L435" i="39" s="1"/>
  <c r="U436" i="39"/>
  <c r="AG436" i="39"/>
  <c r="AR436" i="39"/>
  <c r="J433" i="39"/>
  <c r="J436" i="39"/>
  <c r="AE436" i="39"/>
  <c r="H257" i="39"/>
  <c r="H259" i="39" s="1"/>
  <c r="H260" i="39" s="1"/>
  <c r="AB436" i="39"/>
  <c r="T436" i="39"/>
  <c r="AM436" i="39"/>
  <c r="V436" i="39"/>
  <c r="AL436" i="39"/>
  <c r="G159" i="39"/>
  <c r="G41" i="39" s="1"/>
  <c r="I113" i="39"/>
  <c r="I45" i="39"/>
  <c r="H113" i="39"/>
  <c r="H45" i="39"/>
  <c r="D50" i="39"/>
  <c r="E50" i="39"/>
  <c r="E404" i="39"/>
  <c r="E405" i="39" s="1"/>
  <c r="G404" i="39"/>
  <c r="G405" i="39" s="1"/>
  <c r="D113" i="39"/>
  <c r="D45" i="39"/>
  <c r="E113" i="39"/>
  <c r="E45" i="39"/>
  <c r="H479" i="39"/>
  <c r="H480" i="39" s="1"/>
  <c r="H230" i="39"/>
  <c r="H95" i="39"/>
  <c r="H96" i="39" s="1"/>
  <c r="H97" i="39" s="1"/>
  <c r="G241" i="39"/>
  <c r="G242" i="39" s="1"/>
  <c r="AB479" i="39"/>
  <c r="AB230" i="39"/>
  <c r="AB95" i="39"/>
  <c r="E241" i="39"/>
  <c r="E242" i="39" s="1"/>
  <c r="I51" i="39"/>
  <c r="I196" i="39"/>
  <c r="I52" i="39"/>
  <c r="I460" i="39"/>
  <c r="I60" i="39" s="1"/>
  <c r="D404" i="39"/>
  <c r="D405" i="39" s="1"/>
  <c r="F113" i="39"/>
  <c r="F45" i="39"/>
  <c r="G418" i="39"/>
  <c r="E340" i="39"/>
  <c r="E341" i="39" s="1"/>
  <c r="K479" i="39"/>
  <c r="K230" i="39"/>
  <c r="K95" i="39"/>
  <c r="F179" i="39"/>
  <c r="F174" i="39"/>
  <c r="F177" i="39" s="1"/>
  <c r="H174" i="39"/>
  <c r="H177" i="39" s="1"/>
  <c r="H179" i="39"/>
  <c r="H180" i="39" s="1"/>
  <c r="F138" i="39"/>
  <c r="F139" i="39" s="1"/>
  <c r="F50" i="39" s="1"/>
  <c r="F41" i="39"/>
  <c r="D380" i="39"/>
  <c r="F241" i="39"/>
  <c r="F242" i="39" s="1"/>
  <c r="G174" i="39"/>
  <c r="G177" i="39" s="1"/>
  <c r="G179" i="39"/>
  <c r="AI479" i="39"/>
  <c r="AI230" i="39"/>
  <c r="AI95" i="39"/>
  <c r="K29" i="39"/>
  <c r="AJ479" i="39"/>
  <c r="AJ230" i="39"/>
  <c r="AJ95" i="39"/>
  <c r="Z436" i="39"/>
  <c r="E418" i="39"/>
  <c r="F340" i="39"/>
  <c r="F341" i="39" s="1"/>
  <c r="F404" i="39"/>
  <c r="F405" i="39" s="1"/>
  <c r="F418" i="39"/>
  <c r="D259" i="39"/>
  <c r="D260" i="39" s="1"/>
  <c r="AA479" i="39"/>
  <c r="AA230" i="39"/>
  <c r="AA95" i="39"/>
  <c r="Z479" i="39"/>
  <c r="Z95" i="39"/>
  <c r="Z230" i="39"/>
  <c r="H419" i="39"/>
  <c r="H420" i="39" s="1"/>
  <c r="E378" i="39"/>
  <c r="E380" i="39" s="1"/>
  <c r="F392" i="39"/>
  <c r="I340" i="39"/>
  <c r="I341" i="39" s="1"/>
  <c r="I179" i="39"/>
  <c r="I180" i="39" s="1"/>
  <c r="I174" i="39"/>
  <c r="I177" i="39" s="1"/>
  <c r="M236" i="39"/>
  <c r="D174" i="39"/>
  <c r="D177" i="39" s="1"/>
  <c r="D42" i="39" s="1"/>
  <c r="D179" i="39"/>
  <c r="D180" i="39" s="1"/>
  <c r="D112" i="39"/>
  <c r="D109" i="39"/>
  <c r="AV479" i="39"/>
  <c r="AV230" i="39"/>
  <c r="AV95" i="39"/>
  <c r="AN479" i="39"/>
  <c r="AN230" i="39"/>
  <c r="AN95" i="39"/>
  <c r="I83" i="39"/>
  <c r="S479" i="39"/>
  <c r="S230" i="39"/>
  <c r="S95" i="39"/>
  <c r="K221" i="39"/>
  <c r="AF479" i="39"/>
  <c r="AF230" i="39"/>
  <c r="AF95" i="39"/>
  <c r="L479" i="39"/>
  <c r="L230" i="39"/>
  <c r="L95" i="39"/>
  <c r="AR479" i="39"/>
  <c r="AR230" i="39"/>
  <c r="AR95" i="39"/>
  <c r="W479" i="39"/>
  <c r="W230" i="39"/>
  <c r="W95" i="39"/>
  <c r="F52" i="39"/>
  <c r="F196" i="39"/>
  <c r="F51" i="39"/>
  <c r="Q479" i="39"/>
  <c r="Q230" i="39"/>
  <c r="Q95" i="39"/>
  <c r="AG479" i="39"/>
  <c r="AG230" i="39"/>
  <c r="AG95" i="39"/>
  <c r="AW479" i="39"/>
  <c r="AW230" i="39"/>
  <c r="AW95" i="39"/>
  <c r="M430" i="39"/>
  <c r="K436" i="39"/>
  <c r="M436" i="39"/>
  <c r="N436" i="39"/>
  <c r="AC436" i="39"/>
  <c r="AD436" i="39"/>
  <c r="AT436" i="39"/>
  <c r="AS436" i="39"/>
  <c r="J479" i="39"/>
  <c r="J95" i="39"/>
  <c r="J230" i="39"/>
  <c r="AP479" i="39"/>
  <c r="AP95" i="39"/>
  <c r="AP230" i="39"/>
  <c r="I404" i="39"/>
  <c r="I405" i="39" s="1"/>
  <c r="I418" i="39"/>
  <c r="J510" i="39"/>
  <c r="K463" i="39"/>
  <c r="J464" i="39"/>
  <c r="J465" i="39" s="1"/>
  <c r="J116" i="39" s="1"/>
  <c r="D419" i="39"/>
  <c r="D420" i="39" s="1"/>
  <c r="G45" i="39"/>
  <c r="G113" i="39"/>
  <c r="E179" i="39"/>
  <c r="E174" i="39"/>
  <c r="E177" i="39" s="1"/>
  <c r="AQ479" i="39"/>
  <c r="AQ230" i="39"/>
  <c r="AQ95" i="39"/>
  <c r="H196" i="39"/>
  <c r="H51" i="39"/>
  <c r="H52" i="39"/>
  <c r="I449" i="39"/>
  <c r="P479" i="39"/>
  <c r="P230" i="39"/>
  <c r="P95" i="39"/>
  <c r="X479" i="39"/>
  <c r="X230" i="39"/>
  <c r="X95" i="39"/>
  <c r="E257" i="39"/>
  <c r="T479" i="39"/>
  <c r="T230" i="39"/>
  <c r="T95" i="39"/>
  <c r="AE479" i="39"/>
  <c r="AE230" i="39"/>
  <c r="AE95" i="39"/>
  <c r="E479" i="39"/>
  <c r="E480" i="39" s="1"/>
  <c r="E95" i="39"/>
  <c r="E96" i="39" s="1"/>
  <c r="E97" i="39" s="1"/>
  <c r="E230" i="39"/>
  <c r="U479" i="39"/>
  <c r="U95" i="39"/>
  <c r="U230" i="39"/>
  <c r="AK479" i="39"/>
  <c r="AK95" i="39"/>
  <c r="AK230" i="39"/>
  <c r="N479" i="39"/>
  <c r="N95" i="39"/>
  <c r="N230" i="39"/>
  <c r="AD479" i="39"/>
  <c r="AD95" i="39"/>
  <c r="AD230" i="39"/>
  <c r="AT479" i="39"/>
  <c r="AT95" i="39"/>
  <c r="AT230" i="39"/>
  <c r="G257" i="39"/>
  <c r="E485" i="39"/>
  <c r="E486" i="39" s="1"/>
  <c r="E103" i="39"/>
  <c r="E104" i="39" s="1"/>
  <c r="J153" i="39"/>
  <c r="J367" i="39"/>
  <c r="K363" i="39"/>
  <c r="AQ436" i="39"/>
  <c r="P436" i="39"/>
  <c r="AV436" i="39"/>
  <c r="S436" i="39"/>
  <c r="X436" i="39"/>
  <c r="G479" i="39"/>
  <c r="G230" i="39"/>
  <c r="G95" i="39"/>
  <c r="AM479" i="39"/>
  <c r="AM230" i="39"/>
  <c r="AM95" i="39"/>
  <c r="I479" i="39"/>
  <c r="I480" i="39" s="1"/>
  <c r="I230" i="39"/>
  <c r="I95" i="39"/>
  <c r="I96" i="39" s="1"/>
  <c r="I97" i="39" s="1"/>
  <c r="Y479" i="39"/>
  <c r="Y230" i="39"/>
  <c r="Y95" i="39"/>
  <c r="AO479" i="39"/>
  <c r="AO230" i="39"/>
  <c r="AO95" i="39"/>
  <c r="F257" i="39"/>
  <c r="R479" i="39"/>
  <c r="R95" i="39"/>
  <c r="R230" i="39"/>
  <c r="AH479" i="39"/>
  <c r="AH95" i="39"/>
  <c r="AH230" i="39"/>
  <c r="H404" i="39"/>
  <c r="H405" i="39" s="1"/>
  <c r="Q436" i="39"/>
  <c r="H437" i="39"/>
  <c r="AI436" i="39"/>
  <c r="E196" i="39"/>
  <c r="E51" i="39"/>
  <c r="E52" i="39"/>
  <c r="O479" i="39"/>
  <c r="O230" i="39"/>
  <c r="O95" i="39"/>
  <c r="AU479" i="39"/>
  <c r="AU230" i="39"/>
  <c r="AU95" i="39"/>
  <c r="I257" i="39"/>
  <c r="M479" i="39"/>
  <c r="M95" i="39"/>
  <c r="M230" i="39"/>
  <c r="AC479" i="39"/>
  <c r="AC95" i="39"/>
  <c r="AC230" i="39"/>
  <c r="AS479" i="39"/>
  <c r="AS95" i="39"/>
  <c r="AS230" i="39"/>
  <c r="G196" i="39"/>
  <c r="G52" i="39"/>
  <c r="G51" i="39"/>
  <c r="F479" i="39"/>
  <c r="F95" i="39"/>
  <c r="F230" i="39"/>
  <c r="V479" i="39"/>
  <c r="V95" i="39"/>
  <c r="V230" i="39"/>
  <c r="AL479" i="39"/>
  <c r="AL95" i="39"/>
  <c r="AL230" i="39"/>
  <c r="G437" i="39"/>
  <c r="Y436" i="39"/>
  <c r="AP436" i="39"/>
  <c r="E437" i="39"/>
  <c r="W436" i="39"/>
  <c r="E333" i="39"/>
  <c r="D332" i="39"/>
  <c r="F485" i="39"/>
  <c r="F486" i="39" s="1"/>
  <c r="F103" i="39"/>
  <c r="F104" i="39" s="1"/>
  <c r="I437" i="39"/>
  <c r="AA436" i="39"/>
  <c r="F437" i="39"/>
  <c r="H485" i="39"/>
  <c r="H486" i="39" s="1"/>
  <c r="H103" i="39"/>
  <c r="H104" i="39" s="1"/>
  <c r="I485" i="39"/>
  <c r="I486" i="39" s="1"/>
  <c r="I103" i="39"/>
  <c r="I104" i="39" s="1"/>
  <c r="G485" i="39"/>
  <c r="G486" i="39" s="1"/>
  <c r="G103" i="39"/>
  <c r="G104" i="39" s="1"/>
  <c r="J34" i="39"/>
  <c r="AV27" i="39" l="1"/>
  <c r="AW27" i="39" s="1"/>
  <c r="U73" i="3"/>
  <c r="T76" i="3"/>
  <c r="T79" i="3"/>
  <c r="T82" i="3"/>
  <c r="V72" i="3"/>
  <c r="U71" i="3"/>
  <c r="U75" i="3" s="1"/>
  <c r="U78" i="3" s="1"/>
  <c r="T74" i="3"/>
  <c r="T77" i="3" s="1"/>
  <c r="T80" i="3"/>
  <c r="T75" i="3"/>
  <c r="T78" i="3" s="1"/>
  <c r="F180" i="39"/>
  <c r="F182" i="39" s="1"/>
  <c r="F183" i="39" s="1"/>
  <c r="E180" i="39"/>
  <c r="E182" i="39" s="1"/>
  <c r="E183" i="39" s="1"/>
  <c r="G180" i="39"/>
  <c r="G182" i="39" s="1"/>
  <c r="G183" i="39" s="1"/>
  <c r="M363" i="42"/>
  <c r="M366" i="42"/>
  <c r="J439" i="42"/>
  <c r="J485" i="42" s="1"/>
  <c r="K439" i="42"/>
  <c r="L153" i="42"/>
  <c r="M365" i="42"/>
  <c r="L367" i="42"/>
  <c r="L370" i="42" s="1"/>
  <c r="E409" i="42"/>
  <c r="I420" i="42"/>
  <c r="F409" i="42"/>
  <c r="I49" i="42"/>
  <c r="H409" i="42"/>
  <c r="D409" i="42"/>
  <c r="M34" i="42"/>
  <c r="P221" i="42"/>
  <c r="D355" i="42"/>
  <c r="D356" i="42" s="1"/>
  <c r="M510" i="42"/>
  <c r="N463" i="42"/>
  <c r="M464" i="42"/>
  <c r="M465" i="42" s="1"/>
  <c r="M116" i="42" s="1"/>
  <c r="N236" i="42"/>
  <c r="J377" i="42"/>
  <c r="J338" i="42"/>
  <c r="I410" i="42"/>
  <c r="I408" i="42"/>
  <c r="I411" i="42"/>
  <c r="J411" i="42" s="1"/>
  <c r="O29" i="42"/>
  <c r="K186" i="42"/>
  <c r="K187" i="42"/>
  <c r="I496" i="42"/>
  <c r="I55" i="42"/>
  <c r="L261" i="42"/>
  <c r="L243" i="42"/>
  <c r="L30" i="42"/>
  <c r="E334" i="42"/>
  <c r="E354" i="42"/>
  <c r="E496" i="42"/>
  <c r="E55" i="42"/>
  <c r="F378" i="42"/>
  <c r="G392" i="42"/>
  <c r="F379" i="42"/>
  <c r="J446" i="42"/>
  <c r="J76" i="42" s="1"/>
  <c r="AO181" i="42"/>
  <c r="L439" i="42"/>
  <c r="D346" i="42"/>
  <c r="D347" i="42" s="1"/>
  <c r="H496" i="42"/>
  <c r="H55" i="42"/>
  <c r="G333" i="42"/>
  <c r="F332" i="42"/>
  <c r="M437" i="42"/>
  <c r="N430" i="42"/>
  <c r="G409" i="42"/>
  <c r="E380" i="42"/>
  <c r="J403" i="42"/>
  <c r="K374" i="42"/>
  <c r="K373" i="42"/>
  <c r="K372" i="42"/>
  <c r="J30" i="39"/>
  <c r="I54" i="39"/>
  <c r="G54" i="39"/>
  <c r="D55" i="39"/>
  <c r="L365" i="39"/>
  <c r="J370" i="39"/>
  <c r="J372" i="39" s="1"/>
  <c r="K437" i="39"/>
  <c r="L437" i="39"/>
  <c r="J437" i="39"/>
  <c r="J439" i="39" s="1"/>
  <c r="H42" i="39"/>
  <c r="H44" i="39" s="1"/>
  <c r="H48" i="39" s="1"/>
  <c r="H127" i="39" s="1"/>
  <c r="K33" i="39"/>
  <c r="K34" i="39" s="1"/>
  <c r="L33" i="39" s="1"/>
  <c r="I42" i="39"/>
  <c r="I44" i="39" s="1"/>
  <c r="I48" i="39" s="1"/>
  <c r="I127" i="39" s="1"/>
  <c r="H56" i="39"/>
  <c r="G53" i="39"/>
  <c r="I112" i="39"/>
  <c r="I109" i="39"/>
  <c r="I182" i="39"/>
  <c r="J182" i="39" s="1"/>
  <c r="E109" i="39"/>
  <c r="E112" i="39"/>
  <c r="H411" i="39"/>
  <c r="H410" i="39"/>
  <c r="H408" i="39"/>
  <c r="E408" i="39"/>
  <c r="E410" i="39"/>
  <c r="E411" i="39"/>
  <c r="D334" i="39"/>
  <c r="D354" i="39"/>
  <c r="F259" i="39"/>
  <c r="F260" i="39" s="1"/>
  <c r="F410" i="39"/>
  <c r="F408" i="39"/>
  <c r="F411" i="39"/>
  <c r="K510" i="39"/>
  <c r="L463" i="39"/>
  <c r="K464" i="39"/>
  <c r="K465" i="39" s="1"/>
  <c r="K116" i="39" s="1"/>
  <c r="I410" i="39"/>
  <c r="I408" i="39"/>
  <c r="I411" i="39"/>
  <c r="L221" i="39"/>
  <c r="H53" i="39"/>
  <c r="H54" i="39"/>
  <c r="D56" i="39"/>
  <c r="D182" i="39"/>
  <c r="D183" i="39" s="1"/>
  <c r="D49" i="39" s="1"/>
  <c r="L29" i="39"/>
  <c r="G42" i="39"/>
  <c r="H182" i="39"/>
  <c r="H183" i="39" s="1"/>
  <c r="D411" i="39"/>
  <c r="D408" i="39"/>
  <c r="D410" i="39"/>
  <c r="H487" i="39"/>
  <c r="I419" i="39"/>
  <c r="I420" i="39" s="1"/>
  <c r="E382" i="39"/>
  <c r="E383" i="39" s="1"/>
  <c r="F54" i="39"/>
  <c r="F53" i="39"/>
  <c r="D44" i="39"/>
  <c r="D48" i="39" s="1"/>
  <c r="D127" i="39" s="1"/>
  <c r="I487" i="39"/>
  <c r="K367" i="39"/>
  <c r="K153" i="39"/>
  <c r="L363" i="39"/>
  <c r="L366" i="39"/>
  <c r="E487" i="39"/>
  <c r="I68" i="39"/>
  <c r="M437" i="39"/>
  <c r="N430" i="39"/>
  <c r="N236" i="39"/>
  <c r="F419" i="39"/>
  <c r="F420" i="39" s="1"/>
  <c r="D382" i="39"/>
  <c r="D383" i="39" s="1"/>
  <c r="F42" i="39"/>
  <c r="G419" i="39"/>
  <c r="G420" i="39" s="1"/>
  <c r="I56" i="39"/>
  <c r="G410" i="39"/>
  <c r="G408" i="39"/>
  <c r="G411" i="39"/>
  <c r="D53" i="39"/>
  <c r="D54" i="39"/>
  <c r="I53" i="39"/>
  <c r="E259" i="39"/>
  <c r="E260" i="39" s="1"/>
  <c r="G392" i="39"/>
  <c r="F378" i="39"/>
  <c r="F379" i="39"/>
  <c r="J243" i="39"/>
  <c r="J261" i="39"/>
  <c r="F333" i="39"/>
  <c r="E332" i="39"/>
  <c r="I259" i="39"/>
  <c r="I260" i="39" s="1"/>
  <c r="G259" i="39"/>
  <c r="G260" i="39" s="1"/>
  <c r="E42" i="39"/>
  <c r="E419" i="39"/>
  <c r="E420" i="39" s="1"/>
  <c r="H112" i="39"/>
  <c r="H109" i="39"/>
  <c r="E53" i="39"/>
  <c r="E54" i="39"/>
  <c r="V71" i="3" l="1"/>
  <c r="U80" i="3"/>
  <c r="U74" i="3"/>
  <c r="U77" i="3"/>
  <c r="U81" i="3"/>
  <c r="W72" i="3"/>
  <c r="V75" i="3"/>
  <c r="V78" i="3" s="1"/>
  <c r="V81" i="3"/>
  <c r="V73" i="3"/>
  <c r="U82" i="3"/>
  <c r="U76" i="3"/>
  <c r="U79" i="3" s="1"/>
  <c r="F56" i="39"/>
  <c r="E56" i="39"/>
  <c r="G56" i="39"/>
  <c r="M367" i="42"/>
  <c r="M370" i="42" s="1"/>
  <c r="K103" i="42"/>
  <c r="N366" i="42"/>
  <c r="K485" i="42"/>
  <c r="J103" i="42"/>
  <c r="N363" i="42"/>
  <c r="N365" i="42"/>
  <c r="M153" i="42"/>
  <c r="D350" i="42"/>
  <c r="D351" i="42" s="1"/>
  <c r="D66" i="42"/>
  <c r="D69" i="42" s="1"/>
  <c r="D70" i="42" s="1"/>
  <c r="K377" i="42"/>
  <c r="K338" i="42"/>
  <c r="J414" i="42"/>
  <c r="K446" i="42"/>
  <c r="K76" i="42" s="1"/>
  <c r="F334" i="42"/>
  <c r="F354" i="42"/>
  <c r="F345" i="42" s="1"/>
  <c r="H392" i="42"/>
  <c r="G378" i="42"/>
  <c r="G379" i="42"/>
  <c r="O236" i="42"/>
  <c r="D359" i="42"/>
  <c r="D360" i="42" s="1"/>
  <c r="L485" i="42"/>
  <c r="L103" i="42"/>
  <c r="E355" i="42"/>
  <c r="E356" i="42" s="1"/>
  <c r="M261" i="42"/>
  <c r="M243" i="42"/>
  <c r="M30" i="42"/>
  <c r="J418" i="42"/>
  <c r="H333" i="42"/>
  <c r="G332" i="42"/>
  <c r="F380" i="42"/>
  <c r="E345" i="42"/>
  <c r="K189" i="42"/>
  <c r="K188" i="42" s="1"/>
  <c r="L187" i="42"/>
  <c r="M439" i="42"/>
  <c r="I409" i="42"/>
  <c r="L373" i="42"/>
  <c r="L374" i="42"/>
  <c r="L372" i="42"/>
  <c r="P29" i="42"/>
  <c r="K403" i="42"/>
  <c r="E383" i="42"/>
  <c r="E382" i="42"/>
  <c r="N437" i="42"/>
  <c r="O430" i="42"/>
  <c r="AP181" i="42"/>
  <c r="L186" i="42"/>
  <c r="J81" i="42"/>
  <c r="N510" i="42"/>
  <c r="O463" i="42"/>
  <c r="N464" i="42"/>
  <c r="N465" i="42" s="1"/>
  <c r="N116" i="42" s="1"/>
  <c r="Q221" i="42"/>
  <c r="N33" i="42"/>
  <c r="J232" i="39"/>
  <c r="J186" i="39"/>
  <c r="J187" i="39" s="1"/>
  <c r="J189" i="39" s="1"/>
  <c r="J188" i="39" s="1"/>
  <c r="J374" i="39"/>
  <c r="J446" i="39" s="1"/>
  <c r="J373" i="39"/>
  <c r="K370" i="39"/>
  <c r="L439" i="39"/>
  <c r="M439" i="39"/>
  <c r="K439" i="39"/>
  <c r="K103" i="39" s="1"/>
  <c r="H409" i="39"/>
  <c r="E409" i="39"/>
  <c r="H49" i="39"/>
  <c r="G409" i="39"/>
  <c r="M366" i="39"/>
  <c r="D409" i="39"/>
  <c r="J411" i="39"/>
  <c r="J414" i="39" s="1"/>
  <c r="F409" i="39"/>
  <c r="J485" i="39"/>
  <c r="J103" i="39"/>
  <c r="L34" i="39"/>
  <c r="M33" i="39" s="1"/>
  <c r="I496" i="39"/>
  <c r="I55" i="39"/>
  <c r="H496" i="39"/>
  <c r="H55" i="39"/>
  <c r="G49" i="39"/>
  <c r="L510" i="39"/>
  <c r="M463" i="39"/>
  <c r="L464" i="39"/>
  <c r="L465" i="39" s="1"/>
  <c r="L116" i="39" s="1"/>
  <c r="D355" i="39"/>
  <c r="D356" i="39" s="1"/>
  <c r="H392" i="39"/>
  <c r="G378" i="39"/>
  <c r="G379" i="39"/>
  <c r="K261" i="39"/>
  <c r="K243" i="39"/>
  <c r="E496" i="39"/>
  <c r="E55" i="39"/>
  <c r="M29" i="39"/>
  <c r="I409" i="39"/>
  <c r="F49" i="39"/>
  <c r="O236" i="39"/>
  <c r="J377" i="39"/>
  <c r="J338" i="39"/>
  <c r="N437" i="39"/>
  <c r="O430" i="39"/>
  <c r="K30" i="39"/>
  <c r="G44" i="39"/>
  <c r="G48" i="39" s="1"/>
  <c r="D345" i="39"/>
  <c r="K182" i="39"/>
  <c r="L182" i="39" s="1"/>
  <c r="M182" i="39" s="1"/>
  <c r="N182" i="39" s="1"/>
  <c r="O182" i="39" s="1"/>
  <c r="P182" i="39" s="1"/>
  <c r="Q182" i="39" s="1"/>
  <c r="R182" i="39" s="1"/>
  <c r="S182" i="39" s="1"/>
  <c r="T182" i="39" s="1"/>
  <c r="U182" i="39" s="1"/>
  <c r="V182" i="39" s="1"/>
  <c r="W182" i="39" s="1"/>
  <c r="X182" i="39" s="1"/>
  <c r="Y182" i="39" s="1"/>
  <c r="Z182" i="39" s="1"/>
  <c r="AA182" i="39" s="1"/>
  <c r="AB182" i="39" s="1"/>
  <c r="AC182" i="39" s="1"/>
  <c r="AD182" i="39" s="1"/>
  <c r="AE182" i="39" s="1"/>
  <c r="AF182" i="39" s="1"/>
  <c r="AG182" i="39" s="1"/>
  <c r="AH182" i="39" s="1"/>
  <c r="AI182" i="39" s="1"/>
  <c r="AJ182" i="39" s="1"/>
  <c r="AK182" i="39" s="1"/>
  <c r="AL182" i="39" s="1"/>
  <c r="AM182" i="39" s="1"/>
  <c r="AN182" i="39" s="1"/>
  <c r="AO182" i="39" s="1"/>
  <c r="AP182" i="39" s="1"/>
  <c r="AQ182" i="39" s="1"/>
  <c r="AR182" i="39" s="1"/>
  <c r="AS182" i="39" s="1"/>
  <c r="E334" i="39"/>
  <c r="E354" i="39"/>
  <c r="E49" i="39"/>
  <c r="E44" i="39"/>
  <c r="E48" i="39" s="1"/>
  <c r="E127" i="39" s="1"/>
  <c r="G333" i="39"/>
  <c r="F332" i="39"/>
  <c r="F380" i="39"/>
  <c r="L367" i="39"/>
  <c r="L153" i="39"/>
  <c r="M363" i="39"/>
  <c r="F44" i="39"/>
  <c r="F48" i="39" s="1"/>
  <c r="M221" i="39"/>
  <c r="M365" i="39"/>
  <c r="I183" i="39"/>
  <c r="I49" i="39" s="1"/>
  <c r="W73" i="3" l="1"/>
  <c r="V82" i="3"/>
  <c r="V76" i="3"/>
  <c r="V79" i="3"/>
  <c r="X72" i="3"/>
  <c r="W71" i="3"/>
  <c r="W81" i="3" s="1"/>
  <c r="V80" i="3"/>
  <c r="V74" i="3"/>
  <c r="V77" i="3" s="1"/>
  <c r="M186" i="42"/>
  <c r="O363" i="42"/>
  <c r="O366" i="42"/>
  <c r="N153" i="42"/>
  <c r="N367" i="42"/>
  <c r="N370" i="42" s="1"/>
  <c r="O365" i="42"/>
  <c r="R221" i="42"/>
  <c r="O437" i="42"/>
  <c r="O439" i="42" s="1"/>
  <c r="P430" i="42"/>
  <c r="E346" i="42"/>
  <c r="E347" i="42" s="1"/>
  <c r="P236" i="42"/>
  <c r="I392" i="42"/>
  <c r="H378" i="42"/>
  <c r="H379" i="42"/>
  <c r="AQ181" i="42"/>
  <c r="M485" i="42"/>
  <c r="M103" i="42"/>
  <c r="F382" i="42"/>
  <c r="F383" i="42" s="1"/>
  <c r="I333" i="42"/>
  <c r="H332" i="42"/>
  <c r="F346" i="42"/>
  <c r="F347" i="42" s="1"/>
  <c r="L403" i="42"/>
  <c r="L418" i="42" s="1"/>
  <c r="G334" i="42"/>
  <c r="G354" i="42"/>
  <c r="N34" i="42"/>
  <c r="O33" i="42" s="1"/>
  <c r="K418" i="42"/>
  <c r="N439" i="42"/>
  <c r="L338" i="42"/>
  <c r="L81" i="42" s="1"/>
  <c r="L377" i="42"/>
  <c r="M372" i="42"/>
  <c r="M373" i="42"/>
  <c r="M374" i="42"/>
  <c r="M187" i="42"/>
  <c r="L189" i="42"/>
  <c r="L188" i="42" s="1"/>
  <c r="F355" i="42"/>
  <c r="F356" i="42" s="1"/>
  <c r="D59" i="42"/>
  <c r="D61" i="42" s="1"/>
  <c r="O510" i="42"/>
  <c r="P463" i="42"/>
  <c r="O464" i="42"/>
  <c r="O465" i="42" s="1"/>
  <c r="O116" i="42" s="1"/>
  <c r="Q29" i="42"/>
  <c r="L446" i="42"/>
  <c r="E359" i="42"/>
  <c r="E360" i="42" s="1"/>
  <c r="G380" i="42"/>
  <c r="K81" i="42"/>
  <c r="J403" i="39"/>
  <c r="J418" i="39" s="1"/>
  <c r="K186" i="39"/>
  <c r="K187" i="39" s="1"/>
  <c r="K189" i="39" s="1"/>
  <c r="J76" i="39"/>
  <c r="K373" i="39"/>
  <c r="K374" i="39"/>
  <c r="K403" i="39" s="1"/>
  <c r="L370" i="39"/>
  <c r="K372" i="39"/>
  <c r="K377" i="39" s="1"/>
  <c r="M485" i="39"/>
  <c r="L103" i="39"/>
  <c r="M103" i="39"/>
  <c r="L485" i="39"/>
  <c r="K485" i="39"/>
  <c r="G380" i="39"/>
  <c r="L30" i="39"/>
  <c r="N366" i="39"/>
  <c r="D359" i="39"/>
  <c r="D360" i="39" s="1"/>
  <c r="N221" i="39"/>
  <c r="G332" i="39"/>
  <c r="H333" i="39"/>
  <c r="D346" i="39"/>
  <c r="D347" i="39" s="1"/>
  <c r="N29" i="39"/>
  <c r="H378" i="39"/>
  <c r="I392" i="39"/>
  <c r="H379" i="39"/>
  <c r="E355" i="39"/>
  <c r="E356" i="39" s="1"/>
  <c r="O437" i="39"/>
  <c r="P430" i="39"/>
  <c r="N439" i="39"/>
  <c r="P236" i="39"/>
  <c r="M510" i="39"/>
  <c r="N463" i="39"/>
  <c r="M464" i="39"/>
  <c r="M465" i="39" s="1"/>
  <c r="M116" i="39" s="1"/>
  <c r="M367" i="39"/>
  <c r="M153" i="39"/>
  <c r="N363" i="39"/>
  <c r="F334" i="39"/>
  <c r="F354" i="39"/>
  <c r="F345" i="39" s="1"/>
  <c r="M34" i="39"/>
  <c r="N33" i="39" s="1"/>
  <c r="F382" i="39"/>
  <c r="F383" i="39" s="1"/>
  <c r="E345" i="39"/>
  <c r="N365" i="39"/>
  <c r="J81" i="39"/>
  <c r="L243" i="39"/>
  <c r="L261" i="39"/>
  <c r="W75" i="3" l="1"/>
  <c r="W78" i="3" s="1"/>
  <c r="X71" i="3"/>
  <c r="W80" i="3"/>
  <c r="W74" i="3"/>
  <c r="W77" i="3" s="1"/>
  <c r="Y72" i="3"/>
  <c r="X75" i="3"/>
  <c r="X81" i="3"/>
  <c r="X78" i="3"/>
  <c r="X73" i="3"/>
  <c r="W82" i="3"/>
  <c r="W76" i="3"/>
  <c r="W79" i="3" s="1"/>
  <c r="P365" i="42"/>
  <c r="P363" i="42"/>
  <c r="O153" i="42"/>
  <c r="O367" i="42"/>
  <c r="O370" i="42" s="1"/>
  <c r="P366" i="42"/>
  <c r="M446" i="42"/>
  <c r="F359" i="42"/>
  <c r="F360" i="42" s="1"/>
  <c r="O34" i="42"/>
  <c r="P33" i="42" s="1"/>
  <c r="F350" i="42"/>
  <c r="F351" i="42" s="1"/>
  <c r="F66" i="42"/>
  <c r="F69" i="42" s="1"/>
  <c r="F70" i="42" s="1"/>
  <c r="I332" i="42"/>
  <c r="O485" i="42"/>
  <c r="O103" i="42"/>
  <c r="AR181" i="42"/>
  <c r="E350" i="42"/>
  <c r="E351" i="42" s="1"/>
  <c r="E59" i="42" s="1"/>
  <c r="E61" i="42" s="1"/>
  <c r="E66" i="42"/>
  <c r="E69" i="42" s="1"/>
  <c r="E70" i="42" s="1"/>
  <c r="M189" i="42"/>
  <c r="M188" i="42" s="1"/>
  <c r="H380" i="42"/>
  <c r="P510" i="42"/>
  <c r="Q463" i="42"/>
  <c r="P464" i="42"/>
  <c r="P465" i="42" s="1"/>
  <c r="P116" i="42" s="1"/>
  <c r="M377" i="42"/>
  <c r="M338" i="42"/>
  <c r="N243" i="42"/>
  <c r="N261" i="42"/>
  <c r="N30" i="42"/>
  <c r="N186" i="42" s="1"/>
  <c r="G355" i="42"/>
  <c r="G356" i="42" s="1"/>
  <c r="I378" i="42"/>
  <c r="I380" i="42" s="1"/>
  <c r="J392" i="42"/>
  <c r="I379" i="42"/>
  <c r="P437" i="42"/>
  <c r="Q430" i="42"/>
  <c r="S221" i="42"/>
  <c r="N485" i="42"/>
  <c r="N103" i="42"/>
  <c r="G382" i="42"/>
  <c r="G383" i="42"/>
  <c r="R29" i="42"/>
  <c r="D63" i="42"/>
  <c r="D64" i="42"/>
  <c r="M403" i="42"/>
  <c r="N373" i="42"/>
  <c r="N374" i="42"/>
  <c r="N372" i="42"/>
  <c r="G345" i="42"/>
  <c r="H334" i="42"/>
  <c r="H354" i="42"/>
  <c r="H345" i="42" s="1"/>
  <c r="L76" i="42"/>
  <c r="Q236" i="42"/>
  <c r="K188" i="39"/>
  <c r="L186" i="39"/>
  <c r="L187" i="39" s="1"/>
  <c r="L189" i="39" s="1"/>
  <c r="G382" i="39"/>
  <c r="G383" i="39" s="1"/>
  <c r="L374" i="39"/>
  <c r="L403" i="39" s="1"/>
  <c r="K338" i="39"/>
  <c r="K81" i="39" s="1"/>
  <c r="L372" i="39"/>
  <c r="L377" i="39" s="1"/>
  <c r="K446" i="39"/>
  <c r="K76" i="39" s="1"/>
  <c r="L373" i="39"/>
  <c r="M370" i="39"/>
  <c r="H380" i="39"/>
  <c r="H382" i="39" s="1"/>
  <c r="O365" i="39"/>
  <c r="O366" i="39"/>
  <c r="D350" i="39"/>
  <c r="D351" i="39" s="1"/>
  <c r="D59" i="39" s="1"/>
  <c r="D61" i="39" s="1"/>
  <c r="D66" i="39"/>
  <c r="D69" i="39" s="1"/>
  <c r="I333" i="39"/>
  <c r="H332" i="39"/>
  <c r="O439" i="39"/>
  <c r="G334" i="39"/>
  <c r="G354" i="39"/>
  <c r="N34" i="39"/>
  <c r="O33" i="39" s="1"/>
  <c r="N367" i="39"/>
  <c r="N153" i="39"/>
  <c r="O363" i="39"/>
  <c r="N510" i="39"/>
  <c r="O463" i="39"/>
  <c r="N464" i="39"/>
  <c r="N465" i="39" s="1"/>
  <c r="N116" i="39" s="1"/>
  <c r="Q236" i="39"/>
  <c r="N485" i="39"/>
  <c r="N103" i="39"/>
  <c r="O29" i="39"/>
  <c r="O221" i="39"/>
  <c r="F346" i="39"/>
  <c r="F347" i="39" s="1"/>
  <c r="P437" i="39"/>
  <c r="Q430" i="39"/>
  <c r="E359" i="39"/>
  <c r="E360" i="39" s="1"/>
  <c r="E346" i="39"/>
  <c r="E347" i="39" s="1"/>
  <c r="M243" i="39"/>
  <c r="M261" i="39"/>
  <c r="K418" i="39"/>
  <c r="F355" i="39"/>
  <c r="F356" i="39" s="1"/>
  <c r="I378" i="39"/>
  <c r="J392" i="39"/>
  <c r="I379" i="39"/>
  <c r="M30" i="39"/>
  <c r="Y73" i="3" l="1"/>
  <c r="X76" i="3"/>
  <c r="X79" i="3"/>
  <c r="X82" i="3"/>
  <c r="Z72" i="3"/>
  <c r="Y71" i="3"/>
  <c r="Y81" i="3" s="1"/>
  <c r="X74" i="3"/>
  <c r="X77" i="3"/>
  <c r="X80" i="3"/>
  <c r="D70" i="39"/>
  <c r="Q363" i="42"/>
  <c r="Q366" i="42"/>
  <c r="P153" i="42"/>
  <c r="P367" i="42"/>
  <c r="P370" i="42" s="1"/>
  <c r="Q365" i="42"/>
  <c r="N446" i="42"/>
  <c r="F59" i="42"/>
  <c r="F61" i="42" s="1"/>
  <c r="F64" i="42" s="1"/>
  <c r="M76" i="42"/>
  <c r="H346" i="42"/>
  <c r="H347" i="42" s="1"/>
  <c r="E64" i="42"/>
  <c r="E63" i="42"/>
  <c r="G359" i="42"/>
  <c r="Q437" i="42"/>
  <c r="R430" i="42"/>
  <c r="I334" i="42"/>
  <c r="I354" i="42"/>
  <c r="I345" i="42" s="1"/>
  <c r="J332" i="42"/>
  <c r="P34" i="42"/>
  <c r="R236" i="42"/>
  <c r="G346" i="42"/>
  <c r="G347" i="42" s="1"/>
  <c r="N377" i="42"/>
  <c r="N338" i="42"/>
  <c r="O373" i="42"/>
  <c r="O372" i="42"/>
  <c r="O374" i="42"/>
  <c r="P439" i="42"/>
  <c r="I382" i="42"/>
  <c r="I383" i="42" s="1"/>
  <c r="Q510" i="42"/>
  <c r="R463" i="42"/>
  <c r="Q464" i="42"/>
  <c r="Q465" i="42" s="1"/>
  <c r="Q116" i="42" s="1"/>
  <c r="N187" i="42"/>
  <c r="H382" i="42"/>
  <c r="H383" i="42"/>
  <c r="AS181" i="42"/>
  <c r="N403" i="42"/>
  <c r="N418" i="42" s="1"/>
  <c r="S29" i="42"/>
  <c r="T221" i="42"/>
  <c r="J378" i="42"/>
  <c r="K392" i="42"/>
  <c r="H355" i="42"/>
  <c r="H356" i="42" s="1"/>
  <c r="M418" i="42"/>
  <c r="M81" i="42"/>
  <c r="O261" i="42"/>
  <c r="O243" i="42"/>
  <c r="O30" i="42"/>
  <c r="O186" i="42" s="1"/>
  <c r="L188" i="39"/>
  <c r="M186" i="39"/>
  <c r="M187" i="39" s="1"/>
  <c r="M189" i="39" s="1"/>
  <c r="L338" i="39"/>
  <c r="L81" i="39" s="1"/>
  <c r="N370" i="39"/>
  <c r="M372" i="39"/>
  <c r="M377" i="39" s="1"/>
  <c r="M374" i="39"/>
  <c r="L446" i="39"/>
  <c r="L76" i="39" s="1"/>
  <c r="M373" i="39"/>
  <c r="N30" i="39"/>
  <c r="O34" i="39"/>
  <c r="P33" i="39" s="1"/>
  <c r="D63" i="39"/>
  <c r="D64" i="39"/>
  <c r="F359" i="39"/>
  <c r="F360" i="39" s="1"/>
  <c r="E350" i="39"/>
  <c r="E351" i="39" s="1"/>
  <c r="E59" i="39" s="1"/>
  <c r="E61" i="39" s="1"/>
  <c r="E66" i="39"/>
  <c r="E69" i="39" s="1"/>
  <c r="Q437" i="39"/>
  <c r="Q439" i="39" s="1"/>
  <c r="R430" i="39"/>
  <c r="F350" i="39"/>
  <c r="F351" i="39" s="1"/>
  <c r="P29" i="39"/>
  <c r="O367" i="39"/>
  <c r="O153" i="39"/>
  <c r="P363" i="39"/>
  <c r="P365" i="39"/>
  <c r="G355" i="39"/>
  <c r="G356" i="39" s="1"/>
  <c r="F66" i="39"/>
  <c r="F69" i="39" s="1"/>
  <c r="I380" i="39"/>
  <c r="H383" i="39"/>
  <c r="P439" i="39"/>
  <c r="P221" i="39"/>
  <c r="R236" i="39"/>
  <c r="O510" i="39"/>
  <c r="P463" i="39"/>
  <c r="O464" i="39"/>
  <c r="O465" i="39" s="1"/>
  <c r="O116" i="39" s="1"/>
  <c r="G345" i="39"/>
  <c r="H334" i="39"/>
  <c r="H354" i="39"/>
  <c r="L418" i="39"/>
  <c r="O485" i="39"/>
  <c r="O103" i="39"/>
  <c r="I332" i="39"/>
  <c r="P366" i="39"/>
  <c r="K392" i="39"/>
  <c r="J378" i="39"/>
  <c r="N261" i="39"/>
  <c r="N243" i="39"/>
  <c r="Y75" i="3" l="1"/>
  <c r="Y78" i="3" s="1"/>
  <c r="Z71" i="3"/>
  <c r="Y74" i="3"/>
  <c r="Y77" i="3" s="1"/>
  <c r="Y80" i="3"/>
  <c r="AA72" i="3"/>
  <c r="Z81" i="3"/>
  <c r="Z75" i="3"/>
  <c r="Z78" i="3" s="1"/>
  <c r="Z73" i="3"/>
  <c r="Y76" i="3"/>
  <c r="Y79" i="3"/>
  <c r="Y82" i="3"/>
  <c r="E70" i="39"/>
  <c r="F70" i="39"/>
  <c r="Q367" i="42"/>
  <c r="Q370" i="42" s="1"/>
  <c r="R363" i="42"/>
  <c r="Q153" i="42"/>
  <c r="R366" i="42"/>
  <c r="R365" i="42"/>
  <c r="N76" i="42"/>
  <c r="F63" i="42"/>
  <c r="G350" i="42"/>
  <c r="G351" i="42" s="1"/>
  <c r="G66" i="42"/>
  <c r="G69" i="42" s="1"/>
  <c r="G70" i="42" s="1"/>
  <c r="H350" i="42"/>
  <c r="H351" i="42" s="1"/>
  <c r="H66" i="42"/>
  <c r="H69" i="42" s="1"/>
  <c r="H70" i="42" s="1"/>
  <c r="H359" i="42"/>
  <c r="H360" i="42" s="1"/>
  <c r="O338" i="42"/>
  <c r="O81" i="42" s="1"/>
  <c r="O377" i="42"/>
  <c r="L392" i="42"/>
  <c r="K378" i="42"/>
  <c r="U221" i="42"/>
  <c r="T29" i="42"/>
  <c r="R510" i="42"/>
  <c r="S463" i="42"/>
  <c r="R464" i="42"/>
  <c r="R465" i="42" s="1"/>
  <c r="R116" i="42" s="1"/>
  <c r="S236" i="42"/>
  <c r="I346" i="42"/>
  <c r="R437" i="42"/>
  <c r="R439" i="42" s="1"/>
  <c r="S430" i="42"/>
  <c r="N189" i="42"/>
  <c r="N188" i="42" s="1"/>
  <c r="O187" i="42"/>
  <c r="O446" i="42"/>
  <c r="J354" i="42"/>
  <c r="K332" i="42"/>
  <c r="Q439" i="42"/>
  <c r="G360" i="42"/>
  <c r="P261" i="42"/>
  <c r="P243" i="42"/>
  <c r="P30" i="42"/>
  <c r="P186" i="42" s="1"/>
  <c r="P485" i="42"/>
  <c r="P103" i="42"/>
  <c r="O403" i="42"/>
  <c r="P373" i="42"/>
  <c r="P372" i="42"/>
  <c r="P374" i="42"/>
  <c r="N81" i="42"/>
  <c r="Q33" i="42"/>
  <c r="I355" i="42"/>
  <c r="I356" i="42" s="1"/>
  <c r="M188" i="39"/>
  <c r="N186" i="39"/>
  <c r="N187" i="39" s="1"/>
  <c r="N189" i="39" s="1"/>
  <c r="O370" i="39"/>
  <c r="N374" i="39"/>
  <c r="N373" i="39"/>
  <c r="M338" i="39"/>
  <c r="M81" i="39" s="1"/>
  <c r="N372" i="39"/>
  <c r="N377" i="39" s="1"/>
  <c r="M403" i="39"/>
  <c r="M418" i="39" s="1"/>
  <c r="M446" i="39"/>
  <c r="M76" i="39" s="1"/>
  <c r="O30" i="39"/>
  <c r="Q366" i="39"/>
  <c r="E64" i="39"/>
  <c r="E63" i="39"/>
  <c r="Q29" i="39"/>
  <c r="R437" i="39"/>
  <c r="S430" i="39"/>
  <c r="H355" i="39"/>
  <c r="H356" i="39" s="1"/>
  <c r="P510" i="39"/>
  <c r="Q463" i="39"/>
  <c r="P464" i="39"/>
  <c r="P465" i="39" s="1"/>
  <c r="P116" i="39" s="1"/>
  <c r="Q485" i="39"/>
  <c r="Q103" i="39"/>
  <c r="I382" i="39"/>
  <c r="G359" i="39"/>
  <c r="Q365" i="39"/>
  <c r="P34" i="39"/>
  <c r="P30" i="39" s="1"/>
  <c r="L392" i="39"/>
  <c r="K378" i="39"/>
  <c r="I334" i="39"/>
  <c r="I354" i="39"/>
  <c r="I345" i="39" s="1"/>
  <c r="J332" i="39"/>
  <c r="P367" i="39"/>
  <c r="P153" i="39"/>
  <c r="Q363" i="39"/>
  <c r="F59" i="39"/>
  <c r="F61" i="39" s="1"/>
  <c r="O243" i="39"/>
  <c r="O261" i="39"/>
  <c r="G346" i="39"/>
  <c r="G347" i="39" s="1"/>
  <c r="S236" i="39"/>
  <c r="H345" i="39"/>
  <c r="Q221" i="39"/>
  <c r="P485" i="39"/>
  <c r="P103" i="39"/>
  <c r="AA73" i="3" l="1"/>
  <c r="Z82" i="3"/>
  <c r="Z76" i="3"/>
  <c r="Z79" i="3"/>
  <c r="AB72" i="3"/>
  <c r="AA81" i="3"/>
  <c r="AA75" i="3"/>
  <c r="AA78" i="3"/>
  <c r="AA71" i="3"/>
  <c r="Z80" i="3"/>
  <c r="Z74" i="3"/>
  <c r="Z77" i="3"/>
  <c r="S365" i="42"/>
  <c r="S366" i="42"/>
  <c r="S363" i="42"/>
  <c r="R153" i="42"/>
  <c r="R367" i="42"/>
  <c r="R370" i="42" s="1"/>
  <c r="H59" i="42"/>
  <c r="H61" i="42" s="1"/>
  <c r="H63" i="42" s="1"/>
  <c r="I359" i="42"/>
  <c r="J359" i="42" s="1"/>
  <c r="K359" i="42" s="1"/>
  <c r="L359" i="42" s="1"/>
  <c r="M359" i="42" s="1"/>
  <c r="N359" i="42" s="1"/>
  <c r="O359" i="42" s="1"/>
  <c r="P359" i="42" s="1"/>
  <c r="Q359" i="42" s="1"/>
  <c r="R359" i="42" s="1"/>
  <c r="S359" i="42" s="1"/>
  <c r="T359" i="42" s="1"/>
  <c r="U359" i="42" s="1"/>
  <c r="V359" i="42" s="1"/>
  <c r="W359" i="42" s="1"/>
  <c r="X359" i="42" s="1"/>
  <c r="Y359" i="42" s="1"/>
  <c r="Z359" i="42" s="1"/>
  <c r="AA359" i="42" s="1"/>
  <c r="AB359" i="42" s="1"/>
  <c r="AC359" i="42" s="1"/>
  <c r="AD359" i="42" s="1"/>
  <c r="AE359" i="42" s="1"/>
  <c r="AF359" i="42" s="1"/>
  <c r="AG359" i="42" s="1"/>
  <c r="AH359" i="42" s="1"/>
  <c r="AI359" i="42" s="1"/>
  <c r="AJ359" i="42" s="1"/>
  <c r="AK359" i="42" s="1"/>
  <c r="AL359" i="42" s="1"/>
  <c r="AM359" i="42" s="1"/>
  <c r="AN359" i="42" s="1"/>
  <c r="AO359" i="42" s="1"/>
  <c r="AP359" i="42" s="1"/>
  <c r="AQ359" i="42" s="1"/>
  <c r="AR359" i="42" s="1"/>
  <c r="AS359" i="42" s="1"/>
  <c r="Q373" i="42"/>
  <c r="Q374" i="42"/>
  <c r="Q372" i="42"/>
  <c r="K354" i="42"/>
  <c r="L332" i="42"/>
  <c r="P338" i="42"/>
  <c r="P377" i="42"/>
  <c r="J355" i="42"/>
  <c r="J356" i="42" s="1"/>
  <c r="S510" i="42"/>
  <c r="T463" i="42"/>
  <c r="S464" i="42"/>
  <c r="S465" i="42" s="1"/>
  <c r="S116" i="42" s="1"/>
  <c r="U29" i="42"/>
  <c r="P403" i="42"/>
  <c r="P418" i="42" s="1"/>
  <c r="Q34" i="42"/>
  <c r="R33" i="42" s="1"/>
  <c r="P446" i="42"/>
  <c r="O418" i="42"/>
  <c r="Q485" i="42"/>
  <c r="Q103" i="42"/>
  <c r="J345" i="42"/>
  <c r="S437" i="42"/>
  <c r="S439" i="42" s="1"/>
  <c r="T430" i="42"/>
  <c r="I347" i="42"/>
  <c r="O76" i="42"/>
  <c r="M392" i="42"/>
  <c r="L378" i="42"/>
  <c r="G59" i="42"/>
  <c r="G61" i="42" s="1"/>
  <c r="O189" i="42"/>
  <c r="O188" i="42" s="1"/>
  <c r="P187" i="42"/>
  <c r="R485" i="42"/>
  <c r="R103" i="42"/>
  <c r="T236" i="42"/>
  <c r="V221" i="42"/>
  <c r="N188" i="39"/>
  <c r="O186" i="39"/>
  <c r="P370" i="39"/>
  <c r="O374" i="39"/>
  <c r="O403" i="39" s="1"/>
  <c r="O418" i="39" s="1"/>
  <c r="O373" i="39"/>
  <c r="N338" i="39"/>
  <c r="N81" i="39" s="1"/>
  <c r="O372" i="39"/>
  <c r="N403" i="39"/>
  <c r="N418" i="39" s="1"/>
  <c r="N446" i="39"/>
  <c r="I383" i="39"/>
  <c r="R366" i="39"/>
  <c r="H359" i="39"/>
  <c r="H360" i="39" s="1"/>
  <c r="R221" i="39"/>
  <c r="T236" i="39"/>
  <c r="I355" i="39"/>
  <c r="I356" i="39" s="1"/>
  <c r="S437" i="39"/>
  <c r="S439" i="39" s="1"/>
  <c r="T430" i="39"/>
  <c r="L378" i="39"/>
  <c r="M392" i="39"/>
  <c r="P243" i="39"/>
  <c r="P261" i="39"/>
  <c r="R365" i="39"/>
  <c r="Q510" i="39"/>
  <c r="R463" i="39"/>
  <c r="Q464" i="39"/>
  <c r="Q465" i="39" s="1"/>
  <c r="Q116" i="39" s="1"/>
  <c r="R439" i="39"/>
  <c r="H346" i="39"/>
  <c r="H347" i="39" s="1"/>
  <c r="G350" i="39"/>
  <c r="G351" i="39" s="1"/>
  <c r="G66" i="39"/>
  <c r="G69" i="39" s="1"/>
  <c r="I346" i="39"/>
  <c r="F64" i="39"/>
  <c r="F63" i="39"/>
  <c r="Q367" i="39"/>
  <c r="Q153" i="39"/>
  <c r="R363" i="39"/>
  <c r="J354" i="39"/>
  <c r="J345" i="39" s="1"/>
  <c r="K332" i="39"/>
  <c r="Q33" i="39"/>
  <c r="G360" i="39"/>
  <c r="R29" i="39"/>
  <c r="AB71" i="3" l="1"/>
  <c r="AA80" i="3"/>
  <c r="AA74" i="3"/>
  <c r="AA77" i="3" s="1"/>
  <c r="AC72" i="3"/>
  <c r="AB75" i="3"/>
  <c r="AB78" i="3"/>
  <c r="AB73" i="3"/>
  <c r="AA82" i="3"/>
  <c r="AA76" i="3"/>
  <c r="AA79" i="3" s="1"/>
  <c r="G70" i="39"/>
  <c r="S367" i="42"/>
  <c r="S370" i="42" s="1"/>
  <c r="T363" i="42"/>
  <c r="T365" i="42"/>
  <c r="S153" i="42"/>
  <c r="T366" i="42"/>
  <c r="Q446" i="42"/>
  <c r="H64" i="42"/>
  <c r="P76" i="42"/>
  <c r="G63" i="42"/>
  <c r="G64" i="42"/>
  <c r="I350" i="42"/>
  <c r="J350" i="42" s="1"/>
  <c r="K350" i="42" s="1"/>
  <c r="L350" i="42" s="1"/>
  <c r="M350" i="42" s="1"/>
  <c r="N350" i="42" s="1"/>
  <c r="O350" i="42" s="1"/>
  <c r="P350" i="42" s="1"/>
  <c r="Q350" i="42" s="1"/>
  <c r="R350" i="42" s="1"/>
  <c r="S350" i="42" s="1"/>
  <c r="T350" i="42" s="1"/>
  <c r="U350" i="42" s="1"/>
  <c r="V350" i="42" s="1"/>
  <c r="W350" i="42" s="1"/>
  <c r="X350" i="42" s="1"/>
  <c r="Y350" i="42" s="1"/>
  <c r="Z350" i="42" s="1"/>
  <c r="AA350" i="42" s="1"/>
  <c r="AB350" i="42" s="1"/>
  <c r="AC350" i="42" s="1"/>
  <c r="AD350" i="42" s="1"/>
  <c r="AE350" i="42" s="1"/>
  <c r="AF350" i="42" s="1"/>
  <c r="AG350" i="42" s="1"/>
  <c r="AH350" i="42" s="1"/>
  <c r="AI350" i="42" s="1"/>
  <c r="AJ350" i="42" s="1"/>
  <c r="AK350" i="42" s="1"/>
  <c r="AL350" i="42" s="1"/>
  <c r="AM350" i="42" s="1"/>
  <c r="AN350" i="42" s="1"/>
  <c r="AO350" i="42" s="1"/>
  <c r="AP350" i="42" s="1"/>
  <c r="AQ350" i="42" s="1"/>
  <c r="AR350" i="42" s="1"/>
  <c r="AS350" i="42" s="1"/>
  <c r="I66" i="42"/>
  <c r="I69" i="42" s="1"/>
  <c r="I70" i="42" s="1"/>
  <c r="T510" i="42"/>
  <c r="U463" i="42"/>
  <c r="T464" i="42"/>
  <c r="T465" i="42" s="1"/>
  <c r="T116" i="42" s="1"/>
  <c r="Q338" i="42"/>
  <c r="Q377" i="42"/>
  <c r="R373" i="42"/>
  <c r="R374" i="42"/>
  <c r="R372" i="42"/>
  <c r="U236" i="42"/>
  <c r="P189" i="42"/>
  <c r="P188" i="42" s="1"/>
  <c r="M378" i="42"/>
  <c r="N392" i="42"/>
  <c r="T437" i="42"/>
  <c r="T439" i="42" s="1"/>
  <c r="U430" i="42"/>
  <c r="R34" i="42"/>
  <c r="S33" i="42" s="1"/>
  <c r="L354" i="42"/>
  <c r="L345" i="42" s="1"/>
  <c r="M332" i="42"/>
  <c r="Q403" i="42"/>
  <c r="K355" i="42"/>
  <c r="W221" i="42"/>
  <c r="S485" i="42"/>
  <c r="S103" i="42"/>
  <c r="Q261" i="42"/>
  <c r="Q243" i="42"/>
  <c r="Q30" i="42"/>
  <c r="Q186" i="42" s="1"/>
  <c r="V29" i="42"/>
  <c r="P81" i="42"/>
  <c r="K345" i="42"/>
  <c r="I360" i="42"/>
  <c r="P186" i="39"/>
  <c r="O187" i="39"/>
  <c r="O189" i="39" s="1"/>
  <c r="Q370" i="39"/>
  <c r="P373" i="39"/>
  <c r="P372" i="39"/>
  <c r="P374" i="39"/>
  <c r="P403" i="39" s="1"/>
  <c r="P418" i="39" s="1"/>
  <c r="O377" i="39"/>
  <c r="O338" i="39"/>
  <c r="O81" i="39" s="1"/>
  <c r="O446" i="39"/>
  <c r="N76" i="39"/>
  <c r="S365" i="39"/>
  <c r="I359" i="39"/>
  <c r="J359" i="39" s="1"/>
  <c r="K359" i="39" s="1"/>
  <c r="L359" i="39" s="1"/>
  <c r="M359" i="39" s="1"/>
  <c r="N359" i="39" s="1"/>
  <c r="O359" i="39" s="1"/>
  <c r="P359" i="39" s="1"/>
  <c r="Q359" i="39" s="1"/>
  <c r="R359" i="39" s="1"/>
  <c r="S359" i="39" s="1"/>
  <c r="T359" i="39" s="1"/>
  <c r="U359" i="39" s="1"/>
  <c r="V359" i="39" s="1"/>
  <c r="W359" i="39" s="1"/>
  <c r="X359" i="39" s="1"/>
  <c r="Y359" i="39" s="1"/>
  <c r="Z359" i="39" s="1"/>
  <c r="AA359" i="39" s="1"/>
  <c r="AB359" i="39" s="1"/>
  <c r="AC359" i="39" s="1"/>
  <c r="AD359" i="39" s="1"/>
  <c r="AE359" i="39" s="1"/>
  <c r="AF359" i="39" s="1"/>
  <c r="AG359" i="39" s="1"/>
  <c r="AH359" i="39" s="1"/>
  <c r="AI359" i="39" s="1"/>
  <c r="AJ359" i="39" s="1"/>
  <c r="AK359" i="39" s="1"/>
  <c r="AL359" i="39" s="1"/>
  <c r="AM359" i="39" s="1"/>
  <c r="AN359" i="39" s="1"/>
  <c r="AO359" i="39" s="1"/>
  <c r="AP359" i="39" s="1"/>
  <c r="AQ359" i="39" s="1"/>
  <c r="AR359" i="39" s="1"/>
  <c r="AS359" i="39" s="1"/>
  <c r="H350" i="39"/>
  <c r="H351" i="39" s="1"/>
  <c r="H59" i="39" s="1"/>
  <c r="H61" i="39" s="1"/>
  <c r="H66" i="39"/>
  <c r="H69" i="39" s="1"/>
  <c r="H70" i="39" s="1"/>
  <c r="S485" i="39"/>
  <c r="S103" i="39"/>
  <c r="S221" i="39"/>
  <c r="S29" i="39"/>
  <c r="G59" i="39"/>
  <c r="G61" i="39" s="1"/>
  <c r="R485" i="39"/>
  <c r="R103" i="39"/>
  <c r="T437" i="39"/>
  <c r="T439" i="39" s="1"/>
  <c r="U430" i="39"/>
  <c r="J355" i="39"/>
  <c r="J356" i="39" s="1"/>
  <c r="R367" i="39"/>
  <c r="R153" i="39"/>
  <c r="S363" i="39"/>
  <c r="R510" i="39"/>
  <c r="S463" i="39"/>
  <c r="R464" i="39"/>
  <c r="R465" i="39" s="1"/>
  <c r="R116" i="39" s="1"/>
  <c r="U236" i="39"/>
  <c r="K354" i="39"/>
  <c r="L332" i="39"/>
  <c r="Q34" i="39"/>
  <c r="R33" i="39" s="1"/>
  <c r="I347" i="39"/>
  <c r="M378" i="39"/>
  <c r="N392" i="39"/>
  <c r="S366" i="39"/>
  <c r="AC73" i="3" l="1"/>
  <c r="AB76" i="3"/>
  <c r="AB79" i="3"/>
  <c r="AB82" i="3"/>
  <c r="AD72" i="3"/>
  <c r="AC71" i="3"/>
  <c r="AC81" i="3" s="1"/>
  <c r="AB74" i="3"/>
  <c r="AB77" i="3" s="1"/>
  <c r="AB80" i="3"/>
  <c r="AB81" i="3"/>
  <c r="T153" i="42"/>
  <c r="U363" i="42"/>
  <c r="T367" i="42"/>
  <c r="T370" i="42" s="1"/>
  <c r="U365" i="42"/>
  <c r="U366" i="42"/>
  <c r="Q76" i="42"/>
  <c r="R446" i="42"/>
  <c r="W29" i="42"/>
  <c r="L355" i="42"/>
  <c r="L356" i="42" s="1"/>
  <c r="R243" i="42"/>
  <c r="R261" i="42"/>
  <c r="R30" i="42"/>
  <c r="R186" i="42" s="1"/>
  <c r="T485" i="42"/>
  <c r="T103" i="42"/>
  <c r="V236" i="42"/>
  <c r="S34" i="42"/>
  <c r="U437" i="42"/>
  <c r="U439" i="42" s="1"/>
  <c r="V430" i="42"/>
  <c r="Q187" i="42"/>
  <c r="K356" i="42"/>
  <c r="Q418" i="42"/>
  <c r="N378" i="42"/>
  <c r="O392" i="42"/>
  <c r="S374" i="42"/>
  <c r="S373" i="42"/>
  <c r="S372" i="42"/>
  <c r="I351" i="42"/>
  <c r="I59" i="42" s="1"/>
  <c r="I61" i="42" s="1"/>
  <c r="R403" i="42"/>
  <c r="R418" i="42" s="1"/>
  <c r="U510" i="42"/>
  <c r="V463" i="42"/>
  <c r="U464" i="42"/>
  <c r="U465" i="42" s="1"/>
  <c r="U116" i="42" s="1"/>
  <c r="X221" i="42"/>
  <c r="M354" i="42"/>
  <c r="N332" i="42"/>
  <c r="R377" i="42"/>
  <c r="R338" i="42"/>
  <c r="Q81" i="42"/>
  <c r="P187" i="39"/>
  <c r="P189" i="39" s="1"/>
  <c r="O188" i="39"/>
  <c r="R370" i="39"/>
  <c r="Q372" i="39"/>
  <c r="Q373" i="39"/>
  <c r="Q374" i="39"/>
  <c r="P377" i="39"/>
  <c r="P446" i="39"/>
  <c r="P338" i="39"/>
  <c r="O76" i="39"/>
  <c r="T366" i="39"/>
  <c r="I360" i="39"/>
  <c r="H63" i="39"/>
  <c r="H64" i="39"/>
  <c r="I350" i="39"/>
  <c r="J350" i="39" s="1"/>
  <c r="I66" i="39"/>
  <c r="I69" i="39" s="1"/>
  <c r="I70" i="39" s="1"/>
  <c r="T29" i="39"/>
  <c r="R34" i="39"/>
  <c r="S33" i="39" s="1"/>
  <c r="K355" i="39"/>
  <c r="K356" i="39" s="1"/>
  <c r="S367" i="39"/>
  <c r="S153" i="39"/>
  <c r="T363" i="39"/>
  <c r="T365" i="39"/>
  <c r="U437" i="39"/>
  <c r="U439" i="39" s="1"/>
  <c r="V430" i="39"/>
  <c r="Q261" i="39"/>
  <c r="Q243" i="39"/>
  <c r="Q30" i="39"/>
  <c r="K345" i="39"/>
  <c r="V236" i="39"/>
  <c r="T485" i="39"/>
  <c r="T103" i="39"/>
  <c r="G63" i="39"/>
  <c r="G64" i="39"/>
  <c r="T221" i="39"/>
  <c r="L354" i="39"/>
  <c r="L345" i="39" s="1"/>
  <c r="M332" i="39"/>
  <c r="O392" i="39"/>
  <c r="N378" i="39"/>
  <c r="S510" i="39"/>
  <c r="T463" i="39"/>
  <c r="S464" i="39"/>
  <c r="S465" i="39" s="1"/>
  <c r="S116" i="39" s="1"/>
  <c r="AC75" i="3" l="1"/>
  <c r="AC78" i="3" s="1"/>
  <c r="AD71" i="3"/>
  <c r="AC80" i="3"/>
  <c r="AC74" i="3"/>
  <c r="AC77" i="3" s="1"/>
  <c r="AE72" i="3"/>
  <c r="AD81" i="3"/>
  <c r="AD75" i="3"/>
  <c r="AD78" i="3" s="1"/>
  <c r="AD73" i="3"/>
  <c r="AC82" i="3"/>
  <c r="AC76" i="3"/>
  <c r="AC79" i="3" s="1"/>
  <c r="V366" i="42"/>
  <c r="U367" i="42"/>
  <c r="U370" i="42" s="1"/>
  <c r="V363" i="42"/>
  <c r="V365" i="42"/>
  <c r="U153" i="42"/>
  <c r="R76" i="42"/>
  <c r="S446" i="42"/>
  <c r="M355" i="42"/>
  <c r="M356" i="42" s="1"/>
  <c r="S261" i="42"/>
  <c r="S243" i="42"/>
  <c r="S30" i="42"/>
  <c r="S186" i="42" s="1"/>
  <c r="X29" i="42"/>
  <c r="M345" i="42"/>
  <c r="P392" i="42"/>
  <c r="O378" i="42"/>
  <c r="R187" i="42"/>
  <c r="Q189" i="42"/>
  <c r="Q188" i="42" s="1"/>
  <c r="Y221" i="42"/>
  <c r="V510" i="42"/>
  <c r="W463" i="42"/>
  <c r="V464" i="42"/>
  <c r="V465" i="42" s="1"/>
  <c r="V116" i="42" s="1"/>
  <c r="I64" i="42"/>
  <c r="I63" i="42"/>
  <c r="V437" i="42"/>
  <c r="V439" i="42" s="1"/>
  <c r="W430" i="42"/>
  <c r="S403" i="42"/>
  <c r="T33" i="42"/>
  <c r="R81" i="42"/>
  <c r="N354" i="42"/>
  <c r="N345" i="42" s="1"/>
  <c r="O332" i="42"/>
  <c r="S338" i="42"/>
  <c r="S377" i="42"/>
  <c r="T372" i="42"/>
  <c r="T373" i="42"/>
  <c r="T374" i="42"/>
  <c r="U485" i="42"/>
  <c r="U103" i="42"/>
  <c r="W236" i="42"/>
  <c r="P188" i="39"/>
  <c r="Q186" i="39"/>
  <c r="Q187" i="39" s="1"/>
  <c r="Q189" i="39" s="1"/>
  <c r="R372" i="39"/>
  <c r="Q338" i="39"/>
  <c r="Q81" i="39" s="1"/>
  <c r="Q377" i="39"/>
  <c r="S370" i="39"/>
  <c r="R373" i="39"/>
  <c r="R374" i="39"/>
  <c r="R403" i="39" s="1"/>
  <c r="R418" i="39" s="1"/>
  <c r="P76" i="39"/>
  <c r="Q403" i="39"/>
  <c r="Q418" i="39" s="1"/>
  <c r="Q446" i="39"/>
  <c r="P81" i="39"/>
  <c r="U365" i="39"/>
  <c r="K350" i="39"/>
  <c r="L350" i="39" s="1"/>
  <c r="M350" i="39" s="1"/>
  <c r="N350" i="39" s="1"/>
  <c r="O350" i="39" s="1"/>
  <c r="P350" i="39" s="1"/>
  <c r="Q350" i="39" s="1"/>
  <c r="R350" i="39" s="1"/>
  <c r="S350" i="39" s="1"/>
  <c r="T350" i="39" s="1"/>
  <c r="U350" i="39" s="1"/>
  <c r="V350" i="39" s="1"/>
  <c r="W350" i="39" s="1"/>
  <c r="X350" i="39" s="1"/>
  <c r="Y350" i="39" s="1"/>
  <c r="Z350" i="39" s="1"/>
  <c r="AA350" i="39" s="1"/>
  <c r="AB350" i="39" s="1"/>
  <c r="AC350" i="39" s="1"/>
  <c r="AD350" i="39" s="1"/>
  <c r="AE350" i="39" s="1"/>
  <c r="AF350" i="39" s="1"/>
  <c r="AG350" i="39" s="1"/>
  <c r="AH350" i="39" s="1"/>
  <c r="AI350" i="39" s="1"/>
  <c r="AJ350" i="39" s="1"/>
  <c r="AK350" i="39" s="1"/>
  <c r="AL350" i="39" s="1"/>
  <c r="AM350" i="39" s="1"/>
  <c r="AN350" i="39" s="1"/>
  <c r="AO350" i="39" s="1"/>
  <c r="AP350" i="39" s="1"/>
  <c r="AQ350" i="39" s="1"/>
  <c r="AR350" i="39" s="1"/>
  <c r="AS350" i="39" s="1"/>
  <c r="U221" i="39"/>
  <c r="R261" i="39"/>
  <c r="R243" i="39"/>
  <c r="R30" i="39"/>
  <c r="I351" i="39"/>
  <c r="I59" i="39" s="1"/>
  <c r="I61" i="39" s="1"/>
  <c r="U485" i="39"/>
  <c r="U103" i="39"/>
  <c r="M354" i="39"/>
  <c r="M345" i="39" s="1"/>
  <c r="N332" i="39"/>
  <c r="W236" i="39"/>
  <c r="T367" i="39"/>
  <c r="T153" i="39"/>
  <c r="U363" i="39"/>
  <c r="T510" i="39"/>
  <c r="U463" i="39"/>
  <c r="T464" i="39"/>
  <c r="T465" i="39" s="1"/>
  <c r="T116" i="39" s="1"/>
  <c r="S34" i="39"/>
  <c r="T33" i="39" s="1"/>
  <c r="P392" i="39"/>
  <c r="O378" i="39"/>
  <c r="L355" i="39"/>
  <c r="V437" i="39"/>
  <c r="V439" i="39" s="1"/>
  <c r="W430" i="39"/>
  <c r="U366" i="39"/>
  <c r="U29" i="39"/>
  <c r="AE73" i="3" l="1"/>
  <c r="AD76" i="3"/>
  <c r="AD82" i="3"/>
  <c r="AD79" i="3"/>
  <c r="AF72" i="3"/>
  <c r="AE71" i="3"/>
  <c r="AE75" i="3" s="1"/>
  <c r="AE78" i="3" s="1"/>
  <c r="AD74" i="3"/>
  <c r="AD77" i="3" s="1"/>
  <c r="AD80" i="3"/>
  <c r="W365" i="42"/>
  <c r="S76" i="42"/>
  <c r="V367" i="42"/>
  <c r="V370" i="42" s="1"/>
  <c r="W366" i="42"/>
  <c r="V153" i="42"/>
  <c r="W363" i="42"/>
  <c r="T446" i="42"/>
  <c r="X236" i="42"/>
  <c r="T34" i="42"/>
  <c r="W437" i="42"/>
  <c r="W439" i="42" s="1"/>
  <c r="X430" i="42"/>
  <c r="Z221" i="42"/>
  <c r="Q392" i="42"/>
  <c r="P378" i="42"/>
  <c r="Y29" i="42"/>
  <c r="T377" i="42"/>
  <c r="T338" i="42"/>
  <c r="T81" i="42" s="1"/>
  <c r="O354" i="42"/>
  <c r="O345" i="42" s="1"/>
  <c r="P332" i="42"/>
  <c r="V485" i="42"/>
  <c r="V103" i="42"/>
  <c r="T403" i="42"/>
  <c r="U372" i="42"/>
  <c r="U373" i="42"/>
  <c r="U374" i="42"/>
  <c r="S81" i="42"/>
  <c r="N355" i="42"/>
  <c r="N356" i="42" s="1"/>
  <c r="S418" i="42"/>
  <c r="W510" i="42"/>
  <c r="X463" i="42"/>
  <c r="W464" i="42"/>
  <c r="W465" i="42" s="1"/>
  <c r="W116" i="42" s="1"/>
  <c r="S187" i="42"/>
  <c r="R189" i="42"/>
  <c r="R188" i="42" s="1"/>
  <c r="Q188" i="39"/>
  <c r="R186" i="39"/>
  <c r="R187" i="39" s="1"/>
  <c r="R189" i="39" s="1"/>
  <c r="R338" i="39"/>
  <c r="R81" i="39" s="1"/>
  <c r="S372" i="39"/>
  <c r="R377" i="39"/>
  <c r="S374" i="39"/>
  <c r="T370" i="39"/>
  <c r="S373" i="39"/>
  <c r="R446" i="39"/>
  <c r="Q76" i="39"/>
  <c r="T34" i="39"/>
  <c r="X236" i="39"/>
  <c r="S261" i="39"/>
  <c r="S243" i="39"/>
  <c r="S30" i="39"/>
  <c r="I64" i="39"/>
  <c r="I63" i="39"/>
  <c r="V29" i="39"/>
  <c r="V366" i="39"/>
  <c r="W437" i="39"/>
  <c r="W439" i="39" s="1"/>
  <c r="X430" i="39"/>
  <c r="L356" i="39"/>
  <c r="V221" i="39"/>
  <c r="P378" i="39"/>
  <c r="Q392" i="39"/>
  <c r="U510" i="39"/>
  <c r="V463" i="39"/>
  <c r="U464" i="39"/>
  <c r="U465" i="39" s="1"/>
  <c r="U116" i="39" s="1"/>
  <c r="U367" i="39"/>
  <c r="U153" i="39"/>
  <c r="V363" i="39"/>
  <c r="M355" i="39"/>
  <c r="M356" i="39" s="1"/>
  <c r="V485" i="39"/>
  <c r="V103" i="39"/>
  <c r="V365" i="39"/>
  <c r="N354" i="39"/>
  <c r="N345" i="39" s="1"/>
  <c r="O332" i="39"/>
  <c r="AG72" i="3" l="1"/>
  <c r="AE80" i="3"/>
  <c r="AF71" i="3"/>
  <c r="AF81" i="3" s="1"/>
  <c r="AE74" i="3"/>
  <c r="AE77" i="3" s="1"/>
  <c r="AE81" i="3"/>
  <c r="AE82" i="3"/>
  <c r="AE76" i="3"/>
  <c r="AE79" i="3" s="1"/>
  <c r="AF73" i="3"/>
  <c r="W153" i="42"/>
  <c r="T76" i="42"/>
  <c r="X366" i="42"/>
  <c r="X363" i="42"/>
  <c r="X365" i="42"/>
  <c r="W367" i="42"/>
  <c r="W370" i="42" s="1"/>
  <c r="V373" i="42"/>
  <c r="V372" i="42"/>
  <c r="V374" i="42"/>
  <c r="Q378" i="42"/>
  <c r="R392" i="42"/>
  <c r="T261" i="42"/>
  <c r="T243" i="42"/>
  <c r="T30" i="42"/>
  <c r="T186" i="42" s="1"/>
  <c r="O355" i="42"/>
  <c r="O356" i="42" s="1"/>
  <c r="Z29" i="42"/>
  <c r="W485" i="42"/>
  <c r="W103" i="42"/>
  <c r="U33" i="42"/>
  <c r="X437" i="42"/>
  <c r="X439" i="42" s="1"/>
  <c r="Y430" i="42"/>
  <c r="S189" i="42"/>
  <c r="S188" i="42" s="1"/>
  <c r="U377" i="42"/>
  <c r="U338" i="42"/>
  <c r="U81" i="42" s="1"/>
  <c r="T418" i="42"/>
  <c r="Y236" i="42"/>
  <c r="U403" i="42"/>
  <c r="X510" i="42"/>
  <c r="Y463" i="42"/>
  <c r="X464" i="42"/>
  <c r="X465" i="42" s="1"/>
  <c r="X116" i="42" s="1"/>
  <c r="U446" i="42"/>
  <c r="P354" i="42"/>
  <c r="Q332" i="42"/>
  <c r="AA221" i="42"/>
  <c r="R188" i="39"/>
  <c r="S186" i="39"/>
  <c r="S187" i="39" s="1"/>
  <c r="S189" i="39" s="1"/>
  <c r="T372" i="39"/>
  <c r="U370" i="39"/>
  <c r="S338" i="39"/>
  <c r="S377" i="39"/>
  <c r="T373" i="39"/>
  <c r="S446" i="39"/>
  <c r="T374" i="39"/>
  <c r="S403" i="39"/>
  <c r="S418" i="39" s="1"/>
  <c r="R76" i="39"/>
  <c r="Y236" i="39"/>
  <c r="T243" i="39"/>
  <c r="T261" i="39"/>
  <c r="T30" i="39"/>
  <c r="W365" i="39"/>
  <c r="W221" i="39"/>
  <c r="X437" i="39"/>
  <c r="X439" i="39" s="1"/>
  <c r="Y430" i="39"/>
  <c r="U33" i="39"/>
  <c r="O354" i="39"/>
  <c r="P332" i="39"/>
  <c r="N355" i="39"/>
  <c r="N356" i="39" s="1"/>
  <c r="Q378" i="39"/>
  <c r="R392" i="39"/>
  <c r="W485" i="39"/>
  <c r="W103" i="39"/>
  <c r="W29" i="39"/>
  <c r="V367" i="39"/>
  <c r="V153" i="39"/>
  <c r="W363" i="39"/>
  <c r="V510" i="39"/>
  <c r="W463" i="39"/>
  <c r="V464" i="39"/>
  <c r="V465" i="39" s="1"/>
  <c r="V116" i="39" s="1"/>
  <c r="W366" i="39"/>
  <c r="AG71" i="3" l="1"/>
  <c r="AF74" i="3"/>
  <c r="AF80" i="3"/>
  <c r="AF77" i="3"/>
  <c r="AF75" i="3"/>
  <c r="AF78" i="3" s="1"/>
  <c r="AG73" i="3"/>
  <c r="AF76" i="3"/>
  <c r="AF79" i="3" s="1"/>
  <c r="AF82" i="3"/>
  <c r="AH72" i="3"/>
  <c r="AG75" i="3"/>
  <c r="AG78" i="3"/>
  <c r="AG81" i="3"/>
  <c r="Y363" i="42"/>
  <c r="U76" i="42"/>
  <c r="Y365" i="42"/>
  <c r="X153" i="42"/>
  <c r="Y366" i="42"/>
  <c r="X367" i="42"/>
  <c r="X370" i="42" s="1"/>
  <c r="T187" i="42"/>
  <c r="T189" i="42" s="1"/>
  <c r="T188" i="42" s="1"/>
  <c r="P355" i="42"/>
  <c r="P356" i="42" s="1"/>
  <c r="W372" i="42"/>
  <c r="W374" i="42"/>
  <c r="W373" i="42"/>
  <c r="X485" i="42"/>
  <c r="X103" i="42"/>
  <c r="V338" i="42"/>
  <c r="V81" i="42" s="1"/>
  <c r="V377" i="42"/>
  <c r="Y510" i="42"/>
  <c r="Z463" i="42"/>
  <c r="Y464" i="42"/>
  <c r="Y465" i="42" s="1"/>
  <c r="Y116" i="42" s="1"/>
  <c r="AB221" i="42"/>
  <c r="Q354" i="42"/>
  <c r="Q345" i="42" s="1"/>
  <c r="R332" i="42"/>
  <c r="U34" i="42"/>
  <c r="V33" i="42" s="1"/>
  <c r="AA29" i="42"/>
  <c r="R378" i="42"/>
  <c r="S392" i="42"/>
  <c r="Z236" i="42"/>
  <c r="Y437" i="42"/>
  <c r="Y439" i="42" s="1"/>
  <c r="Z430" i="42"/>
  <c r="V403" i="42"/>
  <c r="V418" i="42" s="1"/>
  <c r="P345" i="42"/>
  <c r="U418" i="42"/>
  <c r="V446" i="42"/>
  <c r="S188" i="39"/>
  <c r="T186" i="39"/>
  <c r="T187" i="39" s="1"/>
  <c r="T189" i="39" s="1"/>
  <c r="T377" i="39"/>
  <c r="T338" i="39"/>
  <c r="T81" i="39" s="1"/>
  <c r="V370" i="39"/>
  <c r="S81" i="39"/>
  <c r="U373" i="39"/>
  <c r="U372" i="39"/>
  <c r="U374" i="39"/>
  <c r="U403" i="39" s="1"/>
  <c r="S76" i="39"/>
  <c r="T446" i="39"/>
  <c r="T403" i="39"/>
  <c r="T418" i="39" s="1"/>
  <c r="X366" i="39"/>
  <c r="W367" i="39"/>
  <c r="W153" i="39"/>
  <c r="X363" i="39"/>
  <c r="X29" i="39"/>
  <c r="O355" i="39"/>
  <c r="O356" i="39" s="1"/>
  <c r="Y437" i="39"/>
  <c r="Y439" i="39" s="1"/>
  <c r="Z430" i="39"/>
  <c r="P354" i="39"/>
  <c r="P345" i="39" s="1"/>
  <c r="Q332" i="39"/>
  <c r="W510" i="39"/>
  <c r="X463" i="39"/>
  <c r="W464" i="39"/>
  <c r="W465" i="39" s="1"/>
  <c r="W116" i="39" s="1"/>
  <c r="S392" i="39"/>
  <c r="R378" i="39"/>
  <c r="O345" i="39"/>
  <c r="X485" i="39"/>
  <c r="X103" i="39"/>
  <c r="X365" i="39"/>
  <c r="U34" i="39"/>
  <c r="X221" i="39"/>
  <c r="Z236" i="39"/>
  <c r="AI72" i="3" l="1"/>
  <c r="AH73" i="3"/>
  <c r="AG82" i="3"/>
  <c r="AG76" i="3"/>
  <c r="AG79" i="3" s="1"/>
  <c r="AH71" i="3"/>
  <c r="AH81" i="3" s="1"/>
  <c r="AG80" i="3"/>
  <c r="AG74" i="3"/>
  <c r="AG77" i="3" s="1"/>
  <c r="V76" i="42"/>
  <c r="Y367" i="42"/>
  <c r="Y370" i="42" s="1"/>
  <c r="Y153" i="42"/>
  <c r="Z365" i="42"/>
  <c r="Z363" i="42"/>
  <c r="Z366" i="42"/>
  <c r="V34" i="42"/>
  <c r="W33" i="42" s="1"/>
  <c r="U243" i="42"/>
  <c r="U261" i="42"/>
  <c r="U30" i="42"/>
  <c r="R354" i="42"/>
  <c r="R345" i="42" s="1"/>
  <c r="S332" i="42"/>
  <c r="W377" i="42"/>
  <c r="W338" i="42"/>
  <c r="Z437" i="42"/>
  <c r="Z439" i="42" s="1"/>
  <c r="AA430" i="42"/>
  <c r="AC221" i="42"/>
  <c r="Z510" i="42"/>
  <c r="AA463" i="42"/>
  <c r="Z464" i="42"/>
  <c r="Z465" i="42" s="1"/>
  <c r="Z116" i="42" s="1"/>
  <c r="W446" i="42"/>
  <c r="W403" i="42"/>
  <c r="W418" i="42" s="1"/>
  <c r="Y485" i="42"/>
  <c r="Y103" i="42"/>
  <c r="AA236" i="42"/>
  <c r="T392" i="42"/>
  <c r="S378" i="42"/>
  <c r="AB29" i="42"/>
  <c r="Q355" i="42"/>
  <c r="X373" i="42"/>
  <c r="X374" i="42"/>
  <c r="X372" i="42"/>
  <c r="T188" i="39"/>
  <c r="U338" i="39"/>
  <c r="U81" i="39" s="1"/>
  <c r="V373" i="39"/>
  <c r="W370" i="39"/>
  <c r="V374" i="39"/>
  <c r="V403" i="39" s="1"/>
  <c r="V418" i="39" s="1"/>
  <c r="U377" i="39"/>
  <c r="V372" i="39"/>
  <c r="U446" i="39"/>
  <c r="T76" i="39"/>
  <c r="Y221" i="39"/>
  <c r="Y365" i="39"/>
  <c r="Q354" i="39"/>
  <c r="Q345" i="39" s="1"/>
  <c r="R332" i="39"/>
  <c r="Y485" i="39"/>
  <c r="Y103" i="39"/>
  <c r="X367" i="39"/>
  <c r="X153" i="39"/>
  <c r="Y363" i="39"/>
  <c r="AA236" i="39"/>
  <c r="U261" i="39"/>
  <c r="U243" i="39"/>
  <c r="U30" i="39"/>
  <c r="U418" i="39"/>
  <c r="T392" i="39"/>
  <c r="S378" i="39"/>
  <c r="X510" i="39"/>
  <c r="Y463" i="39"/>
  <c r="X464" i="39"/>
  <c r="X465" i="39" s="1"/>
  <c r="X116" i="39" s="1"/>
  <c r="Z437" i="39"/>
  <c r="Z439" i="39" s="1"/>
  <c r="AA430" i="39"/>
  <c r="V33" i="39"/>
  <c r="Y366" i="39"/>
  <c r="P355" i="39"/>
  <c r="Y29" i="39"/>
  <c r="AH75" i="3" l="1"/>
  <c r="AH78" i="3" s="1"/>
  <c r="AI71" i="3"/>
  <c r="AI81" i="3" s="1"/>
  <c r="AH80" i="3"/>
  <c r="AH74" i="3"/>
  <c r="AH77" i="3" s="1"/>
  <c r="AI73" i="3"/>
  <c r="AH82" i="3"/>
  <c r="AH76" i="3"/>
  <c r="AH79" i="3" s="1"/>
  <c r="AJ72" i="3"/>
  <c r="AI75" i="3"/>
  <c r="AI78" i="3" s="1"/>
  <c r="W76" i="42"/>
  <c r="Z153" i="42"/>
  <c r="AA363" i="42"/>
  <c r="Z367" i="42"/>
  <c r="Z370" i="42" s="1"/>
  <c r="AA366" i="42"/>
  <c r="AA365" i="42"/>
  <c r="X446" i="42"/>
  <c r="W34" i="42"/>
  <c r="X33" i="42" s="1"/>
  <c r="R355" i="42"/>
  <c r="R356" i="42" s="1"/>
  <c r="U187" i="42"/>
  <c r="U186" i="42"/>
  <c r="V261" i="42"/>
  <c r="V243" i="42"/>
  <c r="V30" i="42"/>
  <c r="X338" i="42"/>
  <c r="X81" i="42" s="1"/>
  <c r="X377" i="42"/>
  <c r="Y373" i="42"/>
  <c r="Y374" i="42"/>
  <c r="Y372" i="42"/>
  <c r="AC29" i="42"/>
  <c r="U392" i="42"/>
  <c r="T378" i="42"/>
  <c r="AA510" i="42"/>
  <c r="AB463" i="42"/>
  <c r="AA464" i="42"/>
  <c r="AA465" i="42" s="1"/>
  <c r="AA116" i="42" s="1"/>
  <c r="AA437" i="42"/>
  <c r="AA439" i="42" s="1"/>
  <c r="AB430" i="42"/>
  <c r="S354" i="42"/>
  <c r="S345" i="42" s="1"/>
  <c r="T332" i="42"/>
  <c r="X403" i="42"/>
  <c r="X418" i="42" s="1"/>
  <c r="Q356" i="42"/>
  <c r="AB236" i="42"/>
  <c r="AD221" i="42"/>
  <c r="Z485" i="42"/>
  <c r="Z103" i="42"/>
  <c r="W81" i="42"/>
  <c r="X370" i="39"/>
  <c r="W373" i="39"/>
  <c r="W372" i="39"/>
  <c r="U186" i="39"/>
  <c r="U187" i="39" s="1"/>
  <c r="U189" i="39" s="1"/>
  <c r="W374" i="39"/>
  <c r="W403" i="39" s="1"/>
  <c r="V338" i="39"/>
  <c r="V81" i="39" s="1"/>
  <c r="V446" i="39"/>
  <c r="V377" i="39"/>
  <c r="U76" i="39"/>
  <c r="Z366" i="39"/>
  <c r="Z221" i="39"/>
  <c r="P356" i="39"/>
  <c r="V34" i="39"/>
  <c r="W33" i="39" s="1"/>
  <c r="AA437" i="39"/>
  <c r="AA439" i="39" s="1"/>
  <c r="AB430" i="39"/>
  <c r="R354" i="39"/>
  <c r="S332" i="39"/>
  <c r="Z485" i="39"/>
  <c r="Z103" i="39"/>
  <c r="Y510" i="39"/>
  <c r="Z463" i="39"/>
  <c r="Y464" i="39"/>
  <c r="Y465" i="39" s="1"/>
  <c r="Y116" i="39" s="1"/>
  <c r="T378" i="39"/>
  <c r="U392" i="39"/>
  <c r="Y367" i="39"/>
  <c r="Y153" i="39"/>
  <c r="Z363" i="39"/>
  <c r="Z365" i="39"/>
  <c r="AB236" i="39"/>
  <c r="Z29" i="39"/>
  <c r="Q355" i="39"/>
  <c r="Q356" i="39" s="1"/>
  <c r="AK72" i="3" l="1"/>
  <c r="AJ75" i="3"/>
  <c r="AJ81" i="3"/>
  <c r="AJ78" i="3"/>
  <c r="AJ73" i="3"/>
  <c r="AI82" i="3"/>
  <c r="AI76" i="3"/>
  <c r="AI79" i="3"/>
  <c r="AJ71" i="3"/>
  <c r="AI80" i="3"/>
  <c r="AI74" i="3"/>
  <c r="AI77" i="3"/>
  <c r="X76" i="42"/>
  <c r="AA367" i="42"/>
  <c r="AA370" i="42" s="1"/>
  <c r="AB363" i="42"/>
  <c r="AB365" i="42"/>
  <c r="AA153" i="42"/>
  <c r="AB366" i="42"/>
  <c r="Y370" i="39"/>
  <c r="X372" i="39"/>
  <c r="Y446" i="42"/>
  <c r="AC236" i="42"/>
  <c r="T354" i="42"/>
  <c r="U332" i="42"/>
  <c r="AA485" i="42"/>
  <c r="AA103" i="42"/>
  <c r="AB510" i="42"/>
  <c r="AC463" i="42"/>
  <c r="AB464" i="42"/>
  <c r="AB465" i="42" s="1"/>
  <c r="AB116" i="42" s="1"/>
  <c r="U378" i="42"/>
  <c r="V392" i="42"/>
  <c r="Z373" i="42"/>
  <c r="Z374" i="42"/>
  <c r="Z372" i="42"/>
  <c r="V186" i="42"/>
  <c r="S355" i="42"/>
  <c r="Y338" i="42"/>
  <c r="Y377" i="42"/>
  <c r="V187" i="42"/>
  <c r="U189" i="42"/>
  <c r="U188" i="42" s="1"/>
  <c r="X34" i="42"/>
  <c r="Y33" i="42" s="1"/>
  <c r="AE221" i="42"/>
  <c r="AB437" i="42"/>
  <c r="AB439" i="42" s="1"/>
  <c r="AC430" i="42"/>
  <c r="AD29" i="42"/>
  <c r="Y403" i="42"/>
  <c r="Y418" i="42" s="1"/>
  <c r="W243" i="42"/>
  <c r="W261" i="42"/>
  <c r="W30" i="42"/>
  <c r="X373" i="39"/>
  <c r="U188" i="39"/>
  <c r="W377" i="39"/>
  <c r="W338" i="39"/>
  <c r="W81" i="39" s="1"/>
  <c r="W446" i="39"/>
  <c r="X374" i="39"/>
  <c r="V76" i="39"/>
  <c r="AA365" i="39"/>
  <c r="AC236" i="39"/>
  <c r="AA29" i="39"/>
  <c r="AA485" i="39"/>
  <c r="AA103" i="39"/>
  <c r="W34" i="39"/>
  <c r="X33" i="39" s="1"/>
  <c r="AA221" i="39"/>
  <c r="R355" i="39"/>
  <c r="R356" i="39" s="1"/>
  <c r="Z510" i="39"/>
  <c r="AA463" i="39"/>
  <c r="Z464" i="39"/>
  <c r="Z465" i="39" s="1"/>
  <c r="Z116" i="39" s="1"/>
  <c r="S354" i="39"/>
  <c r="T332" i="39"/>
  <c r="V261" i="39"/>
  <c r="V243" i="39"/>
  <c r="V30" i="39"/>
  <c r="AB437" i="39"/>
  <c r="AB439" i="39" s="1"/>
  <c r="AC430" i="39"/>
  <c r="Z153" i="39"/>
  <c r="Z367" i="39"/>
  <c r="AA363" i="39"/>
  <c r="W418" i="39"/>
  <c r="U378" i="39"/>
  <c r="V392" i="39"/>
  <c r="AA366" i="39"/>
  <c r="R345" i="39"/>
  <c r="AK71" i="3" l="1"/>
  <c r="AJ74" i="3"/>
  <c r="AJ77" i="3"/>
  <c r="AJ80" i="3"/>
  <c r="AK73" i="3"/>
  <c r="AJ76" i="3"/>
  <c r="AJ79" i="3" s="1"/>
  <c r="AJ82" i="3"/>
  <c r="AL72" i="3"/>
  <c r="AK81" i="3"/>
  <c r="AK75" i="3"/>
  <c r="AK78" i="3" s="1"/>
  <c r="Y76" i="42"/>
  <c r="AB153" i="42"/>
  <c r="AB367" i="42"/>
  <c r="AB370" i="42" s="1"/>
  <c r="AC365" i="42"/>
  <c r="AC366" i="42"/>
  <c r="AC363" i="42"/>
  <c r="X377" i="39"/>
  <c r="Z370" i="39"/>
  <c r="Y372" i="39"/>
  <c r="Y374" i="39"/>
  <c r="Y403" i="39" s="1"/>
  <c r="Y418" i="39" s="1"/>
  <c r="Y373" i="39"/>
  <c r="Z446" i="42"/>
  <c r="AF221" i="42"/>
  <c r="V378" i="42"/>
  <c r="W392" i="42"/>
  <c r="AB485" i="42"/>
  <c r="AB103" i="42"/>
  <c r="S356" i="42"/>
  <c r="AC437" i="42"/>
  <c r="AC439" i="42" s="1"/>
  <c r="AD430" i="42"/>
  <c r="T355" i="42"/>
  <c r="Y34" i="42"/>
  <c r="Z377" i="42"/>
  <c r="Z338" i="42"/>
  <c r="Z81" i="42" s="1"/>
  <c r="AA374" i="42"/>
  <c r="AA373" i="42"/>
  <c r="AA372" i="42"/>
  <c r="AD463" i="42"/>
  <c r="AC510" i="42"/>
  <c r="AC464" i="42"/>
  <c r="AC465" i="42" s="1"/>
  <c r="AC116" i="42" s="1"/>
  <c r="U354" i="42"/>
  <c r="V332" i="42"/>
  <c r="AD236" i="42"/>
  <c r="V189" i="42"/>
  <c r="V188" i="42" s="1"/>
  <c r="W187" i="42"/>
  <c r="AE29" i="42"/>
  <c r="X243" i="42"/>
  <c r="X261" i="42"/>
  <c r="X30" i="42"/>
  <c r="Y81" i="42"/>
  <c r="W186" i="42"/>
  <c r="Z403" i="42"/>
  <c r="T345" i="42"/>
  <c r="X338" i="39"/>
  <c r="X81" i="39" s="1"/>
  <c r="X403" i="39"/>
  <c r="X418" i="39" s="1"/>
  <c r="X446" i="39"/>
  <c r="V186" i="39"/>
  <c r="V187" i="39" s="1"/>
  <c r="V189" i="39" s="1"/>
  <c r="W76" i="39"/>
  <c r="X34" i="39"/>
  <c r="T354" i="39"/>
  <c r="U332" i="39"/>
  <c r="AA510" i="39"/>
  <c r="AB463" i="39"/>
  <c r="AA464" i="39"/>
  <c r="AA465" i="39" s="1"/>
  <c r="AA116" i="39" s="1"/>
  <c r="W392" i="39"/>
  <c r="V378" i="39"/>
  <c r="S355" i="39"/>
  <c r="S356" i="39" s="1"/>
  <c r="AB29" i="39"/>
  <c r="AA367" i="39"/>
  <c r="AA153" i="39"/>
  <c r="AB363" i="39"/>
  <c r="AB485" i="39"/>
  <c r="AB103" i="39"/>
  <c r="AB221" i="39"/>
  <c r="AD236" i="39"/>
  <c r="AB366" i="39"/>
  <c r="AB365" i="39"/>
  <c r="AC437" i="39"/>
  <c r="AC439" i="39" s="1"/>
  <c r="AD430" i="39"/>
  <c r="S345" i="39"/>
  <c r="W261" i="39"/>
  <c r="W243" i="39"/>
  <c r="W30" i="39"/>
  <c r="G29" i="19"/>
  <c r="E29" i="19"/>
  <c r="D29" i="19"/>
  <c r="C29" i="19"/>
  <c r="C30" i="19"/>
  <c r="D30" i="19"/>
  <c r="E30" i="19"/>
  <c r="C31" i="19"/>
  <c r="D31" i="19"/>
  <c r="E31" i="19"/>
  <c r="C32" i="19"/>
  <c r="D32" i="19"/>
  <c r="E32" i="19"/>
  <c r="G31" i="19"/>
  <c r="G32" i="19"/>
  <c r="G30" i="19"/>
  <c r="F29" i="19"/>
  <c r="F30" i="19"/>
  <c r="F31" i="19"/>
  <c r="F32" i="19"/>
  <c r="D28" i="19"/>
  <c r="E28" i="19"/>
  <c r="F28" i="19"/>
  <c r="G28" i="19"/>
  <c r="C28" i="19"/>
  <c r="B33" i="19"/>
  <c r="D24" i="19"/>
  <c r="E24" i="19"/>
  <c r="D17" i="19"/>
  <c r="E17" i="19"/>
  <c r="D18" i="19"/>
  <c r="E18" i="19"/>
  <c r="D19" i="19"/>
  <c r="E19" i="19"/>
  <c r="D20" i="19"/>
  <c r="E20" i="19"/>
  <c r="D21" i="19"/>
  <c r="E21" i="19"/>
  <c r="D22" i="19"/>
  <c r="E22" i="19"/>
  <c r="D23" i="19"/>
  <c r="E23" i="19"/>
  <c r="D16" i="19"/>
  <c r="E16" i="19"/>
  <c r="C24" i="19"/>
  <c r="C15" i="19"/>
  <c r="C16" i="19"/>
  <c r="C17" i="19"/>
  <c r="C18" i="19"/>
  <c r="C19" i="19"/>
  <c r="C20" i="19"/>
  <c r="C21" i="19"/>
  <c r="C22" i="19"/>
  <c r="C23" i="19"/>
  <c r="F15" i="19"/>
  <c r="G15" i="19"/>
  <c r="F16" i="19"/>
  <c r="G16" i="19"/>
  <c r="F17" i="19"/>
  <c r="G17" i="19"/>
  <c r="F18" i="19"/>
  <c r="G18" i="19"/>
  <c r="F19" i="19"/>
  <c r="G19" i="19"/>
  <c r="F20" i="19"/>
  <c r="G20" i="19"/>
  <c r="F21" i="19"/>
  <c r="G21" i="19"/>
  <c r="F22" i="19"/>
  <c r="G22" i="19"/>
  <c r="F23" i="19"/>
  <c r="G23" i="19"/>
  <c r="F24" i="19"/>
  <c r="G24" i="19"/>
  <c r="E15" i="19"/>
  <c r="D15" i="19"/>
  <c r="D14" i="19"/>
  <c r="E14" i="19"/>
  <c r="F14" i="19"/>
  <c r="G14" i="19"/>
  <c r="C14" i="19"/>
  <c r="B25" i="19"/>
  <c r="AM72" i="3" l="1"/>
  <c r="AL73" i="3"/>
  <c r="AK82" i="3"/>
  <c r="AK76" i="3"/>
  <c r="AK79" i="3" s="1"/>
  <c r="AL71" i="3"/>
  <c r="AL75" i="3" s="1"/>
  <c r="AL78" i="3" s="1"/>
  <c r="AK80" i="3"/>
  <c r="AK74" i="3"/>
  <c r="AK77" i="3" s="1"/>
  <c r="AC367" i="42"/>
  <c r="AC370" i="42" s="1"/>
  <c r="AD365" i="42"/>
  <c r="AD366" i="42"/>
  <c r="AD363" i="42"/>
  <c r="AC153" i="42"/>
  <c r="Y377" i="39"/>
  <c r="Z372" i="39"/>
  <c r="AA370" i="39"/>
  <c r="Z374" i="39"/>
  <c r="Z403" i="39" s="1"/>
  <c r="Z418" i="39" s="1"/>
  <c r="Z373" i="39"/>
  <c r="Y446" i="39"/>
  <c r="X186" i="42"/>
  <c r="AA446" i="42"/>
  <c r="Z76" i="42"/>
  <c r="AB374" i="42"/>
  <c r="AB372" i="42"/>
  <c r="AB373" i="42"/>
  <c r="Y261" i="42"/>
  <c r="Y243" i="42"/>
  <c r="Y30" i="42"/>
  <c r="U355" i="42"/>
  <c r="U356" i="42" s="1"/>
  <c r="T356" i="42"/>
  <c r="AE236" i="42"/>
  <c r="U345" i="42"/>
  <c r="AD510" i="42"/>
  <c r="AE463" i="42"/>
  <c r="AD464" i="42"/>
  <c r="AD465" i="42" s="1"/>
  <c r="AD116" i="42" s="1"/>
  <c r="AD437" i="42"/>
  <c r="AD439" i="42" s="1"/>
  <c r="AE430" i="42"/>
  <c r="X392" i="42"/>
  <c r="W378" i="42"/>
  <c r="V354" i="42"/>
  <c r="W332" i="42"/>
  <c r="AF29" i="42"/>
  <c r="AA377" i="42"/>
  <c r="AA338" i="42"/>
  <c r="AA81" i="42" s="1"/>
  <c r="Z33" i="42"/>
  <c r="Z418" i="42"/>
  <c r="X187" i="42"/>
  <c r="W189" i="42"/>
  <c r="W188" i="42" s="1"/>
  <c r="AA403" i="42"/>
  <c r="AA418" i="42" s="1"/>
  <c r="AC485" i="42"/>
  <c r="AC103" i="42"/>
  <c r="AG221" i="42"/>
  <c r="Y338" i="39"/>
  <c r="V188" i="39"/>
  <c r="X76" i="39"/>
  <c r="W186" i="39"/>
  <c r="W187" i="39" s="1"/>
  <c r="W189" i="39" s="1"/>
  <c r="AC365" i="39"/>
  <c r="AE236" i="39"/>
  <c r="U354" i="39"/>
  <c r="V332" i="39"/>
  <c r="AD437" i="39"/>
  <c r="AD439" i="39" s="1"/>
  <c r="AE430" i="39"/>
  <c r="AC366" i="39"/>
  <c r="AB367" i="39"/>
  <c r="AB153" i="39"/>
  <c r="AC363" i="39"/>
  <c r="AB510" i="39"/>
  <c r="AC463" i="39"/>
  <c r="AB464" i="39"/>
  <c r="AB465" i="39" s="1"/>
  <c r="AB116" i="39" s="1"/>
  <c r="T355" i="39"/>
  <c r="T356" i="39" s="1"/>
  <c r="X243" i="39"/>
  <c r="X261" i="39"/>
  <c r="X30" i="39"/>
  <c r="AC29" i="39"/>
  <c r="AC485" i="39"/>
  <c r="AC103" i="39"/>
  <c r="AC221" i="39"/>
  <c r="X392" i="39"/>
  <c r="W378" i="39"/>
  <c r="T345" i="39"/>
  <c r="Y33" i="39"/>
  <c r="AL81" i="3" l="1"/>
  <c r="AM71" i="3"/>
  <c r="AL74" i="3"/>
  <c r="AL77" i="3" s="1"/>
  <c r="AL80" i="3"/>
  <c r="AM73" i="3"/>
  <c r="AL82" i="3"/>
  <c r="AL76" i="3"/>
  <c r="AL79" i="3" s="1"/>
  <c r="AM81" i="3"/>
  <c r="AN72" i="3"/>
  <c r="AM75" i="3"/>
  <c r="AM78" i="3" s="1"/>
  <c r="AA76" i="42"/>
  <c r="AD153" i="42"/>
  <c r="AE365" i="42"/>
  <c r="AD367" i="42"/>
  <c r="AD370" i="42" s="1"/>
  <c r="AE366" i="42"/>
  <c r="AE363" i="42"/>
  <c r="Z377" i="39"/>
  <c r="Z338" i="39"/>
  <c r="Z81" i="39" s="1"/>
  <c r="AA372" i="39"/>
  <c r="AA373" i="39"/>
  <c r="AB370" i="39"/>
  <c r="Y76" i="39"/>
  <c r="AA374" i="39"/>
  <c r="Z446" i="39"/>
  <c r="Y81" i="39"/>
  <c r="Y186" i="42"/>
  <c r="AF236" i="42"/>
  <c r="AB403" i="42"/>
  <c r="V355" i="42"/>
  <c r="V356" i="42" s="1"/>
  <c r="Y392" i="42"/>
  <c r="X378" i="42"/>
  <c r="AD485" i="42"/>
  <c r="AD103" i="42"/>
  <c r="V345" i="42"/>
  <c r="AB446" i="42"/>
  <c r="AC372" i="42"/>
  <c r="AC373" i="42"/>
  <c r="AC374" i="42"/>
  <c r="AH221" i="42"/>
  <c r="Y187" i="42"/>
  <c r="X189" i="42"/>
  <c r="X188" i="42" s="1"/>
  <c r="Z34" i="42"/>
  <c r="AA33" i="42" s="1"/>
  <c r="AG29" i="42"/>
  <c r="W354" i="42"/>
  <c r="X332" i="42"/>
  <c r="AE437" i="42"/>
  <c r="AE439" i="42" s="1"/>
  <c r="AF430" i="42"/>
  <c r="AE510" i="42"/>
  <c r="AF463" i="42"/>
  <c r="AE464" i="42"/>
  <c r="AE465" i="42" s="1"/>
  <c r="AE116" i="42" s="1"/>
  <c r="AB377" i="42"/>
  <c r="AB338" i="42"/>
  <c r="W188" i="39"/>
  <c r="X186" i="39"/>
  <c r="X187" i="39" s="1"/>
  <c r="X189" i="39" s="1"/>
  <c r="AF236" i="39"/>
  <c r="Y34" i="39"/>
  <c r="AD366" i="39"/>
  <c r="AD485" i="39"/>
  <c r="AD103" i="39"/>
  <c r="V354" i="39"/>
  <c r="V345" i="39" s="1"/>
  <c r="W332" i="39"/>
  <c r="AD29" i="39"/>
  <c r="AC510" i="39"/>
  <c r="AD463" i="39"/>
  <c r="AC464" i="39"/>
  <c r="AC465" i="39" s="1"/>
  <c r="AC116" i="39" s="1"/>
  <c r="AE437" i="39"/>
  <c r="AE439" i="39" s="1"/>
  <c r="AF430" i="39"/>
  <c r="X378" i="39"/>
  <c r="Y392" i="39"/>
  <c r="AC367" i="39"/>
  <c r="AC153" i="39"/>
  <c r="AD363" i="39"/>
  <c r="U355" i="39"/>
  <c r="U356" i="39" s="1"/>
  <c r="AD221" i="39"/>
  <c r="AD365" i="39"/>
  <c r="U345" i="39"/>
  <c r="AO72" i="3" l="1"/>
  <c r="AM82" i="3"/>
  <c r="AM76" i="3"/>
  <c r="AM79" i="3"/>
  <c r="AN73" i="3"/>
  <c r="AM80" i="3"/>
  <c r="AN71" i="3"/>
  <c r="AM74" i="3"/>
  <c r="AM77" i="3" s="1"/>
  <c r="AF366" i="42"/>
  <c r="AB76" i="42"/>
  <c r="AE367" i="42"/>
  <c r="AE370" i="42" s="1"/>
  <c r="AF365" i="42"/>
  <c r="AF363" i="42"/>
  <c r="AE153" i="42"/>
  <c r="AB373" i="39"/>
  <c r="AB372" i="39"/>
  <c r="AB374" i="39"/>
  <c r="AB403" i="39" s="1"/>
  <c r="AB418" i="39" s="1"/>
  <c r="AA446" i="39"/>
  <c r="AA338" i="39"/>
  <c r="AA81" i="39" s="1"/>
  <c r="AA377" i="39"/>
  <c r="Z76" i="39"/>
  <c r="AC370" i="39"/>
  <c r="AA403" i="39"/>
  <c r="AA418" i="39" s="1"/>
  <c r="AD374" i="42"/>
  <c r="AD373" i="42"/>
  <c r="AD372" i="42"/>
  <c r="W355" i="42"/>
  <c r="W356" i="42" s="1"/>
  <c r="AC403" i="42"/>
  <c r="AA34" i="42"/>
  <c r="X354" i="42"/>
  <c r="Y332" i="42"/>
  <c r="AH29" i="42"/>
  <c r="Z243" i="42"/>
  <c r="Z261" i="42"/>
  <c r="Z30" i="42"/>
  <c r="Z186" i="42" s="1"/>
  <c r="Y189" i="42"/>
  <c r="Y188" i="42" s="1"/>
  <c r="AI221" i="42"/>
  <c r="AC446" i="42"/>
  <c r="Y378" i="42"/>
  <c r="Z392" i="42"/>
  <c r="AG236" i="42"/>
  <c r="AE485" i="42"/>
  <c r="AE103" i="42"/>
  <c r="AB81" i="42"/>
  <c r="AF510" i="42"/>
  <c r="AG463" i="42"/>
  <c r="AF464" i="42"/>
  <c r="AF465" i="42" s="1"/>
  <c r="AF116" i="42" s="1"/>
  <c r="AF437" i="42"/>
  <c r="AF439" i="42" s="1"/>
  <c r="AG430" i="42"/>
  <c r="W345" i="42"/>
  <c r="AC377" i="42"/>
  <c r="AC338" i="42"/>
  <c r="AC81" i="42" s="1"/>
  <c r="AB418" i="42"/>
  <c r="X188" i="39"/>
  <c r="Z33" i="39"/>
  <c r="Z34" i="39" s="1"/>
  <c r="AA33" i="39" s="1"/>
  <c r="AE366" i="39"/>
  <c r="Y378" i="39"/>
  <c r="Z392" i="39"/>
  <c r="AE221" i="39"/>
  <c r="AF437" i="39"/>
  <c r="AF439" i="39" s="1"/>
  <c r="AG430" i="39"/>
  <c r="W354" i="39"/>
  <c r="W345" i="39" s="1"/>
  <c r="X332" i="39"/>
  <c r="Y243" i="39"/>
  <c r="Y261" i="39"/>
  <c r="Y30" i="39"/>
  <c r="AG236" i="39"/>
  <c r="AE365" i="39"/>
  <c r="AD367" i="39"/>
  <c r="AD153" i="39"/>
  <c r="AE363" i="39"/>
  <c r="AE485" i="39"/>
  <c r="AE103" i="39"/>
  <c r="AD510" i="39"/>
  <c r="AE463" i="39"/>
  <c r="AD464" i="39"/>
  <c r="AD465" i="39" s="1"/>
  <c r="AD116" i="39" s="1"/>
  <c r="AE29" i="39"/>
  <c r="V355" i="39"/>
  <c r="AN74" i="3" l="1"/>
  <c r="AN77" i="3"/>
  <c r="AO71" i="3"/>
  <c r="AO75" i="3" s="1"/>
  <c r="AO78" i="3" s="1"/>
  <c r="AN80" i="3"/>
  <c r="AP72" i="3"/>
  <c r="AN81" i="3"/>
  <c r="AO73" i="3"/>
  <c r="AN82" i="3"/>
  <c r="AN76" i="3"/>
  <c r="AN79" i="3" s="1"/>
  <c r="AN75" i="3"/>
  <c r="AN78" i="3" s="1"/>
  <c r="AF153" i="42"/>
  <c r="AF367" i="42"/>
  <c r="AF370" i="42" s="1"/>
  <c r="AG366" i="42"/>
  <c r="AG365" i="42"/>
  <c r="AG363" i="42"/>
  <c r="AC373" i="39"/>
  <c r="AB446" i="39"/>
  <c r="AB377" i="39"/>
  <c r="AB338" i="39"/>
  <c r="AB81" i="39" s="1"/>
  <c r="AC372" i="39"/>
  <c r="AA76" i="39"/>
  <c r="AD370" i="39"/>
  <c r="AC374" i="39"/>
  <c r="AD446" i="42"/>
  <c r="Z187" i="42"/>
  <c r="Z189" i="42" s="1"/>
  <c r="Z188" i="42" s="1"/>
  <c r="X355" i="42"/>
  <c r="X356" i="42" s="1"/>
  <c r="AA243" i="42"/>
  <c r="AA261" i="42"/>
  <c r="AA30" i="42"/>
  <c r="AA186" i="42" s="1"/>
  <c r="AG510" i="42"/>
  <c r="AH463" i="42"/>
  <c r="AG464" i="42"/>
  <c r="AG465" i="42" s="1"/>
  <c r="AG116" i="42" s="1"/>
  <c r="AH236" i="42"/>
  <c r="AJ221" i="42"/>
  <c r="X345" i="42"/>
  <c r="AB33" i="42"/>
  <c r="Z378" i="42"/>
  <c r="AA392" i="42"/>
  <c r="AD403" i="42"/>
  <c r="AG437" i="42"/>
  <c r="AG439" i="42" s="1"/>
  <c r="AH430" i="42"/>
  <c r="AC76" i="42"/>
  <c r="AI29" i="42"/>
  <c r="AC418" i="42"/>
  <c r="AD377" i="42"/>
  <c r="AD338" i="42"/>
  <c r="AD81" i="42" s="1"/>
  <c r="AE373" i="42"/>
  <c r="AE374" i="42"/>
  <c r="AE372" i="42"/>
  <c r="AF485" i="42"/>
  <c r="AF103" i="42"/>
  <c r="Y354" i="42"/>
  <c r="Z332" i="42"/>
  <c r="Y186" i="39"/>
  <c r="Y187" i="39" s="1"/>
  <c r="Y189" i="39" s="1"/>
  <c r="AF366" i="39"/>
  <c r="AE367" i="39"/>
  <c r="AE153" i="39"/>
  <c r="AF363" i="39"/>
  <c r="AA34" i="39"/>
  <c r="AH236" i="39"/>
  <c r="X354" i="39"/>
  <c r="Y332" i="39"/>
  <c r="AF485" i="39"/>
  <c r="AF103" i="39"/>
  <c r="AF221" i="39"/>
  <c r="V356" i="39"/>
  <c r="AE510" i="39"/>
  <c r="AF463" i="39"/>
  <c r="AE464" i="39"/>
  <c r="AE465" i="39" s="1"/>
  <c r="AE116" i="39" s="1"/>
  <c r="Z243" i="39"/>
  <c r="Z261" i="39"/>
  <c r="Z30" i="39"/>
  <c r="AG437" i="39"/>
  <c r="AG439" i="39" s="1"/>
  <c r="AH430" i="39"/>
  <c r="AA392" i="39"/>
  <c r="Z378" i="39"/>
  <c r="AF29" i="39"/>
  <c r="AF365" i="39"/>
  <c r="W355" i="39"/>
  <c r="W356" i="39" s="1"/>
  <c r="C71" i="17"/>
  <c r="D71" i="17"/>
  <c r="E71" i="17"/>
  <c r="F71" i="17"/>
  <c r="G71" i="17"/>
  <c r="H71" i="17"/>
  <c r="I71" i="17"/>
  <c r="J71" i="17"/>
  <c r="K71" i="17"/>
  <c r="L71" i="17"/>
  <c r="B71" i="17"/>
  <c r="AP73" i="3" l="1"/>
  <c r="AO76" i="3"/>
  <c r="AO79" i="3"/>
  <c r="AO82" i="3"/>
  <c r="AQ72" i="3"/>
  <c r="AO74" i="3"/>
  <c r="AO77" i="3"/>
  <c r="AO80" i="3"/>
  <c r="AP71" i="3"/>
  <c r="AP75" i="3" s="1"/>
  <c r="AP78" i="3" s="1"/>
  <c r="AO81" i="3"/>
  <c r="AG153" i="42"/>
  <c r="AH366" i="42"/>
  <c r="AH363" i="42"/>
  <c r="AH365" i="42"/>
  <c r="AG367" i="42"/>
  <c r="AG370" i="42" s="1"/>
  <c r="AC446" i="39"/>
  <c r="AD373" i="39"/>
  <c r="AD372" i="39"/>
  <c r="AC377" i="39"/>
  <c r="AB76" i="39"/>
  <c r="AC338" i="39"/>
  <c r="AC81" i="39" s="1"/>
  <c r="AE370" i="39"/>
  <c r="AC403" i="39"/>
  <c r="AC418" i="39" s="1"/>
  <c r="AD374" i="39"/>
  <c r="AE446" i="42"/>
  <c r="AD76" i="42"/>
  <c r="AA187" i="42"/>
  <c r="AA189" i="42" s="1"/>
  <c r="AA188" i="42" s="1"/>
  <c r="Y355" i="42"/>
  <c r="Y356" i="42" s="1"/>
  <c r="AB392" i="42"/>
  <c r="AA378" i="42"/>
  <c r="AI236" i="42"/>
  <c r="AJ29" i="42"/>
  <c r="Z354" i="42"/>
  <c r="AA332" i="42"/>
  <c r="AE338" i="42"/>
  <c r="AE377" i="42"/>
  <c r="AF372" i="42"/>
  <c r="AF374" i="42"/>
  <c r="AF373" i="42"/>
  <c r="AH437" i="42"/>
  <c r="AH439" i="42" s="1"/>
  <c r="AI430" i="42"/>
  <c r="AB34" i="42"/>
  <c r="AH510" i="42"/>
  <c r="AI463" i="42"/>
  <c r="AH464" i="42"/>
  <c r="AH465" i="42" s="1"/>
  <c r="AH116" i="42" s="1"/>
  <c r="Y345" i="42"/>
  <c r="AE403" i="42"/>
  <c r="AG485" i="42"/>
  <c r="AG103" i="42"/>
  <c r="AD418" i="42"/>
  <c r="AK221" i="42"/>
  <c r="Y188" i="39"/>
  <c r="Z186" i="39"/>
  <c r="Z187" i="39" s="1"/>
  <c r="Z189" i="39" s="1"/>
  <c r="AB33" i="39"/>
  <c r="AB34" i="39" s="1"/>
  <c r="AC33" i="39" s="1"/>
  <c r="AG366" i="39"/>
  <c r="AG365" i="39"/>
  <c r="Y354" i="39"/>
  <c r="Z332" i="39"/>
  <c r="AH437" i="39"/>
  <c r="AH439" i="39" s="1"/>
  <c r="AI430" i="39"/>
  <c r="AF510" i="39"/>
  <c r="AG463" i="39"/>
  <c r="AF464" i="39"/>
  <c r="AF465" i="39" s="1"/>
  <c r="AF116" i="39" s="1"/>
  <c r="AG221" i="39"/>
  <c r="X355" i="39"/>
  <c r="AG29" i="39"/>
  <c r="AF367" i="39"/>
  <c r="AF153" i="39"/>
  <c r="AG363" i="39"/>
  <c r="AB392" i="39"/>
  <c r="AA378" i="39"/>
  <c r="AG485" i="39"/>
  <c r="AG103" i="39"/>
  <c r="X345" i="39"/>
  <c r="AI236" i="39"/>
  <c r="AA261" i="39"/>
  <c r="AA243" i="39"/>
  <c r="AA30" i="39"/>
  <c r="C92" i="17"/>
  <c r="D92" i="17"/>
  <c r="E92" i="17"/>
  <c r="F92" i="17"/>
  <c r="G92" i="17"/>
  <c r="H92" i="17"/>
  <c r="I92" i="17"/>
  <c r="J92" i="17"/>
  <c r="K92" i="17"/>
  <c r="L92" i="17"/>
  <c r="B92" i="17"/>
  <c r="AP80" i="3" l="1"/>
  <c r="AP74" i="3"/>
  <c r="AQ71" i="3"/>
  <c r="AP77" i="3"/>
  <c r="AP81" i="3"/>
  <c r="AR72" i="3"/>
  <c r="AQ81" i="3"/>
  <c r="AQ75" i="3"/>
  <c r="AQ78" i="3" s="1"/>
  <c r="AQ73" i="3"/>
  <c r="AP82" i="3"/>
  <c r="AP76" i="3"/>
  <c r="AP79" i="3" s="1"/>
  <c r="AC76" i="39"/>
  <c r="AH153" i="42"/>
  <c r="AH367" i="42"/>
  <c r="AH370" i="42" s="1"/>
  <c r="AI365" i="42"/>
  <c r="AI366" i="42"/>
  <c r="AI363" i="42"/>
  <c r="AE373" i="39"/>
  <c r="AD377" i="39"/>
  <c r="AD338" i="39"/>
  <c r="AD81" i="39" s="1"/>
  <c r="AE372" i="39"/>
  <c r="AF370" i="39"/>
  <c r="AE374" i="39"/>
  <c r="AD446" i="39"/>
  <c r="AD76" i="39" s="1"/>
  <c r="AD403" i="39"/>
  <c r="AD418" i="39" s="1"/>
  <c r="AE76" i="42"/>
  <c r="AF446" i="42"/>
  <c r="AI510" i="42"/>
  <c r="AJ463" i="42"/>
  <c r="AI464" i="42"/>
  <c r="AI465" i="42" s="1"/>
  <c r="AI116" i="42" s="1"/>
  <c r="AA354" i="42"/>
  <c r="AB332" i="42"/>
  <c r="AJ236" i="42"/>
  <c r="AF377" i="42"/>
  <c r="AF338" i="42"/>
  <c r="AF81" i="42" s="1"/>
  <c r="Z355" i="42"/>
  <c r="Z356" i="42" s="1"/>
  <c r="AL221" i="42"/>
  <c r="AB261" i="42"/>
  <c r="AB243" i="42"/>
  <c r="AB30" i="42"/>
  <c r="AI437" i="42"/>
  <c r="AI439" i="42" s="1"/>
  <c r="AJ430" i="42"/>
  <c r="AH485" i="42"/>
  <c r="AH103" i="42"/>
  <c r="AF403" i="42"/>
  <c r="AE418" i="42"/>
  <c r="AC33" i="42"/>
  <c r="AG372" i="42"/>
  <c r="AG374" i="42"/>
  <c r="AG373" i="42"/>
  <c r="AE81" i="42"/>
  <c r="Z345" i="42"/>
  <c r="AK29" i="42"/>
  <c r="AC392" i="42"/>
  <c r="AB378" i="42"/>
  <c r="Z188" i="39"/>
  <c r="AA186" i="39"/>
  <c r="AA187" i="39" s="1"/>
  <c r="AA189" i="39" s="1"/>
  <c r="AB378" i="39"/>
  <c r="AC392" i="39"/>
  <c r="Y355" i="39"/>
  <c r="Y356" i="39" s="1"/>
  <c r="AJ236" i="39"/>
  <c r="X356" i="39"/>
  <c r="AI437" i="39"/>
  <c r="AI439" i="39" s="1"/>
  <c r="AJ430" i="39"/>
  <c r="Y345" i="39"/>
  <c r="AH29" i="39"/>
  <c r="AG367" i="39"/>
  <c r="AG153" i="39"/>
  <c r="AH363" i="39"/>
  <c r="AB243" i="39"/>
  <c r="AB261" i="39"/>
  <c r="AB30" i="39"/>
  <c r="AH221" i="39"/>
  <c r="AG510" i="39"/>
  <c r="AH463" i="39"/>
  <c r="AG464" i="39"/>
  <c r="AG465" i="39" s="1"/>
  <c r="AG116" i="39" s="1"/>
  <c r="AH485" i="39"/>
  <c r="AH103" i="39"/>
  <c r="AH365" i="39"/>
  <c r="AC34" i="39"/>
  <c r="AD33" i="39" s="1"/>
  <c r="Z354" i="39"/>
  <c r="AA332" i="39"/>
  <c r="AH366" i="39"/>
  <c r="C87" i="17"/>
  <c r="D87" i="17"/>
  <c r="E87" i="17"/>
  <c r="F87" i="17"/>
  <c r="G87" i="17"/>
  <c r="H87" i="17"/>
  <c r="I87" i="17"/>
  <c r="J87" i="17"/>
  <c r="K87" i="17"/>
  <c r="L87" i="17"/>
  <c r="B87" i="17"/>
  <c r="AR71" i="3" l="1"/>
  <c r="AQ80" i="3"/>
  <c r="AQ74" i="3"/>
  <c r="AQ77" i="3" s="1"/>
  <c r="AR73" i="3"/>
  <c r="AQ82" i="3"/>
  <c r="AQ76" i="3"/>
  <c r="AQ79" i="3"/>
  <c r="AS72" i="3"/>
  <c r="AR75" i="3"/>
  <c r="AR78" i="3" s="1"/>
  <c r="AR81" i="3"/>
  <c r="AJ366" i="42"/>
  <c r="AI367" i="42"/>
  <c r="AI370" i="42" s="1"/>
  <c r="AJ365" i="42"/>
  <c r="AJ363" i="42"/>
  <c r="AI153" i="42"/>
  <c r="AF373" i="39"/>
  <c r="AE338" i="39"/>
  <c r="AE81" i="39" s="1"/>
  <c r="AE377" i="39"/>
  <c r="AG370" i="39"/>
  <c r="AF372" i="39"/>
  <c r="AE446" i="39"/>
  <c r="AE76" i="39" s="1"/>
  <c r="AE403" i="39"/>
  <c r="AE418" i="39" s="1"/>
  <c r="AF374" i="39"/>
  <c r="AF403" i="39" s="1"/>
  <c r="AF76" i="42"/>
  <c r="AG446" i="42"/>
  <c r="AL29" i="42"/>
  <c r="AH373" i="42"/>
  <c r="AH374" i="42"/>
  <c r="AH372" i="42"/>
  <c r="AM221" i="42"/>
  <c r="AG403" i="42"/>
  <c r="AC34" i="42"/>
  <c r="AA355" i="42"/>
  <c r="AC378" i="42"/>
  <c r="AD392" i="42"/>
  <c r="AI485" i="42"/>
  <c r="AI103" i="42"/>
  <c r="AF418" i="42"/>
  <c r="AB187" i="42"/>
  <c r="AB186" i="42"/>
  <c r="AK236" i="42"/>
  <c r="AB354" i="42"/>
  <c r="AB345" i="42" s="1"/>
  <c r="AC332" i="42"/>
  <c r="AG377" i="42"/>
  <c r="AG338" i="42"/>
  <c r="AG81" i="42" s="1"/>
  <c r="AJ437" i="42"/>
  <c r="AJ439" i="42" s="1"/>
  <c r="AK430" i="42"/>
  <c r="AA345" i="42"/>
  <c r="AJ510" i="42"/>
  <c r="AK463" i="42"/>
  <c r="AJ464" i="42"/>
  <c r="AJ465" i="42" s="1"/>
  <c r="AJ116" i="42" s="1"/>
  <c r="AA188" i="39"/>
  <c r="AB186" i="39"/>
  <c r="AB187" i="39" s="1"/>
  <c r="AB189" i="39" s="1"/>
  <c r="AI366" i="39"/>
  <c r="AD34" i="39"/>
  <c r="AE33" i="39" s="1"/>
  <c r="AA354" i="39"/>
  <c r="AB332" i="39"/>
  <c r="AH510" i="39"/>
  <c r="AI463" i="39"/>
  <c r="AH464" i="39"/>
  <c r="AH465" i="39" s="1"/>
  <c r="AH116" i="39" s="1"/>
  <c r="AC378" i="39"/>
  <c r="AD392" i="39"/>
  <c r="Z355" i="39"/>
  <c r="Z356" i="39" s="1"/>
  <c r="AI365" i="39"/>
  <c r="AK236" i="39"/>
  <c r="Z345" i="39"/>
  <c r="AC261" i="39"/>
  <c r="AC243" i="39"/>
  <c r="AC30" i="39"/>
  <c r="AI221" i="39"/>
  <c r="AJ437" i="39"/>
  <c r="AJ439" i="39" s="1"/>
  <c r="AK430" i="39"/>
  <c r="AH367" i="39"/>
  <c r="AH153" i="39"/>
  <c r="AI363" i="39"/>
  <c r="AI29" i="39"/>
  <c r="AI485" i="39"/>
  <c r="AI103" i="39"/>
  <c r="B81" i="17"/>
  <c r="C81" i="17"/>
  <c r="D81" i="17"/>
  <c r="E81" i="17"/>
  <c r="F81" i="17"/>
  <c r="G81" i="17"/>
  <c r="H81" i="17"/>
  <c r="I81" i="17"/>
  <c r="J81" i="17"/>
  <c r="K81" i="17"/>
  <c r="L81" i="17"/>
  <c r="AT72" i="3" l="1"/>
  <c r="AS73" i="3"/>
  <c r="AR82" i="3"/>
  <c r="AR76" i="3"/>
  <c r="AR79" i="3" s="1"/>
  <c r="AS71" i="3"/>
  <c r="AS81" i="3" s="1"/>
  <c r="AR74" i="3"/>
  <c r="AR77" i="3" s="1"/>
  <c r="AR80" i="3"/>
  <c r="AG373" i="39"/>
  <c r="AK363" i="42"/>
  <c r="AK365" i="42"/>
  <c r="AJ367" i="42"/>
  <c r="AJ370" i="42" s="1"/>
  <c r="AJ153" i="42"/>
  <c r="AK366" i="42"/>
  <c r="AF338" i="39"/>
  <c r="AF81" i="39" s="1"/>
  <c r="AH370" i="39"/>
  <c r="AG372" i="39"/>
  <c r="AF377" i="39"/>
  <c r="AG374" i="39"/>
  <c r="AG403" i="39" s="1"/>
  <c r="AG418" i="39" s="1"/>
  <c r="AF446" i="39"/>
  <c r="AF76" i="39" s="1"/>
  <c r="AG76" i="42"/>
  <c r="AC261" i="42"/>
  <c r="AC243" i="42"/>
  <c r="AC30" i="42"/>
  <c r="AC187" i="42" s="1"/>
  <c r="AB355" i="42"/>
  <c r="AB356" i="42" s="1"/>
  <c r="AD33" i="42"/>
  <c r="AH403" i="42"/>
  <c r="AH418" i="42" s="1"/>
  <c r="AK437" i="42"/>
  <c r="AK439" i="42" s="1"/>
  <c r="AL430" i="42"/>
  <c r="AA356" i="42"/>
  <c r="AN221" i="42"/>
  <c r="AM29" i="42"/>
  <c r="AH338" i="42"/>
  <c r="AH377" i="42"/>
  <c r="AK510" i="42"/>
  <c r="AL463" i="42"/>
  <c r="AK464" i="42"/>
  <c r="AK465" i="42" s="1"/>
  <c r="AK116" i="42" s="1"/>
  <c r="AJ485" i="42"/>
  <c r="AJ103" i="42"/>
  <c r="AC354" i="42"/>
  <c r="AC345" i="42" s="1"/>
  <c r="AD332" i="42"/>
  <c r="AL236" i="42"/>
  <c r="AB189" i="42"/>
  <c r="AB188" i="42" s="1"/>
  <c r="AD378" i="42"/>
  <c r="AE392" i="42"/>
  <c r="AG418" i="42"/>
  <c r="AH446" i="42"/>
  <c r="AI373" i="42"/>
  <c r="AI372" i="42"/>
  <c r="AI374" i="42"/>
  <c r="AB188" i="39"/>
  <c r="AC186" i="39"/>
  <c r="AC187" i="39" s="1"/>
  <c r="AC189" i="39" s="1"/>
  <c r="AA355" i="39"/>
  <c r="AA356" i="39" s="1"/>
  <c r="AF418" i="39"/>
  <c r="AI367" i="39"/>
  <c r="AI153" i="39"/>
  <c r="AJ363" i="39"/>
  <c r="AK437" i="39"/>
  <c r="AK439" i="39" s="1"/>
  <c r="AL430" i="39"/>
  <c r="AJ366" i="39"/>
  <c r="AE392" i="39"/>
  <c r="AD378" i="39"/>
  <c r="AA345" i="39"/>
  <c r="AJ29" i="39"/>
  <c r="AJ485" i="39"/>
  <c r="AJ103" i="39"/>
  <c r="AJ221" i="39"/>
  <c r="AE34" i="39"/>
  <c r="AF33" i="39" s="1"/>
  <c r="AL236" i="39"/>
  <c r="AJ365" i="39"/>
  <c r="AI510" i="39"/>
  <c r="AJ463" i="39"/>
  <c r="AI464" i="39"/>
  <c r="AI465" i="39" s="1"/>
  <c r="AI116" i="39" s="1"/>
  <c r="AB354" i="39"/>
  <c r="AC332" i="39"/>
  <c r="AD243" i="39"/>
  <c r="AD261" i="39"/>
  <c r="AD30" i="39"/>
  <c r="B56" i="3"/>
  <c r="W64" i="3"/>
  <c r="V64" i="3"/>
  <c r="AS75" i="3" l="1"/>
  <c r="AS78" i="3" s="1"/>
  <c r="AT71" i="3"/>
  <c r="AS80" i="3"/>
  <c r="AS74" i="3"/>
  <c r="AS77" i="3" s="1"/>
  <c r="AT73" i="3"/>
  <c r="AS82" i="3"/>
  <c r="AS76" i="3"/>
  <c r="AS79" i="3"/>
  <c r="AU72" i="3"/>
  <c r="AT81" i="3"/>
  <c r="AT75" i="3"/>
  <c r="AT78" i="3"/>
  <c r="AH373" i="39"/>
  <c r="AK153" i="42"/>
  <c r="AI370" i="39"/>
  <c r="AL366" i="42"/>
  <c r="AL363" i="42"/>
  <c r="AL365" i="42"/>
  <c r="AK367" i="42"/>
  <c r="AK370" i="42" s="1"/>
  <c r="AH372" i="39"/>
  <c r="AG377" i="39"/>
  <c r="AG338" i="39"/>
  <c r="AG81" i="39" s="1"/>
  <c r="AH374" i="39"/>
  <c r="AG446" i="39"/>
  <c r="AG76" i="39" s="1"/>
  <c r="AC186" i="42"/>
  <c r="AI403" i="42"/>
  <c r="AJ372" i="42"/>
  <c r="AJ373" i="42"/>
  <c r="AJ374" i="42"/>
  <c r="AC189" i="42"/>
  <c r="AC188" i="42" s="1"/>
  <c r="AO221" i="42"/>
  <c r="AL437" i="42"/>
  <c r="AL439" i="42" s="1"/>
  <c r="AM430" i="42"/>
  <c r="AI377" i="42"/>
  <c r="AI338" i="42"/>
  <c r="AM236" i="42"/>
  <c r="AC355" i="42"/>
  <c r="AC356" i="42" s="1"/>
  <c r="AL510" i="42"/>
  <c r="AM463" i="42"/>
  <c r="AL464" i="42"/>
  <c r="AL465" i="42" s="1"/>
  <c r="AL116" i="42" s="1"/>
  <c r="AH81" i="42"/>
  <c r="AN29" i="42"/>
  <c r="AH76" i="42"/>
  <c r="AK485" i="42"/>
  <c r="AK103" i="42"/>
  <c r="AI446" i="42"/>
  <c r="AF392" i="42"/>
  <c r="AE378" i="42"/>
  <c r="AD354" i="42"/>
  <c r="AE332" i="42"/>
  <c r="AD34" i="42"/>
  <c r="AE33" i="42" s="1"/>
  <c r="AC188" i="39"/>
  <c r="AD186" i="39"/>
  <c r="AD187" i="39" s="1"/>
  <c r="AD189" i="39" s="1"/>
  <c r="AK365" i="39"/>
  <c r="AF34" i="39"/>
  <c r="AK221" i="39"/>
  <c r="AB355" i="39"/>
  <c r="AB356" i="39" s="1"/>
  <c r="AM236" i="39"/>
  <c r="AK485" i="39"/>
  <c r="AK103" i="39"/>
  <c r="AC354" i="39"/>
  <c r="AC345" i="39" s="1"/>
  <c r="AD332" i="39"/>
  <c r="AE243" i="39"/>
  <c r="AE261" i="39"/>
  <c r="AE30" i="39"/>
  <c r="AF392" i="39"/>
  <c r="AE378" i="39"/>
  <c r="AB345" i="39"/>
  <c r="AJ510" i="39"/>
  <c r="AK463" i="39"/>
  <c r="AJ464" i="39"/>
  <c r="AJ465" i="39" s="1"/>
  <c r="AJ116" i="39" s="1"/>
  <c r="AK29" i="39"/>
  <c r="AK366" i="39"/>
  <c r="AL437" i="39"/>
  <c r="AL439" i="39" s="1"/>
  <c r="AM430" i="39"/>
  <c r="AJ367" i="39"/>
  <c r="AJ153" i="39"/>
  <c r="AK363" i="39"/>
  <c r="P66" i="3"/>
  <c r="O66" i="3"/>
  <c r="I68" i="3"/>
  <c r="H68" i="3"/>
  <c r="AV72" i="3" l="1"/>
  <c r="AU73" i="3"/>
  <c r="AT76" i="3"/>
  <c r="AT79" i="3" s="1"/>
  <c r="AT82" i="3"/>
  <c r="AU71" i="3"/>
  <c r="AU81" i="3" s="1"/>
  <c r="AT74" i="3"/>
  <c r="AT77" i="3" s="1"/>
  <c r="AT80" i="3"/>
  <c r="AI373" i="39"/>
  <c r="AJ370" i="39"/>
  <c r="AI374" i="39"/>
  <c r="AI403" i="39" s="1"/>
  <c r="AI418" i="39" s="1"/>
  <c r="AL367" i="42"/>
  <c r="AL370" i="42" s="1"/>
  <c r="AH377" i="39"/>
  <c r="AM365" i="42"/>
  <c r="AH338" i="39"/>
  <c r="AH81" i="39" s="1"/>
  <c r="AI372" i="39"/>
  <c r="AL153" i="42"/>
  <c r="AM366" i="42"/>
  <c r="AM363" i="42"/>
  <c r="AH403" i="39"/>
  <c r="AH418" i="39" s="1"/>
  <c r="AH446" i="39"/>
  <c r="AH76" i="39" s="1"/>
  <c r="AI76" i="42"/>
  <c r="AE34" i="42"/>
  <c r="AD355" i="42"/>
  <c r="AD356" i="42" s="1"/>
  <c r="AL485" i="42"/>
  <c r="AL103" i="42"/>
  <c r="AJ403" i="42"/>
  <c r="AD345" i="42"/>
  <c r="AO29" i="42"/>
  <c r="AM510" i="42"/>
  <c r="AN463" i="42"/>
  <c r="AM464" i="42"/>
  <c r="AM465" i="42" s="1"/>
  <c r="AM116" i="42" s="1"/>
  <c r="AI418" i="42"/>
  <c r="AG392" i="42"/>
  <c r="AF378" i="42"/>
  <c r="AN236" i="42"/>
  <c r="AJ377" i="42"/>
  <c r="AJ338" i="42"/>
  <c r="AD261" i="42"/>
  <c r="AD243" i="42"/>
  <c r="AD30" i="42"/>
  <c r="AE354" i="42"/>
  <c r="AE345" i="42" s="1"/>
  <c r="AF332" i="42"/>
  <c r="AI81" i="42"/>
  <c r="AM437" i="42"/>
  <c r="AM439" i="42" s="1"/>
  <c r="AN430" i="42"/>
  <c r="AP221" i="42"/>
  <c r="AJ446" i="42"/>
  <c r="AK374" i="42"/>
  <c r="AK372" i="42"/>
  <c r="AK373" i="42"/>
  <c r="AD188" i="39"/>
  <c r="AE186" i="39"/>
  <c r="AE187" i="39" s="1"/>
  <c r="AE189" i="39" s="1"/>
  <c r="AL366" i="39"/>
  <c r="AL29" i="39"/>
  <c r="AN236" i="39"/>
  <c r="AF261" i="39"/>
  <c r="AF243" i="39"/>
  <c r="AF30" i="39"/>
  <c r="AK367" i="39"/>
  <c r="AK153" i="39"/>
  <c r="AL363" i="39"/>
  <c r="AM437" i="39"/>
  <c r="AM439" i="39" s="1"/>
  <c r="AN430" i="39"/>
  <c r="AK510" i="39"/>
  <c r="AL463" i="39"/>
  <c r="AK464" i="39"/>
  <c r="AK465" i="39" s="1"/>
  <c r="AK116" i="39" s="1"/>
  <c r="AF378" i="39"/>
  <c r="AG392" i="39"/>
  <c r="AG33" i="39"/>
  <c r="AL485" i="39"/>
  <c r="AL103" i="39"/>
  <c r="AL365" i="39"/>
  <c r="AD354" i="39"/>
  <c r="AD345" i="39" s="1"/>
  <c r="AE332" i="39"/>
  <c r="AL221" i="39"/>
  <c r="AC355" i="39"/>
  <c r="AC356" i="39" s="1"/>
  <c r="C65" i="3"/>
  <c r="B65" i="3"/>
  <c r="AU75" i="3" l="1"/>
  <c r="AU78" i="3" s="1"/>
  <c r="AV71" i="3"/>
  <c r="AU80" i="3"/>
  <c r="AU74" i="3"/>
  <c r="AU77" i="3" s="1"/>
  <c r="AV73" i="3"/>
  <c r="AU82" i="3"/>
  <c r="AU76" i="3"/>
  <c r="AU79" i="3"/>
  <c r="AW72" i="3"/>
  <c r="AV75" i="3"/>
  <c r="AV78" i="3"/>
  <c r="AV81" i="3"/>
  <c r="AJ373" i="39"/>
  <c r="AJ374" i="39"/>
  <c r="AJ403" i="39" s="1"/>
  <c r="AK370" i="39"/>
  <c r="AI338" i="39"/>
  <c r="AI81" i="39" s="1"/>
  <c r="AJ372" i="39"/>
  <c r="AI377" i="39"/>
  <c r="AI446" i="39"/>
  <c r="AM153" i="42"/>
  <c r="AM367" i="42"/>
  <c r="AM370" i="42" s="1"/>
  <c r="AN363" i="42"/>
  <c r="AN366" i="42"/>
  <c r="AN365" i="42"/>
  <c r="AJ76" i="42"/>
  <c r="AK446" i="42"/>
  <c r="AQ221" i="42"/>
  <c r="AD187" i="42"/>
  <c r="AD186" i="42"/>
  <c r="AG378" i="42"/>
  <c r="AH392" i="42"/>
  <c r="AE243" i="42"/>
  <c r="AE261" i="42"/>
  <c r="AE30" i="42"/>
  <c r="AK403" i="42"/>
  <c r="AK418" i="42" s="1"/>
  <c r="AF354" i="42"/>
  <c r="AF345" i="42" s="1"/>
  <c r="AG332" i="42"/>
  <c r="AF33" i="42"/>
  <c r="AL374" i="42"/>
  <c r="AL372" i="42"/>
  <c r="AL373" i="42"/>
  <c r="AN437" i="42"/>
  <c r="AN439" i="42" s="1"/>
  <c r="AO430" i="42"/>
  <c r="AJ81" i="42"/>
  <c r="AP29" i="42"/>
  <c r="AK338" i="42"/>
  <c r="AK377" i="42"/>
  <c r="AM485" i="42"/>
  <c r="AM103" i="42"/>
  <c r="AE355" i="42"/>
  <c r="AE356" i="42" s="1"/>
  <c r="AO236" i="42"/>
  <c r="AN510" i="42"/>
  <c r="AO463" i="42"/>
  <c r="AN464" i="42"/>
  <c r="AN465" i="42" s="1"/>
  <c r="AN116" i="42" s="1"/>
  <c r="AJ418" i="42"/>
  <c r="AE188" i="39"/>
  <c r="AF186" i="39"/>
  <c r="AF187" i="39" s="1"/>
  <c r="AF189" i="39" s="1"/>
  <c r="AO236" i="39"/>
  <c r="AM29" i="39"/>
  <c r="AM365" i="39"/>
  <c r="AM221" i="39"/>
  <c r="AL367" i="39"/>
  <c r="AL153" i="39"/>
  <c r="AM363" i="39"/>
  <c r="AE354" i="39"/>
  <c r="AF332" i="39"/>
  <c r="AM366" i="39"/>
  <c r="AL510" i="39"/>
  <c r="AM463" i="39"/>
  <c r="AL464" i="39"/>
  <c r="AL465" i="39" s="1"/>
  <c r="AL116" i="39" s="1"/>
  <c r="AN437" i="39"/>
  <c r="AN439" i="39" s="1"/>
  <c r="AO430" i="39"/>
  <c r="AD355" i="39"/>
  <c r="AG34" i="39"/>
  <c r="AH33" i="39" s="1"/>
  <c r="AG378" i="39"/>
  <c r="AH392" i="39"/>
  <c r="AM485" i="39"/>
  <c r="AM103" i="39"/>
  <c r="D37" i="19"/>
  <c r="E37" i="19"/>
  <c r="F37" i="19"/>
  <c r="G37" i="19"/>
  <c r="C37" i="19"/>
  <c r="AX72" i="3" l="1"/>
  <c r="AW73" i="3"/>
  <c r="AV82" i="3"/>
  <c r="AV76" i="3"/>
  <c r="AV79" i="3" s="1"/>
  <c r="AW71" i="3"/>
  <c r="AW75" i="3" s="1"/>
  <c r="AW78" i="3" s="1"/>
  <c r="AV74" i="3"/>
  <c r="AV80" i="3"/>
  <c r="AV77" i="3"/>
  <c r="AK373" i="39"/>
  <c r="AK374" i="39"/>
  <c r="AK403" i="39" s="1"/>
  <c r="AL370" i="39"/>
  <c r="AK372" i="39"/>
  <c r="AJ338" i="39"/>
  <c r="AJ81" i="39" s="1"/>
  <c r="AJ377" i="39"/>
  <c r="AJ446" i="39"/>
  <c r="AI76" i="39"/>
  <c r="AO365" i="42"/>
  <c r="AO363" i="42"/>
  <c r="AO366" i="42"/>
  <c r="AN153" i="42"/>
  <c r="AN367" i="42"/>
  <c r="AN370" i="42" s="1"/>
  <c r="AK76" i="42"/>
  <c r="AL446" i="42"/>
  <c r="AO437" i="42"/>
  <c r="AO439" i="42" s="1"/>
  <c r="AP430" i="42"/>
  <c r="AL403" i="42"/>
  <c r="AF34" i="42"/>
  <c r="AH378" i="42"/>
  <c r="AI392" i="42"/>
  <c r="AE187" i="42"/>
  <c r="AD189" i="42"/>
  <c r="AD188" i="42" s="1"/>
  <c r="AP236" i="42"/>
  <c r="AK81" i="42"/>
  <c r="AN485" i="42"/>
  <c r="AN103" i="42"/>
  <c r="AF355" i="42"/>
  <c r="AF356" i="42" s="1"/>
  <c r="AM373" i="42"/>
  <c r="AM374" i="42"/>
  <c r="AM372" i="42"/>
  <c r="AR221" i="42"/>
  <c r="AO510" i="42"/>
  <c r="AP463" i="42"/>
  <c r="AO464" i="42"/>
  <c r="AO465" i="42" s="1"/>
  <c r="AO116" i="42" s="1"/>
  <c r="AQ29" i="42"/>
  <c r="AL338" i="42"/>
  <c r="AL377" i="42"/>
  <c r="AG354" i="42"/>
  <c r="AH332" i="42"/>
  <c r="AE186" i="42"/>
  <c r="AF188" i="39"/>
  <c r="AN366" i="39"/>
  <c r="AN29" i="39"/>
  <c r="AG261" i="39"/>
  <c r="AG243" i="39"/>
  <c r="AG30" i="39"/>
  <c r="AD356" i="39"/>
  <c r="AO437" i="39"/>
  <c r="AO439" i="39" s="1"/>
  <c r="AP430" i="39"/>
  <c r="AE355" i="39"/>
  <c r="AE356" i="39" s="1"/>
  <c r="AM367" i="39"/>
  <c r="AM153" i="39"/>
  <c r="AN363" i="39"/>
  <c r="AJ418" i="39"/>
  <c r="AP236" i="39"/>
  <c r="AI392" i="39"/>
  <c r="AH378" i="39"/>
  <c r="AF354" i="39"/>
  <c r="AG332" i="39"/>
  <c r="AN221" i="39"/>
  <c r="AN485" i="39"/>
  <c r="AN103" i="39"/>
  <c r="AM510" i="39"/>
  <c r="AN463" i="39"/>
  <c r="AM464" i="39"/>
  <c r="AM465" i="39" s="1"/>
  <c r="AM116" i="39" s="1"/>
  <c r="AE345" i="39"/>
  <c r="AN365" i="39"/>
  <c r="AH34" i="39"/>
  <c r="AI33" i="39" s="1"/>
  <c r="AW81" i="3" l="1"/>
  <c r="AX71" i="3"/>
  <c r="AX81" i="3" s="1"/>
  <c r="AW74" i="3"/>
  <c r="AW77" i="3" s="1"/>
  <c r="AW80" i="3"/>
  <c r="AX73" i="3"/>
  <c r="AW82" i="3"/>
  <c r="AW76" i="3"/>
  <c r="AW79" i="3" s="1"/>
  <c r="AY72" i="3"/>
  <c r="AX75" i="3"/>
  <c r="AX78" i="3" s="1"/>
  <c r="AL373" i="39"/>
  <c r="AK338" i="39"/>
  <c r="AK81" i="39" s="1"/>
  <c r="AK377" i="39"/>
  <c r="AL372" i="39"/>
  <c r="AM370" i="39"/>
  <c r="AM373" i="39" s="1"/>
  <c r="AL374" i="39"/>
  <c r="AL403" i="39" s="1"/>
  <c r="AL418" i="39" s="1"/>
  <c r="AJ76" i="39"/>
  <c r="AK446" i="39"/>
  <c r="AO153" i="42"/>
  <c r="AO367" i="42"/>
  <c r="AO370" i="42" s="1"/>
  <c r="AP363" i="42"/>
  <c r="AP366" i="42"/>
  <c r="AP365" i="42"/>
  <c r="AL76" i="42"/>
  <c r="AR29" i="42"/>
  <c r="AM377" i="42"/>
  <c r="AM338" i="42"/>
  <c r="AM81" i="42" s="1"/>
  <c r="AN374" i="42"/>
  <c r="AN373" i="42"/>
  <c r="AN372" i="42"/>
  <c r="AE189" i="42"/>
  <c r="AE188" i="42" s="1"/>
  <c r="AF261" i="42"/>
  <c r="AF243" i="42"/>
  <c r="AF30" i="42"/>
  <c r="AF187" i="42" s="1"/>
  <c r="AO485" i="42"/>
  <c r="AO103" i="42"/>
  <c r="AH354" i="42"/>
  <c r="AH345" i="42" s="1"/>
  <c r="AI332" i="42"/>
  <c r="AL81" i="42"/>
  <c r="AM403" i="42"/>
  <c r="AQ236" i="42"/>
  <c r="AJ392" i="42"/>
  <c r="AI378" i="42"/>
  <c r="AG355" i="42"/>
  <c r="AG356" i="42" s="1"/>
  <c r="AS221" i="42"/>
  <c r="AM446" i="42"/>
  <c r="AL418" i="42"/>
  <c r="AG345" i="42"/>
  <c r="AP510" i="42"/>
  <c r="AQ463" i="42"/>
  <c r="AP464" i="42"/>
  <c r="AP465" i="42" s="1"/>
  <c r="AP116" i="42" s="1"/>
  <c r="AG33" i="42"/>
  <c r="AP437" i="42"/>
  <c r="AP439" i="42" s="1"/>
  <c r="AQ430" i="42"/>
  <c r="AG186" i="39"/>
  <c r="AG187" i="39" s="1"/>
  <c r="AG189" i="39" s="1"/>
  <c r="AO365" i="39"/>
  <c r="AH261" i="39"/>
  <c r="AH243" i="39"/>
  <c r="AH30" i="39"/>
  <c r="AN510" i="39"/>
  <c r="AO463" i="39"/>
  <c r="AN464" i="39"/>
  <c r="AN465" i="39" s="1"/>
  <c r="AN116" i="39" s="1"/>
  <c r="AO221" i="39"/>
  <c r="AG354" i="39"/>
  <c r="AH332" i="39"/>
  <c r="AO485" i="39"/>
  <c r="AO103" i="39"/>
  <c r="AI34" i="39"/>
  <c r="AJ33" i="39" s="1"/>
  <c r="AQ236" i="39"/>
  <c r="AK418" i="39"/>
  <c r="AF355" i="39"/>
  <c r="AF356" i="39" s="1"/>
  <c r="AO29" i="39"/>
  <c r="AN367" i="39"/>
  <c r="AN153" i="39"/>
  <c r="AO363" i="39"/>
  <c r="AP437" i="39"/>
  <c r="AP439" i="39" s="1"/>
  <c r="AQ430" i="39"/>
  <c r="AO366" i="39"/>
  <c r="AF345" i="39"/>
  <c r="AJ392" i="39"/>
  <c r="AI378" i="39"/>
  <c r="O102" i="19"/>
  <c r="O98" i="19"/>
  <c r="O99" i="19"/>
  <c r="O100" i="19"/>
  <c r="O101" i="19"/>
  <c r="O97" i="19"/>
  <c r="D97" i="19"/>
  <c r="E97" i="19"/>
  <c r="F97" i="19"/>
  <c r="G97" i="19"/>
  <c r="G102" i="19" s="1"/>
  <c r="H97" i="19"/>
  <c r="I97" i="19"/>
  <c r="J97" i="19"/>
  <c r="K97" i="19"/>
  <c r="K102" i="19" s="1"/>
  <c r="L97" i="19"/>
  <c r="M97" i="19"/>
  <c r="D98" i="19"/>
  <c r="E98" i="19"/>
  <c r="F98" i="19"/>
  <c r="G98" i="19"/>
  <c r="H98" i="19"/>
  <c r="I98" i="19"/>
  <c r="J98" i="19"/>
  <c r="K98" i="19"/>
  <c r="L98" i="19"/>
  <c r="M98" i="19"/>
  <c r="D99" i="19"/>
  <c r="E99" i="19"/>
  <c r="F99" i="19"/>
  <c r="G99" i="19"/>
  <c r="H99" i="19"/>
  <c r="I99" i="19"/>
  <c r="J99" i="19"/>
  <c r="K99" i="19"/>
  <c r="L99" i="19"/>
  <c r="M99" i="19"/>
  <c r="D100" i="19"/>
  <c r="E100" i="19"/>
  <c r="F100" i="19"/>
  <c r="G100" i="19"/>
  <c r="H100" i="19"/>
  <c r="I100" i="19"/>
  <c r="J100" i="19"/>
  <c r="K100" i="19"/>
  <c r="L100" i="19"/>
  <c r="M100" i="19"/>
  <c r="D101" i="19"/>
  <c r="E101" i="19"/>
  <c r="F101" i="19"/>
  <c r="G101" i="19"/>
  <c r="H101" i="19"/>
  <c r="I101" i="19"/>
  <c r="J101" i="19"/>
  <c r="K101" i="19"/>
  <c r="L101" i="19"/>
  <c r="M101" i="19"/>
  <c r="D102" i="19"/>
  <c r="E102" i="19"/>
  <c r="F102" i="19"/>
  <c r="H102" i="19"/>
  <c r="I102" i="19"/>
  <c r="J102" i="19"/>
  <c r="L102" i="19"/>
  <c r="M102" i="19"/>
  <c r="C102" i="19"/>
  <c r="C98" i="19"/>
  <c r="C99" i="19"/>
  <c r="C100" i="19"/>
  <c r="C101" i="19"/>
  <c r="C97" i="19"/>
  <c r="AZ72" i="3" l="1"/>
  <c r="AY73" i="3"/>
  <c r="AX82" i="3"/>
  <c r="AX76" i="3"/>
  <c r="AX79" i="3" s="1"/>
  <c r="AY71" i="3"/>
  <c r="AY81" i="3" s="1"/>
  <c r="AX80" i="3"/>
  <c r="AX74" i="3"/>
  <c r="AX77" i="3" s="1"/>
  <c r="AN370" i="39"/>
  <c r="AN373" i="39" s="1"/>
  <c r="AL377" i="39"/>
  <c r="AL338" i="39"/>
  <c r="AL81" i="39" s="1"/>
  <c r="AM372" i="39"/>
  <c r="AM374" i="39"/>
  <c r="AL446" i="39"/>
  <c r="AK76" i="39"/>
  <c r="AQ365" i="42"/>
  <c r="AP367" i="42"/>
  <c r="AP370" i="42" s="1"/>
  <c r="AQ363" i="42"/>
  <c r="AP153" i="42"/>
  <c r="AQ366" i="42"/>
  <c r="AM76" i="42"/>
  <c r="AF186" i="42"/>
  <c r="AF189" i="42"/>
  <c r="AF188" i="42" s="1"/>
  <c r="AT221" i="42"/>
  <c r="AN338" i="42"/>
  <c r="AN81" i="42" s="1"/>
  <c r="AN377" i="42"/>
  <c r="AO374" i="42"/>
  <c r="AO372" i="42"/>
  <c r="AO373" i="42"/>
  <c r="AS29" i="42"/>
  <c r="AQ437" i="42"/>
  <c r="AQ439" i="42" s="1"/>
  <c r="AR430" i="42"/>
  <c r="AQ510" i="42"/>
  <c r="AR463" i="42"/>
  <c r="AQ464" i="42"/>
  <c r="AQ465" i="42" s="1"/>
  <c r="AQ116" i="42" s="1"/>
  <c r="AK392" i="42"/>
  <c r="AJ378" i="42"/>
  <c r="AI354" i="42"/>
  <c r="AI345" i="42" s="1"/>
  <c r="AJ332" i="42"/>
  <c r="AN446" i="42"/>
  <c r="AP485" i="42"/>
  <c r="AP103" i="42"/>
  <c r="AR236" i="42"/>
  <c r="AM418" i="42"/>
  <c r="AG34" i="42"/>
  <c r="AH33" i="42" s="1"/>
  <c r="AH355" i="42"/>
  <c r="AH356" i="42" s="1"/>
  <c r="AN403" i="42"/>
  <c r="AN418" i="42" s="1"/>
  <c r="AG188" i="39"/>
  <c r="AH186" i="39"/>
  <c r="AH187" i="39" s="1"/>
  <c r="AH189" i="39" s="1"/>
  <c r="AP366" i="39"/>
  <c r="AJ378" i="39"/>
  <c r="AK392" i="39"/>
  <c r="AP485" i="39"/>
  <c r="AP103" i="39"/>
  <c r="AO367" i="39"/>
  <c r="AO153" i="39"/>
  <c r="AP363" i="39"/>
  <c r="AH354" i="39"/>
  <c r="AI332" i="39"/>
  <c r="AP221" i="39"/>
  <c r="AR236" i="39"/>
  <c r="AJ34" i="39"/>
  <c r="AG355" i="39"/>
  <c r="AG356" i="39" s="1"/>
  <c r="AO510" i="39"/>
  <c r="AP463" i="39"/>
  <c r="AO464" i="39"/>
  <c r="AO465" i="39" s="1"/>
  <c r="AO116" i="39" s="1"/>
  <c r="AQ437" i="39"/>
  <c r="AQ439" i="39" s="1"/>
  <c r="AR430" i="39"/>
  <c r="AP29" i="39"/>
  <c r="AI261" i="39"/>
  <c r="AI243" i="39"/>
  <c r="AI30" i="39"/>
  <c r="AG345" i="39"/>
  <c r="AP365" i="39"/>
  <c r="D95" i="19"/>
  <c r="E95" i="19"/>
  <c r="F95" i="19"/>
  <c r="G95" i="19"/>
  <c r="H95" i="19"/>
  <c r="I95" i="19"/>
  <c r="J95" i="19"/>
  <c r="K95" i="19"/>
  <c r="L95" i="19"/>
  <c r="M95" i="19"/>
  <c r="C95" i="19"/>
  <c r="D33" i="19"/>
  <c r="E33" i="19"/>
  <c r="F33" i="19"/>
  <c r="G33" i="19"/>
  <c r="C33" i="19"/>
  <c r="AY75" i="3" l="1"/>
  <c r="AY78" i="3" s="1"/>
  <c r="AZ71" i="3"/>
  <c r="AZ75" i="3" s="1"/>
  <c r="AZ78" i="3" s="1"/>
  <c r="AY80" i="3"/>
  <c r="AY74" i="3"/>
  <c r="AY77" i="3" s="1"/>
  <c r="AZ73" i="3"/>
  <c r="AY82" i="3"/>
  <c r="AY76" i="3"/>
  <c r="AY79" i="3" s="1"/>
  <c r="BA72" i="3"/>
  <c r="AZ81" i="3"/>
  <c r="AN372" i="39"/>
  <c r="AO370" i="39"/>
  <c r="AO373" i="39" s="1"/>
  <c r="AN374" i="39"/>
  <c r="AN403" i="39" s="1"/>
  <c r="AM403" i="39"/>
  <c r="AM418" i="39" s="1"/>
  <c r="AM338" i="39"/>
  <c r="AM81" i="39" s="1"/>
  <c r="AM377" i="39"/>
  <c r="AL76" i="39"/>
  <c r="AM446" i="39"/>
  <c r="AQ153" i="42"/>
  <c r="AR366" i="42"/>
  <c r="AR363" i="42"/>
  <c r="AR365" i="42"/>
  <c r="AQ367" i="42"/>
  <c r="AQ370" i="42" s="1"/>
  <c r="AS236" i="42"/>
  <c r="AR510" i="42"/>
  <c r="AS463" i="42"/>
  <c r="AR464" i="42"/>
  <c r="AR465" i="42" s="1"/>
  <c r="AR116" i="42" s="1"/>
  <c r="AO446" i="42"/>
  <c r="AP372" i="42"/>
  <c r="AP373" i="42"/>
  <c r="AP374" i="42"/>
  <c r="AJ354" i="42"/>
  <c r="AK332" i="42"/>
  <c r="AK378" i="42"/>
  <c r="AL392" i="42"/>
  <c r="AR437" i="42"/>
  <c r="AR439" i="42" s="1"/>
  <c r="AS430" i="42"/>
  <c r="AU221" i="42"/>
  <c r="AH34" i="42"/>
  <c r="AQ485" i="42"/>
  <c r="AQ103" i="42"/>
  <c r="AT29" i="42"/>
  <c r="AO338" i="42"/>
  <c r="AO81" i="42" s="1"/>
  <c r="AO377" i="42"/>
  <c r="AG243" i="42"/>
  <c r="AG261" i="42"/>
  <c r="AG30" i="42"/>
  <c r="AN76" i="42"/>
  <c r="AI355" i="42"/>
  <c r="AI356" i="42" s="1"/>
  <c r="AO403" i="42"/>
  <c r="AO418" i="42" s="1"/>
  <c r="AH188" i="39"/>
  <c r="AI186" i="39"/>
  <c r="AI187" i="39" s="1"/>
  <c r="AI189" i="39" s="1"/>
  <c r="AQ365" i="39"/>
  <c r="AR437" i="39"/>
  <c r="AR439" i="39" s="1"/>
  <c r="AS430" i="39"/>
  <c r="AJ243" i="39"/>
  <c r="AJ261" i="39"/>
  <c r="AJ30" i="39"/>
  <c r="AS236" i="39"/>
  <c r="AP367" i="39"/>
  <c r="AP153" i="39"/>
  <c r="AQ363" i="39"/>
  <c r="AQ221" i="39"/>
  <c r="AQ29" i="39"/>
  <c r="AQ485" i="39"/>
  <c r="AQ103" i="39"/>
  <c r="AK33" i="39"/>
  <c r="AQ366" i="39"/>
  <c r="AI354" i="39"/>
  <c r="AJ332" i="39"/>
  <c r="AH355" i="39"/>
  <c r="AH356" i="39" s="1"/>
  <c r="AP510" i="39"/>
  <c r="AQ463" i="39"/>
  <c r="AP464" i="39"/>
  <c r="AP465" i="39" s="1"/>
  <c r="AP116" i="39" s="1"/>
  <c r="AH345" i="39"/>
  <c r="AK378" i="39"/>
  <c r="AL392" i="39"/>
  <c r="BB72" i="3" l="1"/>
  <c r="BA73" i="3"/>
  <c r="AZ76" i="3"/>
  <c r="AZ79" i="3"/>
  <c r="AZ82" i="3"/>
  <c r="BA71" i="3"/>
  <c r="AZ74" i="3"/>
  <c r="AZ77" i="3"/>
  <c r="AZ80" i="3"/>
  <c r="AO374" i="39"/>
  <c r="AO403" i="39" s="1"/>
  <c r="AP370" i="39"/>
  <c r="AP373" i="39" s="1"/>
  <c r="AO372" i="39"/>
  <c r="AN377" i="39"/>
  <c r="AN338" i="39"/>
  <c r="AN81" i="39" s="1"/>
  <c r="AM76" i="39"/>
  <c r="AN446" i="39"/>
  <c r="AS365" i="42"/>
  <c r="AS363" i="42"/>
  <c r="AR153" i="42"/>
  <c r="AR367" i="42"/>
  <c r="AR370" i="42" s="1"/>
  <c r="AS366" i="42"/>
  <c r="AO76" i="42"/>
  <c r="AP446" i="42"/>
  <c r="AH261" i="42"/>
  <c r="AH243" i="42"/>
  <c r="AH30" i="42"/>
  <c r="AV221" i="42"/>
  <c r="AJ355" i="42"/>
  <c r="AJ356" i="42" s="1"/>
  <c r="AG186" i="42"/>
  <c r="AG187" i="42"/>
  <c r="AS437" i="42"/>
  <c r="AS439" i="42" s="1"/>
  <c r="AT430" i="42"/>
  <c r="AL378" i="42"/>
  <c r="AM392" i="42"/>
  <c r="AJ345" i="42"/>
  <c r="AP377" i="42"/>
  <c r="AP338" i="42"/>
  <c r="AP81" i="42" s="1"/>
  <c r="AU29" i="42"/>
  <c r="AR485" i="42"/>
  <c r="AR103" i="42"/>
  <c r="AS510" i="42"/>
  <c r="AT463" i="42"/>
  <c r="AS464" i="42"/>
  <c r="AS465" i="42" s="1"/>
  <c r="AS116" i="42" s="1"/>
  <c r="AT236" i="42"/>
  <c r="AI33" i="42"/>
  <c r="AK354" i="42"/>
  <c r="AK345" i="42" s="1"/>
  <c r="AL332" i="42"/>
  <c r="AP403" i="42"/>
  <c r="AP418" i="42" s="1"/>
  <c r="AQ374" i="42"/>
  <c r="AQ373" i="42"/>
  <c r="AQ372" i="42"/>
  <c r="AI188" i="39"/>
  <c r="AJ186" i="39"/>
  <c r="AJ187" i="39" s="1"/>
  <c r="AJ189" i="39" s="1"/>
  <c r="AR365" i="39"/>
  <c r="AR366" i="39"/>
  <c r="AR29" i="39"/>
  <c r="AR221" i="39"/>
  <c r="AR485" i="39"/>
  <c r="AR103" i="39"/>
  <c r="AM392" i="39"/>
  <c r="AL378" i="39"/>
  <c r="AI355" i="39"/>
  <c r="AI356" i="39" s="1"/>
  <c r="AJ354" i="39"/>
  <c r="AJ345" i="39" s="1"/>
  <c r="AK332" i="39"/>
  <c r="AQ510" i="39"/>
  <c r="AR463" i="39"/>
  <c r="AQ464" i="39"/>
  <c r="AQ465" i="39" s="1"/>
  <c r="AQ116" i="39" s="1"/>
  <c r="AI345" i="39"/>
  <c r="AK34" i="39"/>
  <c r="AN418" i="39"/>
  <c r="AQ367" i="39"/>
  <c r="AQ153" i="39"/>
  <c r="AR363" i="39"/>
  <c r="AT236" i="39"/>
  <c r="AS437" i="39"/>
  <c r="AS439" i="39" s="1"/>
  <c r="AT430" i="39"/>
  <c r="C77" i="19"/>
  <c r="G77" i="19"/>
  <c r="K77" i="19"/>
  <c r="C78" i="19"/>
  <c r="D78" i="19"/>
  <c r="G78" i="19"/>
  <c r="H78" i="19"/>
  <c r="K78" i="19"/>
  <c r="L78" i="19"/>
  <c r="C79" i="19"/>
  <c r="D79" i="19"/>
  <c r="G79" i="19"/>
  <c r="H79" i="19"/>
  <c r="I79" i="19"/>
  <c r="K79" i="19"/>
  <c r="L79" i="19"/>
  <c r="M79" i="19"/>
  <c r="F80" i="19"/>
  <c r="C81" i="19"/>
  <c r="G81" i="19"/>
  <c r="K81" i="19"/>
  <c r="C82" i="19"/>
  <c r="D82" i="19"/>
  <c r="G82" i="19"/>
  <c r="H82" i="19"/>
  <c r="K82" i="19"/>
  <c r="L82" i="19"/>
  <c r="C83" i="19"/>
  <c r="D83" i="19"/>
  <c r="G83" i="19"/>
  <c r="H83" i="19"/>
  <c r="I83" i="19"/>
  <c r="K83" i="19"/>
  <c r="L83" i="19"/>
  <c r="M83" i="19"/>
  <c r="F84" i="19"/>
  <c r="C85" i="19"/>
  <c r="G85" i="19"/>
  <c r="K85" i="19"/>
  <c r="C86" i="19"/>
  <c r="D86" i="19"/>
  <c r="G86" i="19"/>
  <c r="H86" i="19"/>
  <c r="K86" i="19"/>
  <c r="L86" i="19"/>
  <c r="I76" i="19"/>
  <c r="C76" i="19"/>
  <c r="C73" i="19"/>
  <c r="C80" i="19" s="1"/>
  <c r="D73" i="19"/>
  <c r="D77" i="19" s="1"/>
  <c r="E73" i="19"/>
  <c r="F73" i="19"/>
  <c r="G73" i="19"/>
  <c r="G80" i="19" s="1"/>
  <c r="H73" i="19"/>
  <c r="H77" i="19" s="1"/>
  <c r="I73" i="19"/>
  <c r="J73" i="19"/>
  <c r="K73" i="19"/>
  <c r="K80" i="19" s="1"/>
  <c r="L73" i="19"/>
  <c r="L77" i="19" s="1"/>
  <c r="M73" i="19"/>
  <c r="BB71" i="3" l="1"/>
  <c r="BA80" i="3"/>
  <c r="BA74" i="3"/>
  <c r="BA77" i="3"/>
  <c r="BB73" i="3"/>
  <c r="BA82" i="3"/>
  <c r="BA76" i="3"/>
  <c r="BA79" i="3"/>
  <c r="BC72" i="3"/>
  <c r="BB75" i="3"/>
  <c r="BB78" i="3"/>
  <c r="BB81" i="3"/>
  <c r="BA75" i="3"/>
  <c r="BA78" i="3" s="1"/>
  <c r="BA81" i="3"/>
  <c r="AP374" i="39"/>
  <c r="AP403" i="39" s="1"/>
  <c r="AP372" i="39"/>
  <c r="AQ370" i="39"/>
  <c r="AQ373" i="39" s="1"/>
  <c r="AO377" i="39"/>
  <c r="AO338" i="39"/>
  <c r="AN76" i="39"/>
  <c r="AO446" i="39"/>
  <c r="AT363" i="42"/>
  <c r="AT366" i="42"/>
  <c r="AS153" i="42"/>
  <c r="AS367" i="42"/>
  <c r="AS370" i="42" s="1"/>
  <c r="AT365" i="42"/>
  <c r="AP76" i="42"/>
  <c r="AQ377" i="42"/>
  <c r="AQ338" i="42"/>
  <c r="AQ81" i="42" s="1"/>
  <c r="AR373" i="42"/>
  <c r="AR372" i="42"/>
  <c r="AR374" i="42"/>
  <c r="AK355" i="42"/>
  <c r="AK356" i="42" s="1"/>
  <c r="AN392" i="42"/>
  <c r="AM378" i="42"/>
  <c r="AH186" i="42"/>
  <c r="AW221" i="42"/>
  <c r="AQ403" i="42"/>
  <c r="AQ418" i="42" s="1"/>
  <c r="AL354" i="42"/>
  <c r="AM332" i="42"/>
  <c r="AI34" i="42"/>
  <c r="AU236" i="42"/>
  <c r="AT510" i="42"/>
  <c r="AU463" i="42"/>
  <c r="AT464" i="42"/>
  <c r="AT465" i="42" s="1"/>
  <c r="AT116" i="42" s="1"/>
  <c r="AT437" i="42"/>
  <c r="AT439" i="42" s="1"/>
  <c r="AU430" i="42"/>
  <c r="AQ446" i="42"/>
  <c r="AV29" i="42"/>
  <c r="AS485" i="42"/>
  <c r="AS103" i="42"/>
  <c r="AG189" i="42"/>
  <c r="AG188" i="42" s="1"/>
  <c r="AH187" i="42"/>
  <c r="AJ188" i="39"/>
  <c r="AS365" i="39"/>
  <c r="AK261" i="39"/>
  <c r="AK243" i="39"/>
  <c r="AK30" i="39"/>
  <c r="AN392" i="39"/>
  <c r="AM378" i="39"/>
  <c r="AS221" i="39"/>
  <c r="AS485" i="39"/>
  <c r="AS103" i="39"/>
  <c r="AK354" i="39"/>
  <c r="AL332" i="39"/>
  <c r="AS29" i="39"/>
  <c r="AO418" i="39"/>
  <c r="AT437" i="39"/>
  <c r="AT439" i="39" s="1"/>
  <c r="AU430" i="39"/>
  <c r="AR367" i="39"/>
  <c r="AR153" i="39"/>
  <c r="AS363" i="39"/>
  <c r="AL33" i="39"/>
  <c r="AS366" i="39"/>
  <c r="AR510" i="39"/>
  <c r="AS463" i="39"/>
  <c r="AR464" i="39"/>
  <c r="AR465" i="39" s="1"/>
  <c r="AR116" i="39" s="1"/>
  <c r="AU236" i="39"/>
  <c r="AJ355" i="39"/>
  <c r="AJ356" i="39" s="1"/>
  <c r="J79" i="19"/>
  <c r="J83" i="19"/>
  <c r="J78" i="19"/>
  <c r="J82" i="19"/>
  <c r="J86" i="19"/>
  <c r="J77" i="19"/>
  <c r="J81" i="19"/>
  <c r="J85" i="19"/>
  <c r="F79" i="19"/>
  <c r="F83" i="19"/>
  <c r="F78" i="19"/>
  <c r="F82" i="19"/>
  <c r="F86" i="19"/>
  <c r="F77" i="19"/>
  <c r="O77" i="19" s="1"/>
  <c r="F81" i="19"/>
  <c r="F85" i="19"/>
  <c r="F76" i="19"/>
  <c r="F87" i="19" s="1"/>
  <c r="M78" i="19"/>
  <c r="M82" i="19"/>
  <c r="M86" i="19"/>
  <c r="M77" i="19"/>
  <c r="M81" i="19"/>
  <c r="M85" i="19"/>
  <c r="M80" i="19"/>
  <c r="M84" i="19"/>
  <c r="I78" i="19"/>
  <c r="I87" i="19" s="1"/>
  <c r="I82" i="19"/>
  <c r="I86" i="19"/>
  <c r="I77" i="19"/>
  <c r="I81" i="19"/>
  <c r="I85" i="19"/>
  <c r="I80" i="19"/>
  <c r="I84" i="19"/>
  <c r="E78" i="19"/>
  <c r="E82" i="19"/>
  <c r="E86" i="19"/>
  <c r="E77" i="19"/>
  <c r="E81" i="19"/>
  <c r="E85" i="19"/>
  <c r="E80" i="19"/>
  <c r="E84" i="19"/>
  <c r="E76" i="19"/>
  <c r="M76" i="19"/>
  <c r="J76" i="19"/>
  <c r="O86" i="19"/>
  <c r="J84" i="19"/>
  <c r="E83" i="19"/>
  <c r="O82" i="19"/>
  <c r="J80" i="19"/>
  <c r="E79" i="19"/>
  <c r="O78" i="19"/>
  <c r="L76" i="19"/>
  <c r="H76" i="19"/>
  <c r="H87" i="19" s="1"/>
  <c r="D76" i="19"/>
  <c r="L84" i="19"/>
  <c r="H84" i="19"/>
  <c r="D84" i="19"/>
  <c r="L80" i="19"/>
  <c r="H80" i="19"/>
  <c r="D80" i="19"/>
  <c r="O80" i="19" s="1"/>
  <c r="K76" i="19"/>
  <c r="K87" i="19" s="1"/>
  <c r="G76" i="19"/>
  <c r="L85" i="19"/>
  <c r="H85" i="19"/>
  <c r="D85" i="19"/>
  <c r="O85" i="19" s="1"/>
  <c r="K84" i="19"/>
  <c r="G84" i="19"/>
  <c r="C84" i="19"/>
  <c r="L81" i="19"/>
  <c r="H81" i="19"/>
  <c r="D81" i="19"/>
  <c r="O81" i="19" s="1"/>
  <c r="BD72" i="3" l="1"/>
  <c r="BC73" i="3"/>
  <c r="BB82" i="3"/>
  <c r="BB76" i="3"/>
  <c r="BB79" i="3" s="1"/>
  <c r="BC71" i="3"/>
  <c r="BC81" i="3" s="1"/>
  <c r="BB74" i="3"/>
  <c r="BB77" i="3" s="1"/>
  <c r="BB80" i="3"/>
  <c r="AP377" i="39"/>
  <c r="AR370" i="39"/>
  <c r="AR373" i="39" s="1"/>
  <c r="AQ372" i="39"/>
  <c r="AQ374" i="39"/>
  <c r="AP338" i="39"/>
  <c r="AP81" i="39" s="1"/>
  <c r="AO81" i="39"/>
  <c r="AO76" i="39"/>
  <c r="AP446" i="39"/>
  <c r="AU363" i="42"/>
  <c r="AT367" i="42"/>
  <c r="AT370" i="42" s="1"/>
  <c r="AU365" i="42"/>
  <c r="AT153" i="42"/>
  <c r="AU366" i="42"/>
  <c r="AT485" i="42"/>
  <c r="AT103" i="42"/>
  <c r="AL355" i="42"/>
  <c r="AL356" i="42" s="1"/>
  <c r="AO392" i="42"/>
  <c r="AN378" i="42"/>
  <c r="AR403" i="42"/>
  <c r="AS372" i="42"/>
  <c r="AS373" i="42"/>
  <c r="AS374" i="42"/>
  <c r="AU510" i="42"/>
  <c r="AV463" i="42"/>
  <c r="AU464" i="42"/>
  <c r="AU465" i="42" s="1"/>
  <c r="AU116" i="42" s="1"/>
  <c r="AI243" i="42"/>
  <c r="AI261" i="42"/>
  <c r="AI30" i="42"/>
  <c r="AI186" i="42" s="1"/>
  <c r="AQ76" i="42"/>
  <c r="AR377" i="42"/>
  <c r="AR338" i="42"/>
  <c r="AW29" i="42"/>
  <c r="AJ33" i="42"/>
  <c r="AM354" i="42"/>
  <c r="AN332" i="42"/>
  <c r="AH189" i="42"/>
  <c r="AH188" i="42" s="1"/>
  <c r="AU437" i="42"/>
  <c r="AU439" i="42" s="1"/>
  <c r="AV430" i="42"/>
  <c r="AV236" i="42"/>
  <c r="AL345" i="42"/>
  <c r="AR446" i="42"/>
  <c r="AK186" i="39"/>
  <c r="AK187" i="39" s="1"/>
  <c r="AK189" i="39" s="1"/>
  <c r="AT366" i="39"/>
  <c r="AT365" i="39"/>
  <c r="AL354" i="39"/>
  <c r="AL345" i="39" s="1"/>
  <c r="AM332" i="39"/>
  <c r="AL34" i="39"/>
  <c r="AK355" i="39"/>
  <c r="AK356" i="39" s="1"/>
  <c r="AS510" i="39"/>
  <c r="AT463" i="39"/>
  <c r="AS464" i="39"/>
  <c r="AS465" i="39" s="1"/>
  <c r="AS116" i="39" s="1"/>
  <c r="AK345" i="39"/>
  <c r="AN378" i="39"/>
  <c r="AO392" i="39"/>
  <c r="AS367" i="39"/>
  <c r="AS153" i="39"/>
  <c r="AT363" i="39"/>
  <c r="AT485" i="39"/>
  <c r="AT103" i="39"/>
  <c r="AV236" i="39"/>
  <c r="AT221" i="39"/>
  <c r="AU437" i="39"/>
  <c r="AU439" i="39" s="1"/>
  <c r="AV430" i="39"/>
  <c r="AT29" i="39"/>
  <c r="AP418" i="39"/>
  <c r="O84" i="19"/>
  <c r="L87" i="19"/>
  <c r="J87" i="19"/>
  <c r="M87" i="19"/>
  <c r="C87" i="19"/>
  <c r="O83" i="19"/>
  <c r="E87" i="19"/>
  <c r="G87" i="19"/>
  <c r="D87" i="19"/>
  <c r="O79" i="19"/>
  <c r="O76" i="19"/>
  <c r="O87" i="19" s="1"/>
  <c r="AS370" i="39" l="1"/>
  <c r="AS373" i="39" s="1"/>
  <c r="BC75" i="3"/>
  <c r="BC78" i="3" s="1"/>
  <c r="AQ377" i="39"/>
  <c r="BD71" i="3"/>
  <c r="BD75" i="3" s="1"/>
  <c r="BD78" i="3" s="1"/>
  <c r="BC80" i="3"/>
  <c r="BC74" i="3"/>
  <c r="BC77" i="3" s="1"/>
  <c r="BD73" i="3"/>
  <c r="BC82" i="3"/>
  <c r="BC76" i="3"/>
  <c r="BC79" i="3" s="1"/>
  <c r="AQ446" i="39"/>
  <c r="AR374" i="39"/>
  <c r="AR372" i="39"/>
  <c r="AQ338" i="39"/>
  <c r="AQ81" i="39" s="1"/>
  <c r="AQ403" i="39"/>
  <c r="AQ418" i="39" s="1"/>
  <c r="AP76" i="39"/>
  <c r="AU153" i="42"/>
  <c r="AV366" i="42"/>
  <c r="AV363" i="42"/>
  <c r="AV365" i="42"/>
  <c r="AU367" i="42"/>
  <c r="AU370" i="42" s="1"/>
  <c r="AI187" i="42"/>
  <c r="AI189" i="42" s="1"/>
  <c r="AI188" i="42" s="1"/>
  <c r="AS446" i="42"/>
  <c r="AM355" i="42"/>
  <c r="AM356" i="42" s="1"/>
  <c r="AR81" i="42"/>
  <c r="AV510" i="42"/>
  <c r="AW463" i="42"/>
  <c r="AV464" i="42"/>
  <c r="AV465" i="42" s="1"/>
  <c r="AV116" i="42" s="1"/>
  <c r="AV437" i="42"/>
  <c r="AV439" i="42" s="1"/>
  <c r="AW430" i="42"/>
  <c r="AW437" i="42" s="1"/>
  <c r="AR418" i="42"/>
  <c r="AO378" i="42"/>
  <c r="AP392" i="42"/>
  <c r="AU485" i="42"/>
  <c r="AU103" i="42"/>
  <c r="AR76" i="42"/>
  <c r="AN354" i="42"/>
  <c r="AO332" i="42"/>
  <c r="AJ34" i="42"/>
  <c r="AS377" i="42"/>
  <c r="AS338" i="42"/>
  <c r="AW236" i="42"/>
  <c r="AM345" i="42"/>
  <c r="AS403" i="42"/>
  <c r="AT374" i="42"/>
  <c r="AT373" i="42"/>
  <c r="AT372" i="42"/>
  <c r="AK188" i="39"/>
  <c r="AM33" i="39"/>
  <c r="AM34" i="39" s="1"/>
  <c r="AU366" i="39"/>
  <c r="AU365" i="39"/>
  <c r="AV437" i="39"/>
  <c r="AV439" i="39" s="1"/>
  <c r="AW430" i="39"/>
  <c r="AW437" i="39" s="1"/>
  <c r="AU29" i="39"/>
  <c r="AU221" i="39"/>
  <c r="AM354" i="39"/>
  <c r="AN332" i="39"/>
  <c r="AT367" i="39"/>
  <c r="AT370" i="39" s="1"/>
  <c r="AT153" i="39"/>
  <c r="AU363" i="39"/>
  <c r="AT510" i="39"/>
  <c r="AU463" i="39"/>
  <c r="AT464" i="39"/>
  <c r="AT465" i="39" s="1"/>
  <c r="AT116" i="39" s="1"/>
  <c r="AO378" i="39"/>
  <c r="AP392" i="39"/>
  <c r="AU485" i="39"/>
  <c r="AU103" i="39"/>
  <c r="AW236" i="39"/>
  <c r="AL261" i="39"/>
  <c r="AL243" i="39"/>
  <c r="AL30" i="39"/>
  <c r="AL355" i="39"/>
  <c r="AL356" i="39" s="1"/>
  <c r="D25" i="19"/>
  <c r="E25" i="19"/>
  <c r="F25" i="19"/>
  <c r="G25" i="19"/>
  <c r="C25" i="19"/>
  <c r="D11" i="19"/>
  <c r="E11" i="19"/>
  <c r="F11" i="19"/>
  <c r="G11" i="19"/>
  <c r="C11" i="19"/>
  <c r="AS374" i="39" l="1"/>
  <c r="AT374" i="39" s="1"/>
  <c r="AS372" i="39"/>
  <c r="AT372" i="39" s="1"/>
  <c r="AR403" i="39"/>
  <c r="AR418" i="39" s="1"/>
  <c r="G477" i="42"/>
  <c r="G480" i="42" s="1"/>
  <c r="G487" i="42" s="1"/>
  <c r="G93" i="42"/>
  <c r="G96" i="42" s="1"/>
  <c r="G97" i="42" s="1"/>
  <c r="G477" i="39"/>
  <c r="G480" i="39" s="1"/>
  <c r="G487" i="39" s="1"/>
  <c r="G93" i="39"/>
  <c r="G96" i="39" s="1"/>
  <c r="G97" i="39" s="1"/>
  <c r="F477" i="42"/>
  <c r="F480" i="42" s="1"/>
  <c r="F487" i="42" s="1"/>
  <c r="F93" i="42"/>
  <c r="F96" i="42" s="1"/>
  <c r="F97" i="42" s="1"/>
  <c r="F93" i="39"/>
  <c r="F96" i="39" s="1"/>
  <c r="F97" i="39" s="1"/>
  <c r="F477" i="39"/>
  <c r="F480" i="39" s="1"/>
  <c r="F487" i="39" s="1"/>
  <c r="BD81" i="3"/>
  <c r="AR446" i="39"/>
  <c r="AQ76" i="39"/>
  <c r="BD76" i="3"/>
  <c r="BD79" i="3" s="1"/>
  <c r="BD82" i="3"/>
  <c r="BD74" i="3"/>
  <c r="BD77" i="3"/>
  <c r="BD80" i="3"/>
  <c r="AR338" i="39"/>
  <c r="AR81" i="39" s="1"/>
  <c r="AR377" i="39"/>
  <c r="AV367" i="42"/>
  <c r="AV370" i="42" s="1"/>
  <c r="AW365" i="42"/>
  <c r="AW363" i="42"/>
  <c r="AW366" i="42"/>
  <c r="AV153" i="42"/>
  <c r="AS76" i="42"/>
  <c r="AJ261" i="42"/>
  <c r="AJ243" i="42"/>
  <c r="AJ30" i="42"/>
  <c r="AN355" i="42"/>
  <c r="AN356" i="42" s="1"/>
  <c r="AP378" i="42"/>
  <c r="AQ392" i="42"/>
  <c r="AT403" i="42"/>
  <c r="AS418" i="42"/>
  <c r="AK33" i="42"/>
  <c r="AW439" i="42"/>
  <c r="AT446" i="42"/>
  <c r="AO354" i="42"/>
  <c r="AO345" i="42" s="1"/>
  <c r="AP332" i="42"/>
  <c r="AV485" i="42"/>
  <c r="AV103" i="42"/>
  <c r="AW510" i="42"/>
  <c r="AW464" i="42"/>
  <c r="AW465" i="42" s="1"/>
  <c r="AW116" i="42" s="1"/>
  <c r="AT377" i="42"/>
  <c r="AT338" i="42"/>
  <c r="AT81" i="42" s="1"/>
  <c r="AU372" i="42"/>
  <c r="AU374" i="42"/>
  <c r="AU373" i="42"/>
  <c r="AS81" i="42"/>
  <c r="AN345" i="42"/>
  <c r="AL186" i="39"/>
  <c r="AL187" i="39" s="1"/>
  <c r="AL189" i="39" s="1"/>
  <c r="AU510" i="39"/>
  <c r="AV463" i="39"/>
  <c r="AU464" i="39"/>
  <c r="AU465" i="39" s="1"/>
  <c r="AU116" i="39" s="1"/>
  <c r="AU367" i="39"/>
  <c r="AU370" i="39" s="1"/>
  <c r="AU153" i="39"/>
  <c r="AV363" i="39"/>
  <c r="AM355" i="39"/>
  <c r="AM356" i="39" s="1"/>
  <c r="AM345" i="39"/>
  <c r="AM261" i="39"/>
  <c r="AM243" i="39"/>
  <c r="AM30" i="39"/>
  <c r="AV485" i="39"/>
  <c r="AV103" i="39"/>
  <c r="AT373" i="39"/>
  <c r="AV366" i="39"/>
  <c r="AQ392" i="39"/>
  <c r="AP378" i="39"/>
  <c r="AV29" i="39"/>
  <c r="AV365" i="39"/>
  <c r="AN33" i="39"/>
  <c r="AN354" i="39"/>
  <c r="AN345" i="39" s="1"/>
  <c r="AO332" i="39"/>
  <c r="AV221" i="39"/>
  <c r="AW439" i="39"/>
  <c r="F384" i="7"/>
  <c r="G384" i="7"/>
  <c r="H384" i="7"/>
  <c r="I384" i="7"/>
  <c r="E384" i="7"/>
  <c r="D384" i="7"/>
  <c r="AS403" i="39" l="1"/>
  <c r="AS418" i="39" s="1"/>
  <c r="AS377" i="39"/>
  <c r="AS446" i="39"/>
  <c r="AT446" i="39" s="1"/>
  <c r="AR76" i="39"/>
  <c r="F55" i="39"/>
  <c r="F496" i="39"/>
  <c r="G109" i="39"/>
  <c r="G112" i="39"/>
  <c r="G127" i="39"/>
  <c r="F109" i="39"/>
  <c r="F112" i="39"/>
  <c r="F127" i="39"/>
  <c r="G496" i="39"/>
  <c r="G55" i="39"/>
  <c r="F112" i="42"/>
  <c r="F109" i="42"/>
  <c r="F127" i="42"/>
  <c r="G109" i="42"/>
  <c r="G112" i="42"/>
  <c r="G127" i="42"/>
  <c r="F496" i="42"/>
  <c r="F55" i="42"/>
  <c r="G496" i="42"/>
  <c r="G55" i="42"/>
  <c r="AS338" i="39"/>
  <c r="AS81" i="39" s="1"/>
  <c r="AW153" i="42"/>
  <c r="AW367" i="42"/>
  <c r="AW370" i="42" s="1"/>
  <c r="AU403" i="42"/>
  <c r="AR392" i="42"/>
  <c r="AQ378" i="42"/>
  <c r="AU377" i="42"/>
  <c r="AU338" i="42"/>
  <c r="AU81" i="42" s="1"/>
  <c r="AP354" i="42"/>
  <c r="AP345" i="42" s="1"/>
  <c r="AQ332" i="42"/>
  <c r="AW485" i="42"/>
  <c r="AW103" i="42"/>
  <c r="AT418" i="42"/>
  <c r="AJ187" i="42"/>
  <c r="AJ186" i="42"/>
  <c r="AV372" i="42"/>
  <c r="AV374" i="42"/>
  <c r="AV373" i="42"/>
  <c r="AK34" i="42"/>
  <c r="AL33" i="42" s="1"/>
  <c r="AU446" i="42"/>
  <c r="AO355" i="42"/>
  <c r="AO356" i="42" s="1"/>
  <c r="AT76" i="42"/>
  <c r="AL188" i="39"/>
  <c r="AM186" i="39"/>
  <c r="AM187" i="39" s="1"/>
  <c r="AM189" i="39" s="1"/>
  <c r="AW29" i="39"/>
  <c r="AU374" i="39"/>
  <c r="AU372" i="39"/>
  <c r="AU373" i="39"/>
  <c r="AV510" i="39"/>
  <c r="AW463" i="39"/>
  <c r="AV464" i="39"/>
  <c r="AV465" i="39" s="1"/>
  <c r="AV116" i="39" s="1"/>
  <c r="AN355" i="39"/>
  <c r="AN356" i="39" s="1"/>
  <c r="AN34" i="39"/>
  <c r="AT377" i="39"/>
  <c r="AV367" i="39"/>
  <c r="AV370" i="39" s="1"/>
  <c r="AV153" i="39"/>
  <c r="AW363" i="39"/>
  <c r="AW485" i="39"/>
  <c r="AW103" i="39"/>
  <c r="AR392" i="39"/>
  <c r="AQ378" i="39"/>
  <c r="AW366" i="39"/>
  <c r="AW221" i="39"/>
  <c r="AO354" i="39"/>
  <c r="AO345" i="39" s="1"/>
  <c r="AP332" i="39"/>
  <c r="AW365" i="39"/>
  <c r="AT403" i="39"/>
  <c r="AT418" i="39" s="1"/>
  <c r="BA25" i="3"/>
  <c r="BB25" i="3" s="1"/>
  <c r="BC25" i="3" s="1"/>
  <c r="BD25" i="3" s="1"/>
  <c r="BA29" i="3"/>
  <c r="AT458" i="42" s="1"/>
  <c r="BA28" i="3"/>
  <c r="BA27" i="3"/>
  <c r="BA26" i="3"/>
  <c r="AT182" i="42" s="1"/>
  <c r="BA24" i="3"/>
  <c r="BB24" i="3" s="1"/>
  <c r="BC24" i="3" s="1"/>
  <c r="BD24" i="3" s="1"/>
  <c r="BA23" i="3"/>
  <c r="AT143" i="42" s="1"/>
  <c r="AS76" i="39" l="1"/>
  <c r="AT76" i="39" s="1"/>
  <c r="AT338" i="39"/>
  <c r="AT81" i="39" s="1"/>
  <c r="AT225" i="42"/>
  <c r="AU225" i="42" s="1"/>
  <c r="AV225" i="42" s="1"/>
  <c r="AW225" i="42" s="1"/>
  <c r="AT181" i="42"/>
  <c r="AU181" i="42" s="1"/>
  <c r="AV181" i="42" s="1"/>
  <c r="AW181" i="42" s="1"/>
  <c r="AT322" i="42"/>
  <c r="AT156" i="42"/>
  <c r="AT348" i="42"/>
  <c r="AT357" i="42"/>
  <c r="AV446" i="42"/>
  <c r="AU76" i="42"/>
  <c r="AK243" i="42"/>
  <c r="AK261" i="42"/>
  <c r="AK30" i="42"/>
  <c r="AK186" i="42" s="1"/>
  <c r="AV403" i="42"/>
  <c r="AV418" i="42" s="1"/>
  <c r="AJ189" i="42"/>
  <c r="AJ188" i="42" s="1"/>
  <c r="AQ354" i="42"/>
  <c r="AQ345" i="42" s="1"/>
  <c r="AR332" i="42"/>
  <c r="AS392" i="42"/>
  <c r="AR378" i="42"/>
  <c r="AV338" i="42"/>
  <c r="AV81" i="42" s="1"/>
  <c r="AV377" i="42"/>
  <c r="AP355" i="42"/>
  <c r="AP356" i="42" s="1"/>
  <c r="AU418" i="42"/>
  <c r="AL34" i="42"/>
  <c r="AM33" i="42" s="1"/>
  <c r="AW372" i="42"/>
  <c r="AW374" i="42"/>
  <c r="AW373" i="42"/>
  <c r="AM188" i="39"/>
  <c r="AT143" i="39"/>
  <c r="AT156" i="39"/>
  <c r="AT322" i="39"/>
  <c r="AT348" i="39"/>
  <c r="AT357" i="39"/>
  <c r="AT458" i="39"/>
  <c r="AT182" i="39"/>
  <c r="AT181" i="39"/>
  <c r="AU181" i="39" s="1"/>
  <c r="AV181" i="39" s="1"/>
  <c r="AW181" i="39" s="1"/>
  <c r="AT225" i="39"/>
  <c r="AU225" i="39" s="1"/>
  <c r="AV225" i="39" s="1"/>
  <c r="AW225" i="39" s="1"/>
  <c r="AW510" i="39"/>
  <c r="AW464" i="39"/>
  <c r="AW465" i="39" s="1"/>
  <c r="AW116" i="39" s="1"/>
  <c r="AR378" i="39"/>
  <c r="AS392" i="39"/>
  <c r="AW367" i="39"/>
  <c r="AW370" i="39" s="1"/>
  <c r="AW153" i="39"/>
  <c r="AN243" i="39"/>
  <c r="AN261" i="39"/>
  <c r="AN30" i="39"/>
  <c r="AU338" i="39"/>
  <c r="AU81" i="39" s="1"/>
  <c r="AU377" i="39"/>
  <c r="AP354" i="39"/>
  <c r="AQ332" i="39"/>
  <c r="AO355" i="39"/>
  <c r="AO356" i="39" s="1"/>
  <c r="AO33" i="39"/>
  <c r="AU446" i="39"/>
  <c r="AV373" i="39"/>
  <c r="AV372" i="39"/>
  <c r="AV374" i="39"/>
  <c r="AU403" i="39"/>
  <c r="AU418" i="39" s="1"/>
  <c r="BB23" i="3"/>
  <c r="BC23" i="3" s="1"/>
  <c r="BD23" i="3" s="1"/>
  <c r="BB28" i="3"/>
  <c r="BC28" i="3" s="1"/>
  <c r="BD28" i="3" s="1"/>
  <c r="BB29" i="3"/>
  <c r="BC29" i="3" s="1"/>
  <c r="BD29" i="3" s="1"/>
  <c r="BB27" i="3"/>
  <c r="BC27" i="3" s="1"/>
  <c r="BD27" i="3" s="1"/>
  <c r="BB26" i="3"/>
  <c r="BC26" i="3" s="1"/>
  <c r="BD26" i="3" s="1"/>
  <c r="A46" i="17"/>
  <c r="AU348" i="42" l="1"/>
  <c r="AV348" i="42" s="1"/>
  <c r="AW348" i="42" s="1"/>
  <c r="AT350" i="42"/>
  <c r="AU350" i="42" s="1"/>
  <c r="AV350" i="42" s="1"/>
  <c r="AW350" i="42" s="1"/>
  <c r="AU156" i="42"/>
  <c r="AV156" i="42" s="1"/>
  <c r="AW156" i="42" s="1"/>
  <c r="AU143" i="42"/>
  <c r="AV143" i="42" s="1"/>
  <c r="AW143" i="42" s="1"/>
  <c r="AU322" i="42"/>
  <c r="AV322" i="42" s="1"/>
  <c r="AW322" i="42" s="1"/>
  <c r="AU182" i="42"/>
  <c r="AV182" i="42" s="1"/>
  <c r="AW182" i="42" s="1"/>
  <c r="AU357" i="42"/>
  <c r="AV357" i="42" s="1"/>
  <c r="AW357" i="42" s="1"/>
  <c r="AT359" i="42"/>
  <c r="AU359" i="42" s="1"/>
  <c r="AV359" i="42" s="1"/>
  <c r="AW359" i="42" s="1"/>
  <c r="AU458" i="42"/>
  <c r="AV458" i="42" s="1"/>
  <c r="AW458" i="42" s="1"/>
  <c r="AK187" i="42"/>
  <c r="AK189" i="42" s="1"/>
  <c r="AK188" i="42" s="1"/>
  <c r="AV76" i="42"/>
  <c r="AW446" i="42"/>
  <c r="AW338" i="42"/>
  <c r="AW377" i="42"/>
  <c r="AR354" i="42"/>
  <c r="AS332" i="42"/>
  <c r="AM34" i="42"/>
  <c r="AL261" i="42"/>
  <c r="AL243" i="42"/>
  <c r="AL30" i="42"/>
  <c r="AQ355" i="42"/>
  <c r="AQ356" i="42" s="1"/>
  <c r="AW403" i="42"/>
  <c r="AW418" i="42" s="1"/>
  <c r="AS378" i="42"/>
  <c r="AT392" i="42"/>
  <c r="AU458" i="39"/>
  <c r="AV458" i="39" s="1"/>
  <c r="AW458" i="39" s="1"/>
  <c r="AU182" i="39"/>
  <c r="AV182" i="39" s="1"/>
  <c r="AW182" i="39" s="1"/>
  <c r="AU357" i="39"/>
  <c r="AV357" i="39" s="1"/>
  <c r="AW357" i="39" s="1"/>
  <c r="AT359" i="39"/>
  <c r="AU322" i="39"/>
  <c r="AV322" i="39" s="1"/>
  <c r="AW322" i="39" s="1"/>
  <c r="AU143" i="39"/>
  <c r="AV143" i="39" s="1"/>
  <c r="AW143" i="39" s="1"/>
  <c r="AU348" i="39"/>
  <c r="AV348" i="39" s="1"/>
  <c r="AW348" i="39" s="1"/>
  <c r="AT350" i="39"/>
  <c r="AU156" i="39"/>
  <c r="AV156" i="39" s="1"/>
  <c r="AW156" i="39" s="1"/>
  <c r="AN186" i="39"/>
  <c r="AN187" i="39" s="1"/>
  <c r="AN189" i="39" s="1"/>
  <c r="AU76" i="39"/>
  <c r="AW374" i="39"/>
  <c r="AW373" i="39"/>
  <c r="AW372" i="39"/>
  <c r="AV446" i="39"/>
  <c r="AS378" i="39"/>
  <c r="AT392" i="39"/>
  <c r="AP355" i="39"/>
  <c r="AP356" i="39" s="1"/>
  <c r="AQ354" i="39"/>
  <c r="AQ345" i="39" s="1"/>
  <c r="AR332" i="39"/>
  <c r="AV377" i="39"/>
  <c r="AV338" i="39"/>
  <c r="AV81" i="39" s="1"/>
  <c r="AV403" i="39"/>
  <c r="AO34" i="39"/>
  <c r="AP345" i="39"/>
  <c r="D96" i="7"/>
  <c r="AL187" i="42" l="1"/>
  <c r="AL189" i="42" s="1"/>
  <c r="AL188" i="42" s="1"/>
  <c r="AW76" i="42"/>
  <c r="AL186" i="42"/>
  <c r="AM243" i="42"/>
  <c r="AM261" i="42"/>
  <c r="AM30" i="42"/>
  <c r="AR355" i="42"/>
  <c r="AR356" i="42" s="1"/>
  <c r="AT378" i="42"/>
  <c r="AU392" i="42"/>
  <c r="AN33" i="42"/>
  <c r="AS354" i="42"/>
  <c r="AT332" i="42"/>
  <c r="AW81" i="42"/>
  <c r="AR345" i="42"/>
  <c r="AN188" i="39"/>
  <c r="AU359" i="39"/>
  <c r="AV359" i="39" s="1"/>
  <c r="AW359" i="39" s="1"/>
  <c r="AU350" i="39"/>
  <c r="AV350" i="39" s="1"/>
  <c r="AW350" i="39" s="1"/>
  <c r="AW446" i="39"/>
  <c r="AV76" i="39"/>
  <c r="AP33" i="39"/>
  <c r="AP34" i="39" s="1"/>
  <c r="AQ33" i="39" s="1"/>
  <c r="AO243" i="39"/>
  <c r="AO261" i="39"/>
  <c r="AO30" i="39"/>
  <c r="AV418" i="39"/>
  <c r="AU392" i="39"/>
  <c r="AT378" i="39"/>
  <c r="AW403" i="39"/>
  <c r="AW418" i="39" s="1"/>
  <c r="AQ355" i="39"/>
  <c r="AQ356" i="39" s="1"/>
  <c r="AR354" i="39"/>
  <c r="AS332" i="39"/>
  <c r="AW338" i="39"/>
  <c r="AW81" i="39" s="1"/>
  <c r="AW377" i="39"/>
  <c r="A65" i="17"/>
  <c r="C64" i="17"/>
  <c r="D64" i="17"/>
  <c r="E64" i="17"/>
  <c r="F64" i="17"/>
  <c r="G64" i="17"/>
  <c r="H64" i="17"/>
  <c r="I64" i="17"/>
  <c r="J64" i="17"/>
  <c r="K64" i="17"/>
  <c r="L64" i="17"/>
  <c r="B64" i="17"/>
  <c r="AM186" i="42" l="1"/>
  <c r="AM187" i="42"/>
  <c r="AT354" i="42"/>
  <c r="AU332" i="42"/>
  <c r="AS355" i="42"/>
  <c r="AS356" i="42" s="1"/>
  <c r="AS345" i="42"/>
  <c r="AN34" i="42"/>
  <c r="AV392" i="42"/>
  <c r="AU378" i="42"/>
  <c r="AO186" i="39"/>
  <c r="AO187" i="39" s="1"/>
  <c r="AO189" i="39" s="1"/>
  <c r="AW76" i="39"/>
  <c r="AQ34" i="39"/>
  <c r="AR355" i="39"/>
  <c r="AR356" i="39" s="1"/>
  <c r="AS354" i="39"/>
  <c r="AS345" i="39" s="1"/>
  <c r="AT332" i="39"/>
  <c r="AV392" i="39"/>
  <c r="AU378" i="39"/>
  <c r="AR345" i="39"/>
  <c r="AP261" i="39"/>
  <c r="AP243" i="39"/>
  <c r="AP30" i="39"/>
  <c r="A44" i="17"/>
  <c r="A42" i="17"/>
  <c r="A40" i="17"/>
  <c r="A38" i="17"/>
  <c r="A36" i="17"/>
  <c r="A34" i="17"/>
  <c r="A32" i="17"/>
  <c r="A30" i="17"/>
  <c r="A28" i="17"/>
  <c r="A26" i="17"/>
  <c r="A24" i="17"/>
  <c r="A22" i="17"/>
  <c r="A20" i="17"/>
  <c r="A18" i="17"/>
  <c r="A16" i="17"/>
  <c r="L9" i="17"/>
  <c r="K9" i="17"/>
  <c r="J9" i="17"/>
  <c r="I9" i="17"/>
  <c r="H9" i="17"/>
  <c r="G9" i="17"/>
  <c r="F9" i="17"/>
  <c r="E9" i="17"/>
  <c r="D9" i="17"/>
  <c r="C9" i="17"/>
  <c r="B9" i="17"/>
  <c r="AO33" i="42" l="1"/>
  <c r="AO34" i="42" s="1"/>
  <c r="AP33" i="42" s="1"/>
  <c r="AM189" i="42"/>
  <c r="AM188" i="42" s="1"/>
  <c r="AW392" i="42"/>
  <c r="AW378" i="42" s="1"/>
  <c r="AV378" i="42"/>
  <c r="AU354" i="42"/>
  <c r="AU345" i="42" s="1"/>
  <c r="AV332" i="42"/>
  <c r="AT355" i="42"/>
  <c r="AT356" i="42" s="1"/>
  <c r="AN243" i="42"/>
  <c r="AN261" i="42"/>
  <c r="AN30" i="42"/>
  <c r="AN186" i="42" s="1"/>
  <c r="AT345" i="42"/>
  <c r="AO188" i="39"/>
  <c r="AP186" i="39"/>
  <c r="AP187" i="39" s="1"/>
  <c r="AP189" i="39" s="1"/>
  <c r="AV378" i="39"/>
  <c r="AW392" i="39"/>
  <c r="AW378" i="39" s="1"/>
  <c r="AT354" i="39"/>
  <c r="AT345" i="39" s="1"/>
  <c r="AU332" i="39"/>
  <c r="AQ261" i="39"/>
  <c r="AQ243" i="39"/>
  <c r="AQ30" i="39"/>
  <c r="AS355" i="39"/>
  <c r="AS356" i="39" s="1"/>
  <c r="AR33" i="39"/>
  <c r="D28" i="17"/>
  <c r="D34" i="17"/>
  <c r="D30" i="17"/>
  <c r="D32" i="17"/>
  <c r="G46" i="17"/>
  <c r="H46" i="17"/>
  <c r="L46" i="17"/>
  <c r="E44" i="17"/>
  <c r="E46" i="17"/>
  <c r="B32" i="17"/>
  <c r="B46" i="17"/>
  <c r="F38" i="17"/>
  <c r="F46" i="17"/>
  <c r="J46" i="17"/>
  <c r="C46" i="17"/>
  <c r="K44" i="17"/>
  <c r="K46" i="17"/>
  <c r="I46" i="17"/>
  <c r="D46" i="17"/>
  <c r="I42" i="17"/>
  <c r="I38" i="17"/>
  <c r="I44" i="17"/>
  <c r="E42" i="17"/>
  <c r="F44" i="17"/>
  <c r="B38" i="17"/>
  <c r="J38" i="17"/>
  <c r="J44" i="17"/>
  <c r="E38" i="17"/>
  <c r="D18" i="17"/>
  <c r="G36" i="17"/>
  <c r="G26" i="17"/>
  <c r="G28" i="17"/>
  <c r="H34" i="17"/>
  <c r="H26" i="17"/>
  <c r="H28" i="17"/>
  <c r="L34" i="17"/>
  <c r="L26" i="17"/>
  <c r="L28" i="17"/>
  <c r="E30" i="17"/>
  <c r="E28" i="17"/>
  <c r="E26" i="17"/>
  <c r="C38" i="17"/>
  <c r="G38" i="17"/>
  <c r="K38" i="17"/>
  <c r="G44" i="17"/>
  <c r="L30" i="17"/>
  <c r="C36" i="17"/>
  <c r="C26" i="17"/>
  <c r="K36" i="17"/>
  <c r="K26" i="17"/>
  <c r="K28" i="17"/>
  <c r="D26" i="17"/>
  <c r="I30" i="17"/>
  <c r="I28" i="17"/>
  <c r="I26" i="17"/>
  <c r="B30" i="17"/>
  <c r="B26" i="17"/>
  <c r="F32" i="17"/>
  <c r="F28" i="17"/>
  <c r="F26" i="17"/>
  <c r="J32" i="17"/>
  <c r="J28" i="17"/>
  <c r="J26" i="17"/>
  <c r="D38" i="17"/>
  <c r="H38" i="17"/>
  <c r="D44" i="17"/>
  <c r="H44" i="17"/>
  <c r="F14" i="17"/>
  <c r="B42" i="17"/>
  <c r="K16" i="17"/>
  <c r="G22" i="17"/>
  <c r="G40" i="17"/>
  <c r="G16" i="17"/>
  <c r="B18" i="17"/>
  <c r="L20" i="17"/>
  <c r="D20" i="17"/>
  <c r="C22" i="17"/>
  <c r="L32" i="17"/>
  <c r="K30" i="17"/>
  <c r="C30" i="17"/>
  <c r="J36" i="17"/>
  <c r="J40" i="17"/>
  <c r="F40" i="17"/>
  <c r="L42" i="17"/>
  <c r="H42" i="17"/>
  <c r="D42" i="17"/>
  <c r="C34" i="17"/>
  <c r="C40" i="17"/>
  <c r="C16" i="17"/>
  <c r="L18" i="17"/>
  <c r="K20" i="17"/>
  <c r="C20" i="17"/>
  <c r="J24" i="17"/>
  <c r="H32" i="17"/>
  <c r="H30" i="17"/>
  <c r="K34" i="17"/>
  <c r="F36" i="17"/>
  <c r="B40" i="17"/>
  <c r="I40" i="17"/>
  <c r="E40" i="17"/>
  <c r="K42" i="17"/>
  <c r="G42" i="17"/>
  <c r="C42" i="17"/>
  <c r="G20" i="17"/>
  <c r="K40" i="17"/>
  <c r="J14" i="17"/>
  <c r="H18" i="17"/>
  <c r="H20" i="17"/>
  <c r="K22" i="17"/>
  <c r="F24" i="17"/>
  <c r="G30" i="17"/>
  <c r="G34" i="17"/>
  <c r="L40" i="17"/>
  <c r="H40" i="17"/>
  <c r="D40" i="17"/>
  <c r="J42" i="17"/>
  <c r="F42" i="17"/>
  <c r="I18" i="17"/>
  <c r="I32" i="17"/>
  <c r="J16" i="17"/>
  <c r="B14" i="17"/>
  <c r="E14" i="17"/>
  <c r="B24" i="17"/>
  <c r="E24" i="17"/>
  <c r="B36" i="17"/>
  <c r="E36" i="17"/>
  <c r="B16" i="17"/>
  <c r="I16" i="17"/>
  <c r="E16" i="17"/>
  <c r="L14" i="17"/>
  <c r="H14" i="17"/>
  <c r="D14" i="17"/>
  <c r="K18" i="17"/>
  <c r="G18" i="17"/>
  <c r="C18" i="17"/>
  <c r="J20" i="17"/>
  <c r="F20" i="17"/>
  <c r="B22" i="17"/>
  <c r="I22" i="17"/>
  <c r="E22" i="17"/>
  <c r="L24" i="17"/>
  <c r="H24" i="17"/>
  <c r="D24" i="17"/>
  <c r="K32" i="17"/>
  <c r="G32" i="17"/>
  <c r="C32" i="17"/>
  <c r="J30" i="17"/>
  <c r="F30" i="17"/>
  <c r="B34" i="17"/>
  <c r="I34" i="17"/>
  <c r="E34" i="17"/>
  <c r="L36" i="17"/>
  <c r="H36" i="17"/>
  <c r="D36" i="17"/>
  <c r="E18" i="17"/>
  <c r="E32" i="17"/>
  <c r="F16" i="17"/>
  <c r="I14" i="17"/>
  <c r="J22" i="17"/>
  <c r="F22" i="17"/>
  <c r="I24" i="17"/>
  <c r="J34" i="17"/>
  <c r="F34" i="17"/>
  <c r="I36" i="17"/>
  <c r="L16" i="17"/>
  <c r="H16" i="17"/>
  <c r="D16" i="17"/>
  <c r="K14" i="17"/>
  <c r="G14" i="17"/>
  <c r="C14" i="17"/>
  <c r="J18" i="17"/>
  <c r="F18" i="17"/>
  <c r="B20" i="17"/>
  <c r="I20" i="17"/>
  <c r="E20" i="17"/>
  <c r="L22" i="17"/>
  <c r="H22" i="17"/>
  <c r="D22" i="17"/>
  <c r="K24" i="17"/>
  <c r="G24" i="17"/>
  <c r="C24" i="17"/>
  <c r="H10" i="17"/>
  <c r="L10" i="17"/>
  <c r="D10" i="17"/>
  <c r="L38" i="17"/>
  <c r="C10" i="17"/>
  <c r="G10" i="17"/>
  <c r="I10" i="17"/>
  <c r="E10" i="17"/>
  <c r="J10" i="17"/>
  <c r="F10" i="17"/>
  <c r="K10" i="17"/>
  <c r="AO261" i="42" l="1"/>
  <c r="AO243" i="42"/>
  <c r="AO30" i="42"/>
  <c r="AO186" i="42" s="1"/>
  <c r="AV354" i="42"/>
  <c r="AW332" i="42"/>
  <c r="AP34" i="42"/>
  <c r="AN187" i="42"/>
  <c r="AU355" i="42"/>
  <c r="AU356" i="42" s="1"/>
  <c r="AP188" i="39"/>
  <c r="AQ186" i="39"/>
  <c r="AQ187" i="39" s="1"/>
  <c r="AQ189" i="39" s="1"/>
  <c r="AT355" i="39"/>
  <c r="AT356" i="39" s="1"/>
  <c r="AU354" i="39"/>
  <c r="AV332" i="39"/>
  <c r="AR34" i="39"/>
  <c r="L44" i="17"/>
  <c r="AP243" i="42" l="1"/>
  <c r="AP261" i="42"/>
  <c r="AP30" i="42"/>
  <c r="AP186" i="42" s="1"/>
  <c r="AW354" i="42"/>
  <c r="AW345" i="42" s="1"/>
  <c r="AV355" i="42"/>
  <c r="AV356" i="42" s="1"/>
  <c r="AN189" i="42"/>
  <c r="AN188" i="42" s="1"/>
  <c r="AO187" i="42"/>
  <c r="AV345" i="42"/>
  <c r="AQ33" i="42"/>
  <c r="AQ188" i="39"/>
  <c r="AR243" i="39"/>
  <c r="AR261" i="39"/>
  <c r="AR30" i="39"/>
  <c r="AU355" i="39"/>
  <c r="AU356" i="39" s="1"/>
  <c r="AS33" i="39"/>
  <c r="AU345" i="39"/>
  <c r="AV354" i="39"/>
  <c r="AW332" i="39"/>
  <c r="B302" i="7"/>
  <c r="B322" i="7"/>
  <c r="B328" i="7"/>
  <c r="B342" i="7"/>
  <c r="AQ34" i="42" l="1"/>
  <c r="AW355" i="42"/>
  <c r="AW356" i="42" s="1"/>
  <c r="AO189" i="42"/>
  <c r="AO188" i="42" s="1"/>
  <c r="AP187" i="42"/>
  <c r="AR186" i="39"/>
  <c r="AR187" i="39" s="1"/>
  <c r="AR189" i="39" s="1"/>
  <c r="AW354" i="39"/>
  <c r="AW345" i="39" s="1"/>
  <c r="AV355" i="39"/>
  <c r="AV356" i="39" s="1"/>
  <c r="AS34" i="39"/>
  <c r="AV345" i="39"/>
  <c r="C1" i="16"/>
  <c r="AP189" i="42" l="1"/>
  <c r="AP188" i="42" s="1"/>
  <c r="AQ261" i="42"/>
  <c r="AQ243" i="42"/>
  <c r="AQ30" i="42"/>
  <c r="AQ186" i="42" s="1"/>
  <c r="H7" i="42"/>
  <c r="D7" i="42"/>
  <c r="G7" i="42"/>
  <c r="I7" i="42"/>
  <c r="F7" i="42"/>
  <c r="E7" i="42"/>
  <c r="AR33" i="42"/>
  <c r="AR188" i="39"/>
  <c r="AT33" i="39"/>
  <c r="AT34" i="39" s="1"/>
  <c r="AU33" i="39" s="1"/>
  <c r="AS243" i="39"/>
  <c r="AS261" i="39"/>
  <c r="AS30" i="39"/>
  <c r="F7" i="39"/>
  <c r="H7" i="39"/>
  <c r="I7" i="39"/>
  <c r="E7" i="39"/>
  <c r="D7" i="39"/>
  <c r="G7" i="39"/>
  <c r="AW355" i="39"/>
  <c r="AW356" i="39" s="1"/>
  <c r="G8" i="39" l="1"/>
  <c r="F8" i="39"/>
  <c r="I8" i="39"/>
  <c r="H8" i="39"/>
  <c r="D8" i="39"/>
  <c r="E8" i="39"/>
  <c r="G8" i="42"/>
  <c r="F8" i="42"/>
  <c r="E8" i="42"/>
  <c r="H8" i="42"/>
  <c r="I8" i="42"/>
  <c r="D8" i="42"/>
  <c r="AQ187" i="42"/>
  <c r="AR34" i="42"/>
  <c r="AS33" i="42" s="1"/>
  <c r="AS186" i="39"/>
  <c r="AS187" i="39" s="1"/>
  <c r="AS189" i="39" s="1"/>
  <c r="AU34" i="39"/>
  <c r="AV33" i="39" s="1"/>
  <c r="AT261" i="39"/>
  <c r="AT243" i="39"/>
  <c r="AT30" i="39"/>
  <c r="AS34" i="42" l="1"/>
  <c r="AQ189" i="42"/>
  <c r="AQ188" i="42" s="1"/>
  <c r="AR243" i="42"/>
  <c r="AR261" i="42"/>
  <c r="AR30" i="42"/>
  <c r="AR186" i="42" s="1"/>
  <c r="AS188" i="39"/>
  <c r="AT186" i="39"/>
  <c r="AT187" i="39" s="1"/>
  <c r="AT189" i="39" s="1"/>
  <c r="AV34" i="39"/>
  <c r="AU243" i="39"/>
  <c r="AU261" i="39"/>
  <c r="AU30" i="39"/>
  <c r="AR187" i="42" l="1"/>
  <c r="AS243" i="42"/>
  <c r="AS261" i="42"/>
  <c r="AS30" i="42"/>
  <c r="AS186" i="42" s="1"/>
  <c r="AT33" i="42"/>
  <c r="AT188" i="39"/>
  <c r="AU186" i="39"/>
  <c r="AU187" i="39" s="1"/>
  <c r="AU189" i="39" s="1"/>
  <c r="AV243" i="39"/>
  <c r="AV261" i="39"/>
  <c r="AV30" i="39"/>
  <c r="AW33" i="39"/>
  <c r="AW34" i="39" s="1"/>
  <c r="B370" i="7"/>
  <c r="B187" i="7"/>
  <c r="B186" i="7"/>
  <c r="B184" i="7"/>
  <c r="B176" i="7"/>
  <c r="B165" i="7"/>
  <c r="B161" i="7"/>
  <c r="B154" i="7"/>
  <c r="B146" i="7"/>
  <c r="B109" i="7"/>
  <c r="B110" i="7"/>
  <c r="B108" i="7"/>
  <c r="B107" i="7"/>
  <c r="B106" i="7"/>
  <c r="B105" i="7"/>
  <c r="B101" i="7"/>
  <c r="B102" i="7"/>
  <c r="B103" i="7"/>
  <c r="B95" i="7"/>
  <c r="B92" i="7"/>
  <c r="B91" i="7"/>
  <c r="B90" i="7"/>
  <c r="B89" i="7"/>
  <c r="B88" i="7"/>
  <c r="B67" i="7"/>
  <c r="B50" i="7"/>
  <c r="B32" i="7"/>
  <c r="B24" i="7"/>
  <c r="B20" i="7"/>
  <c r="B12" i="7"/>
  <c r="B100" i="7"/>
  <c r="B99" i="7"/>
  <c r="AR189" i="42" l="1"/>
  <c r="AR188" i="42" s="1"/>
  <c r="AS187" i="42"/>
  <c r="AT34" i="42"/>
  <c r="AU188" i="39"/>
  <c r="AV186" i="39"/>
  <c r="AV187" i="39" s="1"/>
  <c r="AV189" i="39" s="1"/>
  <c r="AW261" i="39"/>
  <c r="AW243" i="39"/>
  <c r="AW30" i="39"/>
  <c r="AT243" i="42" l="1"/>
  <c r="AT261" i="42"/>
  <c r="AT30" i="42"/>
  <c r="AT186" i="42" s="1"/>
  <c r="AS189" i="42"/>
  <c r="AS188" i="42" s="1"/>
  <c r="AU33" i="42"/>
  <c r="AV188" i="39"/>
  <c r="AW186" i="39"/>
  <c r="AW187" i="39" s="1"/>
  <c r="AW189" i="39" s="1"/>
  <c r="AT187" i="42" l="1"/>
  <c r="AT189" i="42" s="1"/>
  <c r="AT188" i="42" s="1"/>
  <c r="AU34" i="42"/>
  <c r="AW188" i="39"/>
  <c r="AU243" i="42" l="1"/>
  <c r="AU261" i="42"/>
  <c r="AU30" i="42"/>
  <c r="AV33" i="42"/>
  <c r="B293" i="7"/>
  <c r="B294" i="7"/>
  <c r="B295" i="7"/>
  <c r="B292" i="7"/>
  <c r="D296" i="7"/>
  <c r="E296" i="7"/>
  <c r="F296" i="7"/>
  <c r="G296" i="7"/>
  <c r="H296" i="7"/>
  <c r="I296" i="7"/>
  <c r="B152" i="7"/>
  <c r="B137" i="7"/>
  <c r="B168" i="7"/>
  <c r="B178" i="7"/>
  <c r="B221" i="7"/>
  <c r="B220" i="7"/>
  <c r="B219" i="7"/>
  <c r="B268" i="7"/>
  <c r="B267" i="7"/>
  <c r="B266" i="7"/>
  <c r="B265" i="7"/>
  <c r="B264" i="7"/>
  <c r="B278" i="7"/>
  <c r="B283" i="7"/>
  <c r="B289" i="7"/>
  <c r="B299" i="7"/>
  <c r="B183" i="7"/>
  <c r="B133" i="7"/>
  <c r="B132" i="7"/>
  <c r="B182" i="7"/>
  <c r="B131" i="7"/>
  <c r="B353" i="7"/>
  <c r="B354" i="7"/>
  <c r="B352" i="7"/>
  <c r="B181" i="7"/>
  <c r="B180" i="7"/>
  <c r="B179" i="7"/>
  <c r="B128" i="7"/>
  <c r="B129" i="7"/>
  <c r="B348" i="7"/>
  <c r="B349" i="7"/>
  <c r="AU186" i="42" l="1"/>
  <c r="AU187" i="42"/>
  <c r="AV34" i="42"/>
  <c r="AW33" i="42" s="1"/>
  <c r="AW34" i="42" s="1"/>
  <c r="AW261" i="42" l="1"/>
  <c r="AW243" i="42"/>
  <c r="AW30" i="42"/>
  <c r="AU189" i="42"/>
  <c r="AU188" i="42" s="1"/>
  <c r="AV243" i="42"/>
  <c r="AV261" i="42"/>
  <c r="AV30" i="42"/>
  <c r="AV187" i="42" s="1"/>
  <c r="B127" i="7"/>
  <c r="AW187" i="42" l="1"/>
  <c r="AV189" i="42"/>
  <c r="AV188" i="42" s="1"/>
  <c r="AV186" i="42"/>
  <c r="AW186" i="42" s="1"/>
  <c r="B123" i="7"/>
  <c r="B272" i="7"/>
  <c r="B273" i="7"/>
  <c r="B274" i="7"/>
  <c r="B275" i="7"/>
  <c r="B276" i="7"/>
  <c r="B271" i="7"/>
  <c r="B333" i="7"/>
  <c r="B332" i="7"/>
  <c r="B331" i="7"/>
  <c r="B174" i="7"/>
  <c r="B175" i="7"/>
  <c r="B173" i="7"/>
  <c r="B122" i="7"/>
  <c r="AW189" i="42" l="1"/>
  <c r="AW188" i="42" s="1"/>
  <c r="B327" i="7"/>
  <c r="B326" i="7"/>
  <c r="B325" i="7"/>
  <c r="B324" i="7"/>
  <c r="B323" i="7"/>
  <c r="B321" i="7"/>
  <c r="B320" i="7"/>
  <c r="B319" i="7"/>
  <c r="B318" i="7"/>
  <c r="B118" i="7"/>
  <c r="B119" i="7"/>
  <c r="B120" i="7"/>
  <c r="B121" i="7"/>
  <c r="B315" i="7"/>
  <c r="B314" i="7"/>
  <c r="B313" i="7"/>
  <c r="B172" i="7"/>
  <c r="B303" i="7"/>
  <c r="B171" i="7"/>
  <c r="B169" i="7"/>
  <c r="B170" i="7"/>
  <c r="B116" i="7"/>
  <c r="B117" i="7"/>
  <c r="B374" i="7"/>
  <c r="B373" i="7"/>
  <c r="B372" i="7"/>
  <c r="B368" i="7" l="1"/>
  <c r="B367" i="7"/>
  <c r="B366" i="7"/>
  <c r="B364" i="7"/>
  <c r="B363" i="7"/>
  <c r="B362" i="7"/>
  <c r="B361" i="7"/>
  <c r="B360" i="7"/>
  <c r="B359" i="7"/>
  <c r="B358" i="7"/>
  <c r="B205" i="7" l="1"/>
  <c r="B204" i="7"/>
  <c r="B203" i="7"/>
  <c r="B202" i="7"/>
  <c r="B115" i="7"/>
  <c r="B298" i="7"/>
  <c r="B145" i="7"/>
  <c r="B144" i="7"/>
  <c r="B142" i="7"/>
  <c r="B140" i="7"/>
  <c r="B139" i="7"/>
  <c r="B130" i="7"/>
  <c r="B167" i="7"/>
  <c r="B114" i="7" l="1"/>
  <c r="B27" i="7" l="1"/>
  <c r="B26" i="7"/>
  <c r="B31" i="7"/>
  <c r="B164" i="7"/>
  <c r="B29" i="7"/>
  <c r="B288" i="7"/>
  <c r="B282" i="7"/>
  <c r="B287" i="7"/>
  <c r="B281" i="7"/>
  <c r="B286" i="7"/>
  <c r="B280" i="7"/>
  <c r="B158" i="7"/>
  <c r="B163" i="7"/>
  <c r="B201" i="7" l="1"/>
  <c r="B200" i="7"/>
  <c r="B199" i="7"/>
  <c r="B49" i="7" l="1"/>
  <c r="B66" i="7"/>
  <c r="B65" i="7"/>
  <c r="B48" i="7"/>
  <c r="B64" i="7"/>
  <c r="B47" i="7"/>
  <c r="B63" i="7"/>
  <c r="B46" i="7"/>
  <c r="B62" i="7"/>
  <c r="B45" i="7"/>
  <c r="B61" i="7"/>
  <c r="B44" i="7"/>
  <c r="B197" i="7"/>
  <c r="B198" i="7"/>
  <c r="B196" i="7"/>
  <c r="B43" i="7"/>
  <c r="B60" i="7"/>
  <c r="B41" i="7" l="1"/>
  <c r="B42" i="7"/>
  <c r="B58" i="7"/>
  <c r="B59" i="7"/>
  <c r="B40" i="7"/>
  <c r="B57" i="7"/>
  <c r="B345" i="7"/>
  <c r="B344" i="7"/>
  <c r="B343" i="7"/>
  <c r="B340" i="7"/>
  <c r="B339" i="7"/>
  <c r="B338" i="7"/>
  <c r="B337" i="7"/>
  <c r="B336" i="7"/>
  <c r="B341" i="7"/>
  <c r="B39" i="7" l="1"/>
  <c r="B56" i="7"/>
  <c r="B195" i="7"/>
  <c r="B310" i="7"/>
  <c r="B309" i="7"/>
  <c r="B308" i="7"/>
  <c r="B307" i="7"/>
  <c r="B306" i="7"/>
  <c r="B305" i="7"/>
  <c r="B194" i="7" l="1"/>
  <c r="B55" i="7"/>
  <c r="B38" i="7"/>
  <c r="B22" i="7" l="1"/>
  <c r="B21" i="7"/>
  <c r="B54" i="7"/>
  <c r="B37" i="7"/>
  <c r="B261" i="7" l="1"/>
  <c r="B260" i="7"/>
  <c r="B259" i="7"/>
  <c r="B190" i="7"/>
  <c r="B191" i="7"/>
  <c r="B189" i="7"/>
  <c r="B160" i="7"/>
  <c r="B19" i="7"/>
  <c r="B256" i="7"/>
  <c r="B255" i="7"/>
  <c r="B254" i="7"/>
  <c r="B159" i="7"/>
  <c r="B18" i="7"/>
  <c r="B251" i="7"/>
  <c r="B250" i="7"/>
  <c r="B249" i="7"/>
  <c r="B248" i="7"/>
  <c r="B17" i="7"/>
  <c r="B245" i="7"/>
  <c r="B244" i="7"/>
  <c r="B243" i="7"/>
  <c r="B242" i="7"/>
  <c r="B16" i="7"/>
  <c r="B15" i="7"/>
  <c r="B238" i="7"/>
  <c r="B239" i="7"/>
  <c r="B237" i="7"/>
  <c r="B157" i="7"/>
  <c r="B193" i="7"/>
  <c r="B36" i="7"/>
  <c r="B53" i="7"/>
  <c r="B156" i="7"/>
  <c r="B234" i="7"/>
  <c r="B233" i="7"/>
  <c r="B226" i="7"/>
  <c r="B227" i="7"/>
  <c r="B228" i="7"/>
  <c r="B229" i="7"/>
  <c r="B230" i="7"/>
  <c r="B225" i="7"/>
  <c r="B224" i="7"/>
  <c r="B216" i="7"/>
  <c r="B215" i="7"/>
  <c r="B209" i="7"/>
  <c r="B210" i="7"/>
  <c r="B211" i="7"/>
  <c r="B212" i="7"/>
  <c r="B208" i="7"/>
  <c r="B153" i="7"/>
  <c r="B150" i="7"/>
  <c r="B151" i="7"/>
  <c r="B149" i="7"/>
  <c r="B84" i="7"/>
  <c r="B85" i="7"/>
  <c r="B83" i="7"/>
  <c r="B82" i="7"/>
  <c r="B81" i="7"/>
  <c r="B78" i="7"/>
  <c r="B77" i="7"/>
  <c r="B76" i="7"/>
  <c r="B71" i="7"/>
  <c r="B72" i="7"/>
  <c r="B73" i="7"/>
  <c r="B74" i="7"/>
  <c r="B231" i="7"/>
  <c r="F235" i="7" l="1"/>
  <c r="G235" i="7"/>
  <c r="H235" i="7"/>
  <c r="I235" i="7"/>
  <c r="E235" i="7"/>
  <c r="D235" i="7"/>
  <c r="D232" i="7" l="1"/>
  <c r="E232" i="7"/>
  <c r="F232" i="7"/>
  <c r="G232" i="7"/>
  <c r="H232" i="7"/>
  <c r="I232" i="7"/>
  <c r="D207" i="1" l="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AP207" i="1"/>
  <c r="AQ207" i="1"/>
  <c r="AR207" i="1"/>
  <c r="AS207" i="1"/>
  <c r="AT207" i="1"/>
  <c r="AU207" i="1"/>
  <c r="AV207" i="1"/>
  <c r="AW207" i="1"/>
  <c r="AX207" i="1"/>
  <c r="AY207" i="1"/>
  <c r="AZ207" i="1"/>
  <c r="BA207" i="1"/>
  <c r="BB207" i="1"/>
  <c r="BC207" i="1"/>
  <c r="BD207" i="1"/>
  <c r="J21" i="42" l="1"/>
  <c r="F187" i="7"/>
  <c r="G187" i="7"/>
  <c r="H187" i="7"/>
  <c r="I187" i="7"/>
  <c r="E187" i="7"/>
  <c r="D187" i="7"/>
  <c r="F334" i="7"/>
  <c r="G334" i="7"/>
  <c r="H334" i="7"/>
  <c r="I334" i="7"/>
  <c r="D334" i="7"/>
  <c r="E334" i="7"/>
  <c r="F316" i="7"/>
  <c r="G316" i="7"/>
  <c r="H316" i="7"/>
  <c r="I316" i="7"/>
  <c r="E316" i="7"/>
  <c r="D316" i="7"/>
  <c r="K21" i="39" l="1"/>
  <c r="J22" i="39"/>
  <c r="J22" i="42"/>
  <c r="K21" i="42"/>
  <c r="L21" i="42" l="1"/>
  <c r="K22" i="42"/>
  <c r="L21" i="39"/>
  <c r="K22" i="39"/>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AP219" i="1"/>
  <c r="AQ219" i="1"/>
  <c r="AR219" i="1"/>
  <c r="AS219" i="1"/>
  <c r="AT219" i="1"/>
  <c r="AU219" i="1"/>
  <c r="AV219" i="1"/>
  <c r="AW219" i="1"/>
  <c r="AX219" i="1"/>
  <c r="AY219" i="1"/>
  <c r="AZ219" i="1"/>
  <c r="BA219" i="1"/>
  <c r="BB219" i="1"/>
  <c r="BC219" i="1"/>
  <c r="BD219" i="1"/>
  <c r="D220" i="1"/>
  <c r="E220"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I220" i="1"/>
  <c r="AJ220" i="1"/>
  <c r="AK220" i="1"/>
  <c r="AL220" i="1"/>
  <c r="AM220" i="1"/>
  <c r="AN220" i="1"/>
  <c r="AO220" i="1"/>
  <c r="AP220" i="1"/>
  <c r="AQ220" i="1"/>
  <c r="AR220" i="1"/>
  <c r="AS220" i="1"/>
  <c r="AT220" i="1"/>
  <c r="AU220" i="1"/>
  <c r="AV220" i="1"/>
  <c r="AW220" i="1"/>
  <c r="AX220" i="1"/>
  <c r="AY220" i="1"/>
  <c r="AZ220" i="1"/>
  <c r="BA220" i="1"/>
  <c r="BB220" i="1"/>
  <c r="BC220" i="1"/>
  <c r="BD220" i="1"/>
  <c r="D221"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J221" i="1"/>
  <c r="AK221" i="1"/>
  <c r="AL221" i="1"/>
  <c r="AM221" i="1"/>
  <c r="AN221" i="1"/>
  <c r="AO221" i="1"/>
  <c r="AP221" i="1"/>
  <c r="AQ221" i="1"/>
  <c r="AR221" i="1"/>
  <c r="AS221" i="1"/>
  <c r="AT221" i="1"/>
  <c r="AU221" i="1"/>
  <c r="AV221" i="1"/>
  <c r="AW221" i="1"/>
  <c r="AX221" i="1"/>
  <c r="AY221" i="1"/>
  <c r="AZ221" i="1"/>
  <c r="BA221" i="1"/>
  <c r="BB221" i="1"/>
  <c r="BC221" i="1"/>
  <c r="BD221" i="1"/>
  <c r="C221" i="1"/>
  <c r="C220" i="1"/>
  <c r="C219"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G218" i="1"/>
  <c r="AH218" i="1"/>
  <c r="AI218" i="1"/>
  <c r="AJ218" i="1"/>
  <c r="AK218" i="1"/>
  <c r="AL218" i="1"/>
  <c r="AM218" i="1"/>
  <c r="AN218" i="1"/>
  <c r="AO218" i="1"/>
  <c r="AP218" i="1"/>
  <c r="AQ218" i="1"/>
  <c r="AR218" i="1"/>
  <c r="AS218" i="1"/>
  <c r="AT218" i="1"/>
  <c r="AU218" i="1"/>
  <c r="AV218" i="1"/>
  <c r="AW218" i="1"/>
  <c r="AX218" i="1"/>
  <c r="AY218" i="1"/>
  <c r="AZ218" i="1"/>
  <c r="BA218" i="1"/>
  <c r="BB218" i="1"/>
  <c r="BC218" i="1"/>
  <c r="BD218" i="1"/>
  <c r="C218" i="1"/>
  <c r="D215"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AF215" i="1"/>
  <c r="AG215" i="1"/>
  <c r="AH215" i="1"/>
  <c r="AI215" i="1"/>
  <c r="AJ215" i="1"/>
  <c r="AK215" i="1"/>
  <c r="AL215" i="1"/>
  <c r="AM215" i="1"/>
  <c r="AN215" i="1"/>
  <c r="AO215" i="1"/>
  <c r="AP215" i="1"/>
  <c r="AQ215" i="1"/>
  <c r="AR215" i="1"/>
  <c r="AS215" i="1"/>
  <c r="AT215" i="1"/>
  <c r="AU215" i="1"/>
  <c r="AV215" i="1"/>
  <c r="AW215" i="1"/>
  <c r="AX215" i="1"/>
  <c r="AY215" i="1"/>
  <c r="AZ215" i="1"/>
  <c r="BA215" i="1"/>
  <c r="BB215" i="1"/>
  <c r="BC215" i="1"/>
  <c r="BD215"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AG216" i="1"/>
  <c r="AH216" i="1"/>
  <c r="AI216" i="1"/>
  <c r="AJ216" i="1"/>
  <c r="AK216" i="1"/>
  <c r="AL216" i="1"/>
  <c r="AM216" i="1"/>
  <c r="AN216" i="1"/>
  <c r="AO216" i="1"/>
  <c r="AP216" i="1"/>
  <c r="AQ216" i="1"/>
  <c r="AR216" i="1"/>
  <c r="AS216" i="1"/>
  <c r="AT216" i="1"/>
  <c r="AU216" i="1"/>
  <c r="AV216" i="1"/>
  <c r="AW216" i="1"/>
  <c r="AX216" i="1"/>
  <c r="AY216" i="1"/>
  <c r="AZ216" i="1"/>
  <c r="BA216" i="1"/>
  <c r="BB216" i="1"/>
  <c r="BC216" i="1"/>
  <c r="BD216"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AG217" i="1"/>
  <c r="AH217" i="1"/>
  <c r="AI217" i="1"/>
  <c r="AJ217" i="1"/>
  <c r="AK217" i="1"/>
  <c r="AL217" i="1"/>
  <c r="AM217" i="1"/>
  <c r="AN217" i="1"/>
  <c r="AO217" i="1"/>
  <c r="AP217" i="1"/>
  <c r="AQ217" i="1"/>
  <c r="AR217" i="1"/>
  <c r="AS217" i="1"/>
  <c r="AT217" i="1"/>
  <c r="AU217" i="1"/>
  <c r="AV217" i="1"/>
  <c r="AW217" i="1"/>
  <c r="AX217" i="1"/>
  <c r="AY217" i="1"/>
  <c r="AZ217" i="1"/>
  <c r="BA217" i="1"/>
  <c r="BB217" i="1"/>
  <c r="BC217" i="1"/>
  <c r="BD217" i="1"/>
  <c r="C217" i="1"/>
  <c r="C216" i="1"/>
  <c r="C215" i="1"/>
  <c r="D213"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AF213" i="1"/>
  <c r="AG213" i="1"/>
  <c r="AH213" i="1"/>
  <c r="AI213" i="1"/>
  <c r="AJ213" i="1"/>
  <c r="AK213" i="1"/>
  <c r="AL213" i="1"/>
  <c r="AM213" i="1"/>
  <c r="AN213" i="1"/>
  <c r="AO213" i="1"/>
  <c r="AP213" i="1"/>
  <c r="AQ213" i="1"/>
  <c r="AR213" i="1"/>
  <c r="AS213" i="1"/>
  <c r="AT213" i="1"/>
  <c r="AU213" i="1"/>
  <c r="AV213" i="1"/>
  <c r="AW213" i="1"/>
  <c r="AX213" i="1"/>
  <c r="AY213" i="1"/>
  <c r="AZ213" i="1"/>
  <c r="BA213" i="1"/>
  <c r="BB213" i="1"/>
  <c r="BC213" i="1"/>
  <c r="BD213"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AG214" i="1"/>
  <c r="AH214" i="1"/>
  <c r="AI214" i="1"/>
  <c r="AJ214" i="1"/>
  <c r="AK214" i="1"/>
  <c r="AL214" i="1"/>
  <c r="AM214" i="1"/>
  <c r="AN214" i="1"/>
  <c r="AO214" i="1"/>
  <c r="AP214" i="1"/>
  <c r="AQ214" i="1"/>
  <c r="AR214" i="1"/>
  <c r="AS214" i="1"/>
  <c r="AT214" i="1"/>
  <c r="AU214" i="1"/>
  <c r="AV214" i="1"/>
  <c r="AW214" i="1"/>
  <c r="AX214" i="1"/>
  <c r="AY214" i="1"/>
  <c r="AZ214" i="1"/>
  <c r="BA214" i="1"/>
  <c r="BB214" i="1"/>
  <c r="BC214" i="1"/>
  <c r="BD214" i="1"/>
  <c r="C214" i="1"/>
  <c r="C213"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AG212" i="1"/>
  <c r="AH212" i="1"/>
  <c r="AI212" i="1"/>
  <c r="AJ212" i="1"/>
  <c r="AK212" i="1"/>
  <c r="AL212" i="1"/>
  <c r="AM212" i="1"/>
  <c r="AN212" i="1"/>
  <c r="AO212" i="1"/>
  <c r="AP212" i="1"/>
  <c r="AQ212" i="1"/>
  <c r="AR212" i="1"/>
  <c r="AS212" i="1"/>
  <c r="AT212" i="1"/>
  <c r="AU212" i="1"/>
  <c r="AV212" i="1"/>
  <c r="AW212" i="1"/>
  <c r="AX212" i="1"/>
  <c r="AY212" i="1"/>
  <c r="AZ212" i="1"/>
  <c r="BA212" i="1"/>
  <c r="BB212" i="1"/>
  <c r="BC212" i="1"/>
  <c r="BD212" i="1"/>
  <c r="C212"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AP210" i="1"/>
  <c r="AQ210" i="1"/>
  <c r="AR210" i="1"/>
  <c r="AS210" i="1"/>
  <c r="AT210" i="1"/>
  <c r="AU210" i="1"/>
  <c r="AV210" i="1"/>
  <c r="AW210" i="1"/>
  <c r="AX210" i="1"/>
  <c r="AY210" i="1"/>
  <c r="AZ210" i="1"/>
  <c r="BA210" i="1"/>
  <c r="BB210" i="1"/>
  <c r="BC210" i="1"/>
  <c r="BD210"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AP211" i="1"/>
  <c r="AQ211" i="1"/>
  <c r="AR211" i="1"/>
  <c r="AS211" i="1"/>
  <c r="AT211" i="1"/>
  <c r="AU211" i="1"/>
  <c r="AV211" i="1"/>
  <c r="AW211" i="1"/>
  <c r="AX211" i="1"/>
  <c r="AY211" i="1"/>
  <c r="AZ211" i="1"/>
  <c r="BA211" i="1"/>
  <c r="BB211" i="1"/>
  <c r="BC211" i="1"/>
  <c r="BD211" i="1"/>
  <c r="C211" i="1"/>
  <c r="C210"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AG209" i="1"/>
  <c r="AH209" i="1"/>
  <c r="AI209" i="1"/>
  <c r="AJ209" i="1"/>
  <c r="AK209" i="1"/>
  <c r="AL209" i="1"/>
  <c r="AM209" i="1"/>
  <c r="AN209" i="1"/>
  <c r="AO209" i="1"/>
  <c r="AP209" i="1"/>
  <c r="AQ209" i="1"/>
  <c r="AR209" i="1"/>
  <c r="AS209" i="1"/>
  <c r="AT209" i="1"/>
  <c r="AU209" i="1"/>
  <c r="AV209" i="1"/>
  <c r="AW209" i="1"/>
  <c r="AX209" i="1"/>
  <c r="AY209" i="1"/>
  <c r="AZ209" i="1"/>
  <c r="BA209" i="1"/>
  <c r="BB209" i="1"/>
  <c r="BC209" i="1"/>
  <c r="BD209" i="1"/>
  <c r="C209"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AG208" i="1"/>
  <c r="AH208" i="1"/>
  <c r="AI208" i="1"/>
  <c r="AJ208" i="1"/>
  <c r="AK208" i="1"/>
  <c r="AL208" i="1"/>
  <c r="AM208" i="1"/>
  <c r="AN208" i="1"/>
  <c r="AO208" i="1"/>
  <c r="AP208" i="1"/>
  <c r="AQ208" i="1"/>
  <c r="AR208" i="1"/>
  <c r="AS208" i="1"/>
  <c r="AT208" i="1"/>
  <c r="AU208" i="1"/>
  <c r="AV208" i="1"/>
  <c r="AW208" i="1"/>
  <c r="AX208" i="1"/>
  <c r="AY208" i="1"/>
  <c r="AZ208" i="1"/>
  <c r="BA208" i="1"/>
  <c r="BB208" i="1"/>
  <c r="BC208" i="1"/>
  <c r="BD208" i="1"/>
  <c r="C208" i="1"/>
  <c r="P47" i="3"/>
  <c r="I47" i="3"/>
  <c r="L22" i="39" l="1"/>
  <c r="M21" i="39"/>
  <c r="L22" i="42"/>
  <c r="M21" i="42"/>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AK222" i="1"/>
  <c r="AL222" i="1"/>
  <c r="AM222" i="1"/>
  <c r="AN222" i="1"/>
  <c r="AO222" i="1"/>
  <c r="AP222" i="1"/>
  <c r="AQ222" i="1"/>
  <c r="AR222" i="1"/>
  <c r="AS222" i="1"/>
  <c r="AT222" i="1"/>
  <c r="AU222" i="1"/>
  <c r="AV222" i="1"/>
  <c r="AW222" i="1"/>
  <c r="AX222" i="1"/>
  <c r="AY222" i="1"/>
  <c r="AZ222" i="1"/>
  <c r="BA222" i="1"/>
  <c r="BB222" i="1"/>
  <c r="BC222" i="1"/>
  <c r="BD222" i="1"/>
  <c r="C222" i="1"/>
  <c r="B47" i="3"/>
  <c r="J166" i="42" l="1"/>
  <c r="J166" i="39"/>
  <c r="M22" i="42"/>
  <c r="N21" i="42"/>
  <c r="N21" i="39"/>
  <c r="M22" i="39"/>
  <c r="B10" i="7"/>
  <c r="N22" i="42" l="1"/>
  <c r="O21" i="42"/>
  <c r="O21" i="39"/>
  <c r="N22" i="39"/>
  <c r="K166" i="39"/>
  <c r="K166" i="42"/>
  <c r="D217" i="7"/>
  <c r="E217" i="7"/>
  <c r="F217" i="7"/>
  <c r="G217" i="7"/>
  <c r="H217" i="7"/>
  <c r="I217" i="7"/>
  <c r="D375" i="7"/>
  <c r="E375" i="7"/>
  <c r="E376" i="7" s="1"/>
  <c r="F375" i="7"/>
  <c r="F376" i="7" s="1"/>
  <c r="G375" i="7"/>
  <c r="G376" i="7" s="1"/>
  <c r="H375" i="7"/>
  <c r="H376" i="7" s="1"/>
  <c r="I375" i="7"/>
  <c r="I376" i="7" s="1"/>
  <c r="D365" i="7"/>
  <c r="E365" i="7"/>
  <c r="F365" i="7"/>
  <c r="G365" i="7"/>
  <c r="H365" i="7"/>
  <c r="I365" i="7"/>
  <c r="D369" i="7"/>
  <c r="E369" i="7"/>
  <c r="F369" i="7"/>
  <c r="G369" i="7"/>
  <c r="H369" i="7"/>
  <c r="I369" i="7"/>
  <c r="D355" i="7"/>
  <c r="E355" i="7"/>
  <c r="F355" i="7"/>
  <c r="G355" i="7"/>
  <c r="H355" i="7"/>
  <c r="I355" i="7"/>
  <c r="D350" i="7"/>
  <c r="E350" i="7"/>
  <c r="F350" i="7"/>
  <c r="G350" i="7"/>
  <c r="H350" i="7"/>
  <c r="I350" i="7"/>
  <c r="D328" i="7"/>
  <c r="D311" i="7"/>
  <c r="E311" i="7"/>
  <c r="F311" i="7"/>
  <c r="G311" i="7"/>
  <c r="H311" i="7"/>
  <c r="I311" i="7"/>
  <c r="D300" i="7"/>
  <c r="E300" i="7"/>
  <c r="F300" i="7"/>
  <c r="G300" i="7"/>
  <c r="H300" i="7"/>
  <c r="I300" i="7"/>
  <c r="P21" i="42" l="1"/>
  <c r="O22" i="42"/>
  <c r="O22" i="39"/>
  <c r="P21" i="39"/>
  <c r="L166" i="39"/>
  <c r="L166" i="42"/>
  <c r="E328" i="7"/>
  <c r="F328" i="7" s="1"/>
  <c r="G328" i="7" s="1"/>
  <c r="H328" i="7" s="1"/>
  <c r="I328" i="7" s="1"/>
  <c r="G371" i="7"/>
  <c r="D376" i="7"/>
  <c r="H371" i="7"/>
  <c r="F371" i="7"/>
  <c r="I371" i="7"/>
  <c r="E371" i="7"/>
  <c r="D371" i="7"/>
  <c r="D290" i="7"/>
  <c r="E290" i="7"/>
  <c r="F290" i="7"/>
  <c r="G290" i="7"/>
  <c r="H290" i="7"/>
  <c r="I290" i="7"/>
  <c r="D284" i="7"/>
  <c r="E284" i="7"/>
  <c r="F284" i="7"/>
  <c r="G284" i="7"/>
  <c r="H284" i="7"/>
  <c r="I284" i="7"/>
  <c r="M166" i="39" l="1"/>
  <c r="Q21" i="39"/>
  <c r="P22" i="39"/>
  <c r="Q21" i="42"/>
  <c r="P22" i="42"/>
  <c r="M166" i="42"/>
  <c r="N166" i="42" l="1"/>
  <c r="N166" i="39"/>
  <c r="Q22" i="42"/>
  <c r="R21" i="42"/>
  <c r="R21" i="39"/>
  <c r="Q22" i="39"/>
  <c r="D277" i="7"/>
  <c r="E277" i="7"/>
  <c r="F277" i="7"/>
  <c r="G277" i="7"/>
  <c r="H277" i="7"/>
  <c r="I277" i="7"/>
  <c r="D269" i="7"/>
  <c r="E269" i="7"/>
  <c r="F269" i="7"/>
  <c r="G269" i="7"/>
  <c r="H269" i="7"/>
  <c r="I269" i="7"/>
  <c r="O166" i="39" l="1"/>
  <c r="R22" i="42"/>
  <c r="S21" i="42"/>
  <c r="O166" i="42"/>
  <c r="R22" i="39"/>
  <c r="S21" i="39"/>
  <c r="D34" i="7"/>
  <c r="E34" i="7"/>
  <c r="F34" i="7"/>
  <c r="G34" i="7"/>
  <c r="H34" i="7"/>
  <c r="I34" i="7"/>
  <c r="D28" i="7"/>
  <c r="E28" i="7"/>
  <c r="E30" i="7" s="1"/>
  <c r="F28" i="7"/>
  <c r="F30" i="7" s="1"/>
  <c r="G28" i="7"/>
  <c r="G30" i="7" s="1"/>
  <c r="H28" i="7"/>
  <c r="H30" i="7" s="1"/>
  <c r="D23" i="7"/>
  <c r="E23" i="7"/>
  <c r="F23" i="7"/>
  <c r="G23" i="7"/>
  <c r="H23" i="7"/>
  <c r="I28" i="7"/>
  <c r="I30" i="7" s="1"/>
  <c r="F192" i="7"/>
  <c r="G192" i="7"/>
  <c r="H192" i="7"/>
  <c r="I192" i="7"/>
  <c r="E192" i="7"/>
  <c r="P166" i="42" l="1"/>
  <c r="S22" i="39"/>
  <c r="T21" i="39"/>
  <c r="P166" i="39"/>
  <c r="T21" i="42"/>
  <c r="S22" i="42"/>
  <c r="D30" i="7"/>
  <c r="D192" i="7"/>
  <c r="G262" i="7"/>
  <c r="H262" i="7"/>
  <c r="I262" i="7"/>
  <c r="F262" i="7"/>
  <c r="E262" i="7"/>
  <c r="D262" i="7"/>
  <c r="D257" i="7"/>
  <c r="E257" i="7"/>
  <c r="F257" i="7"/>
  <c r="G257" i="7"/>
  <c r="H257" i="7"/>
  <c r="I257" i="7"/>
  <c r="D252" i="7"/>
  <c r="E252" i="7"/>
  <c r="F252" i="7"/>
  <c r="G252" i="7"/>
  <c r="H252" i="7"/>
  <c r="I252" i="7"/>
  <c r="Q166" i="39" l="1"/>
  <c r="U21" i="39"/>
  <c r="T22" i="39"/>
  <c r="Q166" i="42"/>
  <c r="T22" i="42"/>
  <c r="U21" i="42"/>
  <c r="D246" i="7"/>
  <c r="E246" i="7"/>
  <c r="F246" i="7"/>
  <c r="G246" i="7"/>
  <c r="H246" i="7"/>
  <c r="I246" i="7"/>
  <c r="D240" i="7"/>
  <c r="E240" i="7"/>
  <c r="F240" i="7"/>
  <c r="G240" i="7"/>
  <c r="H240" i="7"/>
  <c r="I240" i="7"/>
  <c r="R166" i="42" l="1"/>
  <c r="V21" i="42"/>
  <c r="U22" i="42"/>
  <c r="U22" i="39"/>
  <c r="V21" i="39"/>
  <c r="R166" i="39"/>
  <c r="D322" i="7"/>
  <c r="V22" i="39" l="1"/>
  <c r="W21" i="39"/>
  <c r="S166" i="42"/>
  <c r="W21" i="42"/>
  <c r="V22" i="42"/>
  <c r="S166" i="39"/>
  <c r="D342" i="7"/>
  <c r="E322" i="7"/>
  <c r="D329" i="7"/>
  <c r="D222" i="7"/>
  <c r="E222" i="7"/>
  <c r="F222" i="7"/>
  <c r="G222" i="7"/>
  <c r="H222" i="7"/>
  <c r="I222" i="7"/>
  <c r="T166" i="39" l="1"/>
  <c r="W22" i="42"/>
  <c r="X21" i="42"/>
  <c r="T166" i="42"/>
  <c r="W22" i="39"/>
  <c r="X21" i="39"/>
  <c r="E342" i="7"/>
  <c r="D346" i="7"/>
  <c r="F322" i="7"/>
  <c r="E329" i="7"/>
  <c r="D185" i="7"/>
  <c r="E185" i="7"/>
  <c r="F185" i="7"/>
  <c r="G185" i="7"/>
  <c r="H185" i="7"/>
  <c r="I185" i="7"/>
  <c r="D186" i="7"/>
  <c r="E186" i="7"/>
  <c r="F186" i="7"/>
  <c r="G186" i="7"/>
  <c r="H186" i="7"/>
  <c r="I186" i="7"/>
  <c r="D177" i="7"/>
  <c r="E177" i="7"/>
  <c r="F177" i="7"/>
  <c r="G177" i="7"/>
  <c r="H177" i="7"/>
  <c r="I177" i="7"/>
  <c r="E166" i="7"/>
  <c r="F166" i="7"/>
  <c r="G166" i="7"/>
  <c r="H166" i="7"/>
  <c r="I166" i="7"/>
  <c r="X22" i="42" l="1"/>
  <c r="Y21" i="42"/>
  <c r="Y21" i="39"/>
  <c r="X22" i="39"/>
  <c r="U166" i="39"/>
  <c r="U166" i="42"/>
  <c r="F342" i="7"/>
  <c r="E346" i="7"/>
  <c r="G322" i="7"/>
  <c r="F329" i="7"/>
  <c r="D166" i="7"/>
  <c r="D162" i="7"/>
  <c r="E162" i="7"/>
  <c r="F162" i="7"/>
  <c r="G162" i="7"/>
  <c r="H162" i="7"/>
  <c r="I162" i="7"/>
  <c r="D155" i="7"/>
  <c r="E155" i="7"/>
  <c r="F155" i="7"/>
  <c r="G155" i="7"/>
  <c r="H155" i="7"/>
  <c r="I155" i="7"/>
  <c r="D213" i="7"/>
  <c r="E213" i="7"/>
  <c r="F213" i="7"/>
  <c r="G213" i="7"/>
  <c r="H213" i="7"/>
  <c r="I213" i="7"/>
  <c r="Y22" i="42" l="1"/>
  <c r="Z21" i="42"/>
  <c r="V166" i="42"/>
  <c r="V166" i="39"/>
  <c r="Y22" i="39"/>
  <c r="Z21" i="39"/>
  <c r="G342" i="7"/>
  <c r="F346" i="7"/>
  <c r="H322" i="7"/>
  <c r="G329" i="7"/>
  <c r="D141" i="7"/>
  <c r="D143" i="7" s="1"/>
  <c r="D147" i="7" s="1"/>
  <c r="E141" i="7"/>
  <c r="E143" i="7" s="1"/>
  <c r="E147" i="7" s="1"/>
  <c r="F141" i="7"/>
  <c r="F143" i="7" s="1"/>
  <c r="F147" i="7" s="1"/>
  <c r="G141" i="7"/>
  <c r="G143" i="7" s="1"/>
  <c r="G147" i="7" s="1"/>
  <c r="H141" i="7"/>
  <c r="H143" i="7" s="1"/>
  <c r="H147" i="7" s="1"/>
  <c r="I141" i="7"/>
  <c r="I143" i="7" s="1"/>
  <c r="I147" i="7" s="1"/>
  <c r="D134" i="7"/>
  <c r="E134" i="7"/>
  <c r="F134" i="7"/>
  <c r="G134" i="7"/>
  <c r="H134" i="7"/>
  <c r="I134" i="7"/>
  <c r="D86" i="7"/>
  <c r="E86" i="7"/>
  <c r="F86" i="7"/>
  <c r="G86" i="7"/>
  <c r="H86" i="7"/>
  <c r="I86" i="7"/>
  <c r="D126" i="7"/>
  <c r="E126" i="7"/>
  <c r="E136" i="7" s="1"/>
  <c r="F126" i="7"/>
  <c r="F136" i="7" s="1"/>
  <c r="G126" i="7"/>
  <c r="H126" i="7"/>
  <c r="H136" i="7" s="1"/>
  <c r="I126" i="7"/>
  <c r="I136" i="7" s="1"/>
  <c r="D111" i="7"/>
  <c r="E111" i="7"/>
  <c r="F111" i="7"/>
  <c r="G111" i="7"/>
  <c r="H111" i="7"/>
  <c r="I111" i="7"/>
  <c r="D104" i="7"/>
  <c r="E104" i="7"/>
  <c r="F104" i="7"/>
  <c r="G104" i="7"/>
  <c r="H104" i="7"/>
  <c r="I104" i="7"/>
  <c r="D93" i="7"/>
  <c r="E93" i="7"/>
  <c r="F93" i="7"/>
  <c r="G93" i="7"/>
  <c r="H93" i="7"/>
  <c r="I93" i="7"/>
  <c r="D79" i="7"/>
  <c r="E79" i="7"/>
  <c r="F79" i="7"/>
  <c r="G79" i="7"/>
  <c r="H79" i="7"/>
  <c r="I79" i="7"/>
  <c r="D75" i="7"/>
  <c r="E75" i="7"/>
  <c r="F75" i="7"/>
  <c r="G75" i="7"/>
  <c r="H75" i="7"/>
  <c r="I75" i="7"/>
  <c r="D68" i="7"/>
  <c r="E68" i="7"/>
  <c r="F68" i="7"/>
  <c r="G68" i="7"/>
  <c r="H68" i="7"/>
  <c r="I68" i="7"/>
  <c r="D51" i="7"/>
  <c r="E51" i="7"/>
  <c r="F51" i="7"/>
  <c r="G51" i="7"/>
  <c r="H51" i="7"/>
  <c r="I51" i="7"/>
  <c r="I23" i="7"/>
  <c r="D14" i="7"/>
  <c r="E14" i="7"/>
  <c r="F14" i="7"/>
  <c r="F25" i="7" s="1"/>
  <c r="F33" i="7" s="1"/>
  <c r="G14" i="7"/>
  <c r="G25" i="7" s="1"/>
  <c r="G33" i="7" s="1"/>
  <c r="H14" i="7"/>
  <c r="H25" i="7" s="1"/>
  <c r="H33" i="7" s="1"/>
  <c r="I14" i="7"/>
  <c r="W166" i="39" l="1"/>
  <c r="AA21" i="42"/>
  <c r="Z22" i="42"/>
  <c r="AA21" i="39"/>
  <c r="Z22" i="39"/>
  <c r="W166" i="42"/>
  <c r="G136" i="7"/>
  <c r="H342" i="7"/>
  <c r="G346" i="7"/>
  <c r="D136" i="7"/>
  <c r="D25" i="7"/>
  <c r="I322" i="7"/>
  <c r="I329" i="7" s="1"/>
  <c r="H329" i="7"/>
  <c r="I25" i="7"/>
  <c r="I33" i="7" s="1"/>
  <c r="E25" i="7"/>
  <c r="E33" i="7" s="1"/>
  <c r="H80" i="7"/>
  <c r="H98" i="7" s="1"/>
  <c r="H112" i="7" s="1"/>
  <c r="D80" i="7"/>
  <c r="G80" i="7"/>
  <c r="G87" i="7" s="1"/>
  <c r="G94" i="7" s="1"/>
  <c r="G96" i="7" s="1"/>
  <c r="F80" i="7"/>
  <c r="F87" i="7" s="1"/>
  <c r="F94" i="7" s="1"/>
  <c r="F96" i="7" s="1"/>
  <c r="I80" i="7"/>
  <c r="I87" i="7" s="1"/>
  <c r="I94" i="7" s="1"/>
  <c r="I96" i="7" s="1"/>
  <c r="E80" i="7"/>
  <c r="E87" i="7" s="1"/>
  <c r="E94" i="7" s="1"/>
  <c r="E96" i="7" s="1"/>
  <c r="AA22" i="39" l="1"/>
  <c r="AB21" i="39"/>
  <c r="X166" i="42"/>
  <c r="AA22" i="42"/>
  <c r="AB21" i="42"/>
  <c r="X166" i="39"/>
  <c r="H87" i="7"/>
  <c r="H94" i="7" s="1"/>
  <c r="H96" i="7" s="1"/>
  <c r="I342" i="7"/>
  <c r="I346" i="7" s="1"/>
  <c r="H346" i="7"/>
  <c r="D98" i="7"/>
  <c r="D33" i="7"/>
  <c r="D87" i="7"/>
  <c r="G98" i="7"/>
  <c r="G112" i="7" s="1"/>
  <c r="I98" i="7"/>
  <c r="I112" i="7" s="1"/>
  <c r="F98" i="7"/>
  <c r="F112" i="7" s="1"/>
  <c r="E98" i="7"/>
  <c r="E112" i="7" s="1"/>
  <c r="Y166" i="39" l="1"/>
  <c r="AC21" i="42"/>
  <c r="AB22" i="42"/>
  <c r="AC21" i="39"/>
  <c r="AB22" i="39"/>
  <c r="Y166" i="42"/>
  <c r="D94" i="7"/>
  <c r="D112" i="7"/>
  <c r="Z166" i="39" l="1"/>
  <c r="Z166" i="42"/>
  <c r="AC22" i="39"/>
  <c r="AD21" i="39"/>
  <c r="AC22" i="42"/>
  <c r="AD21" i="42"/>
  <c r="AE21" i="39" l="1"/>
  <c r="AD22" i="39"/>
  <c r="AA166" i="39"/>
  <c r="AE21" i="42"/>
  <c r="AD22" i="42"/>
  <c r="AA166" i="42"/>
  <c r="AB166" i="42" l="1"/>
  <c r="AE22" i="42"/>
  <c r="AF21" i="42"/>
  <c r="AB166" i="39"/>
  <c r="AE22" i="39"/>
  <c r="AF21" i="39"/>
  <c r="AF22" i="39" l="1"/>
  <c r="AG21" i="39"/>
  <c r="AF22" i="42"/>
  <c r="AG21" i="42"/>
  <c r="AC166" i="42"/>
  <c r="AC166" i="39"/>
  <c r="AH21" i="42" l="1"/>
  <c r="AG22" i="42"/>
  <c r="AD166" i="39"/>
  <c r="AD166" i="42"/>
  <c r="AG22" i="39"/>
  <c r="AH21" i="39"/>
  <c r="AE166" i="42" l="1"/>
  <c r="AE166" i="39"/>
  <c r="AI21" i="42"/>
  <c r="AH22" i="42"/>
  <c r="AH22" i="39"/>
  <c r="AI21" i="39"/>
  <c r="AF166" i="39" l="1"/>
  <c r="AF166" i="42"/>
  <c r="AI22" i="39"/>
  <c r="AJ21" i="39"/>
  <c r="AJ21" i="42"/>
  <c r="AI22" i="42"/>
  <c r="AG166" i="42" l="1"/>
  <c r="AJ22" i="39"/>
  <c r="AK21" i="39"/>
  <c r="AG166" i="39"/>
  <c r="AK21" i="42"/>
  <c r="AJ22" i="42"/>
  <c r="AH166" i="42" l="1"/>
  <c r="AL21" i="42"/>
  <c r="AK22" i="42"/>
  <c r="AH166" i="39"/>
  <c r="AL21" i="39"/>
  <c r="AK22" i="39"/>
  <c r="AM21" i="42" l="1"/>
  <c r="AL22" i="42"/>
  <c r="AM21" i="39"/>
  <c r="AL22" i="39"/>
  <c r="AI166" i="42"/>
  <c r="AI166" i="39"/>
  <c r="AJ166" i="39" l="1"/>
  <c r="AN21" i="42"/>
  <c r="AM22" i="42"/>
  <c r="AN21" i="39"/>
  <c r="AM22" i="39"/>
  <c r="AJ166" i="42"/>
  <c r="AK166" i="42" l="1"/>
  <c r="AN22" i="39"/>
  <c r="AO21" i="39"/>
  <c r="AN22" i="42"/>
  <c r="AO21" i="42"/>
  <c r="AK166" i="39"/>
  <c r="AP21" i="42" l="1"/>
  <c r="AO22" i="42"/>
  <c r="AP21" i="39"/>
  <c r="AO22" i="39"/>
  <c r="AL166" i="39"/>
  <c r="AL166" i="42"/>
  <c r="AQ21" i="42" l="1"/>
  <c r="AP22" i="42"/>
  <c r="AP22" i="39"/>
  <c r="AQ21" i="39"/>
  <c r="AM166" i="42"/>
  <c r="AM166" i="39"/>
  <c r="AQ22" i="39" l="1"/>
  <c r="AR21" i="39"/>
  <c r="AN166" i="39"/>
  <c r="AR21" i="42"/>
  <c r="AQ22" i="42"/>
  <c r="AN166" i="42"/>
  <c r="AO166" i="39" l="1"/>
  <c r="AR22" i="39"/>
  <c r="AS21" i="39"/>
  <c r="AO166" i="42"/>
  <c r="AS21" i="42"/>
  <c r="AR22" i="42"/>
  <c r="AP166" i="39" l="1"/>
  <c r="AT21" i="42"/>
  <c r="AS22" i="42"/>
  <c r="AP166" i="42"/>
  <c r="AS22" i="39"/>
  <c r="AT21" i="39"/>
  <c r="AQ166" i="42" l="1"/>
  <c r="AQ166" i="39"/>
  <c r="AT22" i="39"/>
  <c r="AU21" i="39"/>
  <c r="AU21" i="42"/>
  <c r="AT22" i="42"/>
  <c r="AR166" i="39" l="1"/>
  <c r="AU22" i="39"/>
  <c r="AV21" i="39"/>
  <c r="AW21" i="39" s="1"/>
  <c r="AU22" i="42"/>
  <c r="AV21" i="42"/>
  <c r="AR166" i="42"/>
  <c r="AV22" i="39" l="1"/>
  <c r="AV22" i="42"/>
  <c r="AW21" i="42"/>
  <c r="AS166" i="42"/>
  <c r="AS166" i="39"/>
  <c r="AT166" i="42" l="1"/>
  <c r="AW22" i="42"/>
  <c r="AT166" i="39"/>
  <c r="AU166" i="39" l="1"/>
  <c r="AU166" i="42"/>
  <c r="AV166" i="42" l="1"/>
  <c r="AV166" i="39"/>
  <c r="AW166" i="39" l="1"/>
  <c r="AW166" i="42"/>
  <c r="K7" i="3" l="1"/>
  <c r="J7" i="3"/>
  <c r="I7" i="3"/>
  <c r="H7" i="3"/>
  <c r="G7" i="3"/>
  <c r="F7" i="3"/>
  <c r="E7" i="3"/>
  <c r="C7" i="3"/>
  <c r="D7" i="3"/>
  <c r="AU146" i="2" l="1"/>
  <c r="AT146" i="2"/>
  <c r="AS146" i="2"/>
  <c r="AR146" i="2"/>
  <c r="AQ146" i="2"/>
  <c r="AP146"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C146" i="2"/>
  <c r="B146" i="2"/>
  <c r="AU76" i="2"/>
  <c r="AT76" i="2"/>
  <c r="AS76" i="2"/>
  <c r="AR76"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C76" i="2"/>
  <c r="B76"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E5" i="2"/>
  <c r="D5" i="2"/>
  <c r="C5" i="2"/>
  <c r="B5" i="2"/>
  <c r="B6" i="1"/>
  <c r="C6" i="1"/>
  <c r="C7" i="1" s="1"/>
  <c r="D6" i="1"/>
  <c r="E6" i="1"/>
  <c r="E7" i="1" s="1"/>
  <c r="F6" i="1"/>
  <c r="F7" i="1" s="1"/>
  <c r="G6" i="1"/>
  <c r="H6" i="1"/>
  <c r="I6" i="1"/>
  <c r="I7" i="1" s="1"/>
  <c r="J6" i="1"/>
  <c r="J7" i="1" s="1"/>
  <c r="K6" i="1"/>
  <c r="L6" i="1"/>
  <c r="M6" i="1"/>
  <c r="M7" i="1" s="1"/>
  <c r="N6" i="1"/>
  <c r="N7" i="1" s="1"/>
  <c r="O6" i="1"/>
  <c r="P6" i="1"/>
  <c r="R6" i="1"/>
  <c r="S6" i="1"/>
  <c r="T6" i="1"/>
  <c r="U6" i="1"/>
  <c r="U7" i="1" s="1"/>
  <c r="V6" i="1"/>
  <c r="V7" i="1" s="1"/>
  <c r="W6" i="1"/>
  <c r="X6" i="1"/>
  <c r="Y6" i="1"/>
  <c r="Y7" i="1" s="1"/>
  <c r="Z6" i="1"/>
  <c r="Z7" i="1" s="1"/>
  <c r="AA6" i="1"/>
  <c r="AB6" i="1"/>
  <c r="AC6" i="1"/>
  <c r="AC7" i="1" s="1"/>
  <c r="AD6" i="1"/>
  <c r="AD7" i="1" s="1"/>
  <c r="AE6" i="1"/>
  <c r="AF6" i="1"/>
  <c r="AG6" i="1"/>
  <c r="AG7" i="1" s="1"/>
  <c r="AH6" i="1"/>
  <c r="AH7" i="1" s="1"/>
  <c r="AI6" i="1"/>
  <c r="AJ6" i="1"/>
  <c r="AK6" i="1"/>
  <c r="AK7" i="1" s="1"/>
  <c r="AL6" i="1"/>
  <c r="AL7" i="1" s="1"/>
  <c r="AM6" i="1"/>
  <c r="AN6" i="1"/>
  <c r="AO6" i="1"/>
  <c r="AO7" i="1" s="1"/>
  <c r="AP6" i="1"/>
  <c r="AP7" i="1" s="1"/>
  <c r="AQ6" i="1"/>
  <c r="AQ7" i="1" s="1"/>
  <c r="AR6" i="1"/>
  <c r="AS6" i="1"/>
  <c r="AS7" i="1" s="1"/>
  <c r="AT6" i="1"/>
  <c r="AT7" i="1" s="1"/>
  <c r="AU6" i="1"/>
  <c r="AU7" i="1" s="1"/>
  <c r="AV6" i="1"/>
  <c r="AW6" i="1"/>
  <c r="AX6" i="1"/>
  <c r="AX7" i="1" s="1"/>
  <c r="AY6" i="1"/>
  <c r="AY7" i="1" s="1"/>
  <c r="AZ6" i="1"/>
  <c r="BA6" i="1"/>
  <c r="BB6" i="1"/>
  <c r="BB7" i="1" s="1"/>
  <c r="BC6" i="1"/>
  <c r="BC7" i="1" s="1"/>
  <c r="BD6"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AP201" i="1"/>
  <c r="AQ201" i="1"/>
  <c r="AR201" i="1"/>
  <c r="AS201" i="1"/>
  <c r="AT201" i="1"/>
  <c r="AU201" i="1"/>
  <c r="AV201" i="1"/>
  <c r="AW201" i="1"/>
  <c r="AX201" i="1"/>
  <c r="AY201" i="1"/>
  <c r="AZ201" i="1"/>
  <c r="BA201" i="1"/>
  <c r="BB201" i="1"/>
  <c r="BC201" i="1"/>
  <c r="BD2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J201" i="1"/>
  <c r="J24" i="42" l="1"/>
  <c r="BD7" i="1"/>
  <c r="AZ7" i="1"/>
  <c r="AV7" i="1"/>
  <c r="AR7" i="1"/>
  <c r="AN7" i="1"/>
  <c r="AJ7" i="1"/>
  <c r="AF7" i="1"/>
  <c r="AB7" i="1"/>
  <c r="X7" i="1"/>
  <c r="T7" i="1"/>
  <c r="P7" i="1"/>
  <c r="L7" i="1"/>
  <c r="H7" i="1"/>
  <c r="D7" i="1"/>
  <c r="AM7" i="1"/>
  <c r="AI7" i="1"/>
  <c r="AE7" i="1"/>
  <c r="AA7" i="1"/>
  <c r="W7" i="1"/>
  <c r="S7" i="1"/>
  <c r="O7" i="1"/>
  <c r="K7" i="1"/>
  <c r="G7" i="1"/>
  <c r="BA7" i="1"/>
  <c r="AW7" i="1"/>
  <c r="V6" i="2"/>
  <c r="AH6" i="2"/>
  <c r="G6" i="2"/>
  <c r="K6" i="2"/>
  <c r="O6" i="2"/>
  <c r="S6" i="2"/>
  <c r="W6" i="2"/>
  <c r="AA6" i="2"/>
  <c r="AI6" i="2"/>
  <c r="AM6" i="2"/>
  <c r="AQ6" i="2"/>
  <c r="AU6" i="2"/>
  <c r="F6" i="2"/>
  <c r="AL6" i="2"/>
  <c r="AE6" i="2"/>
  <c r="R6" i="2"/>
  <c r="C6" i="2"/>
  <c r="J6" i="2"/>
  <c r="N6" i="2"/>
  <c r="Z6" i="2"/>
  <c r="AD6" i="2"/>
  <c r="AP6" i="2"/>
  <c r="AT6" i="2"/>
  <c r="H6" i="2"/>
  <c r="P6" i="2"/>
  <c r="X6" i="2"/>
  <c r="AF6" i="2"/>
  <c r="AN6" i="2"/>
  <c r="E6" i="2"/>
  <c r="I6" i="2"/>
  <c r="M6" i="2"/>
  <c r="Q6" i="2"/>
  <c r="U6" i="2"/>
  <c r="Y6" i="2"/>
  <c r="AC6" i="2"/>
  <c r="AG6" i="2"/>
  <c r="AK6" i="2"/>
  <c r="AO6" i="2"/>
  <c r="AS6" i="2"/>
  <c r="D6" i="2"/>
  <c r="L6" i="2"/>
  <c r="T6" i="2"/>
  <c r="AB6" i="2"/>
  <c r="AJ6" i="2"/>
  <c r="AR6" i="2"/>
  <c r="B201" i="1"/>
  <c r="C201" i="1"/>
  <c r="D201" i="1"/>
  <c r="E201" i="1"/>
  <c r="F201" i="1"/>
  <c r="G201" i="1"/>
  <c r="H201" i="1"/>
  <c r="I201" i="1"/>
  <c r="K201" i="1"/>
  <c r="B101" i="1"/>
  <c r="C101" i="1"/>
  <c r="D101" i="1"/>
  <c r="E101" i="1"/>
  <c r="F101" i="1"/>
  <c r="G101" i="1"/>
  <c r="H101" i="1"/>
  <c r="I101" i="1"/>
  <c r="J101" i="1"/>
  <c r="K101" i="1"/>
  <c r="B13" i="7"/>
  <c r="B70" i="7"/>
  <c r="J19" i="42" l="1"/>
  <c r="J25" i="39"/>
  <c r="J25" i="42"/>
  <c r="K24" i="42"/>
  <c r="J20" i="39" l="1"/>
  <c r="K19" i="39" s="1"/>
  <c r="J12" i="39"/>
  <c r="J23" i="39"/>
  <c r="J20" i="42"/>
  <c r="K19" i="42" s="1"/>
  <c r="J12" i="42"/>
  <c r="J23" i="42"/>
  <c r="K25" i="42"/>
  <c r="L24" i="42"/>
  <c r="K25" i="39"/>
  <c r="K20" i="39" l="1"/>
  <c r="J14" i="42"/>
  <c r="J13" i="42"/>
  <c r="K12" i="42"/>
  <c r="J14" i="39"/>
  <c r="J13" i="39"/>
  <c r="K20" i="42"/>
  <c r="L19" i="42" s="1"/>
  <c r="K23" i="42"/>
  <c r="M24" i="42"/>
  <c r="L25" i="42"/>
  <c r="L25" i="39"/>
  <c r="K12" i="39" l="1"/>
  <c r="K23" i="39"/>
  <c r="L19" i="39"/>
  <c r="L23" i="39" s="1"/>
  <c r="J239" i="39"/>
  <c r="J410" i="39"/>
  <c r="J136" i="39"/>
  <c r="J134" i="39"/>
  <c r="J381" i="39"/>
  <c r="J226" i="39"/>
  <c r="J426" i="39"/>
  <c r="J144" i="39"/>
  <c r="J349" i="39"/>
  <c r="J424" i="39"/>
  <c r="J321" i="39"/>
  <c r="J425" i="39"/>
  <c r="J133" i="39"/>
  <c r="J285" i="39"/>
  <c r="J328" i="39"/>
  <c r="J329" i="39" s="1"/>
  <c r="J323" i="39"/>
  <c r="J443" i="39"/>
  <c r="J241" i="39"/>
  <c r="J240" i="39"/>
  <c r="J448" i="39"/>
  <c r="J142" i="39"/>
  <c r="J399" i="39"/>
  <c r="J400" i="39" s="1"/>
  <c r="J135" i="39"/>
  <c r="J15" i="39"/>
  <c r="J259" i="39"/>
  <c r="J358" i="39"/>
  <c r="J459" i="39"/>
  <c r="J132" i="39"/>
  <c r="J138" i="39"/>
  <c r="J16" i="39"/>
  <c r="J457" i="39"/>
  <c r="J148" i="39"/>
  <c r="J149" i="39" s="1"/>
  <c r="J258" i="39"/>
  <c r="J453" i="39"/>
  <c r="J395" i="39"/>
  <c r="J396" i="39" s="1"/>
  <c r="J162" i="39"/>
  <c r="J468" i="39"/>
  <c r="J469" i="39" s="1"/>
  <c r="J169" i="39"/>
  <c r="J168" i="39"/>
  <c r="J270" i="39"/>
  <c r="J279" i="39"/>
  <c r="J280" i="39" s="1"/>
  <c r="J179" i="39"/>
  <c r="J252" i="39"/>
  <c r="J171" i="39"/>
  <c r="J173" i="39"/>
  <c r="J254" i="39" s="1"/>
  <c r="J199" i="39"/>
  <c r="J167" i="39"/>
  <c r="J296" i="39"/>
  <c r="J297" i="39" s="1"/>
  <c r="J256" i="39"/>
  <c r="J308" i="39"/>
  <c r="J309" i="39" s="1"/>
  <c r="J304" i="39"/>
  <c r="J305" i="39" s="1"/>
  <c r="J176" i="39"/>
  <c r="J170" i="39"/>
  <c r="J250" i="39"/>
  <c r="J253" i="39"/>
  <c r="J251" i="39"/>
  <c r="J300" i="39"/>
  <c r="J301" i="39" s="1"/>
  <c r="J200" i="39"/>
  <c r="J275" i="39"/>
  <c r="J276" i="39" s="1"/>
  <c r="J291" i="39"/>
  <c r="J201" i="39"/>
  <c r="J379" i="39"/>
  <c r="J333" i="39"/>
  <c r="J346" i="39"/>
  <c r="L20" i="42"/>
  <c r="M19" i="42" s="1"/>
  <c r="L23" i="42"/>
  <c r="K14" i="42"/>
  <c r="K13" i="42"/>
  <c r="L12" i="42"/>
  <c r="K14" i="39"/>
  <c r="K13" i="39"/>
  <c r="L20" i="39"/>
  <c r="J395" i="42"/>
  <c r="J396" i="42" s="1"/>
  <c r="J122" i="42" s="1"/>
  <c r="J399" i="42"/>
  <c r="J468" i="42"/>
  <c r="J136" i="42"/>
  <c r="J134" i="42"/>
  <c r="J252" i="42"/>
  <c r="J457" i="42"/>
  <c r="J381" i="42"/>
  <c r="J285" i="42"/>
  <c r="K285" i="42" s="1"/>
  <c r="J226" i="42"/>
  <c r="J275" i="42"/>
  <c r="J425" i="42"/>
  <c r="J453" i="42"/>
  <c r="J443" i="42"/>
  <c r="J16" i="42"/>
  <c r="J300" i="42"/>
  <c r="J308" i="42"/>
  <c r="J358" i="42"/>
  <c r="J133" i="42"/>
  <c r="J162" i="42"/>
  <c r="J240" i="42"/>
  <c r="J328" i="42"/>
  <c r="J329" i="42" s="1"/>
  <c r="J304" i="42"/>
  <c r="J250" i="42"/>
  <c r="J241" i="42"/>
  <c r="J132" i="42"/>
  <c r="J239" i="42"/>
  <c r="J291" i="42"/>
  <c r="J349" i="42"/>
  <c r="J296" i="42"/>
  <c r="J251" i="42"/>
  <c r="J279" i="42"/>
  <c r="J148" i="42"/>
  <c r="J149" i="42" s="1"/>
  <c r="J138" i="42"/>
  <c r="J15" i="42"/>
  <c r="J142" i="42"/>
  <c r="J179" i="42"/>
  <c r="J323" i="42"/>
  <c r="J321" i="42"/>
  <c r="J256" i="42"/>
  <c r="J144" i="42"/>
  <c r="J426" i="42"/>
  <c r="J253" i="42"/>
  <c r="J270" i="42"/>
  <c r="J135" i="42"/>
  <c r="J424" i="42"/>
  <c r="J459" i="42"/>
  <c r="J448" i="42"/>
  <c r="J259" i="42"/>
  <c r="J258" i="42"/>
  <c r="J199" i="42"/>
  <c r="J410" i="42"/>
  <c r="J171" i="42"/>
  <c r="J169" i="42"/>
  <c r="J200" i="42"/>
  <c r="J173" i="42"/>
  <c r="J254" i="42" s="1"/>
  <c r="J201" i="42"/>
  <c r="J168" i="42"/>
  <c r="J176" i="42"/>
  <c r="J167" i="42"/>
  <c r="J170" i="42"/>
  <c r="J333" i="42"/>
  <c r="J379" i="42"/>
  <c r="J346" i="42"/>
  <c r="M25" i="42"/>
  <c r="N24" i="42"/>
  <c r="M25" i="39"/>
  <c r="N24" i="39"/>
  <c r="L12" i="39" l="1"/>
  <c r="M19" i="39"/>
  <c r="J137" i="39"/>
  <c r="J139" i="39" s="1"/>
  <c r="K448" i="42"/>
  <c r="K170" i="42"/>
  <c r="K171" i="42"/>
  <c r="K258" i="42"/>
  <c r="K459" i="42"/>
  <c r="K425" i="42"/>
  <c r="J257" i="42"/>
  <c r="J260" i="42" s="1"/>
  <c r="K426" i="42"/>
  <c r="K323" i="42"/>
  <c r="J257" i="39"/>
  <c r="J260" i="39" s="1"/>
  <c r="K259" i="42"/>
  <c r="K144" i="42"/>
  <c r="K349" i="42"/>
  <c r="K240" i="42"/>
  <c r="K168" i="42"/>
  <c r="K346" i="42"/>
  <c r="J347" i="42"/>
  <c r="J351" i="42" s="1"/>
  <c r="K167" i="42"/>
  <c r="J172" i="42"/>
  <c r="J324" i="42"/>
  <c r="J325" i="42" s="1"/>
  <c r="J45" i="42" s="1"/>
  <c r="J507" i="42"/>
  <c r="K321" i="42"/>
  <c r="J415" i="42"/>
  <c r="J409" i="42" s="1"/>
  <c r="J404" i="42" s="1"/>
  <c r="J242" i="42"/>
  <c r="J305" i="42"/>
  <c r="K381" i="42"/>
  <c r="J382" i="42"/>
  <c r="K239" i="39"/>
  <c r="K135" i="39"/>
  <c r="K16" i="39"/>
  <c r="K133" i="39"/>
  <c r="K138" i="39"/>
  <c r="K15" i="39"/>
  <c r="K136" i="39"/>
  <c r="K134" i="39"/>
  <c r="K132" i="39"/>
  <c r="L14" i="39"/>
  <c r="K173" i="39"/>
  <c r="K254" i="39" s="1"/>
  <c r="K270" i="39"/>
  <c r="K256" i="39"/>
  <c r="K252" i="39"/>
  <c r="K279" i="39"/>
  <c r="K280" i="39" s="1"/>
  <c r="K179" i="39"/>
  <c r="K253" i="39"/>
  <c r="K275" i="39"/>
  <c r="K276" i="39" s="1"/>
  <c r="K251" i="39"/>
  <c r="K304" i="39"/>
  <c r="K305" i="39" s="1"/>
  <c r="K308" i="39"/>
  <c r="K309" i="39" s="1"/>
  <c r="K296" i="39"/>
  <c r="K297" i="39" s="1"/>
  <c r="K291" i="39"/>
  <c r="K292" i="39" s="1"/>
  <c r="K300" i="39"/>
  <c r="K301" i="39" s="1"/>
  <c r="K250" i="39"/>
  <c r="J494" i="39"/>
  <c r="K333" i="39"/>
  <c r="J334" i="39"/>
  <c r="J268" i="39"/>
  <c r="K176" i="39"/>
  <c r="K167" i="39"/>
  <c r="J172" i="39"/>
  <c r="J123" i="39"/>
  <c r="J163" i="39"/>
  <c r="J90" i="39" s="1"/>
  <c r="K162" i="39"/>
  <c r="J475" i="39"/>
  <c r="K148" i="39"/>
  <c r="K149" i="39" s="1"/>
  <c r="J415" i="39"/>
  <c r="J409" i="39" s="1"/>
  <c r="J404" i="39" s="1"/>
  <c r="K448" i="39"/>
  <c r="K323" i="39"/>
  <c r="K425" i="39"/>
  <c r="K144" i="39"/>
  <c r="K379" i="42"/>
  <c r="J380" i="42"/>
  <c r="J482" i="42"/>
  <c r="K176" i="42"/>
  <c r="J268" i="42"/>
  <c r="K410" i="42"/>
  <c r="J427" i="42"/>
  <c r="K424" i="42"/>
  <c r="J297" i="42"/>
  <c r="J137" i="42"/>
  <c r="J512" i="42"/>
  <c r="K328" i="42"/>
  <c r="K329" i="42" s="1"/>
  <c r="K358" i="42"/>
  <c r="J360" i="42"/>
  <c r="J276" i="42"/>
  <c r="J511" i="42"/>
  <c r="J460" i="42"/>
  <c r="J117" i="42" s="1"/>
  <c r="K457" i="42"/>
  <c r="J469" i="42"/>
  <c r="K468" i="42"/>
  <c r="M20" i="39"/>
  <c r="M23" i="39"/>
  <c r="L13" i="42"/>
  <c r="M12" i="42"/>
  <c r="M20" i="42"/>
  <c r="N19" i="42" s="1"/>
  <c r="M23" i="42"/>
  <c r="K379" i="39"/>
  <c r="J482" i="39"/>
  <c r="J380" i="39"/>
  <c r="J122" i="39"/>
  <c r="J508" i="39"/>
  <c r="J202" i="39"/>
  <c r="J114" i="39" s="1"/>
  <c r="K168" i="39"/>
  <c r="J516" i="39"/>
  <c r="K395" i="39"/>
  <c r="K396" i="39" s="1"/>
  <c r="K457" i="39"/>
  <c r="J511" i="39"/>
  <c r="J460" i="39"/>
  <c r="J117" i="39" s="1"/>
  <c r="K459" i="39"/>
  <c r="J283" i="39"/>
  <c r="J419" i="39" s="1"/>
  <c r="K240" i="39"/>
  <c r="J512" i="39"/>
  <c r="K328" i="39"/>
  <c r="K329" i="39" s="1"/>
  <c r="J507" i="39"/>
  <c r="K321" i="39"/>
  <c r="J324" i="39"/>
  <c r="K426" i="39"/>
  <c r="J494" i="42"/>
  <c r="K333" i="42"/>
  <c r="J334" i="42"/>
  <c r="J413" i="42"/>
  <c r="J508" i="42"/>
  <c r="J202" i="42"/>
  <c r="J283" i="42"/>
  <c r="J419" i="42" s="1"/>
  <c r="J475" i="42"/>
  <c r="K148" i="42"/>
  <c r="K241" i="42"/>
  <c r="J309" i="42"/>
  <c r="J105" i="42"/>
  <c r="J493" i="42"/>
  <c r="K443" i="42"/>
  <c r="J222" i="42"/>
  <c r="J223" i="42" s="1"/>
  <c r="J224" i="42" s="1"/>
  <c r="K226" i="42"/>
  <c r="J400" i="42"/>
  <c r="J123" i="42" s="1"/>
  <c r="J517" i="42"/>
  <c r="K399" i="42"/>
  <c r="K346" i="39"/>
  <c r="J347" i="39"/>
  <c r="K169" i="39"/>
  <c r="J454" i="39"/>
  <c r="J518" i="39"/>
  <c r="K453" i="39"/>
  <c r="K358" i="39"/>
  <c r="J360" i="39"/>
  <c r="K399" i="39"/>
  <c r="J517" i="39"/>
  <c r="K241" i="39"/>
  <c r="K285" i="39"/>
  <c r="J427" i="39"/>
  <c r="K424" i="39"/>
  <c r="J222" i="39"/>
  <c r="K226" i="39"/>
  <c r="J413" i="39"/>
  <c r="K410" i="39"/>
  <c r="K169" i="42"/>
  <c r="J47" i="42"/>
  <c r="J145" i="42"/>
  <c r="J87" i="42" s="1"/>
  <c r="J473" i="42"/>
  <c r="K142" i="42"/>
  <c r="J280" i="42"/>
  <c r="J192" i="42"/>
  <c r="J292" i="42"/>
  <c r="J293" i="42" s="1"/>
  <c r="J317" i="42" s="1"/>
  <c r="J163" i="42"/>
  <c r="J90" i="42" s="1"/>
  <c r="K162" i="42"/>
  <c r="J301" i="42"/>
  <c r="J454" i="42"/>
  <c r="J518" i="42"/>
  <c r="K453" i="42"/>
  <c r="J516" i="42"/>
  <c r="K395" i="42"/>
  <c r="L13" i="39"/>
  <c r="M12" i="39"/>
  <c r="K133" i="42"/>
  <c r="K132" i="42"/>
  <c r="K134" i="42"/>
  <c r="K136" i="42"/>
  <c r="K135" i="42"/>
  <c r="K16" i="42"/>
  <c r="K15" i="42"/>
  <c r="K138" i="42"/>
  <c r="L14" i="42"/>
  <c r="K173" i="42"/>
  <c r="K254" i="42" s="1"/>
  <c r="J292" i="39"/>
  <c r="J293" i="39" s="1"/>
  <c r="J317" i="39" s="1"/>
  <c r="J192" i="39"/>
  <c r="K170" i="39"/>
  <c r="J47" i="39"/>
  <c r="K171" i="39"/>
  <c r="K468" i="39"/>
  <c r="K258" i="39"/>
  <c r="K259" i="39"/>
  <c r="J473" i="39"/>
  <c r="J145" i="39"/>
  <c r="J87" i="39" s="1"/>
  <c r="K142" i="39"/>
  <c r="J105" i="39"/>
  <c r="K443" i="39"/>
  <c r="J493" i="39"/>
  <c r="K349" i="39"/>
  <c r="K381" i="39"/>
  <c r="J382" i="39"/>
  <c r="J242" i="39"/>
  <c r="N25" i="39"/>
  <c r="O24" i="39"/>
  <c r="O24" i="42"/>
  <c r="N25" i="42"/>
  <c r="N19" i="39" l="1"/>
  <c r="K415" i="42"/>
  <c r="J100" i="39"/>
  <c r="K427" i="42"/>
  <c r="K283" i="42"/>
  <c r="K419" i="42" s="1"/>
  <c r="L240" i="39"/>
  <c r="L448" i="39"/>
  <c r="J194" i="42"/>
  <c r="L468" i="39"/>
  <c r="K413" i="42"/>
  <c r="J513" i="42"/>
  <c r="L144" i="39"/>
  <c r="K257" i="39"/>
  <c r="K260" i="39" s="1"/>
  <c r="L259" i="39"/>
  <c r="L285" i="39"/>
  <c r="L426" i="39"/>
  <c r="L425" i="39"/>
  <c r="L381" i="39"/>
  <c r="L349" i="39"/>
  <c r="L258" i="39"/>
  <c r="L241" i="39"/>
  <c r="L169" i="39"/>
  <c r="L459" i="39"/>
  <c r="L323" i="39"/>
  <c r="L148" i="39"/>
  <c r="L149" i="39" s="1"/>
  <c r="K382" i="39"/>
  <c r="K473" i="39"/>
  <c r="K122" i="39"/>
  <c r="L424" i="42"/>
  <c r="L16" i="42"/>
  <c r="L132" i="42"/>
  <c r="L170" i="42"/>
  <c r="L138" i="42"/>
  <c r="L135" i="42"/>
  <c r="L15" i="42"/>
  <c r="L134" i="42"/>
  <c r="L136" i="42"/>
  <c r="L171" i="42"/>
  <c r="L133" i="42"/>
  <c r="M14" i="42"/>
  <c r="L173" i="42"/>
  <c r="L254" i="42" s="1"/>
  <c r="J124" i="42"/>
  <c r="K454" i="42"/>
  <c r="K473" i="42"/>
  <c r="K145" i="42"/>
  <c r="K87" i="42" s="1"/>
  <c r="L142" i="42"/>
  <c r="L169" i="42"/>
  <c r="L410" i="39"/>
  <c r="K517" i="39"/>
  <c r="L399" i="39"/>
  <c r="L346" i="39"/>
  <c r="K347" i="39"/>
  <c r="K351" i="39" s="1"/>
  <c r="L241" i="42"/>
  <c r="L259" i="42"/>
  <c r="J420" i="39"/>
  <c r="J421" i="39" s="1"/>
  <c r="J102" i="39" s="1"/>
  <c r="J483" i="39"/>
  <c r="L168" i="39"/>
  <c r="L379" i="39"/>
  <c r="K482" i="39"/>
  <c r="K380" i="39"/>
  <c r="K512" i="42"/>
  <c r="L328" i="42"/>
  <c r="L329" i="42" s="1"/>
  <c r="L410" i="42"/>
  <c r="J340" i="39"/>
  <c r="K475" i="39"/>
  <c r="K400" i="39"/>
  <c r="K123" i="39" s="1"/>
  <c r="L176" i="39"/>
  <c r="K268" i="39"/>
  <c r="K494" i="39"/>
  <c r="L333" i="39"/>
  <c r="K334" i="39"/>
  <c r="K293" i="39"/>
  <c r="K317" i="39" s="1"/>
  <c r="L381" i="42"/>
  <c r="L167" i="42"/>
  <c r="K172" i="42"/>
  <c r="K493" i="39"/>
  <c r="K105" i="39"/>
  <c r="L443" i="39"/>
  <c r="M13" i="39"/>
  <c r="N12" i="39"/>
  <c r="L285" i="42"/>
  <c r="L448" i="42"/>
  <c r="K413" i="39"/>
  <c r="K427" i="39"/>
  <c r="L424" i="39"/>
  <c r="J124" i="39"/>
  <c r="K454" i="39"/>
  <c r="K124" i="39" s="1"/>
  <c r="K400" i="42"/>
  <c r="K123" i="42" s="1"/>
  <c r="K517" i="42"/>
  <c r="L399" i="42"/>
  <c r="K222" i="42"/>
  <c r="K223" i="42" s="1"/>
  <c r="K224" i="42" s="1"/>
  <c r="L226" i="42"/>
  <c r="K493" i="42"/>
  <c r="K105" i="42"/>
  <c r="L443" i="42"/>
  <c r="L349" i="42"/>
  <c r="M349" i="42" s="1"/>
  <c r="L144" i="42"/>
  <c r="L168" i="42"/>
  <c r="K512" i="39"/>
  <c r="L328" i="39"/>
  <c r="L329" i="39" s="1"/>
  <c r="J284" i="39"/>
  <c r="J286" i="39"/>
  <c r="K511" i="39"/>
  <c r="K460" i="39"/>
  <c r="K117" i="39" s="1"/>
  <c r="L457" i="39"/>
  <c r="K460" i="42"/>
  <c r="K117" i="42" s="1"/>
  <c r="K511" i="42"/>
  <c r="L457" i="42"/>
  <c r="L323" i="42"/>
  <c r="J80" i="42"/>
  <c r="J383" i="42"/>
  <c r="J101" i="42" s="1"/>
  <c r="K163" i="39"/>
  <c r="K90" i="39" s="1"/>
  <c r="L162" i="39"/>
  <c r="J174" i="39"/>
  <c r="J177" i="39" s="1"/>
  <c r="J180" i="39"/>
  <c r="J183" i="39" s="1"/>
  <c r="L239" i="39"/>
  <c r="L173" i="39"/>
  <c r="L254" i="39" s="1"/>
  <c r="L16" i="39"/>
  <c r="L132" i="39"/>
  <c r="L15" i="39"/>
  <c r="L175" i="39" s="1"/>
  <c r="L290" i="39" s="1"/>
  <c r="L133" i="39"/>
  <c r="L171" i="39"/>
  <c r="L134" i="39"/>
  <c r="M14" i="39"/>
  <c r="L138" i="39"/>
  <c r="L135" i="39"/>
  <c r="L136" i="39"/>
  <c r="L170" i="39"/>
  <c r="L250" i="39"/>
  <c r="L252" i="39"/>
  <c r="L300" i="39"/>
  <c r="L301" i="39" s="1"/>
  <c r="L296" i="39"/>
  <c r="L297" i="39" s="1"/>
  <c r="L291" i="39"/>
  <c r="L251" i="39"/>
  <c r="L308" i="39"/>
  <c r="L309" i="39" s="1"/>
  <c r="L304" i="39"/>
  <c r="L305" i="39" s="1"/>
  <c r="L275" i="39"/>
  <c r="L276" i="39" s="1"/>
  <c r="L253" i="39"/>
  <c r="L279" i="39"/>
  <c r="L280" i="39" s="1"/>
  <c r="L179" i="39"/>
  <c r="L256" i="39"/>
  <c r="L270" i="39"/>
  <c r="K415" i="39"/>
  <c r="K283" i="39"/>
  <c r="L425" i="42"/>
  <c r="K324" i="42"/>
  <c r="K325" i="42" s="1"/>
  <c r="K45" i="42" s="1"/>
  <c r="K507" i="42"/>
  <c r="L321" i="42"/>
  <c r="L459" i="42"/>
  <c r="K518" i="42"/>
  <c r="L453" i="42"/>
  <c r="K47" i="42"/>
  <c r="J207" i="42"/>
  <c r="J223" i="39"/>
  <c r="J224" i="39" s="1"/>
  <c r="L358" i="39"/>
  <c r="K360" i="39"/>
  <c r="J501" i="42"/>
  <c r="L240" i="42"/>
  <c r="K149" i="42"/>
  <c r="L148" i="42"/>
  <c r="J483" i="42"/>
  <c r="J420" i="42"/>
  <c r="J421" i="42" s="1"/>
  <c r="J102" i="42" s="1"/>
  <c r="J100" i="42"/>
  <c r="J114" i="42"/>
  <c r="J335" i="42"/>
  <c r="J78" i="42"/>
  <c r="J154" i="42"/>
  <c r="J325" i="39"/>
  <c r="J45" i="39" s="1"/>
  <c r="K324" i="39"/>
  <c r="K516" i="39"/>
  <c r="L395" i="39"/>
  <c r="J88" i="39"/>
  <c r="J80" i="39"/>
  <c r="J383" i="39"/>
  <c r="J101" i="39" s="1"/>
  <c r="N20" i="42"/>
  <c r="O19" i="42" s="1"/>
  <c r="N23" i="42"/>
  <c r="N20" i="39"/>
  <c r="N23" i="39"/>
  <c r="J139" i="42"/>
  <c r="L426" i="42"/>
  <c r="J88" i="42"/>
  <c r="L379" i="42"/>
  <c r="K482" i="42"/>
  <c r="K380" i="42"/>
  <c r="J472" i="39"/>
  <c r="J447" i="39"/>
  <c r="J269" i="39"/>
  <c r="J271" i="39" s="1"/>
  <c r="J272" i="39" s="1"/>
  <c r="L167" i="39"/>
  <c r="K172" i="39"/>
  <c r="K137" i="39"/>
  <c r="K242" i="39"/>
  <c r="L258" i="42"/>
  <c r="J501" i="39"/>
  <c r="K47" i="39"/>
  <c r="K145" i="39"/>
  <c r="K87" i="39" s="1"/>
  <c r="L142" i="39"/>
  <c r="K137" i="42"/>
  <c r="K396" i="42"/>
  <c r="K122" i="42" s="1"/>
  <c r="K516" i="42"/>
  <c r="L395" i="42"/>
  <c r="K163" i="42"/>
  <c r="K90" i="42" s="1"/>
  <c r="L162" i="42"/>
  <c r="J405" i="39"/>
  <c r="K411" i="39" s="1"/>
  <c r="J481" i="39"/>
  <c r="K222" i="39"/>
  <c r="K223" i="39" s="1"/>
  <c r="K224" i="39" s="1"/>
  <c r="L226" i="39"/>
  <c r="K518" i="39"/>
  <c r="L453" i="39"/>
  <c r="K469" i="39"/>
  <c r="J78" i="39"/>
  <c r="J351" i="39"/>
  <c r="J340" i="42"/>
  <c r="K475" i="42"/>
  <c r="J284" i="42"/>
  <c r="J286" i="42"/>
  <c r="K494" i="42"/>
  <c r="L333" i="42"/>
  <c r="K334" i="42"/>
  <c r="K507" i="39"/>
  <c r="L321" i="39"/>
  <c r="J513" i="39"/>
  <c r="M13" i="42"/>
  <c r="N12" i="42"/>
  <c r="K469" i="42"/>
  <c r="L468" i="42"/>
  <c r="L358" i="42"/>
  <c r="K360" i="42"/>
  <c r="J481" i="42"/>
  <c r="J405" i="42"/>
  <c r="K268" i="42"/>
  <c r="L176" i="42"/>
  <c r="J412" i="39"/>
  <c r="J406" i="39" s="1"/>
  <c r="J154" i="39"/>
  <c r="J335" i="39"/>
  <c r="K382" i="42"/>
  <c r="J412" i="42"/>
  <c r="J180" i="42"/>
  <c r="J183" i="42" s="1"/>
  <c r="J174" i="42"/>
  <c r="J177" i="42" s="1"/>
  <c r="L346" i="42"/>
  <c r="K347" i="42"/>
  <c r="K351" i="42" s="1"/>
  <c r="P24" i="39"/>
  <c r="O25" i="39"/>
  <c r="O25" i="42"/>
  <c r="P24" i="42"/>
  <c r="O19" i="39" l="1"/>
  <c r="L382" i="39"/>
  <c r="L283" i="42"/>
  <c r="L419" i="42" s="1"/>
  <c r="L382" i="42"/>
  <c r="K286" i="42"/>
  <c r="K284" i="42"/>
  <c r="M425" i="39"/>
  <c r="L469" i="39"/>
  <c r="L242" i="39"/>
  <c r="K154" i="39"/>
  <c r="K155" i="39" s="1"/>
  <c r="M285" i="39"/>
  <c r="M258" i="39"/>
  <c r="M144" i="39"/>
  <c r="M258" i="42"/>
  <c r="M240" i="39"/>
  <c r="M349" i="39"/>
  <c r="L415" i="39"/>
  <c r="M448" i="39"/>
  <c r="M459" i="39"/>
  <c r="M468" i="39"/>
  <c r="M168" i="42"/>
  <c r="M448" i="42"/>
  <c r="M259" i="42"/>
  <c r="M259" i="39"/>
  <c r="M148" i="39"/>
  <c r="M149" i="39" s="1"/>
  <c r="M426" i="42"/>
  <c r="M240" i="42"/>
  <c r="M241" i="39"/>
  <c r="M459" i="42"/>
  <c r="M425" i="42"/>
  <c r="M323" i="42"/>
  <c r="M144" i="42"/>
  <c r="M285" i="42"/>
  <c r="M381" i="42"/>
  <c r="M241" i="42"/>
  <c r="J287" i="42"/>
  <c r="J207" i="39"/>
  <c r="L283" i="39"/>
  <c r="M426" i="39"/>
  <c r="K154" i="42"/>
  <c r="K155" i="42" s="1"/>
  <c r="J316" i="39"/>
  <c r="J318" i="39" s="1"/>
  <c r="M167" i="39"/>
  <c r="L172" i="39"/>
  <c r="J449" i="39"/>
  <c r="O20" i="39"/>
  <c r="O23" i="39"/>
  <c r="J157" i="42"/>
  <c r="L454" i="42"/>
  <c r="L124" i="42" s="1"/>
  <c r="L518" i="42"/>
  <c r="M453" i="42"/>
  <c r="L137" i="39"/>
  <c r="L139" i="39" s="1"/>
  <c r="L163" i="39"/>
  <c r="L90" i="39" s="1"/>
  <c r="M162" i="39"/>
  <c r="M457" i="39"/>
  <c r="L511" i="39"/>
  <c r="L460" i="39"/>
  <c r="L117" i="39" s="1"/>
  <c r="K286" i="39"/>
  <c r="L222" i="42"/>
  <c r="L223" i="42" s="1"/>
  <c r="L224" i="42" s="1"/>
  <c r="M226" i="42"/>
  <c r="L427" i="39"/>
  <c r="M424" i="39"/>
  <c r="L105" i="39"/>
  <c r="M443" i="39"/>
  <c r="L493" i="39"/>
  <c r="K174" i="42"/>
  <c r="K177" i="42" s="1"/>
  <c r="K78" i="39"/>
  <c r="L268" i="39"/>
  <c r="M176" i="39"/>
  <c r="L512" i="42"/>
  <c r="M328" i="42"/>
  <c r="M329" i="42" s="1"/>
  <c r="M379" i="39"/>
  <c r="L482" i="39"/>
  <c r="L380" i="39"/>
  <c r="L413" i="39"/>
  <c r="M410" i="39"/>
  <c r="L347" i="42"/>
  <c r="L351" i="42" s="1"/>
  <c r="M346" i="42"/>
  <c r="L268" i="42"/>
  <c r="M176" i="42"/>
  <c r="J486" i="42"/>
  <c r="L469" i="42"/>
  <c r="M468" i="42"/>
  <c r="K335" i="42"/>
  <c r="K78" i="42"/>
  <c r="L222" i="39"/>
  <c r="L223" i="39" s="1"/>
  <c r="L224" i="39" s="1"/>
  <c r="M226" i="39"/>
  <c r="J486" i="39"/>
  <c r="K139" i="42"/>
  <c r="M142" i="39"/>
  <c r="L145" i="39"/>
  <c r="L87" i="39" s="1"/>
  <c r="J86" i="39"/>
  <c r="M379" i="42"/>
  <c r="L482" i="42"/>
  <c r="L380" i="42"/>
  <c r="K88" i="39"/>
  <c r="K325" i="39"/>
  <c r="K45" i="39" s="1"/>
  <c r="L324" i="39"/>
  <c r="M358" i="39"/>
  <c r="L360" i="39"/>
  <c r="L47" i="42"/>
  <c r="L511" i="42"/>
  <c r="L460" i="42"/>
  <c r="L117" i="42" s="1"/>
  <c r="M457" i="42"/>
  <c r="K284" i="39"/>
  <c r="L493" i="42"/>
  <c r="L501" i="42" s="1"/>
  <c r="L105" i="42"/>
  <c r="M443" i="42"/>
  <c r="M167" i="42"/>
  <c r="L172" i="42"/>
  <c r="M333" i="39"/>
  <c r="L494" i="39"/>
  <c r="L334" i="39"/>
  <c r="M169" i="42"/>
  <c r="L427" i="42"/>
  <c r="J406" i="42"/>
  <c r="J407" i="42" s="1"/>
  <c r="J408" i="42" s="1"/>
  <c r="M358" i="42"/>
  <c r="L360" i="42"/>
  <c r="L163" i="42"/>
  <c r="L90" i="42" s="1"/>
  <c r="M162" i="42"/>
  <c r="J474" i="39"/>
  <c r="J155" i="39"/>
  <c r="J178" i="42"/>
  <c r="J92" i="42"/>
  <c r="M333" i="42"/>
  <c r="L494" i="42"/>
  <c r="L334" i="42"/>
  <c r="L454" i="39"/>
  <c r="L518" i="39"/>
  <c r="M453" i="39"/>
  <c r="K199" i="39"/>
  <c r="L396" i="42"/>
  <c r="L122" i="42" s="1"/>
  <c r="L516" i="42"/>
  <c r="M395" i="42"/>
  <c r="J339" i="39"/>
  <c r="J269" i="42"/>
  <c r="J447" i="42"/>
  <c r="J472" i="42"/>
  <c r="O20" i="42"/>
  <c r="P19" i="42" s="1"/>
  <c r="O23" i="42"/>
  <c r="L516" i="39"/>
  <c r="M395" i="39"/>
  <c r="J474" i="42"/>
  <c r="J155" i="42"/>
  <c r="L149" i="42"/>
  <c r="M148" i="42"/>
  <c r="L324" i="42"/>
  <c r="L507" i="42"/>
  <c r="M321" i="42"/>
  <c r="L257" i="39"/>
  <c r="L260" i="39" s="1"/>
  <c r="L512" i="39"/>
  <c r="M328" i="39"/>
  <c r="M329" i="39" s="1"/>
  <c r="N13" i="39"/>
  <c r="O12" i="39"/>
  <c r="L473" i="39"/>
  <c r="K501" i="39"/>
  <c r="K340" i="39"/>
  <c r="L475" i="39"/>
  <c r="L413" i="42"/>
  <c r="M410" i="42"/>
  <c r="K80" i="39"/>
  <c r="K383" i="39"/>
  <c r="K101" i="39" s="1"/>
  <c r="M168" i="39"/>
  <c r="L347" i="39"/>
  <c r="L351" i="39" s="1"/>
  <c r="M346" i="39"/>
  <c r="L473" i="42"/>
  <c r="M142" i="42"/>
  <c r="L145" i="42"/>
  <c r="L87" i="42" s="1"/>
  <c r="K88" i="42"/>
  <c r="K124" i="42"/>
  <c r="M424" i="42"/>
  <c r="M135" i="42"/>
  <c r="M16" i="42"/>
  <c r="M138" i="42"/>
  <c r="M132" i="42"/>
  <c r="M171" i="42"/>
  <c r="M170" i="42"/>
  <c r="N14" i="42"/>
  <c r="M136" i="42"/>
  <c r="M133" i="42"/>
  <c r="M15" i="42"/>
  <c r="M134" i="42"/>
  <c r="M173" i="42"/>
  <c r="M254" i="42" s="1"/>
  <c r="L396" i="39"/>
  <c r="K411" i="42"/>
  <c r="K139" i="39"/>
  <c r="K335" i="39"/>
  <c r="J157" i="39"/>
  <c r="J407" i="39"/>
  <c r="K414" i="39" s="1"/>
  <c r="N13" i="42"/>
  <c r="O12" i="42"/>
  <c r="L507" i="39"/>
  <c r="M321" i="39"/>
  <c r="K340" i="42"/>
  <c r="L475" i="42"/>
  <c r="L47" i="39"/>
  <c r="K180" i="39"/>
  <c r="K183" i="39" s="1"/>
  <c r="K174" i="39"/>
  <c r="K177" i="39" s="1"/>
  <c r="J205" i="39"/>
  <c r="K383" i="42"/>
  <c r="K101" i="42" s="1"/>
  <c r="K80" i="42"/>
  <c r="K483" i="42"/>
  <c r="K420" i="42"/>
  <c r="K421" i="42" s="1"/>
  <c r="M169" i="39"/>
  <c r="J194" i="39"/>
  <c r="M239" i="39"/>
  <c r="N14" i="39"/>
  <c r="M134" i="39"/>
  <c r="M16" i="39"/>
  <c r="M15" i="39"/>
  <c r="M175" i="39" s="1"/>
  <c r="M290" i="39" s="1"/>
  <c r="M171" i="39"/>
  <c r="M138" i="39"/>
  <c r="M136" i="39"/>
  <c r="M170" i="39"/>
  <c r="M135" i="39"/>
  <c r="M133" i="39"/>
  <c r="M173" i="39"/>
  <c r="M254" i="39" s="1"/>
  <c r="M132" i="39"/>
  <c r="M300" i="39"/>
  <c r="M301" i="39" s="1"/>
  <c r="M291" i="39"/>
  <c r="M279" i="39"/>
  <c r="M280" i="39" s="1"/>
  <c r="M250" i="39"/>
  <c r="M251" i="39"/>
  <c r="M179" i="39"/>
  <c r="M270" i="39"/>
  <c r="M253" i="39"/>
  <c r="M296" i="39"/>
  <c r="M297" i="39" s="1"/>
  <c r="M252" i="39"/>
  <c r="M308" i="39"/>
  <c r="M309" i="39" s="1"/>
  <c r="M304" i="39"/>
  <c r="M305" i="39" s="1"/>
  <c r="M256" i="39"/>
  <c r="M275" i="39"/>
  <c r="M276" i="39" s="1"/>
  <c r="L292" i="39"/>
  <c r="L293" i="39" s="1"/>
  <c r="L317" i="39" s="1"/>
  <c r="J178" i="39"/>
  <c r="J92" i="39"/>
  <c r="M323" i="39"/>
  <c r="J287" i="39"/>
  <c r="K501" i="42"/>
  <c r="L400" i="42"/>
  <c r="L123" i="42" s="1"/>
  <c r="L517" i="42"/>
  <c r="M399" i="42"/>
  <c r="M381" i="39"/>
  <c r="K419" i="39"/>
  <c r="L400" i="39"/>
  <c r="L123" i="39" s="1"/>
  <c r="M399" i="39"/>
  <c r="L517" i="39"/>
  <c r="K409" i="39"/>
  <c r="L415" i="42"/>
  <c r="L175" i="42"/>
  <c r="L137" i="42"/>
  <c r="P25" i="42"/>
  <c r="Q24" i="42"/>
  <c r="P25" i="39"/>
  <c r="Q24" i="39"/>
  <c r="P19" i="39" l="1"/>
  <c r="M283" i="42"/>
  <c r="M419" i="42" s="1"/>
  <c r="L286" i="42"/>
  <c r="M469" i="39"/>
  <c r="M473" i="39"/>
  <c r="K287" i="42"/>
  <c r="M382" i="42"/>
  <c r="L284" i="42"/>
  <c r="K50" i="39"/>
  <c r="N448" i="42"/>
  <c r="N258" i="39"/>
  <c r="N323" i="42"/>
  <c r="K269" i="39"/>
  <c r="L269" i="39" s="1"/>
  <c r="L271" i="39" s="1"/>
  <c r="N259" i="42"/>
  <c r="M283" i="39"/>
  <c r="N241" i="42"/>
  <c r="N349" i="42"/>
  <c r="M242" i="39"/>
  <c r="K474" i="42"/>
  <c r="K492" i="42" s="1"/>
  <c r="K495" i="42" s="1"/>
  <c r="K194" i="39"/>
  <c r="K50" i="42"/>
  <c r="L88" i="42"/>
  <c r="L286" i="39"/>
  <c r="L284" i="39"/>
  <c r="N323" i="39"/>
  <c r="M137" i="39"/>
  <c r="M139" i="39" s="1"/>
  <c r="K287" i="39"/>
  <c r="L154" i="42"/>
  <c r="L155" i="42" s="1"/>
  <c r="M324" i="42"/>
  <c r="M325" i="42" s="1"/>
  <c r="M45" i="42" s="1"/>
  <c r="M413" i="39"/>
  <c r="J339" i="42"/>
  <c r="J341" i="42" s="1"/>
  <c r="K201" i="39"/>
  <c r="K207" i="39" s="1"/>
  <c r="K200" i="39"/>
  <c r="J195" i="39"/>
  <c r="J208" i="39"/>
  <c r="L290" i="42"/>
  <c r="M175" i="42"/>
  <c r="M400" i="39"/>
  <c r="M123" i="39" s="1"/>
  <c r="N399" i="39"/>
  <c r="M517" i="39"/>
  <c r="N468" i="39"/>
  <c r="K102" i="42"/>
  <c r="J477" i="39"/>
  <c r="K192" i="39"/>
  <c r="M47" i="39"/>
  <c r="L340" i="42"/>
  <c r="M475" i="42"/>
  <c r="L122" i="39"/>
  <c r="M396" i="39"/>
  <c r="M347" i="39"/>
  <c r="M351" i="39" s="1"/>
  <c r="N346" i="39"/>
  <c r="L340" i="39"/>
  <c r="M475" i="39"/>
  <c r="N321" i="42"/>
  <c r="M507" i="42"/>
  <c r="J492" i="42"/>
  <c r="N448" i="39"/>
  <c r="K508" i="39"/>
  <c r="K513" i="39" s="1"/>
  <c r="L124" i="39"/>
  <c r="M454" i="39"/>
  <c r="J158" i="39"/>
  <c r="J159" i="39" s="1"/>
  <c r="J50" i="39"/>
  <c r="L78" i="39"/>
  <c r="N167" i="42"/>
  <c r="M172" i="42"/>
  <c r="N168" i="42"/>
  <c r="N142" i="39"/>
  <c r="M145" i="39"/>
  <c r="M87" i="39" s="1"/>
  <c r="K157" i="42"/>
  <c r="N379" i="39"/>
  <c r="M380" i="39"/>
  <c r="M482" i="39"/>
  <c r="M493" i="39"/>
  <c r="M501" i="39" s="1"/>
  <c r="N443" i="39"/>
  <c r="M105" i="39"/>
  <c r="N426" i="42"/>
  <c r="L180" i="39"/>
  <c r="L183" i="39" s="1"/>
  <c r="L174" i="39"/>
  <c r="L177" i="39" s="1"/>
  <c r="N239" i="39"/>
  <c r="N132" i="39"/>
  <c r="N171" i="39"/>
  <c r="N133" i="39"/>
  <c r="N136" i="39"/>
  <c r="N138" i="39"/>
  <c r="N16" i="39"/>
  <c r="N134" i="39"/>
  <c r="N15" i="39"/>
  <c r="N175" i="39" s="1"/>
  <c r="N290" i="39" s="1"/>
  <c r="O14" i="39"/>
  <c r="N170" i="39"/>
  <c r="N135" i="39"/>
  <c r="N173" i="39"/>
  <c r="N254" i="39" s="1"/>
  <c r="N253" i="39"/>
  <c r="O253" i="39" s="1"/>
  <c r="P253" i="39" s="1"/>
  <c r="Q253" i="39" s="1"/>
  <c r="R253" i="39" s="1"/>
  <c r="S253" i="39" s="1"/>
  <c r="N179" i="39"/>
  <c r="N308" i="39"/>
  <c r="N309" i="39" s="1"/>
  <c r="N279" i="39"/>
  <c r="N280" i="39" s="1"/>
  <c r="N251" i="39"/>
  <c r="O251" i="39" s="1"/>
  <c r="P251" i="39" s="1"/>
  <c r="Q251" i="39" s="1"/>
  <c r="R251" i="39" s="1"/>
  <c r="S251" i="39" s="1"/>
  <c r="N304" i="39"/>
  <c r="N305" i="39" s="1"/>
  <c r="N250" i="39"/>
  <c r="N270" i="39"/>
  <c r="N275" i="39"/>
  <c r="N276" i="39" s="1"/>
  <c r="N296" i="39"/>
  <c r="N297" i="39" s="1"/>
  <c r="N256" i="39"/>
  <c r="N291" i="39"/>
  <c r="N300" i="39"/>
  <c r="N301" i="39" s="1"/>
  <c r="N252" i="39"/>
  <c r="O252" i="39" s="1"/>
  <c r="P252" i="39" s="1"/>
  <c r="Q252" i="39" s="1"/>
  <c r="R252" i="39" s="1"/>
  <c r="S252" i="39" s="1"/>
  <c r="O13" i="42"/>
  <c r="P12" i="42"/>
  <c r="J408" i="39"/>
  <c r="J46" i="39"/>
  <c r="J43" i="39"/>
  <c r="J62" i="39"/>
  <c r="K157" i="39"/>
  <c r="L335" i="39"/>
  <c r="M137" i="42"/>
  <c r="N424" i="42"/>
  <c r="M473" i="42"/>
  <c r="N142" i="42"/>
  <c r="M145" i="42"/>
  <c r="M87" i="42" s="1"/>
  <c r="N241" i="39"/>
  <c r="J158" i="42"/>
  <c r="J86" i="42"/>
  <c r="K472" i="42"/>
  <c r="J341" i="39"/>
  <c r="M396" i="42"/>
  <c r="M122" i="42" s="1"/>
  <c r="N395" i="42"/>
  <c r="M516" i="42"/>
  <c r="M494" i="42"/>
  <c r="N333" i="42"/>
  <c r="M334" i="42"/>
  <c r="K474" i="39"/>
  <c r="N358" i="42"/>
  <c r="M360" i="42"/>
  <c r="M493" i="42"/>
  <c r="M501" i="42" s="1"/>
  <c r="N443" i="42"/>
  <c r="M105" i="42"/>
  <c r="N379" i="42"/>
  <c r="M380" i="42"/>
  <c r="M482" i="42"/>
  <c r="K472" i="39"/>
  <c r="M469" i="42"/>
  <c r="N468" i="42"/>
  <c r="M268" i="42"/>
  <c r="N176" i="42"/>
  <c r="N285" i="39"/>
  <c r="L420" i="42"/>
  <c r="L421" i="42" s="1"/>
  <c r="L102" i="42" s="1"/>
  <c r="L483" i="42"/>
  <c r="M512" i="42"/>
  <c r="N328" i="42"/>
  <c r="N329" i="42" s="1"/>
  <c r="L154" i="39"/>
  <c r="K178" i="42"/>
  <c r="K92" i="42"/>
  <c r="M222" i="42"/>
  <c r="M223" i="42" s="1"/>
  <c r="M224" i="42" s="1"/>
  <c r="N226" i="42"/>
  <c r="M511" i="39"/>
  <c r="N457" i="39"/>
  <c r="M460" i="39"/>
  <c r="M117" i="39" s="1"/>
  <c r="M415" i="39"/>
  <c r="N459" i="39"/>
  <c r="M427" i="42"/>
  <c r="N167" i="39"/>
  <c r="M172" i="39"/>
  <c r="J206" i="39"/>
  <c r="J193" i="39"/>
  <c r="M257" i="39"/>
  <c r="M260" i="39" s="1"/>
  <c r="M292" i="39"/>
  <c r="M293" i="39" s="1"/>
  <c r="M317" i="39" s="1"/>
  <c r="K178" i="39"/>
  <c r="K92" i="39"/>
  <c r="K199" i="42"/>
  <c r="K409" i="42"/>
  <c r="N15" i="42"/>
  <c r="N136" i="42"/>
  <c r="O14" i="42"/>
  <c r="N135" i="42"/>
  <c r="N132" i="42"/>
  <c r="N138" i="42"/>
  <c r="N133" i="42"/>
  <c r="N134" i="42"/>
  <c r="N16" i="42"/>
  <c r="N171" i="42"/>
  <c r="N170" i="42"/>
  <c r="N173" i="42"/>
  <c r="N254" i="42" s="1"/>
  <c r="N168" i="39"/>
  <c r="M413" i="42"/>
  <c r="N410" i="42"/>
  <c r="N144" i="42"/>
  <c r="N425" i="42"/>
  <c r="N148" i="42"/>
  <c r="P20" i="42"/>
  <c r="Q19" i="42" s="1"/>
  <c r="P23" i="42"/>
  <c r="J449" i="42"/>
  <c r="K447" i="42"/>
  <c r="N453" i="39"/>
  <c r="M518" i="39"/>
  <c r="N240" i="39"/>
  <c r="J476" i="42"/>
  <c r="M163" i="42"/>
  <c r="M90" i="42" s="1"/>
  <c r="N162" i="42"/>
  <c r="J46" i="42"/>
  <c r="J43" i="42"/>
  <c r="J62" i="42"/>
  <c r="N169" i="42"/>
  <c r="N333" i="39"/>
  <c r="M494" i="39"/>
  <c r="M334" i="39"/>
  <c r="N285" i="42"/>
  <c r="M511" i="42"/>
  <c r="M460" i="42"/>
  <c r="M117" i="42" s="1"/>
  <c r="N457" i="42"/>
  <c r="N459" i="42"/>
  <c r="N358" i="39"/>
  <c r="M360" i="39"/>
  <c r="L88" i="39"/>
  <c r="M222" i="39"/>
  <c r="M223" i="39" s="1"/>
  <c r="M224" i="39" s="1"/>
  <c r="N226" i="39"/>
  <c r="N346" i="42"/>
  <c r="M347" i="42"/>
  <c r="M351" i="42" s="1"/>
  <c r="L383" i="39"/>
  <c r="L101" i="39" s="1"/>
  <c r="L80" i="39"/>
  <c r="N424" i="39"/>
  <c r="M427" i="39"/>
  <c r="M163" i="39"/>
  <c r="M90" i="39" s="1"/>
  <c r="N162" i="39"/>
  <c r="N259" i="39"/>
  <c r="K447" i="39"/>
  <c r="N144" i="39"/>
  <c r="N381" i="39"/>
  <c r="M382" i="39"/>
  <c r="K412" i="39"/>
  <c r="K406" i="39" s="1"/>
  <c r="K404" i="39"/>
  <c r="J476" i="39"/>
  <c r="J52" i="39"/>
  <c r="L139" i="42"/>
  <c r="K420" i="39"/>
  <c r="K421" i="39" s="1"/>
  <c r="K102" i="39" s="1"/>
  <c r="K483" i="39"/>
  <c r="L419" i="39"/>
  <c r="M400" i="42"/>
  <c r="M123" i="42" s="1"/>
  <c r="M517" i="42"/>
  <c r="N399" i="42"/>
  <c r="N169" i="39"/>
  <c r="M507" i="39"/>
  <c r="N321" i="39"/>
  <c r="M415" i="42"/>
  <c r="N381" i="42"/>
  <c r="P12" i="39"/>
  <c r="O13" i="39"/>
  <c r="M512" i="39"/>
  <c r="N328" i="39"/>
  <c r="N329" i="39" s="1"/>
  <c r="L325" i="42"/>
  <c r="L45" i="42" s="1"/>
  <c r="N349" i="39"/>
  <c r="M149" i="42"/>
  <c r="N395" i="39"/>
  <c r="M516" i="39"/>
  <c r="J50" i="42"/>
  <c r="K269" i="42"/>
  <c r="J205" i="42"/>
  <c r="J52" i="42" s="1"/>
  <c r="J271" i="42"/>
  <c r="J272" i="42" s="1"/>
  <c r="N258" i="42"/>
  <c r="L335" i="42"/>
  <c r="L78" i="42"/>
  <c r="J492" i="39"/>
  <c r="K414" i="42"/>
  <c r="L174" i="42"/>
  <c r="L177" i="42" s="1"/>
  <c r="M47" i="42"/>
  <c r="L325" i="39"/>
  <c r="L45" i="39" s="1"/>
  <c r="M324" i="39"/>
  <c r="L80" i="42"/>
  <c r="L383" i="42"/>
  <c r="L101" i="42" s="1"/>
  <c r="N148" i="39"/>
  <c r="N410" i="39"/>
  <c r="M268" i="39"/>
  <c r="N176" i="39"/>
  <c r="L501" i="39"/>
  <c r="N426" i="39"/>
  <c r="M454" i="42"/>
  <c r="M124" i="42" s="1"/>
  <c r="M518" i="42"/>
  <c r="N453" i="42"/>
  <c r="N240" i="42"/>
  <c r="P20" i="39"/>
  <c r="P23" i="39"/>
  <c r="J519" i="39"/>
  <c r="J68" i="39"/>
  <c r="N425" i="39"/>
  <c r="R24" i="39"/>
  <c r="Q25" i="39"/>
  <c r="R24" i="42"/>
  <c r="Q25" i="42"/>
  <c r="N283" i="42" l="1"/>
  <c r="Q19" i="39"/>
  <c r="M284" i="42"/>
  <c r="N284" i="42" s="1"/>
  <c r="N473" i="39"/>
  <c r="M286" i="42"/>
  <c r="N286" i="42" s="1"/>
  <c r="M286" i="39"/>
  <c r="L287" i="42"/>
  <c r="M269" i="39"/>
  <c r="M271" i="39" s="1"/>
  <c r="O241" i="39"/>
  <c r="L287" i="39"/>
  <c r="T252" i="39"/>
  <c r="U252" i="39" s="1"/>
  <c r="V252" i="39" s="1"/>
  <c r="W252" i="39" s="1"/>
  <c r="X252" i="39" s="1"/>
  <c r="Y252" i="39" s="1"/>
  <c r="Z252" i="39" s="1"/>
  <c r="AA252" i="39" s="1"/>
  <c r="T251" i="39"/>
  <c r="U251" i="39" s="1"/>
  <c r="V251" i="39" s="1"/>
  <c r="W251" i="39" s="1"/>
  <c r="X251" i="39" s="1"/>
  <c r="Y251" i="39" s="1"/>
  <c r="Z251" i="39" s="1"/>
  <c r="AA251" i="39" s="1"/>
  <c r="T253" i="39"/>
  <c r="U253" i="39" s="1"/>
  <c r="V253" i="39" s="1"/>
  <c r="W253" i="39" s="1"/>
  <c r="X253" i="39" s="1"/>
  <c r="Y253" i="39" s="1"/>
  <c r="Z253" i="39" s="1"/>
  <c r="AA253" i="39" s="1"/>
  <c r="J212" i="39"/>
  <c r="J51" i="39" s="1"/>
  <c r="J53" i="39" s="1"/>
  <c r="O259" i="42"/>
  <c r="N324" i="42"/>
  <c r="N325" i="42" s="1"/>
  <c r="N45" i="42" s="1"/>
  <c r="N283" i="39"/>
  <c r="O258" i="42"/>
  <c r="O425" i="42"/>
  <c r="O240" i="42"/>
  <c r="N413" i="39"/>
  <c r="K202" i="39"/>
  <c r="K114" i="39" s="1"/>
  <c r="L194" i="39"/>
  <c r="O285" i="39"/>
  <c r="O426" i="39"/>
  <c r="M284" i="39"/>
  <c r="K205" i="39"/>
  <c r="K477" i="39" s="1"/>
  <c r="K271" i="39"/>
  <c r="K272" i="39" s="1"/>
  <c r="K316" i="39" s="1"/>
  <c r="K193" i="39" s="1"/>
  <c r="O323" i="39"/>
  <c r="O448" i="42"/>
  <c r="N473" i="42"/>
  <c r="J98" i="39"/>
  <c r="O459" i="42"/>
  <c r="O285" i="42"/>
  <c r="O169" i="42"/>
  <c r="N415" i="42"/>
  <c r="K339" i="39"/>
  <c r="K341" i="39" s="1"/>
  <c r="N415" i="39"/>
  <c r="O349" i="39"/>
  <c r="O259" i="39"/>
  <c r="O425" i="39"/>
  <c r="O381" i="39"/>
  <c r="L474" i="42"/>
  <c r="L492" i="42" s="1"/>
  <c r="L495" i="42" s="1"/>
  <c r="O459" i="39"/>
  <c r="O169" i="39"/>
  <c r="L50" i="42"/>
  <c r="O144" i="39"/>
  <c r="O240" i="39"/>
  <c r="O148" i="42"/>
  <c r="O144" i="42"/>
  <c r="N137" i="42"/>
  <c r="N139" i="42" s="1"/>
  <c r="O323" i="42"/>
  <c r="N382" i="39"/>
  <c r="N137" i="39"/>
  <c r="N139" i="39" s="1"/>
  <c r="K407" i="39"/>
  <c r="K62" i="39" s="1"/>
  <c r="N419" i="42"/>
  <c r="N47" i="39"/>
  <c r="J89" i="39"/>
  <c r="J41" i="39"/>
  <c r="M325" i="39"/>
  <c r="M45" i="39" s="1"/>
  <c r="N324" i="39"/>
  <c r="L157" i="42"/>
  <c r="M335" i="42"/>
  <c r="M157" i="42" s="1"/>
  <c r="L269" i="42"/>
  <c r="M88" i="42"/>
  <c r="N149" i="42"/>
  <c r="O424" i="39"/>
  <c r="N427" i="39"/>
  <c r="J113" i="42"/>
  <c r="O168" i="39"/>
  <c r="M174" i="39"/>
  <c r="M177" i="39" s="1"/>
  <c r="M180" i="39"/>
  <c r="M183" i="39" s="1"/>
  <c r="N222" i="42"/>
  <c r="N223" i="42" s="1"/>
  <c r="N224" i="42" s="1"/>
  <c r="O226" i="42"/>
  <c r="N512" i="42"/>
  <c r="O328" i="42"/>
  <c r="O329" i="42" s="1"/>
  <c r="O379" i="42"/>
  <c r="N482" i="42"/>
  <c r="N380" i="42"/>
  <c r="M78" i="42"/>
  <c r="K86" i="42"/>
  <c r="L472" i="42"/>
  <c r="Q12" i="42"/>
  <c r="P13" i="42"/>
  <c r="O136" i="39"/>
  <c r="O173" i="39"/>
  <c r="O254" i="39" s="1"/>
  <c r="O133" i="39"/>
  <c r="P14" i="39"/>
  <c r="O16" i="39"/>
  <c r="O134" i="39"/>
  <c r="O135" i="39"/>
  <c r="O132" i="39"/>
  <c r="O171" i="39"/>
  <c r="O15" i="39"/>
  <c r="O175" i="39" s="1"/>
  <c r="O290" i="39" s="1"/>
  <c r="O170" i="39"/>
  <c r="O138" i="39"/>
  <c r="O279" i="39"/>
  <c r="O280" i="39" s="1"/>
  <c r="O304" i="39"/>
  <c r="O305" i="39" s="1"/>
  <c r="O296" i="39"/>
  <c r="O297" i="39" s="1"/>
  <c r="O308" i="39"/>
  <c r="O309" i="39" s="1"/>
  <c r="O270" i="39"/>
  <c r="O256" i="39"/>
  <c r="O179" i="39"/>
  <c r="O291" i="39"/>
  <c r="O300" i="39"/>
  <c r="O301" i="39" s="1"/>
  <c r="O275" i="39"/>
  <c r="O276" i="39" s="1"/>
  <c r="L178" i="39"/>
  <c r="L92" i="39"/>
  <c r="O167" i="42"/>
  <c r="N172" i="42"/>
  <c r="M122" i="39"/>
  <c r="N396" i="39"/>
  <c r="M340" i="42"/>
  <c r="N475" i="42"/>
  <c r="M290" i="42"/>
  <c r="N175" i="42"/>
  <c r="K339" i="42"/>
  <c r="M420" i="42"/>
  <c r="M421" i="42" s="1"/>
  <c r="M102" i="42" s="1"/>
  <c r="M483" i="42"/>
  <c r="Q20" i="42"/>
  <c r="R19" i="42" s="1"/>
  <c r="Q23" i="42"/>
  <c r="Q20" i="39"/>
  <c r="Q23" i="39"/>
  <c r="L92" i="42"/>
  <c r="L178" i="42"/>
  <c r="L420" i="39"/>
  <c r="L421" i="39" s="1"/>
  <c r="L102" i="39" s="1"/>
  <c r="L483" i="39"/>
  <c r="M419" i="39"/>
  <c r="N163" i="39"/>
  <c r="N90" i="39" s="1"/>
  <c r="O162" i="39"/>
  <c r="O346" i="42"/>
  <c r="N347" i="42"/>
  <c r="N351" i="42" s="1"/>
  <c r="N511" i="42"/>
  <c r="N460" i="42"/>
  <c r="N117" i="42" s="1"/>
  <c r="O457" i="42"/>
  <c r="N163" i="42"/>
  <c r="N90" i="42" s="1"/>
  <c r="O162" i="42"/>
  <c r="K449" i="42"/>
  <c r="L447" i="42"/>
  <c r="K412" i="42"/>
  <c r="K406" i="42" s="1"/>
  <c r="K404" i="42"/>
  <c r="O167" i="39"/>
  <c r="N172" i="39"/>
  <c r="N268" i="42"/>
  <c r="O176" i="42"/>
  <c r="L472" i="39"/>
  <c r="K86" i="39"/>
  <c r="N493" i="42"/>
  <c r="N501" i="42" s="1"/>
  <c r="N105" i="42"/>
  <c r="O443" i="42"/>
  <c r="O358" i="42"/>
  <c r="N360" i="42"/>
  <c r="O333" i="42"/>
  <c r="N494" i="42"/>
  <c r="N334" i="42"/>
  <c r="N396" i="42"/>
  <c r="N122" i="42" s="1"/>
  <c r="N516" i="42"/>
  <c r="O395" i="42"/>
  <c r="N427" i="42"/>
  <c r="O424" i="42"/>
  <c r="J107" i="39"/>
  <c r="J118" i="39"/>
  <c r="J119" i="39" s="1"/>
  <c r="N292" i="39"/>
  <c r="N293" i="39" s="1"/>
  <c r="N317" i="39" s="1"/>
  <c r="O239" i="39"/>
  <c r="N242" i="39"/>
  <c r="O142" i="39"/>
  <c r="N145" i="39"/>
  <c r="N87" i="39" s="1"/>
  <c r="M88" i="39"/>
  <c r="N454" i="39"/>
  <c r="M124" i="39"/>
  <c r="J514" i="42"/>
  <c r="J66" i="42"/>
  <c r="J342" i="42"/>
  <c r="O258" i="39"/>
  <c r="N149" i="39"/>
  <c r="O148" i="39"/>
  <c r="J495" i="39"/>
  <c r="J500" i="39"/>
  <c r="N494" i="39"/>
  <c r="O333" i="39"/>
  <c r="N334" i="39"/>
  <c r="N518" i="39"/>
  <c r="O453" i="39"/>
  <c r="O410" i="39"/>
  <c r="N268" i="39"/>
  <c r="O176" i="39"/>
  <c r="N47" i="42"/>
  <c r="M154" i="42"/>
  <c r="J316" i="42"/>
  <c r="J318" i="42" s="1"/>
  <c r="P13" i="39"/>
  <c r="Q12" i="39"/>
  <c r="N507" i="39"/>
  <c r="O321" i="39"/>
  <c r="N400" i="42"/>
  <c r="N123" i="42" s="1"/>
  <c r="N517" i="42"/>
  <c r="O399" i="42"/>
  <c r="K405" i="39"/>
  <c r="K481" i="39"/>
  <c r="M78" i="39"/>
  <c r="J519" i="42"/>
  <c r="J68" i="42"/>
  <c r="N413" i="42"/>
  <c r="O410" i="42"/>
  <c r="O16" i="42"/>
  <c r="O171" i="42"/>
  <c r="O170" i="42"/>
  <c r="O134" i="42"/>
  <c r="O135" i="42"/>
  <c r="O283" i="42" s="1"/>
  <c r="O138" i="42"/>
  <c r="O133" i="42"/>
  <c r="O136" i="42"/>
  <c r="O15" i="42"/>
  <c r="P14" i="42"/>
  <c r="O132" i="42"/>
  <c r="O173" i="42"/>
  <c r="O254" i="42" s="1"/>
  <c r="K508" i="42"/>
  <c r="K513" i="42" s="1"/>
  <c r="K476" i="39"/>
  <c r="N511" i="39"/>
  <c r="N460" i="39"/>
  <c r="N117" i="39" s="1"/>
  <c r="O457" i="39"/>
  <c r="K476" i="42"/>
  <c r="M139" i="42"/>
  <c r="L157" i="39"/>
  <c r="M335" i="39"/>
  <c r="M157" i="39" s="1"/>
  <c r="J113" i="39"/>
  <c r="N257" i="39"/>
  <c r="N260" i="39" s="1"/>
  <c r="O250" i="39"/>
  <c r="O426" i="42"/>
  <c r="N493" i="39"/>
  <c r="N501" i="39" s="1"/>
  <c r="O443" i="39"/>
  <c r="N105" i="39"/>
  <c r="M383" i="39"/>
  <c r="M101" i="39" s="1"/>
  <c r="M80" i="39"/>
  <c r="O168" i="42"/>
  <c r="M154" i="39"/>
  <c r="O448" i="39"/>
  <c r="N507" i="42"/>
  <c r="O321" i="42"/>
  <c r="N347" i="39"/>
  <c r="N351" i="39" s="1"/>
  <c r="O346" i="39"/>
  <c r="J209" i="39"/>
  <c r="N469" i="39"/>
  <c r="O468" i="39"/>
  <c r="N400" i="39"/>
  <c r="N123" i="39" s="1"/>
  <c r="N517" i="39"/>
  <c r="O399" i="39"/>
  <c r="O241" i="42"/>
  <c r="N454" i="42"/>
  <c r="N124" i="42" s="1"/>
  <c r="N518" i="42"/>
  <c r="O453" i="42"/>
  <c r="K200" i="42"/>
  <c r="K201" i="42"/>
  <c r="J477" i="42"/>
  <c r="N516" i="39"/>
  <c r="O395" i="39"/>
  <c r="N512" i="39"/>
  <c r="O328" i="39"/>
  <c r="O329" i="39" s="1"/>
  <c r="O381" i="42"/>
  <c r="N382" i="42"/>
  <c r="K449" i="39"/>
  <c r="L447" i="39"/>
  <c r="N222" i="39"/>
  <c r="N223" i="39" s="1"/>
  <c r="N224" i="39" s="1"/>
  <c r="O226" i="39"/>
  <c r="O358" i="39"/>
  <c r="N360" i="39"/>
  <c r="J107" i="42"/>
  <c r="J118" i="42"/>
  <c r="J119" i="42" s="1"/>
  <c r="L155" i="39"/>
  <c r="N469" i="42"/>
  <c r="O468" i="42"/>
  <c r="M383" i="42"/>
  <c r="M101" i="42" s="1"/>
  <c r="M80" i="42"/>
  <c r="K492" i="39"/>
  <c r="K495" i="39" s="1"/>
  <c r="L474" i="39"/>
  <c r="J514" i="39"/>
  <c r="J66" i="39"/>
  <c r="J342" i="39"/>
  <c r="J159" i="42"/>
  <c r="K158" i="42"/>
  <c r="O142" i="42"/>
  <c r="N145" i="42"/>
  <c r="N87" i="42" s="1"/>
  <c r="J98" i="42"/>
  <c r="O379" i="39"/>
  <c r="N482" i="39"/>
  <c r="N380" i="39"/>
  <c r="M174" i="42"/>
  <c r="M177" i="42" s="1"/>
  <c r="K158" i="39"/>
  <c r="J495" i="42"/>
  <c r="J500" i="42"/>
  <c r="M340" i="39"/>
  <c r="N475" i="39"/>
  <c r="O349" i="42"/>
  <c r="J196" i="39"/>
  <c r="S24" i="42"/>
  <c r="R25" i="42"/>
  <c r="R25" i="39"/>
  <c r="S24" i="39"/>
  <c r="R19" i="39" l="1"/>
  <c r="M287" i="42"/>
  <c r="N286" i="39"/>
  <c r="L272" i="39"/>
  <c r="M272" i="39" s="1"/>
  <c r="N269" i="39"/>
  <c r="N271" i="39" s="1"/>
  <c r="J478" i="39"/>
  <c r="J480" i="39" s="1"/>
  <c r="J487" i="39" s="1"/>
  <c r="O283" i="39"/>
  <c r="K52" i="39"/>
  <c r="P381" i="42"/>
  <c r="K206" i="39"/>
  <c r="O324" i="42"/>
  <c r="O325" i="42" s="1"/>
  <c r="O45" i="42" s="1"/>
  <c r="L192" i="39"/>
  <c r="N284" i="39"/>
  <c r="M287" i="39"/>
  <c r="K100" i="39"/>
  <c r="P258" i="42"/>
  <c r="P323" i="39"/>
  <c r="P426" i="39"/>
  <c r="P426" i="42"/>
  <c r="P241" i="42"/>
  <c r="L158" i="42"/>
  <c r="L159" i="42" s="1"/>
  <c r="L41" i="42" s="1"/>
  <c r="K318" i="39"/>
  <c r="K208" i="39" s="1"/>
  <c r="J54" i="39"/>
  <c r="L316" i="39"/>
  <c r="L318" i="39" s="1"/>
  <c r="P144" i="39"/>
  <c r="P349" i="39"/>
  <c r="O286" i="39"/>
  <c r="P169" i="39"/>
  <c r="P448" i="39"/>
  <c r="K43" i="39"/>
  <c r="K118" i="39" s="1"/>
  <c r="K119" i="39" s="1"/>
  <c r="P259" i="39"/>
  <c r="K46" i="39"/>
  <c r="K113" i="39" s="1"/>
  <c r="O415" i="42"/>
  <c r="P425" i="39"/>
  <c r="O382" i="39"/>
  <c r="M474" i="42"/>
  <c r="M492" i="42" s="1"/>
  <c r="M495" i="42" s="1"/>
  <c r="P258" i="39"/>
  <c r="P381" i="39"/>
  <c r="P323" i="42"/>
  <c r="P240" i="39"/>
  <c r="P459" i="39"/>
  <c r="P148" i="42"/>
  <c r="P168" i="42"/>
  <c r="P144" i="42"/>
  <c r="M474" i="39"/>
  <c r="M492" i="39" s="1"/>
  <c r="M495" i="39" s="1"/>
  <c r="P349" i="42"/>
  <c r="O137" i="42"/>
  <c r="O139" i="42" s="1"/>
  <c r="P425" i="42"/>
  <c r="L339" i="39"/>
  <c r="L341" i="39" s="1"/>
  <c r="L514" i="39" s="1"/>
  <c r="O47" i="39"/>
  <c r="O419" i="42"/>
  <c r="J208" i="42"/>
  <c r="J195" i="42"/>
  <c r="M92" i="42"/>
  <c r="M178" i="42"/>
  <c r="P379" i="39"/>
  <c r="O482" i="39"/>
  <c r="O380" i="39"/>
  <c r="N340" i="39"/>
  <c r="O475" i="39"/>
  <c r="K159" i="39"/>
  <c r="K89" i="39" s="1"/>
  <c r="L158" i="39"/>
  <c r="N383" i="39"/>
  <c r="N101" i="39" s="1"/>
  <c r="N80" i="39"/>
  <c r="J120" i="39"/>
  <c r="K342" i="39"/>
  <c r="J59" i="39"/>
  <c r="L50" i="39"/>
  <c r="O382" i="42"/>
  <c r="O516" i="39"/>
  <c r="P395" i="39"/>
  <c r="O400" i="39"/>
  <c r="O517" i="39"/>
  <c r="P399" i="39"/>
  <c r="M155" i="39"/>
  <c r="K408" i="39"/>
  <c r="L411" i="39"/>
  <c r="O507" i="39"/>
  <c r="P321" i="39"/>
  <c r="P240" i="42"/>
  <c r="O149" i="39"/>
  <c r="P148" i="39"/>
  <c r="J120" i="42"/>
  <c r="J59" i="42"/>
  <c r="P239" i="39"/>
  <c r="O242" i="39"/>
  <c r="J450" i="39"/>
  <c r="J125" i="39" s="1"/>
  <c r="J212" i="42"/>
  <c r="N78" i="42"/>
  <c r="P358" i="42"/>
  <c r="O360" i="42"/>
  <c r="P346" i="42"/>
  <c r="O347" i="42"/>
  <c r="O351" i="42" s="1"/>
  <c r="P448" i="42"/>
  <c r="L476" i="42"/>
  <c r="R20" i="39"/>
  <c r="R23" i="39"/>
  <c r="P459" i="42"/>
  <c r="N340" i="42"/>
  <c r="O475" i="42"/>
  <c r="O292" i="39"/>
  <c r="O293" i="39" s="1"/>
  <c r="O317" i="39" s="1"/>
  <c r="N154" i="42"/>
  <c r="O415" i="39"/>
  <c r="N325" i="39"/>
  <c r="N45" i="39" s="1"/>
  <c r="O324" i="39"/>
  <c r="P142" i="42"/>
  <c r="O145" i="42"/>
  <c r="O87" i="42" s="1"/>
  <c r="O469" i="42"/>
  <c r="P468" i="42"/>
  <c r="P358" i="39"/>
  <c r="O360" i="39"/>
  <c r="O507" i="42"/>
  <c r="P321" i="42"/>
  <c r="O400" i="42"/>
  <c r="O123" i="42" s="1"/>
  <c r="P399" i="42"/>
  <c r="O517" i="42"/>
  <c r="J206" i="42"/>
  <c r="J193" i="42"/>
  <c r="O268" i="39"/>
  <c r="P176" i="39"/>
  <c r="N78" i="39"/>
  <c r="P142" i="39"/>
  <c r="O145" i="39"/>
  <c r="O87" i="39" s="1"/>
  <c r="O427" i="42"/>
  <c r="P424" i="42"/>
  <c r="O396" i="42"/>
  <c r="O516" i="42"/>
  <c r="P395" i="42"/>
  <c r="L449" i="42"/>
  <c r="M447" i="42"/>
  <c r="P169" i="42"/>
  <c r="O163" i="39"/>
  <c r="O90" i="39" s="1"/>
  <c r="P162" i="39"/>
  <c r="N174" i="42"/>
  <c r="N177" i="42" s="1"/>
  <c r="L476" i="39"/>
  <c r="O473" i="42"/>
  <c r="L86" i="42"/>
  <c r="M472" i="42"/>
  <c r="P379" i="42"/>
  <c r="O380" i="42"/>
  <c r="O482" i="42"/>
  <c r="J91" i="39"/>
  <c r="N420" i="42"/>
  <c r="N421" i="42" s="1"/>
  <c r="N102" i="42" s="1"/>
  <c r="N483" i="42"/>
  <c r="O222" i="39"/>
  <c r="O223" i="39" s="1"/>
  <c r="O224" i="39" s="1"/>
  <c r="P226" i="39"/>
  <c r="L449" i="39"/>
  <c r="M447" i="39"/>
  <c r="O512" i="39"/>
  <c r="P328" i="39"/>
  <c r="O105" i="39"/>
  <c r="O493" i="39"/>
  <c r="O501" i="39" s="1"/>
  <c r="P443" i="39"/>
  <c r="P457" i="39"/>
  <c r="O511" i="39"/>
  <c r="O460" i="39"/>
  <c r="O117" i="39" s="1"/>
  <c r="O413" i="42"/>
  <c r="P410" i="42"/>
  <c r="J450" i="42"/>
  <c r="R12" i="39"/>
  <c r="Q13" i="39"/>
  <c r="M155" i="42"/>
  <c r="P410" i="39"/>
  <c r="P333" i="39"/>
  <c r="O494" i="39"/>
  <c r="O334" i="39"/>
  <c r="N124" i="39"/>
  <c r="O454" i="39"/>
  <c r="O494" i="42"/>
  <c r="P333" i="42"/>
  <c r="O334" i="42"/>
  <c r="O493" i="42"/>
  <c r="O501" i="42" s="1"/>
  <c r="P443" i="42"/>
  <c r="O105" i="42"/>
  <c r="M472" i="39"/>
  <c r="L86" i="39"/>
  <c r="N174" i="39"/>
  <c r="N177" i="39" s="1"/>
  <c r="N180" i="39"/>
  <c r="N183" i="39" s="1"/>
  <c r="K481" i="42"/>
  <c r="K405" i="42"/>
  <c r="K68" i="42"/>
  <c r="K519" i="42"/>
  <c r="P285" i="42"/>
  <c r="K341" i="42"/>
  <c r="L339" i="42"/>
  <c r="O396" i="39"/>
  <c r="N122" i="39"/>
  <c r="P167" i="42"/>
  <c r="O172" i="42"/>
  <c r="O137" i="39"/>
  <c r="P136" i="39"/>
  <c r="P15" i="39"/>
  <c r="P175" i="39" s="1"/>
  <c r="P171" i="39"/>
  <c r="P173" i="39"/>
  <c r="P254" i="39" s="1"/>
  <c r="Q14" i="39"/>
  <c r="P134" i="39"/>
  <c r="P170" i="39"/>
  <c r="P16" i="39"/>
  <c r="P133" i="39"/>
  <c r="P138" i="39"/>
  <c r="P132" i="39"/>
  <c r="P135" i="39"/>
  <c r="P179" i="39"/>
  <c r="P279" i="39"/>
  <c r="P280" i="39" s="1"/>
  <c r="P270" i="39"/>
  <c r="P304" i="39"/>
  <c r="P305" i="39" s="1"/>
  <c r="P300" i="39"/>
  <c r="P301" i="39" s="1"/>
  <c r="P296" i="39"/>
  <c r="P297" i="39" s="1"/>
  <c r="P291" i="39"/>
  <c r="P256" i="39"/>
  <c r="P275" i="39"/>
  <c r="P276" i="39" s="1"/>
  <c r="P308" i="39"/>
  <c r="P309" i="39" s="1"/>
  <c r="P241" i="39"/>
  <c r="P285" i="39"/>
  <c r="O222" i="42"/>
  <c r="O223" i="42" s="1"/>
  <c r="O224" i="42" s="1"/>
  <c r="P226" i="42"/>
  <c r="M178" i="39"/>
  <c r="M92" i="39"/>
  <c r="P168" i="39"/>
  <c r="O427" i="39"/>
  <c r="P424" i="39"/>
  <c r="M269" i="42"/>
  <c r="N335" i="42"/>
  <c r="N157" i="42" s="1"/>
  <c r="J99" i="39"/>
  <c r="J104" i="39" s="1"/>
  <c r="O413" i="39"/>
  <c r="K159" i="42"/>
  <c r="J89" i="42"/>
  <c r="J41" i="42"/>
  <c r="O284" i="42"/>
  <c r="L492" i="39"/>
  <c r="L495" i="39" s="1"/>
  <c r="K519" i="39"/>
  <c r="K68" i="39"/>
  <c r="O454" i="42"/>
  <c r="O124" i="42" s="1"/>
  <c r="P453" i="42"/>
  <c r="O518" i="42"/>
  <c r="O469" i="39"/>
  <c r="P468" i="39"/>
  <c r="P346" i="39"/>
  <c r="O347" i="39"/>
  <c r="O351" i="39" s="1"/>
  <c r="O257" i="39"/>
  <c r="O260" i="39" s="1"/>
  <c r="P250" i="39"/>
  <c r="N335" i="39"/>
  <c r="N157" i="39" s="1"/>
  <c r="K202" i="42"/>
  <c r="P173" i="42"/>
  <c r="P254" i="42" s="1"/>
  <c r="P134" i="42"/>
  <c r="P132" i="42"/>
  <c r="P138" i="42"/>
  <c r="Q14" i="42"/>
  <c r="P133" i="42"/>
  <c r="P136" i="42"/>
  <c r="P170" i="42"/>
  <c r="P15" i="42"/>
  <c r="P16" i="42"/>
  <c r="P135" i="42"/>
  <c r="P283" i="42" s="1"/>
  <c r="P171" i="42"/>
  <c r="N154" i="39"/>
  <c r="K486" i="39"/>
  <c r="K500" i="39"/>
  <c r="O47" i="42"/>
  <c r="O518" i="39"/>
  <c r="P453" i="39"/>
  <c r="O286" i="42"/>
  <c r="N88" i="39"/>
  <c r="O268" i="42"/>
  <c r="P176" i="42"/>
  <c r="P167" i="39"/>
  <c r="O172" i="39"/>
  <c r="K407" i="42"/>
  <c r="O163" i="42"/>
  <c r="O90" i="42" s="1"/>
  <c r="P162" i="42"/>
  <c r="O511" i="42"/>
  <c r="P457" i="42"/>
  <c r="O460" i="42"/>
  <c r="O117" i="42" s="1"/>
  <c r="M420" i="39"/>
  <c r="M421" i="39" s="1"/>
  <c r="M102" i="39" s="1"/>
  <c r="N419" i="39"/>
  <c r="M483" i="39"/>
  <c r="R20" i="42"/>
  <c r="S19" i="42" s="1"/>
  <c r="R23" i="42"/>
  <c r="N290" i="42"/>
  <c r="O175" i="42"/>
  <c r="Q13" i="42"/>
  <c r="R12" i="42"/>
  <c r="N383" i="42"/>
  <c r="N101" i="42" s="1"/>
  <c r="N80" i="42"/>
  <c r="O512" i="42"/>
  <c r="P328" i="42"/>
  <c r="P259" i="42"/>
  <c r="O473" i="39"/>
  <c r="N88" i="42"/>
  <c r="O149" i="42"/>
  <c r="N287" i="42"/>
  <c r="J56" i="39"/>
  <c r="K514" i="39"/>
  <c r="K66" i="39"/>
  <c r="S25" i="39"/>
  <c r="T24" i="39"/>
  <c r="T24" i="42"/>
  <c r="S25" i="42"/>
  <c r="S19" i="39" l="1"/>
  <c r="K209" i="39"/>
  <c r="J515" i="39"/>
  <c r="J520" i="39" s="1"/>
  <c r="J491" i="39"/>
  <c r="J496" i="39" s="1"/>
  <c r="P283" i="39"/>
  <c r="P382" i="42"/>
  <c r="J499" i="39"/>
  <c r="J506" i="39" s="1"/>
  <c r="J521" i="39" s="1"/>
  <c r="O284" i="39"/>
  <c r="O287" i="39" s="1"/>
  <c r="K195" i="39"/>
  <c r="K196" i="39" s="1"/>
  <c r="P473" i="39"/>
  <c r="N287" i="39"/>
  <c r="P413" i="39"/>
  <c r="Q259" i="39"/>
  <c r="Q148" i="42"/>
  <c r="L193" i="39"/>
  <c r="M158" i="42"/>
  <c r="M159" i="42" s="1"/>
  <c r="Q259" i="42"/>
  <c r="M316" i="39"/>
  <c r="M318" i="39" s="1"/>
  <c r="Q448" i="39"/>
  <c r="O154" i="42"/>
  <c r="O155" i="42" s="1"/>
  <c r="O50" i="42" s="1"/>
  <c r="P415" i="42"/>
  <c r="J93" i="39"/>
  <c r="J214" i="39" s="1"/>
  <c r="K107" i="39"/>
  <c r="K450" i="39" s="1"/>
  <c r="N272" i="39"/>
  <c r="P473" i="42"/>
  <c r="K98" i="39"/>
  <c r="O88" i="39"/>
  <c r="P382" i="39"/>
  <c r="Q349" i="39"/>
  <c r="Q381" i="39"/>
  <c r="Q426" i="39"/>
  <c r="Q168" i="42"/>
  <c r="P419" i="42"/>
  <c r="P512" i="42"/>
  <c r="Q328" i="42"/>
  <c r="K43" i="42"/>
  <c r="K46" i="42"/>
  <c r="K62" i="42"/>
  <c r="O290" i="42"/>
  <c r="P175" i="42"/>
  <c r="O180" i="39"/>
  <c r="O183" i="39" s="1"/>
  <c r="O174" i="39"/>
  <c r="O177" i="39" s="1"/>
  <c r="P329" i="42"/>
  <c r="N155" i="39"/>
  <c r="Q15" i="42"/>
  <c r="Q134" i="42"/>
  <c r="Q173" i="42"/>
  <c r="Q254" i="42" s="1"/>
  <c r="Q171" i="42"/>
  <c r="Q138" i="42"/>
  <c r="R14" i="42"/>
  <c r="Q136" i="42"/>
  <c r="Q170" i="42"/>
  <c r="Q135" i="42"/>
  <c r="Q283" i="42" s="1"/>
  <c r="Q132" i="42"/>
  <c r="Q16" i="42"/>
  <c r="Q133" i="42"/>
  <c r="P469" i="39"/>
  <c r="Q468" i="39"/>
  <c r="P454" i="42"/>
  <c r="P124" i="42" s="1"/>
  <c r="P518" i="42"/>
  <c r="Q453" i="42"/>
  <c r="K41" i="42"/>
  <c r="O335" i="42"/>
  <c r="M476" i="39"/>
  <c r="Q285" i="39"/>
  <c r="O139" i="39"/>
  <c r="M339" i="42"/>
  <c r="L341" i="42"/>
  <c r="P493" i="42"/>
  <c r="P501" i="42" s="1"/>
  <c r="Q443" i="42"/>
  <c r="P105" i="42"/>
  <c r="O78" i="39"/>
  <c r="Q410" i="39"/>
  <c r="P413" i="42"/>
  <c r="Q410" i="42"/>
  <c r="M50" i="42"/>
  <c r="P493" i="39"/>
  <c r="P501" i="39" s="1"/>
  <c r="P105" i="39"/>
  <c r="Q443" i="39"/>
  <c r="L519" i="39"/>
  <c r="L68" i="39"/>
  <c r="M449" i="42"/>
  <c r="N447" i="42"/>
  <c r="Q424" i="42"/>
  <c r="P427" i="42"/>
  <c r="P268" i="39"/>
  <c r="Q176" i="39"/>
  <c r="J209" i="42"/>
  <c r="Q144" i="39"/>
  <c r="Q459" i="39"/>
  <c r="P415" i="39"/>
  <c r="P507" i="39"/>
  <c r="Q321" i="39"/>
  <c r="Q240" i="39"/>
  <c r="O123" i="39"/>
  <c r="P400" i="39"/>
  <c r="Q323" i="42"/>
  <c r="Q379" i="39"/>
  <c r="P380" i="39"/>
  <c r="P482" i="39"/>
  <c r="O88" i="42"/>
  <c r="P149" i="42"/>
  <c r="Q167" i="39"/>
  <c r="P172" i="39"/>
  <c r="P518" i="39"/>
  <c r="Q453" i="39"/>
  <c r="K114" i="42"/>
  <c r="K100" i="42"/>
  <c r="O335" i="39"/>
  <c r="J99" i="42"/>
  <c r="J104" i="42" s="1"/>
  <c r="Q168" i="39"/>
  <c r="P222" i="42"/>
  <c r="P223" i="42" s="1"/>
  <c r="P224" i="42" s="1"/>
  <c r="Q226" i="42"/>
  <c r="Q241" i="39"/>
  <c r="P137" i="39"/>
  <c r="O122" i="39"/>
  <c r="P396" i="39"/>
  <c r="K514" i="42"/>
  <c r="K66" i="42"/>
  <c r="Q323" i="39"/>
  <c r="N92" i="39"/>
  <c r="N178" i="39"/>
  <c r="N472" i="39"/>
  <c r="M86" i="39"/>
  <c r="P454" i="39"/>
  <c r="O124" i="39"/>
  <c r="S12" i="39"/>
  <c r="R13" i="39"/>
  <c r="P512" i="39"/>
  <c r="Q328" i="39"/>
  <c r="Q349" i="42"/>
  <c r="N178" i="42"/>
  <c r="N92" i="42"/>
  <c r="P163" i="39"/>
  <c r="P90" i="39" s="1"/>
  <c r="Q162" i="39"/>
  <c r="L519" i="42"/>
  <c r="L68" i="42"/>
  <c r="P516" i="42"/>
  <c r="Q395" i="42"/>
  <c r="P507" i="42"/>
  <c r="Q321" i="42"/>
  <c r="Q381" i="42"/>
  <c r="P469" i="42"/>
  <c r="Q468" i="42"/>
  <c r="P145" i="42"/>
  <c r="P87" i="42" s="1"/>
  <c r="Q142" i="42"/>
  <c r="N155" i="42"/>
  <c r="Q459" i="42"/>
  <c r="Q239" i="39"/>
  <c r="P242" i="39"/>
  <c r="P149" i="39"/>
  <c r="Q148" i="39"/>
  <c r="Q425" i="42"/>
  <c r="M50" i="39"/>
  <c r="P516" i="39"/>
  <c r="Q395" i="39"/>
  <c r="L342" i="39"/>
  <c r="K120" i="39"/>
  <c r="K59" i="39"/>
  <c r="M158" i="39"/>
  <c r="P324" i="42"/>
  <c r="J196" i="42"/>
  <c r="O420" i="42"/>
  <c r="O421" i="42" s="1"/>
  <c r="O102" i="42" s="1"/>
  <c r="O483" i="42"/>
  <c r="P163" i="42"/>
  <c r="P90" i="42" s="1"/>
  <c r="Q162" i="42"/>
  <c r="N483" i="39"/>
  <c r="N420" i="39"/>
  <c r="N421" i="39" s="1"/>
  <c r="O419" i="39"/>
  <c r="P268" i="42"/>
  <c r="Q176" i="42"/>
  <c r="P137" i="42"/>
  <c r="P257" i="39"/>
  <c r="P260" i="39" s="1"/>
  <c r="Q250" i="39"/>
  <c r="N269" i="42"/>
  <c r="P290" i="39"/>
  <c r="P292" i="39" s="1"/>
  <c r="P293" i="39" s="1"/>
  <c r="P317" i="39" s="1"/>
  <c r="O174" i="42"/>
  <c r="O177" i="42" s="1"/>
  <c r="Q285" i="42"/>
  <c r="K408" i="42"/>
  <c r="L411" i="42"/>
  <c r="L414" i="42" s="1"/>
  <c r="O78" i="42"/>
  <c r="P494" i="39"/>
  <c r="Q333" i="39"/>
  <c r="P334" i="39"/>
  <c r="J125" i="42"/>
  <c r="P222" i="39"/>
  <c r="P223" i="39" s="1"/>
  <c r="P224" i="39" s="1"/>
  <c r="Q226" i="39"/>
  <c r="O383" i="42"/>
  <c r="O101" i="42" s="1"/>
  <c r="O80" i="42"/>
  <c r="N472" i="42"/>
  <c r="M86" i="42"/>
  <c r="K91" i="39"/>
  <c r="O154" i="39"/>
  <c r="P400" i="42"/>
  <c r="Q399" i="42"/>
  <c r="P517" i="42"/>
  <c r="P286" i="39"/>
  <c r="J55" i="39"/>
  <c r="O340" i="42"/>
  <c r="P475" i="42"/>
  <c r="Q346" i="42"/>
  <c r="P347" i="42"/>
  <c r="P351" i="42" s="1"/>
  <c r="L409" i="39"/>
  <c r="L199" i="39"/>
  <c r="L414" i="39"/>
  <c r="P517" i="39"/>
  <c r="Q399" i="39"/>
  <c r="K99" i="39"/>
  <c r="K41" i="39"/>
  <c r="O80" i="39"/>
  <c r="O383" i="39"/>
  <c r="O101" i="39" s="1"/>
  <c r="M476" i="42"/>
  <c r="N474" i="42"/>
  <c r="Q169" i="39"/>
  <c r="P329" i="39"/>
  <c r="R13" i="42"/>
  <c r="S12" i="42"/>
  <c r="S20" i="42"/>
  <c r="T19" i="42" s="1"/>
  <c r="S23" i="42"/>
  <c r="P511" i="42"/>
  <c r="P460" i="42"/>
  <c r="P117" i="42" s="1"/>
  <c r="Q457" i="42"/>
  <c r="P286" i="42"/>
  <c r="P347" i="39"/>
  <c r="P351" i="39" s="1"/>
  <c r="Q346" i="39"/>
  <c r="P284" i="42"/>
  <c r="J91" i="42"/>
  <c r="K89" i="42"/>
  <c r="Q424" i="39"/>
  <c r="P427" i="39"/>
  <c r="Q135" i="39"/>
  <c r="Q171" i="39"/>
  <c r="Q16" i="39"/>
  <c r="Q15" i="39"/>
  <c r="Q175" i="39" s="1"/>
  <c r="Q134" i="39"/>
  <c r="Q136" i="39"/>
  <c r="Q170" i="39"/>
  <c r="R14" i="39"/>
  <c r="Q132" i="39"/>
  <c r="Q133" i="39"/>
  <c r="Q173" i="39"/>
  <c r="Q254" i="39" s="1"/>
  <c r="Q138" i="39"/>
  <c r="Q179" i="39"/>
  <c r="Q300" i="39"/>
  <c r="Q301" i="39" s="1"/>
  <c r="Q291" i="39"/>
  <c r="Q296" i="39"/>
  <c r="Q297" i="39" s="1"/>
  <c r="Q304" i="39"/>
  <c r="Q305" i="39" s="1"/>
  <c r="Q308" i="39"/>
  <c r="Q309" i="39" s="1"/>
  <c r="Q279" i="39"/>
  <c r="Q280" i="39" s="1"/>
  <c r="Q270" i="39"/>
  <c r="Q256" i="39"/>
  <c r="Q275" i="39"/>
  <c r="Q276" i="39" s="1"/>
  <c r="Q167" i="42"/>
  <c r="P172" i="42"/>
  <c r="K486" i="42"/>
  <c r="K500" i="42"/>
  <c r="P494" i="42"/>
  <c r="Q333" i="42"/>
  <c r="P334" i="42"/>
  <c r="Q258" i="39"/>
  <c r="P511" i="39"/>
  <c r="Q457" i="39"/>
  <c r="P460" i="39"/>
  <c r="P117" i="39" s="1"/>
  <c r="Q241" i="42"/>
  <c r="M449" i="39"/>
  <c r="N447" i="39"/>
  <c r="Q144" i="42"/>
  <c r="Q379" i="42"/>
  <c r="P482" i="42"/>
  <c r="P380" i="42"/>
  <c r="Q425" i="39"/>
  <c r="Q169" i="42"/>
  <c r="O122" i="42"/>
  <c r="P396" i="42"/>
  <c r="P145" i="39"/>
  <c r="P87" i="39" s="1"/>
  <c r="Q142" i="39"/>
  <c r="Q358" i="39"/>
  <c r="P360" i="39"/>
  <c r="N474" i="39"/>
  <c r="O325" i="39"/>
  <c r="O45" i="39" s="1"/>
  <c r="P324" i="39"/>
  <c r="S20" i="39"/>
  <c r="S23" i="39"/>
  <c r="Q448" i="42"/>
  <c r="Q358" i="42"/>
  <c r="P360" i="42"/>
  <c r="J478" i="42"/>
  <c r="J515" i="42" s="1"/>
  <c r="J520" i="42" s="1"/>
  <c r="J51" i="42"/>
  <c r="K342" i="42"/>
  <c r="Q240" i="42"/>
  <c r="Q426" i="42"/>
  <c r="L159" i="39"/>
  <c r="L89" i="39" s="1"/>
  <c r="O340" i="39"/>
  <c r="P475" i="39"/>
  <c r="Q258" i="42"/>
  <c r="M339" i="39"/>
  <c r="O287" i="42"/>
  <c r="U24" i="42"/>
  <c r="T25" i="42"/>
  <c r="U24" i="39"/>
  <c r="T25" i="39"/>
  <c r="T19" i="39" l="1"/>
  <c r="R148" i="42"/>
  <c r="Q283" i="39"/>
  <c r="Q286" i="39" s="1"/>
  <c r="P284" i="39"/>
  <c r="L195" i="39"/>
  <c r="L196" i="39" s="1"/>
  <c r="K93" i="39"/>
  <c r="J502" i="39"/>
  <c r="J75" i="39" s="1"/>
  <c r="J67" i="39" s="1"/>
  <c r="J69" i="39" s="1"/>
  <c r="J71" i="39" s="1"/>
  <c r="K98" i="42"/>
  <c r="L208" i="39"/>
  <c r="Q413" i="39"/>
  <c r="R448" i="42"/>
  <c r="O474" i="42"/>
  <c r="O492" i="42" s="1"/>
  <c r="O495" i="42" s="1"/>
  <c r="N316" i="39"/>
  <c r="N318" i="39" s="1"/>
  <c r="Q415" i="42"/>
  <c r="K104" i="39"/>
  <c r="K125" i="39"/>
  <c r="R349" i="39"/>
  <c r="R459" i="42"/>
  <c r="R258" i="42"/>
  <c r="J213" i="39"/>
  <c r="R144" i="42"/>
  <c r="R425" i="42"/>
  <c r="R381" i="42"/>
  <c r="J215" i="39"/>
  <c r="Q382" i="39"/>
  <c r="R240" i="42"/>
  <c r="R285" i="42"/>
  <c r="R259" i="42"/>
  <c r="R323" i="42"/>
  <c r="N158" i="39"/>
  <c r="N159" i="39" s="1"/>
  <c r="N41" i="39" s="1"/>
  <c r="Q382" i="42"/>
  <c r="Q137" i="39"/>
  <c r="Q139" i="39" s="1"/>
  <c r="P88" i="39"/>
  <c r="R426" i="42"/>
  <c r="O474" i="39"/>
  <c r="O492" i="39" s="1"/>
  <c r="O495" i="39" s="1"/>
  <c r="R241" i="42"/>
  <c r="R349" i="42"/>
  <c r="R258" i="39"/>
  <c r="R425" i="39"/>
  <c r="R169" i="42"/>
  <c r="P154" i="39"/>
  <c r="P155" i="39" s="1"/>
  <c r="L91" i="39"/>
  <c r="Q419" i="42"/>
  <c r="Q290" i="39"/>
  <c r="Q292" i="39" s="1"/>
  <c r="Q293" i="39" s="1"/>
  <c r="Q317" i="39" s="1"/>
  <c r="N339" i="39"/>
  <c r="M341" i="39"/>
  <c r="M342" i="39" s="1"/>
  <c r="J56" i="42"/>
  <c r="J54" i="42"/>
  <c r="J53" i="42"/>
  <c r="Q145" i="39"/>
  <c r="Q87" i="39" s="1"/>
  <c r="R142" i="39"/>
  <c r="P80" i="42"/>
  <c r="P383" i="42"/>
  <c r="P101" i="42" s="1"/>
  <c r="N449" i="39"/>
  <c r="O447" i="39"/>
  <c r="Q511" i="39"/>
  <c r="Q460" i="39"/>
  <c r="Q117" i="39" s="1"/>
  <c r="R457" i="39"/>
  <c r="Q494" i="42"/>
  <c r="R333" i="42"/>
  <c r="Q334" i="42"/>
  <c r="Q427" i="39"/>
  <c r="R424" i="39"/>
  <c r="Q284" i="42"/>
  <c r="Q286" i="42"/>
  <c r="P47" i="39"/>
  <c r="Q329" i="39"/>
  <c r="L508" i="39"/>
  <c r="L513" i="39" s="1"/>
  <c r="L205" i="39"/>
  <c r="L52" i="39" s="1"/>
  <c r="O155" i="39"/>
  <c r="O50" i="39" s="1"/>
  <c r="Q494" i="39"/>
  <c r="R333" i="39"/>
  <c r="Q334" i="39"/>
  <c r="O178" i="42"/>
  <c r="O92" i="42"/>
  <c r="O269" i="42"/>
  <c r="L120" i="39"/>
  <c r="Q149" i="39"/>
  <c r="R148" i="39"/>
  <c r="N50" i="42"/>
  <c r="Q512" i="39"/>
  <c r="R328" i="39"/>
  <c r="P139" i="39"/>
  <c r="Q473" i="39"/>
  <c r="P383" i="39"/>
  <c r="P101" i="39" s="1"/>
  <c r="P80" i="39"/>
  <c r="R144" i="39"/>
  <c r="N449" i="42"/>
  <c r="O447" i="42"/>
  <c r="L514" i="42"/>
  <c r="O157" i="42"/>
  <c r="P335" i="42"/>
  <c r="Q469" i="39"/>
  <c r="R468" i="39"/>
  <c r="N50" i="39"/>
  <c r="R381" i="39"/>
  <c r="P420" i="42"/>
  <c r="P421" i="42" s="1"/>
  <c r="P102" i="42" s="1"/>
  <c r="P483" i="42"/>
  <c r="N158" i="42"/>
  <c r="P340" i="39"/>
  <c r="Q475" i="39"/>
  <c r="T20" i="39"/>
  <c r="T23" i="39"/>
  <c r="M519" i="39"/>
  <c r="M68" i="39"/>
  <c r="Q347" i="39"/>
  <c r="Q351" i="39" s="1"/>
  <c r="R346" i="39"/>
  <c r="Q511" i="42"/>
  <c r="R457" i="42"/>
  <c r="Q460" i="42"/>
  <c r="Q117" i="42" s="1"/>
  <c r="T20" i="42"/>
  <c r="U19" i="42" s="1"/>
  <c r="T23" i="42"/>
  <c r="Q517" i="39"/>
  <c r="R399" i="39"/>
  <c r="L412" i="39"/>
  <c r="L406" i="39" s="1"/>
  <c r="L404" i="39"/>
  <c r="R346" i="42"/>
  <c r="Q347" i="42"/>
  <c r="Q351" i="42" s="1"/>
  <c r="Q517" i="42"/>
  <c r="R399" i="42"/>
  <c r="N86" i="42"/>
  <c r="O472" i="42"/>
  <c r="Q222" i="39"/>
  <c r="Q223" i="39" s="1"/>
  <c r="Q224" i="39" s="1"/>
  <c r="R226" i="39"/>
  <c r="L409" i="42"/>
  <c r="L199" i="42"/>
  <c r="P139" i="42"/>
  <c r="O420" i="39"/>
  <c r="O421" i="39" s="1"/>
  <c r="O102" i="39" s="1"/>
  <c r="O483" i="39"/>
  <c r="P419" i="39"/>
  <c r="Q163" i="42"/>
  <c r="Q90" i="42" s="1"/>
  <c r="R162" i="42"/>
  <c r="R142" i="42"/>
  <c r="Q145" i="42"/>
  <c r="Q87" i="42" s="1"/>
  <c r="Q516" i="42"/>
  <c r="R395" i="42"/>
  <c r="Q163" i="39"/>
  <c r="Q90" i="39" s="1"/>
  <c r="R162" i="39"/>
  <c r="N476" i="42"/>
  <c r="N476" i="39"/>
  <c r="R241" i="39"/>
  <c r="R168" i="39"/>
  <c r="P180" i="39"/>
  <c r="P183" i="39" s="1"/>
  <c r="P174" i="39"/>
  <c r="P177" i="39" s="1"/>
  <c r="P88" i="42"/>
  <c r="Q149" i="42"/>
  <c r="R379" i="39"/>
  <c r="Q380" i="39"/>
  <c r="Q482" i="39"/>
  <c r="R240" i="39"/>
  <c r="Q415" i="39"/>
  <c r="J93" i="42"/>
  <c r="J214" i="42" s="1"/>
  <c r="M519" i="42"/>
  <c r="M68" i="42"/>
  <c r="Q105" i="42"/>
  <c r="R443" i="42"/>
  <c r="Q493" i="42"/>
  <c r="Q501" i="42" s="1"/>
  <c r="N339" i="42"/>
  <c r="M341" i="42"/>
  <c r="R285" i="39"/>
  <c r="Q454" i="42"/>
  <c r="Q124" i="42" s="1"/>
  <c r="Q518" i="42"/>
  <c r="R453" i="42"/>
  <c r="Q137" i="42"/>
  <c r="Q139" i="42" s="1"/>
  <c r="R170" i="42"/>
  <c r="R133" i="42"/>
  <c r="R134" i="42"/>
  <c r="R132" i="42"/>
  <c r="R16" i="42"/>
  <c r="R138" i="42"/>
  <c r="R135" i="42"/>
  <c r="R283" i="42" s="1"/>
  <c r="R173" i="42"/>
  <c r="R254" i="42" s="1"/>
  <c r="R171" i="42"/>
  <c r="R136" i="42"/>
  <c r="R15" i="42"/>
  <c r="S14" i="42"/>
  <c r="P47" i="42"/>
  <c r="Q329" i="42"/>
  <c r="Q512" i="42"/>
  <c r="R328" i="42"/>
  <c r="M41" i="42"/>
  <c r="L200" i="42"/>
  <c r="L201" i="42"/>
  <c r="P325" i="39"/>
  <c r="P45" i="39" s="1"/>
  <c r="Q324" i="39"/>
  <c r="R358" i="39"/>
  <c r="Q360" i="39"/>
  <c r="P122" i="42"/>
  <c r="Q396" i="42"/>
  <c r="R379" i="42"/>
  <c r="Q482" i="42"/>
  <c r="Q380" i="42"/>
  <c r="P174" i="42"/>
  <c r="P177" i="42" s="1"/>
  <c r="R133" i="39"/>
  <c r="R173" i="39"/>
  <c r="R254" i="39" s="1"/>
  <c r="R138" i="39"/>
  <c r="S14" i="39"/>
  <c r="R171" i="39"/>
  <c r="R136" i="39"/>
  <c r="R134" i="39"/>
  <c r="R132" i="39"/>
  <c r="R135" i="39"/>
  <c r="R16" i="39"/>
  <c r="R15" i="39"/>
  <c r="R175" i="39" s="1"/>
  <c r="R170" i="39"/>
  <c r="R308" i="39"/>
  <c r="R309" i="39" s="1"/>
  <c r="R304" i="39"/>
  <c r="R305" i="39" s="1"/>
  <c r="R270" i="39"/>
  <c r="R296" i="39"/>
  <c r="R297" i="39" s="1"/>
  <c r="R256" i="39"/>
  <c r="R179" i="39"/>
  <c r="R279" i="39"/>
  <c r="R280" i="39" s="1"/>
  <c r="R291" i="39"/>
  <c r="R300" i="39"/>
  <c r="R301" i="39" s="1"/>
  <c r="R275" i="39"/>
  <c r="R276" i="39" s="1"/>
  <c r="K91" i="42"/>
  <c r="L89" i="42"/>
  <c r="S13" i="42"/>
  <c r="T12" i="42"/>
  <c r="R169" i="39"/>
  <c r="P340" i="42"/>
  <c r="Q475" i="42"/>
  <c r="P123" i="42"/>
  <c r="Q400" i="42"/>
  <c r="N102" i="39"/>
  <c r="M159" i="39"/>
  <c r="M89" i="39" s="1"/>
  <c r="Q507" i="42"/>
  <c r="R321" i="42"/>
  <c r="P122" i="39"/>
  <c r="Q396" i="39"/>
  <c r="Q518" i="39"/>
  <c r="R453" i="39"/>
  <c r="R167" i="39"/>
  <c r="Q172" i="39"/>
  <c r="Q507" i="39"/>
  <c r="R321" i="39"/>
  <c r="R459" i="39"/>
  <c r="Q473" i="42"/>
  <c r="Q105" i="39"/>
  <c r="R443" i="39"/>
  <c r="Q493" i="39"/>
  <c r="Q501" i="39" s="1"/>
  <c r="R410" i="39"/>
  <c r="K99" i="42"/>
  <c r="R448" i="39"/>
  <c r="O178" i="39"/>
  <c r="O92" i="39"/>
  <c r="P290" i="42"/>
  <c r="Q175" i="42"/>
  <c r="K113" i="42"/>
  <c r="P287" i="42"/>
  <c r="R358" i="42"/>
  <c r="Q360" i="42"/>
  <c r="L41" i="39"/>
  <c r="L99" i="39"/>
  <c r="K120" i="42"/>
  <c r="L342" i="42"/>
  <c r="K59" i="42"/>
  <c r="J480" i="42"/>
  <c r="J499" i="42"/>
  <c r="P78" i="42"/>
  <c r="R167" i="42"/>
  <c r="Q172" i="42"/>
  <c r="R426" i="39"/>
  <c r="L200" i="39"/>
  <c r="L201" i="39"/>
  <c r="P78" i="39"/>
  <c r="P154" i="42"/>
  <c r="Q257" i="39"/>
  <c r="Q260" i="39" s="1"/>
  <c r="R250" i="39"/>
  <c r="R176" i="42"/>
  <c r="Q268" i="42"/>
  <c r="P325" i="42"/>
  <c r="P45" i="42" s="1"/>
  <c r="Q324" i="42"/>
  <c r="Q516" i="39"/>
  <c r="R395" i="39"/>
  <c r="R239" i="39"/>
  <c r="Q242" i="39"/>
  <c r="N492" i="42"/>
  <c r="N495" i="42" s="1"/>
  <c r="Q469" i="42"/>
  <c r="R468" i="42"/>
  <c r="T12" i="39"/>
  <c r="S13" i="39"/>
  <c r="P124" i="39"/>
  <c r="Q454" i="39"/>
  <c r="N86" i="39"/>
  <c r="O472" i="39"/>
  <c r="R323" i="39"/>
  <c r="Q222" i="42"/>
  <c r="Q223" i="42" s="1"/>
  <c r="Q224" i="42" s="1"/>
  <c r="R226" i="42"/>
  <c r="O157" i="39"/>
  <c r="P335" i="39"/>
  <c r="P123" i="39"/>
  <c r="Q400" i="39"/>
  <c r="Q268" i="39"/>
  <c r="R176" i="39"/>
  <c r="R424" i="42"/>
  <c r="Q427" i="42"/>
  <c r="Q413" i="42"/>
  <c r="R410" i="42"/>
  <c r="O269" i="39"/>
  <c r="N492" i="39"/>
  <c r="N495" i="39" s="1"/>
  <c r="K107" i="42"/>
  <c r="K450" i="42" s="1"/>
  <c r="K118" i="42"/>
  <c r="K119" i="42" s="1"/>
  <c r="R168" i="42"/>
  <c r="R259" i="39"/>
  <c r="V24" i="39"/>
  <c r="U25" i="39"/>
  <c r="U25" i="42"/>
  <c r="V24" i="42"/>
  <c r="U19" i="39" l="1"/>
  <c r="U12" i="39" s="1"/>
  <c r="R283" i="39"/>
  <c r="R286" i="39" s="1"/>
  <c r="Q284" i="39"/>
  <c r="Q287" i="39" s="1"/>
  <c r="P287" i="39"/>
  <c r="M195" i="39"/>
  <c r="K104" i="42"/>
  <c r="R415" i="42"/>
  <c r="J77" i="39"/>
  <c r="J79" i="39" s="1"/>
  <c r="J82" i="39" s="1"/>
  <c r="M208" i="39"/>
  <c r="J503" i="39"/>
  <c r="K212" i="39"/>
  <c r="J215" i="42"/>
  <c r="P474" i="42"/>
  <c r="P492" i="42" s="1"/>
  <c r="P495" i="42" s="1"/>
  <c r="J216" i="39"/>
  <c r="J94" i="39" s="1"/>
  <c r="J121" i="39" s="1"/>
  <c r="J126" i="39" s="1"/>
  <c r="S448" i="39"/>
  <c r="S323" i="42"/>
  <c r="J213" i="42"/>
  <c r="S448" i="42"/>
  <c r="S459" i="42"/>
  <c r="S285" i="42"/>
  <c r="S258" i="42"/>
  <c r="S168" i="42"/>
  <c r="S381" i="42"/>
  <c r="R382" i="42"/>
  <c r="S240" i="42"/>
  <c r="R473" i="42"/>
  <c r="P474" i="39"/>
  <c r="P492" i="39" s="1"/>
  <c r="P495" i="39" s="1"/>
  <c r="O158" i="42"/>
  <c r="O159" i="42" s="1"/>
  <c r="R473" i="39"/>
  <c r="S349" i="42"/>
  <c r="P50" i="39"/>
  <c r="S426" i="39"/>
  <c r="S323" i="39"/>
  <c r="S259" i="39"/>
  <c r="S459" i="39"/>
  <c r="Q154" i="42"/>
  <c r="Q155" i="42" s="1"/>
  <c r="Q50" i="42" s="1"/>
  <c r="S425" i="42"/>
  <c r="Q154" i="39"/>
  <c r="Q155" i="39" s="1"/>
  <c r="Q50" i="39" s="1"/>
  <c r="S144" i="42"/>
  <c r="S426" i="42"/>
  <c r="Q88" i="39"/>
  <c r="S241" i="42"/>
  <c r="R290" i="39"/>
  <c r="R292" i="39" s="1"/>
  <c r="R293" i="39" s="1"/>
  <c r="R317" i="39" s="1"/>
  <c r="M91" i="39"/>
  <c r="N89" i="39"/>
  <c r="N91" i="39" s="1"/>
  <c r="P269" i="39"/>
  <c r="O271" i="39"/>
  <c r="O272" i="39" s="1"/>
  <c r="Q123" i="39"/>
  <c r="R400" i="39"/>
  <c r="P157" i="39"/>
  <c r="Q335" i="39"/>
  <c r="O86" i="39"/>
  <c r="P472" i="39"/>
  <c r="L206" i="39"/>
  <c r="S169" i="42"/>
  <c r="S167" i="42"/>
  <c r="R172" i="42"/>
  <c r="R174" i="42" s="1"/>
  <c r="R507" i="42"/>
  <c r="S321" i="42"/>
  <c r="Q340" i="42"/>
  <c r="R475" i="42"/>
  <c r="U12" i="42"/>
  <c r="T13" i="42"/>
  <c r="P178" i="42"/>
  <c r="P92" i="42"/>
  <c r="Q383" i="42"/>
  <c r="Q101" i="42" s="1"/>
  <c r="Q80" i="42"/>
  <c r="Q122" i="42"/>
  <c r="R396" i="42"/>
  <c r="Q325" i="39"/>
  <c r="Q45" i="39" s="1"/>
  <c r="R324" i="39"/>
  <c r="R454" i="42"/>
  <c r="R124" i="42" s="1"/>
  <c r="S453" i="42"/>
  <c r="R518" i="42"/>
  <c r="S285" i="39"/>
  <c r="R415" i="39"/>
  <c r="S379" i="39"/>
  <c r="R380" i="39"/>
  <c r="R482" i="39"/>
  <c r="R516" i="42"/>
  <c r="S395" i="42"/>
  <c r="P483" i="39"/>
  <c r="P420" i="39"/>
  <c r="P421" i="39" s="1"/>
  <c r="P102" i="39" s="1"/>
  <c r="Q419" i="39"/>
  <c r="L412" i="42"/>
  <c r="L406" i="42" s="1"/>
  <c r="L404" i="42"/>
  <c r="O86" i="42"/>
  <c r="P472" i="42"/>
  <c r="L407" i="39"/>
  <c r="U20" i="42"/>
  <c r="V19" i="42" s="1"/>
  <c r="U23" i="42"/>
  <c r="Q340" i="39"/>
  <c r="R475" i="39"/>
  <c r="N519" i="42"/>
  <c r="N68" i="42"/>
  <c r="S148" i="42"/>
  <c r="N159" i="42"/>
  <c r="S259" i="42"/>
  <c r="R494" i="39"/>
  <c r="S333" i="39"/>
  <c r="R334" i="39"/>
  <c r="O158" i="39"/>
  <c r="R286" i="42"/>
  <c r="Q78" i="42"/>
  <c r="S457" i="39"/>
  <c r="R460" i="39"/>
  <c r="R117" i="39" s="1"/>
  <c r="R511" i="39"/>
  <c r="N519" i="39"/>
  <c r="N68" i="39"/>
  <c r="R145" i="39"/>
  <c r="R87" i="39" s="1"/>
  <c r="S142" i="39"/>
  <c r="O339" i="39"/>
  <c r="N341" i="39"/>
  <c r="N342" i="39" s="1"/>
  <c r="R413" i="42"/>
  <c r="S410" i="42"/>
  <c r="S424" i="42"/>
  <c r="R427" i="42"/>
  <c r="T13" i="39"/>
  <c r="R516" i="39"/>
  <c r="S395" i="39"/>
  <c r="S358" i="42"/>
  <c r="R360" i="42"/>
  <c r="R493" i="39"/>
  <c r="R501" i="39" s="1"/>
  <c r="S443" i="39"/>
  <c r="R105" i="39"/>
  <c r="Q174" i="39"/>
  <c r="Q177" i="39" s="1"/>
  <c r="Q180" i="39"/>
  <c r="Q183" i="39" s="1"/>
  <c r="Q122" i="39"/>
  <c r="R396" i="39"/>
  <c r="Q47" i="42"/>
  <c r="R329" i="42"/>
  <c r="M514" i="42"/>
  <c r="R105" i="42"/>
  <c r="R493" i="42"/>
  <c r="R501" i="42" s="1"/>
  <c r="S443" i="42"/>
  <c r="S240" i="39"/>
  <c r="Q88" i="42"/>
  <c r="R149" i="42"/>
  <c r="R145" i="42"/>
  <c r="R87" i="42" s="1"/>
  <c r="S142" i="42"/>
  <c r="R517" i="39"/>
  <c r="S399" i="39"/>
  <c r="S346" i="39"/>
  <c r="R347" i="39"/>
  <c r="R351" i="39" s="1"/>
  <c r="R469" i="39"/>
  <c r="S468" i="39"/>
  <c r="P157" i="42"/>
  <c r="Q335" i="42"/>
  <c r="Q157" i="42" s="1"/>
  <c r="M120" i="39"/>
  <c r="L477" i="39"/>
  <c r="R284" i="42"/>
  <c r="R494" i="42"/>
  <c r="S333" i="42"/>
  <c r="R334" i="42"/>
  <c r="Q287" i="42"/>
  <c r="K125" i="42"/>
  <c r="R268" i="39"/>
  <c r="S176" i="39"/>
  <c r="R222" i="42"/>
  <c r="R223" i="42" s="1"/>
  <c r="R224" i="42" s="1"/>
  <c r="S226" i="42"/>
  <c r="Q124" i="39"/>
  <c r="R454" i="39"/>
  <c r="R268" i="42"/>
  <c r="S176" i="42"/>
  <c r="P155" i="42"/>
  <c r="J506" i="42"/>
  <c r="J521" i="42" s="1"/>
  <c r="J502" i="42"/>
  <c r="J75" i="42" s="1"/>
  <c r="M342" i="42"/>
  <c r="L120" i="42"/>
  <c r="Q290" i="42"/>
  <c r="R175" i="42"/>
  <c r="O476" i="39"/>
  <c r="S410" i="39"/>
  <c r="R507" i="39"/>
  <c r="S321" i="39"/>
  <c r="S167" i="39"/>
  <c r="R172" i="39"/>
  <c r="R400" i="42"/>
  <c r="Q123" i="42"/>
  <c r="S379" i="42"/>
  <c r="R380" i="42"/>
  <c r="R482" i="42"/>
  <c r="R512" i="42"/>
  <c r="S328" i="42"/>
  <c r="O339" i="42"/>
  <c r="N341" i="42"/>
  <c r="S168" i="39"/>
  <c r="R163" i="39"/>
  <c r="R90" i="39" s="1"/>
  <c r="S162" i="39"/>
  <c r="R163" i="42"/>
  <c r="R90" i="42" s="1"/>
  <c r="S162" i="42"/>
  <c r="R517" i="42"/>
  <c r="S399" i="42"/>
  <c r="R347" i="42"/>
  <c r="R351" i="42" s="1"/>
  <c r="S346" i="42"/>
  <c r="R511" i="42"/>
  <c r="R460" i="42"/>
  <c r="R117" i="42" s="1"/>
  <c r="S457" i="42"/>
  <c r="R382" i="39"/>
  <c r="S381" i="39"/>
  <c r="S144" i="39"/>
  <c r="S148" i="39"/>
  <c r="O476" i="42"/>
  <c r="Q47" i="39"/>
  <c r="R329" i="39"/>
  <c r="R427" i="39"/>
  <c r="S424" i="39"/>
  <c r="R469" i="42"/>
  <c r="S468" i="42"/>
  <c r="S239" i="39"/>
  <c r="R242" i="39"/>
  <c r="Q325" i="42"/>
  <c r="Q45" i="42" s="1"/>
  <c r="R324" i="42"/>
  <c r="R257" i="39"/>
  <c r="R260" i="39" s="1"/>
  <c r="S250" i="39"/>
  <c r="L207" i="39"/>
  <c r="Q174" i="42"/>
  <c r="Q177" i="42" s="1"/>
  <c r="J487" i="42"/>
  <c r="J491" i="42"/>
  <c r="S453" i="39"/>
  <c r="R518" i="39"/>
  <c r="M41" i="39"/>
  <c r="M99" i="39"/>
  <c r="S169" i="39"/>
  <c r="M89" i="42"/>
  <c r="L99" i="42"/>
  <c r="L91" i="42"/>
  <c r="R137" i="39"/>
  <c r="S15" i="39"/>
  <c r="S175" i="39" s="1"/>
  <c r="S171" i="39"/>
  <c r="S16" i="39"/>
  <c r="S133" i="39"/>
  <c r="S136" i="39"/>
  <c r="S134" i="39"/>
  <c r="S135" i="39"/>
  <c r="S283" i="39" s="1"/>
  <c r="T14" i="39"/>
  <c r="S132" i="39"/>
  <c r="S173" i="39"/>
  <c r="S254" i="39" s="1"/>
  <c r="S170" i="39"/>
  <c r="S138" i="39"/>
  <c r="S256" i="39"/>
  <c r="S291" i="39"/>
  <c r="S308" i="39"/>
  <c r="S309" i="39" s="1"/>
  <c r="S179" i="39"/>
  <c r="S270" i="39"/>
  <c r="S304" i="39"/>
  <c r="S305" i="39" s="1"/>
  <c r="S275" i="39"/>
  <c r="S296" i="39"/>
  <c r="S297" i="39" s="1"/>
  <c r="S279" i="39"/>
  <c r="S280" i="39" s="1"/>
  <c r="S300" i="39"/>
  <c r="S301" i="39" s="1"/>
  <c r="S425" i="39"/>
  <c r="S358" i="39"/>
  <c r="R360" i="39"/>
  <c r="S136" i="42"/>
  <c r="S16" i="42"/>
  <c r="S171" i="42"/>
  <c r="S133" i="42"/>
  <c r="S135" i="42"/>
  <c r="S283" i="42" s="1"/>
  <c r="S134" i="42"/>
  <c r="S15" i="42"/>
  <c r="S170" i="42"/>
  <c r="S132" i="42"/>
  <c r="S138" i="42"/>
  <c r="S173" i="42"/>
  <c r="S254" i="42" s="1"/>
  <c r="T14" i="42"/>
  <c r="R137" i="42"/>
  <c r="Q383" i="39"/>
  <c r="Q101" i="39" s="1"/>
  <c r="Q80" i="39"/>
  <c r="P92" i="39"/>
  <c r="P178" i="39"/>
  <c r="S241" i="39"/>
  <c r="L508" i="42"/>
  <c r="L513" i="42" s="1"/>
  <c r="L202" i="42"/>
  <c r="R222" i="39"/>
  <c r="R223" i="39" s="1"/>
  <c r="R224" i="39" s="1"/>
  <c r="S226" i="39"/>
  <c r="L481" i="39"/>
  <c r="L405" i="39"/>
  <c r="R413" i="39"/>
  <c r="U23" i="39"/>
  <c r="O449" i="42"/>
  <c r="P447" i="42"/>
  <c r="R512" i="39"/>
  <c r="S328" i="39"/>
  <c r="R149" i="39"/>
  <c r="P269" i="42"/>
  <c r="Q78" i="39"/>
  <c r="M192" i="39"/>
  <c r="L202" i="39"/>
  <c r="S258" i="39"/>
  <c r="O449" i="39"/>
  <c r="P447" i="39"/>
  <c r="R284" i="39"/>
  <c r="M514" i="39"/>
  <c r="S349" i="39"/>
  <c r="Q483" i="42"/>
  <c r="R419" i="42"/>
  <c r="Q420" i="42"/>
  <c r="Q421" i="42" s="1"/>
  <c r="V25" i="42"/>
  <c r="W24" i="42"/>
  <c r="V25" i="39"/>
  <c r="W24" i="39"/>
  <c r="U20" i="39" l="1"/>
  <c r="V19" i="39" s="1"/>
  <c r="N195" i="39"/>
  <c r="K232" i="39"/>
  <c r="S415" i="42"/>
  <c r="J488" i="39"/>
  <c r="N208" i="39"/>
  <c r="J216" i="42"/>
  <c r="J42" i="42" s="1"/>
  <c r="K51" i="39"/>
  <c r="K478" i="39"/>
  <c r="S276" i="39"/>
  <c r="S284" i="39"/>
  <c r="J42" i="39"/>
  <c r="J44" i="39" s="1"/>
  <c r="J48" i="39" s="1"/>
  <c r="T448" i="39"/>
  <c r="S473" i="39"/>
  <c r="S473" i="42"/>
  <c r="S382" i="42"/>
  <c r="R154" i="39"/>
  <c r="R155" i="39" s="1"/>
  <c r="T241" i="39"/>
  <c r="T349" i="39"/>
  <c r="T426" i="42"/>
  <c r="P158" i="42"/>
  <c r="Q158" i="42" s="1"/>
  <c r="Q159" i="42" s="1"/>
  <c r="T258" i="39"/>
  <c r="T425" i="39"/>
  <c r="Q474" i="39"/>
  <c r="Q492" i="39" s="1"/>
  <c r="Q495" i="39" s="1"/>
  <c r="Q474" i="42"/>
  <c r="Q492" i="42" s="1"/>
  <c r="Q495" i="42" s="1"/>
  <c r="S149" i="39"/>
  <c r="S137" i="42"/>
  <c r="S139" i="42" s="1"/>
  <c r="P158" i="39"/>
  <c r="P159" i="39" s="1"/>
  <c r="S413" i="39"/>
  <c r="T168" i="39"/>
  <c r="T349" i="42"/>
  <c r="R154" i="42"/>
  <c r="T459" i="42"/>
  <c r="S137" i="39"/>
  <c r="S139" i="39" s="1"/>
  <c r="T144" i="39"/>
  <c r="S290" i="39"/>
  <c r="S292" i="39" s="1"/>
  <c r="S293" i="39" s="1"/>
  <c r="S317" i="39" s="1"/>
  <c r="R139" i="42"/>
  <c r="O41" i="42"/>
  <c r="N342" i="42"/>
  <c r="M120" i="42"/>
  <c r="P449" i="42"/>
  <c r="Q447" i="42"/>
  <c r="L66" i="39"/>
  <c r="L408" i="39"/>
  <c r="M411" i="39"/>
  <c r="M414" i="39" s="1"/>
  <c r="T16" i="42"/>
  <c r="T15" i="42"/>
  <c r="T133" i="42"/>
  <c r="T136" i="42"/>
  <c r="T171" i="42"/>
  <c r="T134" i="42"/>
  <c r="T132" i="42"/>
  <c r="T138" i="42"/>
  <c r="T135" i="42"/>
  <c r="T283" i="42" s="1"/>
  <c r="T173" i="42"/>
  <c r="T254" i="42" s="1"/>
  <c r="T170" i="42"/>
  <c r="U14" i="42"/>
  <c r="T136" i="39"/>
  <c r="T16" i="39"/>
  <c r="T132" i="39"/>
  <c r="T138" i="39"/>
  <c r="T170" i="39"/>
  <c r="T171" i="39"/>
  <c r="T15" i="39"/>
  <c r="T175" i="39" s="1"/>
  <c r="T133" i="39"/>
  <c r="T135" i="39"/>
  <c r="T283" i="39" s="1"/>
  <c r="T173" i="39"/>
  <c r="T254" i="39" s="1"/>
  <c r="T134" i="39"/>
  <c r="U14" i="39"/>
  <c r="T256" i="39"/>
  <c r="T300" i="39"/>
  <c r="T301" i="39" s="1"/>
  <c r="T179" i="39"/>
  <c r="T308" i="39"/>
  <c r="T309" i="39" s="1"/>
  <c r="T275" i="39"/>
  <c r="T279" i="39"/>
  <c r="T280" i="39" s="1"/>
  <c r="T304" i="39"/>
  <c r="T305" i="39" s="1"/>
  <c r="T270" i="39"/>
  <c r="T296" i="39"/>
  <c r="T297" i="39" s="1"/>
  <c r="T291" i="39"/>
  <c r="R139" i="39"/>
  <c r="N89" i="42"/>
  <c r="N99" i="42" s="1"/>
  <c r="M91" i="42"/>
  <c r="M99" i="42"/>
  <c r="M194" i="39"/>
  <c r="R325" i="42"/>
  <c r="R45" i="42" s="1"/>
  <c r="S324" i="42"/>
  <c r="S469" i="42"/>
  <c r="T468" i="42"/>
  <c r="R47" i="39"/>
  <c r="S329" i="39"/>
  <c r="S382" i="39"/>
  <c r="T381" i="39"/>
  <c r="S517" i="42"/>
  <c r="T399" i="42"/>
  <c r="N514" i="42"/>
  <c r="T240" i="42"/>
  <c r="R287" i="39"/>
  <c r="R180" i="39"/>
  <c r="R183" i="39" s="1"/>
  <c r="R174" i="39"/>
  <c r="R177" i="39" s="1"/>
  <c r="J67" i="42"/>
  <c r="J69" i="42" s="1"/>
  <c r="J71" i="42" s="1"/>
  <c r="J77" i="42"/>
  <c r="J79" i="42" s="1"/>
  <c r="J82" i="42" s="1"/>
  <c r="R124" i="39"/>
  <c r="S454" i="39"/>
  <c r="S469" i="39"/>
  <c r="T468" i="39"/>
  <c r="U468" i="39" s="1"/>
  <c r="S517" i="39"/>
  <c r="T399" i="39"/>
  <c r="T142" i="42"/>
  <c r="S145" i="42"/>
  <c r="S87" i="42" s="1"/>
  <c r="T240" i="39"/>
  <c r="T285" i="42"/>
  <c r="U13" i="39"/>
  <c r="S145" i="39"/>
  <c r="S87" i="39" s="1"/>
  <c r="T142" i="39"/>
  <c r="T259" i="42"/>
  <c r="L62" i="39"/>
  <c r="L43" i="39"/>
  <c r="L46" i="39"/>
  <c r="Q472" i="42"/>
  <c r="P86" i="42"/>
  <c r="P50" i="42"/>
  <c r="R80" i="39"/>
  <c r="R383" i="39"/>
  <c r="R101" i="39" s="1"/>
  <c r="R325" i="39"/>
  <c r="R45" i="39" s="1"/>
  <c r="S324" i="39"/>
  <c r="P476" i="42"/>
  <c r="R88" i="39"/>
  <c r="Q269" i="42"/>
  <c r="J55" i="42"/>
  <c r="J496" i="42"/>
  <c r="T239" i="39"/>
  <c r="S242" i="39"/>
  <c r="S163" i="42"/>
  <c r="S90" i="42" s="1"/>
  <c r="T162" i="42"/>
  <c r="P449" i="39"/>
  <c r="Q447" i="39"/>
  <c r="L114" i="39"/>
  <c r="L100" i="39"/>
  <c r="S512" i="39"/>
  <c r="T328" i="39"/>
  <c r="O519" i="42"/>
  <c r="O68" i="42"/>
  <c r="L486" i="39"/>
  <c r="L500" i="39"/>
  <c r="T241" i="42"/>
  <c r="T169" i="39"/>
  <c r="S518" i="39"/>
  <c r="T453" i="39"/>
  <c r="T258" i="42"/>
  <c r="Q92" i="42"/>
  <c r="Q178" i="42"/>
  <c r="T168" i="42"/>
  <c r="S163" i="39"/>
  <c r="S90" i="39" s="1"/>
  <c r="T162" i="39"/>
  <c r="P339" i="42"/>
  <c r="O341" i="42"/>
  <c r="T167" i="39"/>
  <c r="S172" i="39"/>
  <c r="T410" i="39"/>
  <c r="R290" i="42"/>
  <c r="S175" i="42"/>
  <c r="J503" i="42"/>
  <c r="T426" i="39"/>
  <c r="S268" i="42"/>
  <c r="T176" i="42"/>
  <c r="S268" i="39"/>
  <c r="T176" i="39"/>
  <c r="R287" i="42"/>
  <c r="S284" i="42"/>
  <c r="S493" i="42"/>
  <c r="S501" i="42" s="1"/>
  <c r="T443" i="42"/>
  <c r="S105" i="42"/>
  <c r="S427" i="42"/>
  <c r="T424" i="42"/>
  <c r="T259" i="39"/>
  <c r="R78" i="39"/>
  <c r="N41" i="42"/>
  <c r="R340" i="39"/>
  <c r="S475" i="39"/>
  <c r="Q483" i="39"/>
  <c r="Q420" i="39"/>
  <c r="Q421" i="39" s="1"/>
  <c r="R419" i="39"/>
  <c r="S516" i="42"/>
  <c r="T395" i="42"/>
  <c r="T379" i="39"/>
  <c r="S380" i="39"/>
  <c r="S482" i="39"/>
  <c r="S454" i="42"/>
  <c r="S124" i="42" s="1"/>
  <c r="T453" i="42"/>
  <c r="S518" i="42"/>
  <c r="S507" i="42"/>
  <c r="T321" i="42"/>
  <c r="T144" i="42"/>
  <c r="Q472" i="39"/>
  <c r="P86" i="39"/>
  <c r="Q157" i="39"/>
  <c r="R335" i="39"/>
  <c r="R420" i="42"/>
  <c r="R421" i="42" s="1"/>
  <c r="R102" i="42" s="1"/>
  <c r="R483" i="42"/>
  <c r="S419" i="42"/>
  <c r="J96" i="39"/>
  <c r="J97" i="39" s="1"/>
  <c r="T358" i="39"/>
  <c r="S360" i="39"/>
  <c r="T379" i="42"/>
  <c r="S380" i="42"/>
  <c r="S482" i="42"/>
  <c r="S222" i="42"/>
  <c r="S223" i="42" s="1"/>
  <c r="S224" i="42" s="1"/>
  <c r="T226" i="42"/>
  <c r="Q102" i="42"/>
  <c r="O519" i="39"/>
  <c r="O68" i="39"/>
  <c r="S222" i="39"/>
  <c r="S223" i="39" s="1"/>
  <c r="S224" i="39" s="1"/>
  <c r="T226" i="39"/>
  <c r="L114" i="42"/>
  <c r="L100" i="42"/>
  <c r="P476" i="39"/>
  <c r="S257" i="39"/>
  <c r="T250" i="39"/>
  <c r="T169" i="42"/>
  <c r="T424" i="39"/>
  <c r="S427" i="39"/>
  <c r="T148" i="39"/>
  <c r="T457" i="42"/>
  <c r="S511" i="42"/>
  <c r="S460" i="42"/>
  <c r="S117" i="42" s="1"/>
  <c r="T346" i="42"/>
  <c r="S347" i="42"/>
  <c r="S351" i="42" s="1"/>
  <c r="S512" i="42"/>
  <c r="T328" i="42"/>
  <c r="R80" i="42"/>
  <c r="R383" i="42"/>
  <c r="R101" i="42" s="1"/>
  <c r="R123" i="42"/>
  <c r="S400" i="42"/>
  <c r="S507" i="39"/>
  <c r="T321" i="39"/>
  <c r="S286" i="39"/>
  <c r="R78" i="42"/>
  <c r="N120" i="39"/>
  <c r="R335" i="42"/>
  <c r="R88" i="42"/>
  <c r="S149" i="42"/>
  <c r="R47" i="42"/>
  <c r="S329" i="42"/>
  <c r="Q178" i="39"/>
  <c r="Q92" i="39"/>
  <c r="S493" i="39"/>
  <c r="S501" i="39" s="1"/>
  <c r="T443" i="39"/>
  <c r="S105" i="39"/>
  <c r="T358" i="42"/>
  <c r="S360" i="42"/>
  <c r="S516" i="39"/>
  <c r="T395" i="39"/>
  <c r="N514" i="39"/>
  <c r="S511" i="39"/>
  <c r="T457" i="39"/>
  <c r="S460" i="39"/>
  <c r="S117" i="39" s="1"/>
  <c r="S286" i="42"/>
  <c r="T333" i="39"/>
  <c r="S494" i="39"/>
  <c r="S334" i="39"/>
  <c r="T148" i="42"/>
  <c r="V20" i="42"/>
  <c r="W19" i="42" s="1"/>
  <c r="V23" i="42"/>
  <c r="L481" i="42"/>
  <c r="L405" i="42"/>
  <c r="S415" i="39"/>
  <c r="R122" i="42"/>
  <c r="S396" i="42"/>
  <c r="V12" i="42"/>
  <c r="U13" i="42"/>
  <c r="R177" i="42"/>
  <c r="T425" i="42"/>
  <c r="O316" i="39"/>
  <c r="T381" i="42"/>
  <c r="S494" i="42"/>
  <c r="T333" i="42"/>
  <c r="S334" i="42"/>
  <c r="L209" i="39"/>
  <c r="T346" i="39"/>
  <c r="S347" i="39"/>
  <c r="S351" i="39" s="1"/>
  <c r="R122" i="39"/>
  <c r="S396" i="39"/>
  <c r="T459" i="39"/>
  <c r="T448" i="42"/>
  <c r="T323" i="39"/>
  <c r="S413" i="42"/>
  <c r="T410" i="42"/>
  <c r="P339" i="39"/>
  <c r="O341" i="39"/>
  <c r="O342" i="39" s="1"/>
  <c r="O159" i="39"/>
  <c r="O89" i="39" s="1"/>
  <c r="L407" i="42"/>
  <c r="T285" i="39"/>
  <c r="R340" i="42"/>
  <c r="S475" i="42"/>
  <c r="T323" i="42"/>
  <c r="T167" i="42"/>
  <c r="S172" i="42"/>
  <c r="S174" i="42" s="1"/>
  <c r="M193" i="39"/>
  <c r="R123" i="39"/>
  <c r="S400" i="39"/>
  <c r="Q269" i="39"/>
  <c r="P271" i="39"/>
  <c r="P272" i="39" s="1"/>
  <c r="N99" i="39"/>
  <c r="X24" i="42"/>
  <c r="W25" i="42"/>
  <c r="W25" i="39"/>
  <c r="X24" i="39"/>
  <c r="V20" i="39" l="1"/>
  <c r="W19" i="39" s="1"/>
  <c r="V12" i="39"/>
  <c r="V23" i="39"/>
  <c r="K232" i="42"/>
  <c r="K256" i="42" s="1"/>
  <c r="T415" i="42"/>
  <c r="J94" i="42"/>
  <c r="J96" i="42" s="1"/>
  <c r="J97" i="42" s="1"/>
  <c r="J49" i="39"/>
  <c r="T276" i="39"/>
  <c r="U285" i="42"/>
  <c r="K515" i="39"/>
  <c r="K520" i="39" s="1"/>
  <c r="K499" i="39"/>
  <c r="K480" i="39"/>
  <c r="K54" i="39"/>
  <c r="K53" i="39"/>
  <c r="K56" i="39"/>
  <c r="T473" i="42"/>
  <c r="S260" i="39"/>
  <c r="T473" i="39"/>
  <c r="R50" i="39"/>
  <c r="U323" i="42"/>
  <c r="U459" i="39"/>
  <c r="U349" i="39"/>
  <c r="U426" i="42"/>
  <c r="R474" i="42"/>
  <c r="R492" i="42" s="1"/>
  <c r="R495" i="42" s="1"/>
  <c r="P159" i="42"/>
  <c r="P41" i="42" s="1"/>
  <c r="U259" i="39"/>
  <c r="U258" i="42"/>
  <c r="U241" i="42"/>
  <c r="U144" i="39"/>
  <c r="U349" i="42"/>
  <c r="U425" i="42"/>
  <c r="U148" i="39"/>
  <c r="U144" i="42"/>
  <c r="U259" i="42"/>
  <c r="U240" i="39"/>
  <c r="R474" i="39"/>
  <c r="R492" i="39" s="1"/>
  <c r="R495" i="39" s="1"/>
  <c r="T286" i="39"/>
  <c r="U459" i="42"/>
  <c r="U168" i="39"/>
  <c r="T413" i="39"/>
  <c r="T284" i="42"/>
  <c r="U426" i="39"/>
  <c r="U448" i="39"/>
  <c r="U240" i="42"/>
  <c r="U468" i="42"/>
  <c r="S177" i="42"/>
  <c r="S92" i="42" s="1"/>
  <c r="U323" i="39"/>
  <c r="U285" i="39"/>
  <c r="U448" i="42"/>
  <c r="U148" i="42"/>
  <c r="T286" i="42"/>
  <c r="J488" i="42"/>
  <c r="R155" i="42"/>
  <c r="O120" i="39"/>
  <c r="Q41" i="42"/>
  <c r="T290" i="39"/>
  <c r="T292" i="39" s="1"/>
  <c r="T293" i="39" s="1"/>
  <c r="T317" i="39" s="1"/>
  <c r="Q339" i="39"/>
  <c r="P341" i="39"/>
  <c r="T382" i="42"/>
  <c r="U381" i="42"/>
  <c r="S122" i="42"/>
  <c r="T396" i="42"/>
  <c r="T122" i="42" s="1"/>
  <c r="L408" i="42"/>
  <c r="M411" i="42"/>
  <c r="L66" i="42"/>
  <c r="W20" i="42"/>
  <c r="X19" i="42" s="1"/>
  <c r="W23" i="42"/>
  <c r="T494" i="39"/>
  <c r="U333" i="39"/>
  <c r="T334" i="39"/>
  <c r="T493" i="39"/>
  <c r="T501" i="39" s="1"/>
  <c r="T105" i="39"/>
  <c r="U443" i="39"/>
  <c r="Q476" i="39"/>
  <c r="R157" i="42"/>
  <c r="S335" i="42"/>
  <c r="S123" i="42"/>
  <c r="T400" i="42"/>
  <c r="T123" i="42" s="1"/>
  <c r="T512" i="42"/>
  <c r="U328" i="42"/>
  <c r="U169" i="42"/>
  <c r="J112" i="39"/>
  <c r="J106" i="39"/>
  <c r="Q158" i="39"/>
  <c r="Q86" i="39"/>
  <c r="R472" i="39"/>
  <c r="S383" i="39"/>
  <c r="S101" i="39" s="1"/>
  <c r="S80" i="39"/>
  <c r="R420" i="39"/>
  <c r="R421" i="39" s="1"/>
  <c r="R483" i="39"/>
  <c r="S419" i="39"/>
  <c r="S340" i="39"/>
  <c r="T475" i="39"/>
  <c r="T268" i="42"/>
  <c r="U176" i="42"/>
  <c r="S290" i="42"/>
  <c r="T175" i="42"/>
  <c r="S180" i="39"/>
  <c r="S183" i="39" s="1"/>
  <c r="S174" i="39"/>
  <c r="S177" i="39" s="1"/>
  <c r="T163" i="39"/>
  <c r="T90" i="39" s="1"/>
  <c r="U162" i="39"/>
  <c r="Q476" i="42"/>
  <c r="T512" i="39"/>
  <c r="U328" i="39"/>
  <c r="S325" i="39"/>
  <c r="S45" i="39" s="1"/>
  <c r="T324" i="39"/>
  <c r="Q86" i="42"/>
  <c r="R472" i="42"/>
  <c r="T145" i="42"/>
  <c r="T87" i="42" s="1"/>
  <c r="U142" i="42"/>
  <c r="T469" i="39"/>
  <c r="U469" i="39" s="1"/>
  <c r="T469" i="42"/>
  <c r="U138" i="39"/>
  <c r="U16" i="39"/>
  <c r="U171" i="39"/>
  <c r="U170" i="39"/>
  <c r="U135" i="39"/>
  <c r="U283" i="39" s="1"/>
  <c r="U15" i="39"/>
  <c r="U136" i="39"/>
  <c r="U173" i="39"/>
  <c r="U254" i="39" s="1"/>
  <c r="U134" i="39"/>
  <c r="U133" i="39"/>
  <c r="U132" i="39"/>
  <c r="V14" i="39"/>
  <c r="U179" i="39"/>
  <c r="U270" i="39"/>
  <c r="U291" i="39"/>
  <c r="U300" i="39"/>
  <c r="U301" i="39" s="1"/>
  <c r="U304" i="39"/>
  <c r="U305" i="39" s="1"/>
  <c r="U279" i="39"/>
  <c r="U280" i="39" s="1"/>
  <c r="U296" i="39"/>
  <c r="U297" i="39" s="1"/>
  <c r="U256" i="39"/>
  <c r="U308" i="39"/>
  <c r="U309" i="39" s="1"/>
  <c r="U275" i="39"/>
  <c r="U425" i="39"/>
  <c r="S340" i="42"/>
  <c r="T475" i="42"/>
  <c r="S78" i="42"/>
  <c r="P316" i="39"/>
  <c r="P318" i="39" s="1"/>
  <c r="R178" i="42"/>
  <c r="R476" i="42" s="1"/>
  <c r="R92" i="42"/>
  <c r="L486" i="42"/>
  <c r="L500" i="42"/>
  <c r="S47" i="42"/>
  <c r="T329" i="42"/>
  <c r="S154" i="42"/>
  <c r="S155" i="42" s="1"/>
  <c r="S50" i="42" s="1"/>
  <c r="T257" i="39"/>
  <c r="T260" i="39" s="1"/>
  <c r="U250" i="39"/>
  <c r="T222" i="42"/>
  <c r="T223" i="42" s="1"/>
  <c r="T224" i="42" s="1"/>
  <c r="U226" i="42"/>
  <c r="S383" i="42"/>
  <c r="S101" i="42" s="1"/>
  <c r="S80" i="42"/>
  <c r="J49" i="42"/>
  <c r="J44" i="42"/>
  <c r="J48" i="42" s="1"/>
  <c r="T454" i="42"/>
  <c r="T124" i="42" s="1"/>
  <c r="T518" i="42"/>
  <c r="U453" i="42"/>
  <c r="U379" i="39"/>
  <c r="T380" i="39"/>
  <c r="T482" i="39"/>
  <c r="Q102" i="39"/>
  <c r="T427" i="42"/>
  <c r="U424" i="42"/>
  <c r="U167" i="39"/>
  <c r="T172" i="39"/>
  <c r="U169" i="39"/>
  <c r="Q449" i="39"/>
  <c r="R447" i="39"/>
  <c r="R269" i="42"/>
  <c r="M200" i="39"/>
  <c r="M201" i="39"/>
  <c r="V13" i="39"/>
  <c r="T517" i="39"/>
  <c r="U399" i="39"/>
  <c r="R178" i="39"/>
  <c r="R92" i="39"/>
  <c r="S47" i="39"/>
  <c r="T329" i="39"/>
  <c r="S325" i="42"/>
  <c r="S45" i="42" s="1"/>
  <c r="T324" i="42"/>
  <c r="T415" i="39"/>
  <c r="T137" i="39"/>
  <c r="U135" i="42"/>
  <c r="U283" i="42" s="1"/>
  <c r="U171" i="42"/>
  <c r="U16" i="42"/>
  <c r="U133" i="42"/>
  <c r="U134" i="42"/>
  <c r="U15" i="42"/>
  <c r="U415" i="42" s="1"/>
  <c r="U136" i="42"/>
  <c r="U132" i="42"/>
  <c r="U170" i="42"/>
  <c r="U138" i="42"/>
  <c r="V14" i="42"/>
  <c r="U173" i="42"/>
  <c r="U254" i="42" s="1"/>
  <c r="U241" i="39"/>
  <c r="Q449" i="42"/>
  <c r="R447" i="42"/>
  <c r="U258" i="39"/>
  <c r="R269" i="39"/>
  <c r="Q271" i="39"/>
  <c r="Q272" i="39" s="1"/>
  <c r="O41" i="39"/>
  <c r="O99" i="39"/>
  <c r="T413" i="42"/>
  <c r="U410" i="42"/>
  <c r="T494" i="42"/>
  <c r="U333" i="42"/>
  <c r="T334" i="42"/>
  <c r="O318" i="39"/>
  <c r="S78" i="39"/>
  <c r="U358" i="42"/>
  <c r="T360" i="42"/>
  <c r="U321" i="39"/>
  <c r="T507" i="39"/>
  <c r="T511" i="42"/>
  <c r="T460" i="42"/>
  <c r="T117" i="42" s="1"/>
  <c r="U457" i="42"/>
  <c r="U379" i="42"/>
  <c r="T380" i="42"/>
  <c r="T482" i="42"/>
  <c r="U358" i="39"/>
  <c r="T360" i="39"/>
  <c r="S483" i="42"/>
  <c r="S420" i="42"/>
  <c r="S421" i="42" s="1"/>
  <c r="T419" i="42"/>
  <c r="T507" i="42"/>
  <c r="U321" i="42"/>
  <c r="T516" i="42"/>
  <c r="U395" i="42"/>
  <c r="S154" i="39"/>
  <c r="T105" i="42"/>
  <c r="T493" i="42"/>
  <c r="T501" i="42" s="1"/>
  <c r="U443" i="42"/>
  <c r="T268" i="39"/>
  <c r="U176" i="39"/>
  <c r="O514" i="42"/>
  <c r="U168" i="42"/>
  <c r="S287" i="39"/>
  <c r="J127" i="39"/>
  <c r="P519" i="39"/>
  <c r="P68" i="39"/>
  <c r="T163" i="42"/>
  <c r="T90" i="42" s="1"/>
  <c r="U162" i="42"/>
  <c r="U239" i="39"/>
  <c r="T242" i="39"/>
  <c r="S88" i="39"/>
  <c r="L113" i="39"/>
  <c r="T137" i="42"/>
  <c r="M409" i="39"/>
  <c r="M199" i="39"/>
  <c r="P519" i="42"/>
  <c r="P68" i="42"/>
  <c r="O342" i="42"/>
  <c r="N120" i="42"/>
  <c r="O91" i="39"/>
  <c r="P89" i="39"/>
  <c r="S123" i="39"/>
  <c r="T400" i="39"/>
  <c r="U167" i="42"/>
  <c r="T172" i="42"/>
  <c r="T174" i="42" s="1"/>
  <c r="L62" i="42"/>
  <c r="L46" i="42"/>
  <c r="L43" i="42"/>
  <c r="O514" i="39"/>
  <c r="S122" i="39"/>
  <c r="T396" i="39"/>
  <c r="U346" i="39"/>
  <c r="T347" i="39"/>
  <c r="T351" i="39" s="1"/>
  <c r="P41" i="39"/>
  <c r="V13" i="42"/>
  <c r="W12" i="42"/>
  <c r="T511" i="39"/>
  <c r="T460" i="39"/>
  <c r="T117" i="39" s="1"/>
  <c r="U457" i="39"/>
  <c r="T516" i="39"/>
  <c r="U395" i="39"/>
  <c r="S88" i="42"/>
  <c r="T149" i="42"/>
  <c r="U346" i="42"/>
  <c r="T347" i="42"/>
  <c r="T351" i="42" s="1"/>
  <c r="T427" i="39"/>
  <c r="U424" i="39"/>
  <c r="T222" i="39"/>
  <c r="T223" i="39" s="1"/>
  <c r="T224" i="39" s="1"/>
  <c r="U226" i="39"/>
  <c r="M196" i="39"/>
  <c r="S287" i="42"/>
  <c r="R157" i="39"/>
  <c r="S335" i="39"/>
  <c r="S157" i="39" s="1"/>
  <c r="U410" i="39"/>
  <c r="Q339" i="42"/>
  <c r="P341" i="42"/>
  <c r="T518" i="39"/>
  <c r="U453" i="39"/>
  <c r="L118" i="39"/>
  <c r="L119" i="39" s="1"/>
  <c r="L107" i="39"/>
  <c r="L450" i="39" s="1"/>
  <c r="T145" i="39"/>
  <c r="T87" i="39" s="1"/>
  <c r="U142" i="39"/>
  <c r="S124" i="39"/>
  <c r="T454" i="39"/>
  <c r="T517" i="42"/>
  <c r="U399" i="42"/>
  <c r="T382" i="39"/>
  <c r="U381" i="39"/>
  <c r="O89" i="42"/>
  <c r="N91" i="42"/>
  <c r="L98" i="39"/>
  <c r="L104" i="39" s="1"/>
  <c r="L59" i="39"/>
  <c r="T149" i="39"/>
  <c r="T284" i="39"/>
  <c r="Y24" i="39"/>
  <c r="X25" i="39"/>
  <c r="Y24" i="42"/>
  <c r="X25" i="42"/>
  <c r="K279" i="42" l="1"/>
  <c r="W12" i="39"/>
  <c r="K296" i="42"/>
  <c r="K253" i="42"/>
  <c r="W23" i="39"/>
  <c r="W20" i="39"/>
  <c r="X19" i="39" s="1"/>
  <c r="J121" i="42"/>
  <c r="J126" i="42" s="1"/>
  <c r="J127" i="42" s="1"/>
  <c r="K308" i="42"/>
  <c r="K309" i="42" s="1"/>
  <c r="K179" i="42"/>
  <c r="K300" i="42"/>
  <c r="K301" i="42" s="1"/>
  <c r="K304" i="42"/>
  <c r="K305" i="42" s="1"/>
  <c r="K270" i="42"/>
  <c r="K271" i="42" s="1"/>
  <c r="K272" i="42" s="1"/>
  <c r="K275" i="42"/>
  <c r="K276" i="42" s="1"/>
  <c r="K250" i="42"/>
  <c r="K251" i="42"/>
  <c r="K252" i="42"/>
  <c r="K239" i="42"/>
  <c r="K242" i="42" s="1"/>
  <c r="K291" i="42"/>
  <c r="K292" i="42" s="1"/>
  <c r="K293" i="42" s="1"/>
  <c r="K317" i="42" s="1"/>
  <c r="U276" i="39"/>
  <c r="U473" i="42"/>
  <c r="V323" i="42"/>
  <c r="K487" i="39"/>
  <c r="K491" i="39"/>
  <c r="K506" i="39"/>
  <c r="K521" i="39" s="1"/>
  <c r="K502" i="39"/>
  <c r="U473" i="39"/>
  <c r="U149" i="39"/>
  <c r="U413" i="39"/>
  <c r="V259" i="39"/>
  <c r="V168" i="39"/>
  <c r="V148" i="39"/>
  <c r="V468" i="39"/>
  <c r="V469" i="39" s="1"/>
  <c r="V285" i="42"/>
  <c r="V258" i="39"/>
  <c r="R158" i="42"/>
  <c r="R159" i="42" s="1"/>
  <c r="T287" i="42"/>
  <c r="U137" i="42"/>
  <c r="U139" i="42" s="1"/>
  <c r="S178" i="42"/>
  <c r="S476" i="42" s="1"/>
  <c r="V426" i="42"/>
  <c r="S474" i="42"/>
  <c r="S492" i="42" s="1"/>
  <c r="S495" i="42" s="1"/>
  <c r="V259" i="42"/>
  <c r="V169" i="39"/>
  <c r="V468" i="42"/>
  <c r="V258" i="42"/>
  <c r="V168" i="42"/>
  <c r="R50" i="42"/>
  <c r="U469" i="42"/>
  <c r="V469" i="42" s="1"/>
  <c r="U284" i="39"/>
  <c r="V241" i="42"/>
  <c r="T177" i="42"/>
  <c r="T92" i="42" s="1"/>
  <c r="V425" i="39"/>
  <c r="V144" i="39"/>
  <c r="V349" i="39"/>
  <c r="V240" i="39"/>
  <c r="V448" i="39"/>
  <c r="V426" i="39"/>
  <c r="V459" i="39"/>
  <c r="V241" i="39"/>
  <c r="U419" i="42"/>
  <c r="U284" i="42"/>
  <c r="U286" i="42"/>
  <c r="P89" i="42"/>
  <c r="O91" i="42"/>
  <c r="O99" i="42"/>
  <c r="U382" i="39"/>
  <c r="V381" i="39"/>
  <c r="P514" i="42"/>
  <c r="U222" i="39"/>
  <c r="U223" i="39" s="1"/>
  <c r="U224" i="39" s="1"/>
  <c r="V226" i="39"/>
  <c r="U427" i="39"/>
  <c r="V424" i="39"/>
  <c r="M508" i="39"/>
  <c r="M513" i="39" s="1"/>
  <c r="M202" i="39"/>
  <c r="M205" i="39"/>
  <c r="N192" i="39" s="1"/>
  <c r="T88" i="39"/>
  <c r="U163" i="42"/>
  <c r="U90" i="42" s="1"/>
  <c r="V162" i="42"/>
  <c r="U105" i="42"/>
  <c r="U493" i="42"/>
  <c r="U501" i="42" s="1"/>
  <c r="V443" i="42"/>
  <c r="U396" i="42"/>
  <c r="U122" i="42" s="1"/>
  <c r="U516" i="42"/>
  <c r="V395" i="42"/>
  <c r="V379" i="42"/>
  <c r="U482" i="42"/>
  <c r="U380" i="42"/>
  <c r="U460" i="42"/>
  <c r="U117" i="42" s="1"/>
  <c r="V457" i="42"/>
  <c r="U511" i="42"/>
  <c r="T78" i="42"/>
  <c r="T139" i="39"/>
  <c r="T325" i="42"/>
  <c r="T45" i="42" s="1"/>
  <c r="U324" i="42"/>
  <c r="W13" i="39"/>
  <c r="T80" i="39"/>
  <c r="T383" i="39"/>
  <c r="T101" i="39" s="1"/>
  <c r="T340" i="42"/>
  <c r="U475" i="42"/>
  <c r="U415" i="39"/>
  <c r="U163" i="39"/>
  <c r="U90" i="39" s="1"/>
  <c r="V162" i="39"/>
  <c r="T290" i="42"/>
  <c r="U175" i="42"/>
  <c r="S420" i="39"/>
  <c r="S421" i="39" s="1"/>
  <c r="S102" i="39" s="1"/>
  <c r="T419" i="39"/>
  <c r="S483" i="39"/>
  <c r="R158" i="39"/>
  <c r="R159" i="39" s="1"/>
  <c r="M409" i="42"/>
  <c r="M199" i="42"/>
  <c r="M414" i="42"/>
  <c r="V425" i="42"/>
  <c r="V323" i="39"/>
  <c r="R339" i="42"/>
  <c r="Q341" i="42"/>
  <c r="V346" i="42"/>
  <c r="U347" i="42"/>
  <c r="U351" i="42" s="1"/>
  <c r="U516" i="39"/>
  <c r="V395" i="39"/>
  <c r="V346" i="39"/>
  <c r="U347" i="39"/>
  <c r="U351" i="39" s="1"/>
  <c r="P342" i="42"/>
  <c r="O120" i="42"/>
  <c r="M412" i="39"/>
  <c r="M406" i="39" s="1"/>
  <c r="M404" i="39"/>
  <c r="U268" i="39"/>
  <c r="V176" i="39"/>
  <c r="T420" i="42"/>
  <c r="T421" i="42" s="1"/>
  <c r="T102" i="42" s="1"/>
  <c r="T483" i="42"/>
  <c r="V358" i="39"/>
  <c r="U360" i="39"/>
  <c r="U507" i="39"/>
  <c r="V321" i="39"/>
  <c r="T154" i="39"/>
  <c r="T155" i="39" s="1"/>
  <c r="V333" i="42"/>
  <c r="U494" i="42"/>
  <c r="U334" i="42"/>
  <c r="R449" i="42"/>
  <c r="S447" i="42"/>
  <c r="V135" i="42"/>
  <c r="V283" i="42" s="1"/>
  <c r="V134" i="42"/>
  <c r="V171" i="42"/>
  <c r="V136" i="42"/>
  <c r="W14" i="42"/>
  <c r="V132" i="42"/>
  <c r="V15" i="42"/>
  <c r="V415" i="42" s="1"/>
  <c r="V133" i="42"/>
  <c r="V138" i="42"/>
  <c r="V16" i="42"/>
  <c r="V173" i="42"/>
  <c r="V254" i="42" s="1"/>
  <c r="V170" i="42"/>
  <c r="V459" i="42"/>
  <c r="W459" i="42" s="1"/>
  <c r="R102" i="39"/>
  <c r="U380" i="39"/>
  <c r="V379" i="39"/>
  <c r="U482" i="39"/>
  <c r="V144" i="42"/>
  <c r="V148" i="42"/>
  <c r="T154" i="42"/>
  <c r="V142" i="42"/>
  <c r="U145" i="42"/>
  <c r="U87" i="42" s="1"/>
  <c r="V349" i="42"/>
  <c r="S472" i="39"/>
  <c r="R86" i="39"/>
  <c r="J108" i="39"/>
  <c r="J109" i="39" s="1"/>
  <c r="J74" i="39"/>
  <c r="S157" i="42"/>
  <c r="T335" i="42"/>
  <c r="L98" i="42"/>
  <c r="L104" i="42" s="1"/>
  <c r="L59" i="42"/>
  <c r="U382" i="42"/>
  <c r="V381" i="42"/>
  <c r="P514" i="39"/>
  <c r="U175" i="39"/>
  <c r="T287" i="39"/>
  <c r="U400" i="42"/>
  <c r="U517" i="42"/>
  <c r="V399" i="42"/>
  <c r="K280" i="42"/>
  <c r="K297" i="42"/>
  <c r="L125" i="39"/>
  <c r="U518" i="39"/>
  <c r="V453" i="39"/>
  <c r="P91" i="39"/>
  <c r="T335" i="39"/>
  <c r="T88" i="42"/>
  <c r="P99" i="39"/>
  <c r="U396" i="39"/>
  <c r="T122" i="39"/>
  <c r="L118" i="42"/>
  <c r="L119" i="42" s="1"/>
  <c r="L107" i="42"/>
  <c r="L450" i="42" s="1"/>
  <c r="V167" i="42"/>
  <c r="U172" i="42"/>
  <c r="U174" i="42" s="1"/>
  <c r="V321" i="42"/>
  <c r="U507" i="42"/>
  <c r="S102" i="42"/>
  <c r="U413" i="42"/>
  <c r="V410" i="42"/>
  <c r="S269" i="39"/>
  <c r="R271" i="39"/>
  <c r="R272" i="39" s="1"/>
  <c r="Q519" i="42"/>
  <c r="Q68" i="42"/>
  <c r="T47" i="39"/>
  <c r="U329" i="39"/>
  <c r="R476" i="39"/>
  <c r="M207" i="39"/>
  <c r="R449" i="39"/>
  <c r="S447" i="39"/>
  <c r="T180" i="39"/>
  <c r="T183" i="39" s="1"/>
  <c r="T174" i="39"/>
  <c r="T177" i="39" s="1"/>
  <c r="U454" i="42"/>
  <c r="U124" i="42" s="1"/>
  <c r="V453" i="42"/>
  <c r="U518" i="42"/>
  <c r="U257" i="39"/>
  <c r="U260" i="39" s="1"/>
  <c r="V250" i="39"/>
  <c r="T47" i="42"/>
  <c r="U329" i="42"/>
  <c r="U149" i="42"/>
  <c r="V132" i="39"/>
  <c r="V133" i="39"/>
  <c r="W14" i="39"/>
  <c r="V170" i="39"/>
  <c r="V138" i="39"/>
  <c r="V134" i="39"/>
  <c r="V135" i="39"/>
  <c r="V283" i="39" s="1"/>
  <c r="V16" i="39"/>
  <c r="V171" i="39"/>
  <c r="V136" i="39"/>
  <c r="V15" i="39"/>
  <c r="V173" i="39"/>
  <c r="V254" i="39" s="1"/>
  <c r="V179" i="39"/>
  <c r="V279" i="39"/>
  <c r="V280" i="39" s="1"/>
  <c r="V275" i="39"/>
  <c r="V296" i="39"/>
  <c r="V297" i="39" s="1"/>
  <c r="V256" i="39"/>
  <c r="V300" i="39"/>
  <c r="V301" i="39" s="1"/>
  <c r="V304" i="39"/>
  <c r="V305" i="39" s="1"/>
  <c r="V270" i="39"/>
  <c r="V291" i="39"/>
  <c r="V308" i="39"/>
  <c r="V309" i="39" s="1"/>
  <c r="R86" i="42"/>
  <c r="S472" i="42"/>
  <c r="T325" i="39"/>
  <c r="T45" i="39" s="1"/>
  <c r="U324" i="39"/>
  <c r="S92" i="39"/>
  <c r="S178" i="39"/>
  <c r="V176" i="42"/>
  <c r="U268" i="42"/>
  <c r="T340" i="39"/>
  <c r="U475" i="39"/>
  <c r="J112" i="42"/>
  <c r="J106" i="42"/>
  <c r="T78" i="39"/>
  <c r="X20" i="42"/>
  <c r="Y19" i="42" s="1"/>
  <c r="X23" i="42"/>
  <c r="R339" i="39"/>
  <c r="Q341" i="39"/>
  <c r="K180" i="42"/>
  <c r="K183" i="42" s="1"/>
  <c r="T124" i="39"/>
  <c r="U454" i="39"/>
  <c r="U124" i="39" s="1"/>
  <c r="U145" i="39"/>
  <c r="U87" i="39" s="1"/>
  <c r="V142" i="39"/>
  <c r="V410" i="39"/>
  <c r="U460" i="39"/>
  <c r="U117" i="39" s="1"/>
  <c r="U511" i="39"/>
  <c r="V457" i="39"/>
  <c r="W13" i="42"/>
  <c r="X12" i="42"/>
  <c r="L113" i="42"/>
  <c r="T123" i="39"/>
  <c r="U400" i="39"/>
  <c r="U123" i="39" s="1"/>
  <c r="T139" i="42"/>
  <c r="V239" i="39"/>
  <c r="U242" i="39"/>
  <c r="S155" i="39"/>
  <c r="S474" i="39"/>
  <c r="T383" i="42"/>
  <c r="T101" i="42" s="1"/>
  <c r="T80" i="42"/>
  <c r="V358" i="42"/>
  <c r="U360" i="42"/>
  <c r="O195" i="39"/>
  <c r="O208" i="39"/>
  <c r="U517" i="39"/>
  <c r="V399" i="39"/>
  <c r="M206" i="39"/>
  <c r="S269" i="42"/>
  <c r="Q519" i="39"/>
  <c r="Q68" i="39"/>
  <c r="V167" i="39"/>
  <c r="U172" i="39"/>
  <c r="U427" i="42"/>
  <c r="V424" i="42"/>
  <c r="U222" i="42"/>
  <c r="U223" i="42" s="1"/>
  <c r="U224" i="42" s="1"/>
  <c r="V226" i="42"/>
  <c r="Q316" i="39"/>
  <c r="V448" i="42"/>
  <c r="U137" i="39"/>
  <c r="V240" i="42"/>
  <c r="U512" i="39"/>
  <c r="V328" i="39"/>
  <c r="Q159" i="39"/>
  <c r="V169" i="42"/>
  <c r="U512" i="42"/>
  <c r="V328" i="42"/>
  <c r="U286" i="39"/>
  <c r="U105" i="39"/>
  <c r="U493" i="39"/>
  <c r="U501" i="39" s="1"/>
  <c r="V443" i="39"/>
  <c r="U494" i="39"/>
  <c r="V333" i="39"/>
  <c r="U334" i="39"/>
  <c r="L93" i="39"/>
  <c r="V285" i="39"/>
  <c r="P342" i="39"/>
  <c r="Y25" i="39"/>
  <c r="Z24" i="39"/>
  <c r="Z24" i="42"/>
  <c r="Y25" i="42"/>
  <c r="X23" i="39" l="1"/>
  <c r="X20" i="39"/>
  <c r="Y19" i="39" s="1"/>
  <c r="Y20" i="39" s="1"/>
  <c r="X12" i="39"/>
  <c r="X13" i="39" s="1"/>
  <c r="V276" i="39"/>
  <c r="V473" i="42"/>
  <c r="K257" i="42"/>
  <c r="K260" i="42" s="1"/>
  <c r="K192" i="42"/>
  <c r="V149" i="39"/>
  <c r="W459" i="39"/>
  <c r="K75" i="39"/>
  <c r="K503" i="39"/>
  <c r="K55" i="39"/>
  <c r="K496" i="39"/>
  <c r="T474" i="42"/>
  <c r="T492" i="42" s="1"/>
  <c r="T495" i="42" s="1"/>
  <c r="U177" i="42"/>
  <c r="U178" i="42" s="1"/>
  <c r="U476" i="42" s="1"/>
  <c r="W259" i="42"/>
  <c r="U154" i="39"/>
  <c r="U155" i="39" s="1"/>
  <c r="W448" i="42"/>
  <c r="T474" i="39"/>
  <c r="T492" i="39" s="1"/>
  <c r="T495" i="39" s="1"/>
  <c r="W240" i="42"/>
  <c r="W426" i="42"/>
  <c r="W349" i="42"/>
  <c r="W148" i="42"/>
  <c r="W169" i="42"/>
  <c r="U287" i="39"/>
  <c r="W468" i="42"/>
  <c r="W469" i="42" s="1"/>
  <c r="W144" i="42"/>
  <c r="U287" i="42"/>
  <c r="W285" i="42"/>
  <c r="R316" i="39"/>
  <c r="R318" i="39" s="1"/>
  <c r="W425" i="39"/>
  <c r="W241" i="39"/>
  <c r="V137" i="39"/>
  <c r="V139" i="39" s="1"/>
  <c r="T178" i="42"/>
  <c r="T476" i="42" s="1"/>
  <c r="W285" i="39"/>
  <c r="W168" i="42"/>
  <c r="W168" i="39"/>
  <c r="P208" i="39"/>
  <c r="V149" i="42"/>
  <c r="V413" i="42"/>
  <c r="M52" i="39"/>
  <c r="V419" i="42"/>
  <c r="V284" i="39"/>
  <c r="Q41" i="39"/>
  <c r="U139" i="39"/>
  <c r="W424" i="42"/>
  <c r="V427" i="42"/>
  <c r="W410" i="39"/>
  <c r="U340" i="39"/>
  <c r="V475" i="39"/>
  <c r="V257" i="39"/>
  <c r="V260" i="39" s="1"/>
  <c r="W250" i="39"/>
  <c r="U47" i="39"/>
  <c r="V329" i="39"/>
  <c r="W321" i="42"/>
  <c r="V507" i="42"/>
  <c r="U122" i="39"/>
  <c r="V396" i="39"/>
  <c r="U123" i="42"/>
  <c r="V400" i="42"/>
  <c r="S449" i="42"/>
  <c r="T447" i="42"/>
  <c r="U78" i="42"/>
  <c r="W321" i="39"/>
  <c r="V507" i="39"/>
  <c r="M407" i="39"/>
  <c r="Q89" i="39"/>
  <c r="W323" i="39"/>
  <c r="M412" i="42"/>
  <c r="M406" i="42" s="1"/>
  <c r="M404" i="42"/>
  <c r="S158" i="39"/>
  <c r="S159" i="39" s="1"/>
  <c r="U290" i="42"/>
  <c r="V175" i="42"/>
  <c r="W144" i="39"/>
  <c r="W148" i="39"/>
  <c r="W258" i="39"/>
  <c r="U383" i="42"/>
  <c r="U101" i="42" s="1"/>
  <c r="U80" i="42"/>
  <c r="V163" i="42"/>
  <c r="V90" i="42" s="1"/>
  <c r="W162" i="42"/>
  <c r="V222" i="39"/>
  <c r="V223" i="39" s="1"/>
  <c r="V224" i="39" s="1"/>
  <c r="W226" i="39"/>
  <c r="V382" i="39"/>
  <c r="W381" i="39"/>
  <c r="Q89" i="42"/>
  <c r="P99" i="42"/>
  <c r="P91" i="42"/>
  <c r="S339" i="39"/>
  <c r="R341" i="39"/>
  <c r="V512" i="42"/>
  <c r="W328" i="42"/>
  <c r="W457" i="39"/>
  <c r="V511" i="39"/>
  <c r="V460" i="39"/>
  <c r="V117" i="39" s="1"/>
  <c r="V145" i="39"/>
  <c r="V87" i="39" s="1"/>
  <c r="W142" i="39"/>
  <c r="S476" i="39"/>
  <c r="S86" i="42"/>
  <c r="T472" i="42"/>
  <c r="V454" i="42"/>
  <c r="V518" i="42"/>
  <c r="W453" i="42"/>
  <c r="S449" i="39"/>
  <c r="T447" i="39"/>
  <c r="T269" i="39"/>
  <c r="S271" i="39"/>
  <c r="L125" i="42"/>
  <c r="V454" i="39"/>
  <c r="V124" i="39" s="1"/>
  <c r="V518" i="39"/>
  <c r="W453" i="39"/>
  <c r="K316" i="42"/>
  <c r="T155" i="42"/>
  <c r="R68" i="42"/>
  <c r="R519" i="42"/>
  <c r="W448" i="39"/>
  <c r="W346" i="39"/>
  <c r="V347" i="39"/>
  <c r="V351" i="39" s="1"/>
  <c r="Q514" i="42"/>
  <c r="W425" i="42"/>
  <c r="V415" i="39"/>
  <c r="T50" i="39"/>
  <c r="M114" i="39"/>
  <c r="M100" i="39"/>
  <c r="W323" i="42"/>
  <c r="V286" i="39"/>
  <c r="N193" i="39"/>
  <c r="W358" i="42"/>
  <c r="V360" i="42"/>
  <c r="U78" i="39"/>
  <c r="W443" i="39"/>
  <c r="V493" i="39"/>
  <c r="V501" i="39" s="1"/>
  <c r="V105" i="39"/>
  <c r="V512" i="39"/>
  <c r="W328" i="39"/>
  <c r="V222" i="42"/>
  <c r="V223" i="42" s="1"/>
  <c r="V224" i="42" s="1"/>
  <c r="W226" i="42"/>
  <c r="S50" i="39"/>
  <c r="Q342" i="39"/>
  <c r="P120" i="39"/>
  <c r="V494" i="39"/>
  <c r="W333" i="39"/>
  <c r="V334" i="39"/>
  <c r="R41" i="42"/>
  <c r="U174" i="39"/>
  <c r="U177" i="39" s="1"/>
  <c r="U180" i="39"/>
  <c r="U183" i="39" s="1"/>
  <c r="V400" i="39"/>
  <c r="V517" i="39"/>
  <c r="W399" i="39"/>
  <c r="P195" i="39"/>
  <c r="R41" i="39"/>
  <c r="Y20" i="42"/>
  <c r="Z19" i="42" s="1"/>
  <c r="Y23" i="42"/>
  <c r="J108" i="42"/>
  <c r="J109" i="42" s="1"/>
  <c r="J74" i="42"/>
  <c r="W136" i="39"/>
  <c r="W133" i="39"/>
  <c r="W16" i="39"/>
  <c r="W171" i="39"/>
  <c r="W132" i="39"/>
  <c r="W134" i="39"/>
  <c r="W15" i="39"/>
  <c r="W173" i="39"/>
  <c r="W254" i="39" s="1"/>
  <c r="W138" i="39"/>
  <c r="W135" i="39"/>
  <c r="W283" i="39" s="1"/>
  <c r="W170" i="39"/>
  <c r="W275" i="39"/>
  <c r="W304" i="39"/>
  <c r="W305" i="39" s="1"/>
  <c r="W300" i="39"/>
  <c r="W301" i="39" s="1"/>
  <c r="W296" i="39"/>
  <c r="W297" i="39" s="1"/>
  <c r="W270" i="39"/>
  <c r="W179" i="39"/>
  <c r="W279" i="39"/>
  <c r="W280" i="39" s="1"/>
  <c r="W256" i="39"/>
  <c r="W308" i="39"/>
  <c r="W309" i="39" s="1"/>
  <c r="W291" i="39"/>
  <c r="U47" i="42"/>
  <c r="V329" i="42"/>
  <c r="R519" i="39"/>
  <c r="R68" i="39"/>
  <c r="U88" i="42"/>
  <c r="V517" i="42"/>
  <c r="W399" i="42"/>
  <c r="V382" i="42"/>
  <c r="W381" i="42"/>
  <c r="J60" i="39"/>
  <c r="J61" i="39" s="1"/>
  <c r="K215" i="39"/>
  <c r="K214" i="39"/>
  <c r="K213" i="39"/>
  <c r="V145" i="42"/>
  <c r="V87" i="42" s="1"/>
  <c r="W142" i="42"/>
  <c r="W379" i="39"/>
  <c r="V380" i="39"/>
  <c r="V482" i="39"/>
  <c r="V137" i="42"/>
  <c r="Q318" i="39"/>
  <c r="W333" i="42"/>
  <c r="V494" i="42"/>
  <c r="V334" i="42"/>
  <c r="V268" i="39"/>
  <c r="W176" i="39"/>
  <c r="W346" i="42"/>
  <c r="V347" i="42"/>
  <c r="V351" i="42" s="1"/>
  <c r="S339" i="42"/>
  <c r="R341" i="42"/>
  <c r="M200" i="42"/>
  <c r="M201" i="42"/>
  <c r="T483" i="39"/>
  <c r="T420" i="39"/>
  <c r="T421" i="39" s="1"/>
  <c r="U419" i="39"/>
  <c r="V163" i="39"/>
  <c r="V90" i="39" s="1"/>
  <c r="W162" i="39"/>
  <c r="U340" i="42"/>
  <c r="V475" i="42"/>
  <c r="U325" i="42"/>
  <c r="U45" i="42" s="1"/>
  <c r="V324" i="42"/>
  <c r="V511" i="42"/>
  <c r="V460" i="42"/>
  <c r="V117" i="42" s="1"/>
  <c r="W457" i="42"/>
  <c r="W379" i="42"/>
  <c r="V380" i="42"/>
  <c r="V482" i="42"/>
  <c r="W426" i="39"/>
  <c r="U88" i="39"/>
  <c r="V427" i="39"/>
  <c r="W424" i="39"/>
  <c r="V473" i="39"/>
  <c r="V286" i="42"/>
  <c r="U483" i="42"/>
  <c r="U420" i="42"/>
  <c r="U421" i="42" s="1"/>
  <c r="U102" i="42" s="1"/>
  <c r="W167" i="39"/>
  <c r="V172" i="39"/>
  <c r="T269" i="42"/>
  <c r="U269" i="42" s="1"/>
  <c r="S492" i="39"/>
  <c r="S495" i="39" s="1"/>
  <c r="W239" i="39"/>
  <c r="V242" i="39"/>
  <c r="Y12" i="42"/>
  <c r="X13" i="42"/>
  <c r="Q514" i="39"/>
  <c r="V268" i="42"/>
  <c r="W176" i="42"/>
  <c r="U325" i="39"/>
  <c r="U45" i="39" s="1"/>
  <c r="V324" i="39"/>
  <c r="T92" i="39"/>
  <c r="T178" i="39"/>
  <c r="N194" i="39"/>
  <c r="W410" i="42"/>
  <c r="W167" i="42"/>
  <c r="V172" i="42"/>
  <c r="V174" i="42" s="1"/>
  <c r="S158" i="42"/>
  <c r="S159" i="42" s="1"/>
  <c r="T157" i="39"/>
  <c r="U335" i="39"/>
  <c r="W349" i="39"/>
  <c r="W468" i="39"/>
  <c r="U290" i="39"/>
  <c r="U292" i="39" s="1"/>
  <c r="U293" i="39" s="1"/>
  <c r="U317" i="39" s="1"/>
  <c r="V175" i="39"/>
  <c r="T157" i="42"/>
  <c r="U335" i="42"/>
  <c r="U157" i="42" s="1"/>
  <c r="S86" i="39"/>
  <c r="T472" i="39"/>
  <c r="U383" i="39"/>
  <c r="U101" i="39" s="1"/>
  <c r="U80" i="39"/>
  <c r="X14" i="42"/>
  <c r="W170" i="42"/>
  <c r="W136" i="42"/>
  <c r="W134" i="42"/>
  <c r="W132" i="42"/>
  <c r="W133" i="42"/>
  <c r="W15" i="42"/>
  <c r="W415" i="42" s="1"/>
  <c r="W173" i="42"/>
  <c r="W254" i="42" s="1"/>
  <c r="W171" i="42"/>
  <c r="W135" i="42"/>
  <c r="W283" i="42" s="1"/>
  <c r="W16" i="42"/>
  <c r="W138" i="42"/>
  <c r="W358" i="39"/>
  <c r="V360" i="39"/>
  <c r="M481" i="39"/>
  <c r="M405" i="39"/>
  <c r="Q342" i="42"/>
  <c r="P120" i="42"/>
  <c r="V516" i="39"/>
  <c r="W395" i="39"/>
  <c r="W241" i="42"/>
  <c r="K207" i="42"/>
  <c r="K194" i="42"/>
  <c r="M508" i="42"/>
  <c r="M513" i="42" s="1"/>
  <c r="W169" i="39"/>
  <c r="U154" i="42"/>
  <c r="U155" i="42" s="1"/>
  <c r="U50" i="42" s="1"/>
  <c r="V396" i="42"/>
  <c r="V122" i="42" s="1"/>
  <c r="V516" i="42"/>
  <c r="W395" i="42"/>
  <c r="W443" i="42"/>
  <c r="V105" i="42"/>
  <c r="V493" i="42"/>
  <c r="V501" i="42" s="1"/>
  <c r="W258" i="42"/>
  <c r="W240" i="39"/>
  <c r="M477" i="39"/>
  <c r="M209" i="39"/>
  <c r="W259" i="39"/>
  <c r="V284" i="42"/>
  <c r="V287" i="42" s="1"/>
  <c r="V413" i="39"/>
  <c r="Z25" i="42"/>
  <c r="AA24" i="42"/>
  <c r="AA24" i="39"/>
  <c r="Z25" i="39"/>
  <c r="Y23" i="39" l="1"/>
  <c r="X14" i="39"/>
  <c r="X240" i="39" s="1"/>
  <c r="Y12" i="39"/>
  <c r="Y13" i="39" s="1"/>
  <c r="K205" i="42"/>
  <c r="K52" i="42" s="1"/>
  <c r="Z19" i="39"/>
  <c r="Z20" i="39" s="1"/>
  <c r="W276" i="39"/>
  <c r="W149" i="39"/>
  <c r="X459" i="39"/>
  <c r="S272" i="39"/>
  <c r="S316" i="39" s="1"/>
  <c r="U92" i="42"/>
  <c r="V287" i="39"/>
  <c r="U50" i="39"/>
  <c r="K67" i="39"/>
  <c r="K69" i="39" s="1"/>
  <c r="K71" i="39" s="1"/>
  <c r="L212" i="39"/>
  <c r="K77" i="39"/>
  <c r="K79" i="39" s="1"/>
  <c r="K82" i="39" s="1"/>
  <c r="W473" i="39"/>
  <c r="U474" i="39"/>
  <c r="U492" i="39" s="1"/>
  <c r="U495" i="39" s="1"/>
  <c r="X448" i="42"/>
  <c r="X259" i="39"/>
  <c r="X349" i="39"/>
  <c r="V177" i="42"/>
  <c r="V92" i="42" s="1"/>
  <c r="X426" i="39"/>
  <c r="M202" i="42"/>
  <c r="M114" i="42" s="1"/>
  <c r="W413" i="39"/>
  <c r="W149" i="42"/>
  <c r="W137" i="39"/>
  <c r="W139" i="39" s="1"/>
  <c r="X258" i="42"/>
  <c r="X169" i="39"/>
  <c r="X285" i="39"/>
  <c r="V88" i="42"/>
  <c r="X241" i="42"/>
  <c r="V88" i="39"/>
  <c r="S41" i="42"/>
  <c r="X239" i="39"/>
  <c r="W242" i="39"/>
  <c r="X167" i="39"/>
  <c r="W172" i="39"/>
  <c r="Z23" i="39"/>
  <c r="W460" i="42"/>
  <c r="W117" i="42" s="1"/>
  <c r="X457" i="42"/>
  <c r="W511" i="42"/>
  <c r="V325" i="42"/>
  <c r="V45" i="42" s="1"/>
  <c r="W324" i="42"/>
  <c r="W163" i="39"/>
  <c r="W90" i="39" s="1"/>
  <c r="X162" i="39"/>
  <c r="R514" i="42"/>
  <c r="X346" i="42"/>
  <c r="W347" i="42"/>
  <c r="W351" i="42" s="1"/>
  <c r="X459" i="42"/>
  <c r="X148" i="42"/>
  <c r="W512" i="39"/>
  <c r="X328" i="39"/>
  <c r="X425" i="42"/>
  <c r="X448" i="39"/>
  <c r="X468" i="42"/>
  <c r="X469" i="42" s="1"/>
  <c r="U269" i="39"/>
  <c r="T271" i="39"/>
  <c r="X453" i="42"/>
  <c r="W518" i="42"/>
  <c r="T86" i="42"/>
  <c r="U472" i="42"/>
  <c r="R514" i="39"/>
  <c r="W382" i="39"/>
  <c r="X381" i="39"/>
  <c r="X144" i="39"/>
  <c r="M481" i="42"/>
  <c r="M405" i="42"/>
  <c r="Q91" i="39"/>
  <c r="R89" i="39"/>
  <c r="X349" i="42"/>
  <c r="M408" i="39"/>
  <c r="M66" i="39"/>
  <c r="N411" i="39"/>
  <c r="X358" i="39"/>
  <c r="W360" i="39"/>
  <c r="V290" i="39"/>
  <c r="V292" i="39" s="1"/>
  <c r="V293" i="39" s="1"/>
  <c r="V317" i="39" s="1"/>
  <c r="W175" i="39"/>
  <c r="U157" i="39"/>
  <c r="V335" i="39"/>
  <c r="V157" i="39" s="1"/>
  <c r="X167" i="42"/>
  <c r="W172" i="42"/>
  <c r="W174" i="42" s="1"/>
  <c r="V325" i="39"/>
  <c r="V45" i="39" s="1"/>
  <c r="W324" i="39"/>
  <c r="W286" i="42"/>
  <c r="W427" i="39"/>
  <c r="X424" i="39"/>
  <c r="S341" i="42"/>
  <c r="T339" i="42"/>
  <c r="W268" i="39"/>
  <c r="X176" i="39"/>
  <c r="W494" i="42"/>
  <c r="X333" i="42"/>
  <c r="W334" i="42"/>
  <c r="W145" i="42"/>
  <c r="W87" i="42" s="1"/>
  <c r="X142" i="42"/>
  <c r="W517" i="42"/>
  <c r="X399" i="42"/>
  <c r="V47" i="42"/>
  <c r="W329" i="42"/>
  <c r="Z20" i="42"/>
  <c r="AA19" i="42" s="1"/>
  <c r="Z23" i="42"/>
  <c r="Q195" i="39"/>
  <c r="V123" i="39"/>
  <c r="W400" i="39"/>
  <c r="X443" i="39"/>
  <c r="W105" i="39"/>
  <c r="W493" i="39"/>
  <c r="W501" i="39" s="1"/>
  <c r="K193" i="42"/>
  <c r="K206" i="42"/>
  <c r="T449" i="39"/>
  <c r="U447" i="39"/>
  <c r="X425" i="39"/>
  <c r="S341" i="39"/>
  <c r="T339" i="39"/>
  <c r="V290" i="42"/>
  <c r="W175" i="42"/>
  <c r="M407" i="42"/>
  <c r="X321" i="39"/>
  <c r="W507" i="39"/>
  <c r="T449" i="42"/>
  <c r="U447" i="42"/>
  <c r="V47" i="39"/>
  <c r="W329" i="39"/>
  <c r="N196" i="39"/>
  <c r="W105" i="42"/>
  <c r="W493" i="42"/>
  <c r="W501" i="42" s="1"/>
  <c r="X443" i="42"/>
  <c r="W284" i="42"/>
  <c r="W287" i="42" s="1"/>
  <c r="W396" i="42"/>
  <c r="W122" i="42" s="1"/>
  <c r="W516" i="42"/>
  <c r="X395" i="42"/>
  <c r="W516" i="39"/>
  <c r="X395" i="39"/>
  <c r="M500" i="39"/>
  <c r="M486" i="39"/>
  <c r="W137" i="42"/>
  <c r="X15" i="42"/>
  <c r="X415" i="42" s="1"/>
  <c r="Y14" i="42"/>
  <c r="X170" i="42"/>
  <c r="X133" i="42"/>
  <c r="X136" i="42"/>
  <c r="X173" i="42"/>
  <c r="X254" i="42" s="1"/>
  <c r="X132" i="42"/>
  <c r="X134" i="42"/>
  <c r="X138" i="42"/>
  <c r="X171" i="42"/>
  <c r="X16" i="42"/>
  <c r="X135" i="42"/>
  <c r="X283" i="42" s="1"/>
  <c r="Y13" i="42"/>
  <c r="Z12" i="42"/>
  <c r="X240" i="42"/>
  <c r="V383" i="42"/>
  <c r="V101" i="42" s="1"/>
  <c r="V80" i="42"/>
  <c r="V340" i="42"/>
  <c r="W475" i="42"/>
  <c r="U420" i="39"/>
  <c r="U421" i="39" s="1"/>
  <c r="U102" i="39" s="1"/>
  <c r="U483" i="39"/>
  <c r="V419" i="39"/>
  <c r="V383" i="39"/>
  <c r="V101" i="39" s="1"/>
  <c r="V80" i="39"/>
  <c r="J63" i="39"/>
  <c r="J7" i="39" s="1"/>
  <c r="J8" i="39" s="1"/>
  <c r="J65" i="39"/>
  <c r="J60" i="42"/>
  <c r="J61" i="42" s="1"/>
  <c r="V78" i="39"/>
  <c r="S41" i="39"/>
  <c r="W222" i="42"/>
  <c r="W223" i="42" s="1"/>
  <c r="W224" i="42" s="1"/>
  <c r="X226" i="42"/>
  <c r="W286" i="39"/>
  <c r="K318" i="42"/>
  <c r="W454" i="39"/>
  <c r="W124" i="39" s="1"/>
  <c r="W518" i="39"/>
  <c r="X453" i="39"/>
  <c r="S68" i="39"/>
  <c r="S519" i="39"/>
  <c r="V124" i="42"/>
  <c r="W454" i="42"/>
  <c r="X142" i="39"/>
  <c r="W145" i="39"/>
  <c r="W87" i="39" s="1"/>
  <c r="X457" i="39"/>
  <c r="W511" i="39"/>
  <c r="W460" i="39"/>
  <c r="W117" i="39" s="1"/>
  <c r="W512" i="42"/>
  <c r="X328" i="42"/>
  <c r="X241" i="39"/>
  <c r="W163" i="42"/>
  <c r="W90" i="42" s="1"/>
  <c r="X162" i="42"/>
  <c r="X258" i="39"/>
  <c r="X323" i="39"/>
  <c r="S519" i="42"/>
  <c r="S68" i="42"/>
  <c r="W469" i="39"/>
  <c r="X426" i="42"/>
  <c r="X321" i="42"/>
  <c r="W507" i="42"/>
  <c r="W257" i="39"/>
  <c r="W260" i="39" s="1"/>
  <c r="X250" i="39"/>
  <c r="V340" i="39"/>
  <c r="W475" i="39"/>
  <c r="X410" i="39"/>
  <c r="Q99" i="39"/>
  <c r="X168" i="42"/>
  <c r="V483" i="42"/>
  <c r="V420" i="42"/>
  <c r="V421" i="42" s="1"/>
  <c r="V102" i="42" s="1"/>
  <c r="W419" i="42"/>
  <c r="Q120" i="42"/>
  <c r="R342" i="42"/>
  <c r="U472" i="39"/>
  <c r="T86" i="39"/>
  <c r="V335" i="42"/>
  <c r="V157" i="42" s="1"/>
  <c r="T158" i="42"/>
  <c r="U158" i="42" s="1"/>
  <c r="X410" i="42"/>
  <c r="T476" i="39"/>
  <c r="W268" i="42"/>
  <c r="X176" i="42"/>
  <c r="V174" i="39"/>
  <c r="V177" i="39" s="1"/>
  <c r="V180" i="39"/>
  <c r="V183" i="39" s="1"/>
  <c r="X169" i="42"/>
  <c r="X379" i="42"/>
  <c r="W482" i="42"/>
  <c r="W380" i="42"/>
  <c r="T102" i="39"/>
  <c r="V78" i="42"/>
  <c r="V139" i="42"/>
  <c r="W482" i="39"/>
  <c r="X379" i="39"/>
  <c r="W380" i="39"/>
  <c r="K216" i="39"/>
  <c r="W382" i="42"/>
  <c r="X381" i="42"/>
  <c r="X285" i="42"/>
  <c r="X132" i="39"/>
  <c r="X138" i="39"/>
  <c r="X136" i="39"/>
  <c r="X170" i="39"/>
  <c r="X135" i="39"/>
  <c r="X283" i="39" s="1"/>
  <c r="X133" i="39"/>
  <c r="X15" i="39"/>
  <c r="X171" i="39"/>
  <c r="X134" i="39"/>
  <c r="X16" i="39"/>
  <c r="X173" i="39"/>
  <c r="X254" i="39" s="1"/>
  <c r="Y14" i="39"/>
  <c r="X300" i="39"/>
  <c r="X301" i="39" s="1"/>
  <c r="X304" i="39"/>
  <c r="X305" i="39" s="1"/>
  <c r="X308" i="39"/>
  <c r="X309" i="39" s="1"/>
  <c r="X279" i="39"/>
  <c r="X280" i="39" s="1"/>
  <c r="X256" i="39"/>
  <c r="X291" i="39"/>
  <c r="X270" i="39"/>
  <c r="X275" i="39"/>
  <c r="X296" i="39"/>
  <c r="X297" i="39" s="1"/>
  <c r="X179" i="39"/>
  <c r="W517" i="39"/>
  <c r="X399" i="39"/>
  <c r="U178" i="39"/>
  <c r="U92" i="39"/>
  <c r="W494" i="39"/>
  <c r="X333" i="39"/>
  <c r="W334" i="39"/>
  <c r="R342" i="39"/>
  <c r="Q120" i="39"/>
  <c r="Q208" i="39"/>
  <c r="V154" i="39"/>
  <c r="V155" i="39" s="1"/>
  <c r="X358" i="42"/>
  <c r="W360" i="42"/>
  <c r="X323" i="42"/>
  <c r="W415" i="39"/>
  <c r="W347" i="39"/>
  <c r="W351" i="39" s="1"/>
  <c r="X346" i="39"/>
  <c r="U474" i="42"/>
  <c r="T50" i="42"/>
  <c r="Q91" i="42"/>
  <c r="R89" i="42"/>
  <c r="Q99" i="42"/>
  <c r="W222" i="39"/>
  <c r="W223" i="39" s="1"/>
  <c r="W224" i="39" s="1"/>
  <c r="X226" i="39"/>
  <c r="X148" i="39"/>
  <c r="T158" i="39"/>
  <c r="M62" i="39"/>
  <c r="M46" i="39"/>
  <c r="M43" i="39"/>
  <c r="V154" i="42"/>
  <c r="X144" i="42"/>
  <c r="W400" i="42"/>
  <c r="V123" i="42"/>
  <c r="W396" i="39"/>
  <c r="V122" i="39"/>
  <c r="W413" i="42"/>
  <c r="W473" i="42"/>
  <c r="W427" i="42"/>
  <c r="X424" i="42"/>
  <c r="W284" i="39"/>
  <c r="X259" i="42"/>
  <c r="X168" i="39"/>
  <c r="AA25" i="42"/>
  <c r="AB24" i="42"/>
  <c r="AA25" i="39"/>
  <c r="AB24" i="39"/>
  <c r="AB253" i="39"/>
  <c r="AB252" i="39"/>
  <c r="AB251" i="39"/>
  <c r="X468" i="39" l="1"/>
  <c r="X469" i="39" s="1"/>
  <c r="Z12" i="39"/>
  <c r="Z14" i="39" s="1"/>
  <c r="K477" i="42"/>
  <c r="K212" i="42" s="1"/>
  <c r="AA19" i="39"/>
  <c r="AA20" i="39" s="1"/>
  <c r="X276" i="39"/>
  <c r="T272" i="39"/>
  <c r="T316" i="39" s="1"/>
  <c r="T318" i="39" s="1"/>
  <c r="L232" i="39"/>
  <c r="K488" i="39"/>
  <c r="L51" i="39"/>
  <c r="L478" i="39"/>
  <c r="X149" i="42"/>
  <c r="Y259" i="42"/>
  <c r="M100" i="42"/>
  <c r="Y144" i="42"/>
  <c r="X473" i="42"/>
  <c r="X413" i="39"/>
  <c r="W154" i="42"/>
  <c r="W155" i="42" s="1"/>
  <c r="V178" i="42"/>
  <c r="V476" i="42" s="1"/>
  <c r="X413" i="42"/>
  <c r="Y323" i="42"/>
  <c r="R208" i="39"/>
  <c r="X137" i="42"/>
  <c r="X139" i="42" s="1"/>
  <c r="X415" i="39"/>
  <c r="W154" i="39"/>
  <c r="W155" i="39" s="1"/>
  <c r="W50" i="39" s="1"/>
  <c r="Y258" i="42"/>
  <c r="Y169" i="42"/>
  <c r="Y285" i="42"/>
  <c r="Y426" i="42"/>
  <c r="Y168" i="39"/>
  <c r="Y148" i="39"/>
  <c r="Y240" i="42"/>
  <c r="M107" i="39"/>
  <c r="M450" i="39" s="1"/>
  <c r="M118" i="39"/>
  <c r="M119" i="39" s="1"/>
  <c r="R91" i="42"/>
  <c r="S89" i="42"/>
  <c r="R99" i="42"/>
  <c r="Y346" i="39"/>
  <c r="X347" i="39"/>
  <c r="X351" i="39" s="1"/>
  <c r="X494" i="39"/>
  <c r="Y333" i="39"/>
  <c r="X334" i="39"/>
  <c r="U476" i="39"/>
  <c r="X137" i="39"/>
  <c r="X382" i="42"/>
  <c r="Y381" i="42"/>
  <c r="W383" i="39"/>
  <c r="W101" i="39" s="1"/>
  <c r="W80" i="39"/>
  <c r="V92" i="39"/>
  <c r="V178" i="39"/>
  <c r="Y410" i="42"/>
  <c r="X507" i="42"/>
  <c r="Y321" i="42"/>
  <c r="X145" i="39"/>
  <c r="X87" i="39" s="1"/>
  <c r="Y142" i="39"/>
  <c r="K208" i="42"/>
  <c r="K195" i="42"/>
  <c r="K196" i="42" s="1"/>
  <c r="X286" i="39"/>
  <c r="W340" i="42"/>
  <c r="X475" i="42"/>
  <c r="V269" i="42"/>
  <c r="W139" i="42"/>
  <c r="X507" i="39"/>
  <c r="Y321" i="39"/>
  <c r="U449" i="39"/>
  <c r="V447" i="39"/>
  <c r="R195" i="39"/>
  <c r="W47" i="42"/>
  <c r="X329" i="42"/>
  <c r="X494" i="42"/>
  <c r="Y333" i="42"/>
  <c r="X334" i="42"/>
  <c r="T341" i="42"/>
  <c r="U339" i="42"/>
  <c r="W177" i="42"/>
  <c r="Y144" i="39"/>
  <c r="X518" i="42"/>
  <c r="Y453" i="42"/>
  <c r="T159" i="42"/>
  <c r="X163" i="39"/>
  <c r="X90" i="39" s="1"/>
  <c r="Y162" i="39"/>
  <c r="X284" i="39"/>
  <c r="X287" i="39" s="1"/>
  <c r="X400" i="42"/>
  <c r="W123" i="42"/>
  <c r="M113" i="39"/>
  <c r="T159" i="39"/>
  <c r="U158" i="39"/>
  <c r="S318" i="39"/>
  <c r="Y358" i="42"/>
  <c r="X360" i="42"/>
  <c r="X517" i="39"/>
  <c r="Y399" i="39"/>
  <c r="Y379" i="39"/>
  <c r="Y171" i="39"/>
  <c r="Y16" i="39"/>
  <c r="Y170" i="39"/>
  <c r="Y134" i="39"/>
  <c r="Y173" i="39"/>
  <c r="Y254" i="39" s="1"/>
  <c r="Y138" i="39"/>
  <c r="Y15" i="39"/>
  <c r="Y136" i="39"/>
  <c r="Y135" i="39"/>
  <c r="Y283" i="39" s="1"/>
  <c r="Y132" i="39"/>
  <c r="Y133" i="39"/>
  <c r="Y300" i="39"/>
  <c r="Y301" i="39" s="1"/>
  <c r="Y308" i="39"/>
  <c r="Y309" i="39" s="1"/>
  <c r="Y256" i="39"/>
  <c r="Y304" i="39"/>
  <c r="Y305" i="39" s="1"/>
  <c r="Y291" i="39"/>
  <c r="Y179" i="39"/>
  <c r="Y275" i="39"/>
  <c r="Y270" i="39"/>
  <c r="Y296" i="39"/>
  <c r="Y297" i="39" s="1"/>
  <c r="Y279" i="39"/>
  <c r="Y280" i="39" s="1"/>
  <c r="X482" i="39"/>
  <c r="X380" i="39"/>
  <c r="Y379" i="42"/>
  <c r="X482" i="42"/>
  <c r="X380" i="42"/>
  <c r="U159" i="42"/>
  <c r="W335" i="42"/>
  <c r="U86" i="39"/>
  <c r="V472" i="39"/>
  <c r="X257" i="39"/>
  <c r="X260" i="39" s="1"/>
  <c r="Y250" i="39"/>
  <c r="Y323" i="39"/>
  <c r="Y241" i="39"/>
  <c r="X454" i="42"/>
  <c r="W124" i="42"/>
  <c r="X454" i="39"/>
  <c r="X518" i="39"/>
  <c r="Y453" i="39"/>
  <c r="X222" i="42"/>
  <c r="X223" i="42" s="1"/>
  <c r="X224" i="42" s="1"/>
  <c r="Y226" i="42"/>
  <c r="V483" i="39"/>
  <c r="W419" i="39"/>
  <c r="V420" i="39"/>
  <c r="V421" i="39" s="1"/>
  <c r="V102" i="39" s="1"/>
  <c r="X473" i="39"/>
  <c r="Z13" i="42"/>
  <c r="AA12" i="42"/>
  <c r="X396" i="42"/>
  <c r="X122" i="42" s="1"/>
  <c r="Y395" i="42"/>
  <c r="X516" i="42"/>
  <c r="X493" i="42"/>
  <c r="X501" i="42" s="1"/>
  <c r="Y443" i="42"/>
  <c r="X105" i="42"/>
  <c r="U449" i="42"/>
  <c r="V447" i="42"/>
  <c r="U339" i="39"/>
  <c r="T341" i="39"/>
  <c r="T519" i="39"/>
  <c r="T68" i="39"/>
  <c r="X493" i="39"/>
  <c r="X501" i="39" s="1"/>
  <c r="X105" i="39"/>
  <c r="Y443" i="39"/>
  <c r="Y142" i="42"/>
  <c r="X145" i="42"/>
  <c r="X87" i="42" s="1"/>
  <c r="S514" i="42"/>
  <c r="X286" i="42"/>
  <c r="Y167" i="42"/>
  <c r="X172" i="42"/>
  <c r="X174" i="42" s="1"/>
  <c r="W335" i="39"/>
  <c r="M98" i="39"/>
  <c r="M104" i="39" s="1"/>
  <c r="M59" i="39"/>
  <c r="V474" i="39"/>
  <c r="Y349" i="42"/>
  <c r="X382" i="39"/>
  <c r="Y381" i="39"/>
  <c r="U86" i="42"/>
  <c r="V472" i="42"/>
  <c r="Y448" i="39"/>
  <c r="Y148" i="42"/>
  <c r="Y346" i="42"/>
  <c r="X347" i="42"/>
  <c r="X351" i="42" s="1"/>
  <c r="Y457" i="42"/>
  <c r="X511" i="42"/>
  <c r="X460" i="42"/>
  <c r="X117" i="42" s="1"/>
  <c r="Y239" i="39"/>
  <c r="X242" i="39"/>
  <c r="Y240" i="39"/>
  <c r="Y459" i="39"/>
  <c r="U492" i="42"/>
  <c r="U495" i="42" s="1"/>
  <c r="V474" i="42"/>
  <c r="V492" i="42" s="1"/>
  <c r="V495" i="42" s="1"/>
  <c r="S342" i="39"/>
  <c r="R120" i="39"/>
  <c r="K42" i="39"/>
  <c r="K94" i="39"/>
  <c r="K121" i="39" s="1"/>
  <c r="K126" i="39" s="1"/>
  <c r="Y176" i="42"/>
  <c r="X268" i="42"/>
  <c r="Y169" i="39"/>
  <c r="Y168" i="42"/>
  <c r="Y410" i="39"/>
  <c r="Y258" i="39"/>
  <c r="X512" i="42"/>
  <c r="Y328" i="42"/>
  <c r="X460" i="39"/>
  <c r="X117" i="39" s="1"/>
  <c r="X511" i="39"/>
  <c r="Y457" i="39"/>
  <c r="J63" i="42"/>
  <c r="J7" i="42" s="1"/>
  <c r="J8" i="42" s="1"/>
  <c r="J65" i="42"/>
  <c r="Y285" i="39"/>
  <c r="Y136" i="42"/>
  <c r="Y173" i="42"/>
  <c r="Y254" i="42" s="1"/>
  <c r="Y134" i="42"/>
  <c r="Y171" i="42"/>
  <c r="Y16" i="42"/>
  <c r="Y170" i="42"/>
  <c r="Y138" i="42"/>
  <c r="Y133" i="42"/>
  <c r="Y132" i="42"/>
  <c r="Y135" i="42"/>
  <c r="Y283" i="42" s="1"/>
  <c r="Y15" i="42"/>
  <c r="Y415" i="42" s="1"/>
  <c r="Z14" i="42"/>
  <c r="X284" i="42"/>
  <c r="Y259" i="39"/>
  <c r="V50" i="39"/>
  <c r="T519" i="42"/>
  <c r="T68" i="42"/>
  <c r="M62" i="42"/>
  <c r="M46" i="42"/>
  <c r="M43" i="42"/>
  <c r="S514" i="39"/>
  <c r="X400" i="39"/>
  <c r="X123" i="39" s="1"/>
  <c r="W123" i="39"/>
  <c r="X517" i="42"/>
  <c r="Y399" i="42"/>
  <c r="X268" i="39"/>
  <c r="Y176" i="39"/>
  <c r="W325" i="39"/>
  <c r="W45" i="39" s="1"/>
  <c r="X324" i="39"/>
  <c r="Y358" i="39"/>
  <c r="X360" i="39"/>
  <c r="R91" i="39"/>
  <c r="S89" i="39"/>
  <c r="R99" i="39"/>
  <c r="M408" i="42"/>
  <c r="M66" i="42"/>
  <c r="N411" i="42"/>
  <c r="V269" i="39"/>
  <c r="U271" i="39"/>
  <c r="Y425" i="42"/>
  <c r="Z425" i="42" s="1"/>
  <c r="X512" i="39"/>
  <c r="Y328" i="39"/>
  <c r="Y459" i="42"/>
  <c r="W325" i="42"/>
  <c r="W45" i="42" s="1"/>
  <c r="X324" i="42"/>
  <c r="W174" i="39"/>
  <c r="W177" i="39" s="1"/>
  <c r="W180" i="39"/>
  <c r="W183" i="39" s="1"/>
  <c r="X149" i="39"/>
  <c r="X427" i="42"/>
  <c r="Y424" i="42"/>
  <c r="X396" i="39"/>
  <c r="X122" i="39" s="1"/>
  <c r="W122" i="39"/>
  <c r="V155" i="42"/>
  <c r="V50" i="42" s="1"/>
  <c r="X222" i="39"/>
  <c r="X223" i="39" s="1"/>
  <c r="X224" i="39" s="1"/>
  <c r="Y226" i="39"/>
  <c r="W78" i="39"/>
  <c r="W80" i="42"/>
  <c r="W383" i="42"/>
  <c r="W101" i="42" s="1"/>
  <c r="S342" i="42"/>
  <c r="R120" i="42"/>
  <c r="W483" i="42"/>
  <c r="W420" i="42"/>
  <c r="W421" i="42" s="1"/>
  <c r="X419" i="42"/>
  <c r="W340" i="39"/>
  <c r="X475" i="39"/>
  <c r="X163" i="42"/>
  <c r="X90" i="42" s="1"/>
  <c r="Y162" i="42"/>
  <c r="Y349" i="39"/>
  <c r="X516" i="39"/>
  <c r="Y395" i="39"/>
  <c r="Y241" i="42"/>
  <c r="W47" i="39"/>
  <c r="X329" i="39"/>
  <c r="W290" i="42"/>
  <c r="X175" i="42"/>
  <c r="Y425" i="39"/>
  <c r="AA20" i="42"/>
  <c r="AB19" i="42" s="1"/>
  <c r="AA23" i="42"/>
  <c r="W78" i="42"/>
  <c r="X427" i="39"/>
  <c r="Y424" i="39"/>
  <c r="X175" i="39"/>
  <c r="X290" i="39" s="1"/>
  <c r="X292" i="39" s="1"/>
  <c r="W290" i="39"/>
  <c r="W292" i="39" s="1"/>
  <c r="W293" i="39" s="1"/>
  <c r="W317" i="39" s="1"/>
  <c r="N409" i="39"/>
  <c r="N199" i="39"/>
  <c r="N414" i="39"/>
  <c r="M500" i="42"/>
  <c r="M486" i="42"/>
  <c r="Y468" i="42"/>
  <c r="W88" i="42"/>
  <c r="Y426" i="39"/>
  <c r="Y167" i="39"/>
  <c r="X172" i="39"/>
  <c r="W88" i="39"/>
  <c r="W287" i="39"/>
  <c r="Y448" i="42"/>
  <c r="AB25" i="42"/>
  <c r="AC24" i="42"/>
  <c r="AB25" i="39"/>
  <c r="AC24" i="39"/>
  <c r="Y468" i="39" l="1"/>
  <c r="Z468" i="39" s="1"/>
  <c r="AA23" i="39"/>
  <c r="Y276" i="39"/>
  <c r="Z13" i="39"/>
  <c r="Z459" i="39"/>
  <c r="Z448" i="39"/>
  <c r="AA12" i="39"/>
  <c r="AB19" i="39"/>
  <c r="AB23" i="39" s="1"/>
  <c r="U272" i="39"/>
  <c r="U316" i="39" s="1"/>
  <c r="Z323" i="39"/>
  <c r="L499" i="39"/>
  <c r="L480" i="39"/>
  <c r="L56" i="39"/>
  <c r="L53" i="39"/>
  <c r="L54" i="39"/>
  <c r="L515" i="39"/>
  <c r="L520" i="39" s="1"/>
  <c r="Y469" i="39"/>
  <c r="Z144" i="42"/>
  <c r="Z240" i="39"/>
  <c r="Z259" i="39"/>
  <c r="Z425" i="39"/>
  <c r="Z349" i="39"/>
  <c r="Z241" i="39"/>
  <c r="Z240" i="42"/>
  <c r="Z285" i="42"/>
  <c r="Y415" i="39"/>
  <c r="Y413" i="42"/>
  <c r="S208" i="39"/>
  <c r="Z468" i="42"/>
  <c r="Z241" i="42"/>
  <c r="Z459" i="42"/>
  <c r="X154" i="39"/>
  <c r="X155" i="39" s="1"/>
  <c r="Z448" i="42"/>
  <c r="Z323" i="42"/>
  <c r="W474" i="42"/>
  <c r="W492" i="42" s="1"/>
  <c r="W495" i="42" s="1"/>
  <c r="Z426" i="39"/>
  <c r="Y149" i="39"/>
  <c r="Z285" i="39"/>
  <c r="Z258" i="39"/>
  <c r="W50" i="42"/>
  <c r="X88" i="42"/>
  <c r="X154" i="42"/>
  <c r="X155" i="42" s="1"/>
  <c r="X50" i="42" s="1"/>
  <c r="Y137" i="39"/>
  <c r="Y139" i="39" s="1"/>
  <c r="Z169" i="42"/>
  <c r="N200" i="39"/>
  <c r="N201" i="39"/>
  <c r="Y396" i="39"/>
  <c r="Y122" i="39" s="1"/>
  <c r="Y516" i="39"/>
  <c r="Z395" i="39"/>
  <c r="Y163" i="42"/>
  <c r="Y90" i="42" s="1"/>
  <c r="Z162" i="42"/>
  <c r="X420" i="42"/>
  <c r="X421" i="42" s="1"/>
  <c r="X102" i="42" s="1"/>
  <c r="Y419" i="42"/>
  <c r="X483" i="42"/>
  <c r="W92" i="39"/>
  <c r="W178" i="39"/>
  <c r="Y512" i="39"/>
  <c r="Z328" i="39"/>
  <c r="W269" i="39"/>
  <c r="V271" i="39"/>
  <c r="Y268" i="39"/>
  <c r="Z176" i="39"/>
  <c r="Y512" i="42"/>
  <c r="Z328" i="42"/>
  <c r="S120" i="39"/>
  <c r="T342" i="39"/>
  <c r="V86" i="42"/>
  <c r="W472" i="42"/>
  <c r="Z349" i="42"/>
  <c r="Y286" i="42"/>
  <c r="Y145" i="42"/>
  <c r="Y87" i="42" s="1"/>
  <c r="Z142" i="42"/>
  <c r="U341" i="39"/>
  <c r="V339" i="39"/>
  <c r="Y396" i="42"/>
  <c r="Y122" i="42" s="1"/>
  <c r="Y516" i="42"/>
  <c r="Z395" i="42"/>
  <c r="AA13" i="42"/>
  <c r="AB12" i="42"/>
  <c r="W420" i="39"/>
  <c r="W421" i="39" s="1"/>
  <c r="W102" i="39" s="1"/>
  <c r="W483" i="39"/>
  <c r="X419" i="39"/>
  <c r="Y222" i="42"/>
  <c r="Y223" i="42" s="1"/>
  <c r="Y224" i="42" s="1"/>
  <c r="Z226" i="42"/>
  <c r="Y518" i="39"/>
  <c r="Z453" i="39"/>
  <c r="Y454" i="42"/>
  <c r="Y124" i="42" s="1"/>
  <c r="X124" i="42"/>
  <c r="Y257" i="39"/>
  <c r="Y260" i="39" s="1"/>
  <c r="Z250" i="39"/>
  <c r="V86" i="39"/>
  <c r="W472" i="39"/>
  <c r="X335" i="42"/>
  <c r="X80" i="42"/>
  <c r="X383" i="42"/>
  <c r="X101" i="42" s="1"/>
  <c r="Y400" i="39"/>
  <c r="Z399" i="39"/>
  <c r="Y517" i="39"/>
  <c r="Z358" i="42"/>
  <c r="Y360" i="42"/>
  <c r="T41" i="39"/>
  <c r="X123" i="42"/>
  <c r="Y400" i="42"/>
  <c r="Y163" i="39"/>
  <c r="Y90" i="39" s="1"/>
  <c r="Z162" i="39"/>
  <c r="Y518" i="42"/>
  <c r="Z453" i="42"/>
  <c r="Y494" i="42"/>
  <c r="Z333" i="42"/>
  <c r="Y334" i="42"/>
  <c r="S195" i="39"/>
  <c r="X340" i="42"/>
  <c r="Y475" i="42"/>
  <c r="Y473" i="39"/>
  <c r="Y145" i="39"/>
  <c r="Y87" i="39" s="1"/>
  <c r="Z142" i="39"/>
  <c r="Y382" i="42"/>
  <c r="Z381" i="42"/>
  <c r="S91" i="42"/>
  <c r="T89" i="42"/>
  <c r="T99" i="42" s="1"/>
  <c r="S99" i="42"/>
  <c r="M125" i="39"/>
  <c r="M93" i="39"/>
  <c r="Z167" i="39"/>
  <c r="Y172" i="39"/>
  <c r="N508" i="39"/>
  <c r="N513" i="39" s="1"/>
  <c r="N205" i="39"/>
  <c r="O192" i="39" s="1"/>
  <c r="X293" i="39"/>
  <c r="X317" i="39" s="1"/>
  <c r="AB20" i="42"/>
  <c r="AC19" i="42" s="1"/>
  <c r="AB23" i="42"/>
  <c r="X290" i="42"/>
  <c r="Y175" i="42"/>
  <c r="W102" i="42"/>
  <c r="T342" i="42"/>
  <c r="S120" i="42"/>
  <c r="Z168" i="39"/>
  <c r="X325" i="42"/>
  <c r="X45" i="42" s="1"/>
  <c r="Y324" i="42"/>
  <c r="N409" i="42"/>
  <c r="N199" i="42"/>
  <c r="Z358" i="39"/>
  <c r="Y360" i="39"/>
  <c r="N414" i="42"/>
  <c r="Y284" i="42"/>
  <c r="Y137" i="42"/>
  <c r="Y511" i="39"/>
  <c r="Z457" i="39"/>
  <c r="Y460" i="39"/>
  <c r="Y117" i="39" s="1"/>
  <c r="Y413" i="39"/>
  <c r="Z410" i="39"/>
  <c r="K96" i="39"/>
  <c r="K97" i="39" s="1"/>
  <c r="Z346" i="42"/>
  <c r="Y347" i="42"/>
  <c r="Y351" i="42" s="1"/>
  <c r="V492" i="39"/>
  <c r="V495" i="39" s="1"/>
  <c r="W474" i="39"/>
  <c r="W157" i="39"/>
  <c r="X335" i="39"/>
  <c r="V449" i="42"/>
  <c r="W447" i="42"/>
  <c r="Y493" i="42"/>
  <c r="Y501" i="42" s="1"/>
  <c r="Y105" i="42"/>
  <c r="Z443" i="42"/>
  <c r="V158" i="42"/>
  <c r="V159" i="42" s="1"/>
  <c r="U341" i="42"/>
  <c r="V339" i="42"/>
  <c r="V449" i="39"/>
  <c r="W447" i="39"/>
  <c r="X78" i="39"/>
  <c r="Z346" i="39"/>
  <c r="Y347" i="39"/>
  <c r="Y351" i="39" s="1"/>
  <c r="N412" i="39"/>
  <c r="N406" i="39" s="1"/>
  <c r="N404" i="39"/>
  <c r="Y427" i="39"/>
  <c r="Z424" i="39"/>
  <c r="X340" i="39"/>
  <c r="Y475" i="39"/>
  <c r="X88" i="39"/>
  <c r="S91" i="39"/>
  <c r="T89" i="39"/>
  <c r="S99" i="39"/>
  <c r="X325" i="39"/>
  <c r="X45" i="39" s="1"/>
  <c r="Y324" i="39"/>
  <c r="Y517" i="42"/>
  <c r="Z399" i="42"/>
  <c r="M107" i="42"/>
  <c r="M450" i="42" s="1"/>
  <c r="M118" i="42"/>
  <c r="M119" i="42" s="1"/>
  <c r="Z424" i="42"/>
  <c r="Z138" i="42"/>
  <c r="Z15" i="42"/>
  <c r="Z415" i="42" s="1"/>
  <c r="Z132" i="42"/>
  <c r="Z173" i="42"/>
  <c r="Z254" i="42" s="1"/>
  <c r="Z135" i="42"/>
  <c r="Z283" i="42" s="1"/>
  <c r="Z134" i="42"/>
  <c r="Z136" i="42"/>
  <c r="AA14" i="42"/>
  <c r="Z170" i="42"/>
  <c r="Z171" i="42"/>
  <c r="Z133" i="42"/>
  <c r="Z16" i="42"/>
  <c r="Z168" i="42"/>
  <c r="Z239" i="39"/>
  <c r="Y242" i="39"/>
  <c r="Z148" i="42"/>
  <c r="AA148" i="42" s="1"/>
  <c r="Y382" i="39"/>
  <c r="Z381" i="39"/>
  <c r="X177" i="42"/>
  <c r="Y105" i="39"/>
  <c r="Y493" i="39"/>
  <c r="Y501" i="39" s="1"/>
  <c r="Z443" i="39"/>
  <c r="U519" i="42"/>
  <c r="U68" i="42"/>
  <c r="X124" i="39"/>
  <c r="Y454" i="39"/>
  <c r="U41" i="42"/>
  <c r="Z379" i="42"/>
  <c r="Y380" i="42"/>
  <c r="Y482" i="42"/>
  <c r="Z135" i="39"/>
  <c r="Z283" i="39" s="1"/>
  <c r="Z16" i="39"/>
  <c r="Z170" i="39"/>
  <c r="Z171" i="39"/>
  <c r="Z136" i="39"/>
  <c r="Z133" i="39"/>
  <c r="Z173" i="39"/>
  <c r="Z254" i="39" s="1"/>
  <c r="Z132" i="39"/>
  <c r="Z138" i="39"/>
  <c r="Z134" i="39"/>
  <c r="Z15" i="39"/>
  <c r="Z415" i="39" s="1"/>
  <c r="AA14" i="39"/>
  <c r="Z256" i="39"/>
  <c r="Z308" i="39"/>
  <c r="Z309" i="39" s="1"/>
  <c r="Z275" i="39"/>
  <c r="Z276" i="39" s="1"/>
  <c r="Z179" i="39"/>
  <c r="Z304" i="39"/>
  <c r="Z305" i="39" s="1"/>
  <c r="Z296" i="39"/>
  <c r="Z297" i="39" s="1"/>
  <c r="Z300" i="39"/>
  <c r="Z301" i="39" s="1"/>
  <c r="Z291" i="39"/>
  <c r="Z279" i="39"/>
  <c r="Z280" i="39" s="1"/>
  <c r="Z270" i="39"/>
  <c r="Y473" i="42"/>
  <c r="Z144" i="39"/>
  <c r="AA144" i="39" s="1"/>
  <c r="T514" i="42"/>
  <c r="X47" i="42"/>
  <c r="Y329" i="42"/>
  <c r="U519" i="39"/>
  <c r="U68" i="39"/>
  <c r="Y286" i="39"/>
  <c r="Y507" i="42"/>
  <c r="Z321" i="42"/>
  <c r="Z410" i="42"/>
  <c r="X139" i="39"/>
  <c r="Y494" i="39"/>
  <c r="Z333" i="39"/>
  <c r="Y334" i="39"/>
  <c r="Y149" i="42"/>
  <c r="Z259" i="42"/>
  <c r="Z258" i="42"/>
  <c r="X287" i="42"/>
  <c r="X174" i="39"/>
  <c r="X177" i="39" s="1"/>
  <c r="X180" i="39"/>
  <c r="X183" i="39" s="1"/>
  <c r="X47" i="39"/>
  <c r="Y329" i="39"/>
  <c r="Y222" i="39"/>
  <c r="Y223" i="39" s="1"/>
  <c r="Y224" i="39" s="1"/>
  <c r="Z226" i="39"/>
  <c r="Y427" i="42"/>
  <c r="M98" i="42"/>
  <c r="M104" i="42" s="1"/>
  <c r="M59" i="42"/>
  <c r="M113" i="42"/>
  <c r="Z169" i="39"/>
  <c r="Y268" i="42"/>
  <c r="Z176" i="42"/>
  <c r="K49" i="39"/>
  <c r="K44" i="39"/>
  <c r="Y511" i="42"/>
  <c r="Y460" i="42"/>
  <c r="Y117" i="42" s="1"/>
  <c r="Z457" i="42"/>
  <c r="Z167" i="42"/>
  <c r="Y172" i="42"/>
  <c r="Y174" i="42" s="1"/>
  <c r="T514" i="39"/>
  <c r="AA13" i="39"/>
  <c r="Z426" i="42"/>
  <c r="W157" i="42"/>
  <c r="Y469" i="42"/>
  <c r="X383" i="39"/>
  <c r="X101" i="39" s="1"/>
  <c r="X80" i="39"/>
  <c r="Y175" i="39"/>
  <c r="Y290" i="39" s="1"/>
  <c r="Y292" i="39" s="1"/>
  <c r="Y482" i="39"/>
  <c r="Y380" i="39"/>
  <c r="Z379" i="39"/>
  <c r="U159" i="39"/>
  <c r="V158" i="39"/>
  <c r="Y284" i="39"/>
  <c r="T41" i="42"/>
  <c r="W92" i="42"/>
  <c r="W178" i="42"/>
  <c r="W476" i="42" s="1"/>
  <c r="X78" i="42"/>
  <c r="Y507" i="39"/>
  <c r="Z321" i="39"/>
  <c r="W269" i="42"/>
  <c r="X269" i="42" s="1"/>
  <c r="K478" i="42"/>
  <c r="K515" i="42" s="1"/>
  <c r="K520" i="42" s="1"/>
  <c r="K51" i="42"/>
  <c r="K209" i="42"/>
  <c r="K93" i="42" s="1"/>
  <c r="V476" i="39"/>
  <c r="Z148" i="39"/>
  <c r="AD24" i="39"/>
  <c r="AC25" i="39"/>
  <c r="AC25" i="42"/>
  <c r="AD24" i="42"/>
  <c r="AB20" i="39" l="1"/>
  <c r="AB12" i="39"/>
  <c r="AC19" i="39"/>
  <c r="K48" i="39"/>
  <c r="K127" i="39" s="1"/>
  <c r="U318" i="39"/>
  <c r="V272" i="39"/>
  <c r="V316" i="39" s="1"/>
  <c r="V318" i="39" s="1"/>
  <c r="Z469" i="39"/>
  <c r="L491" i="39"/>
  <c r="L487" i="39"/>
  <c r="L506" i="39"/>
  <c r="L521" i="39" s="1"/>
  <c r="L502" i="39"/>
  <c r="L75" i="39" s="1"/>
  <c r="AA240" i="39"/>
  <c r="AA240" i="42"/>
  <c r="X50" i="39"/>
  <c r="AA448" i="42"/>
  <c r="AA169" i="39"/>
  <c r="AA459" i="42"/>
  <c r="AA426" i="42"/>
  <c r="X474" i="42"/>
  <c r="X492" i="42" s="1"/>
  <c r="X495" i="42" s="1"/>
  <c r="AA259" i="42"/>
  <c r="AA241" i="42"/>
  <c r="AA323" i="42"/>
  <c r="Z469" i="42"/>
  <c r="AA258" i="42"/>
  <c r="AA258" i="39"/>
  <c r="Y154" i="42"/>
  <c r="Y155" i="42" s="1"/>
  <c r="N202" i="39"/>
  <c r="N114" i="39" s="1"/>
  <c r="AA323" i="39"/>
  <c r="Z473" i="42"/>
  <c r="N52" i="39"/>
  <c r="Z284" i="39"/>
  <c r="Y177" i="42"/>
  <c r="Y178" i="42" s="1"/>
  <c r="Y476" i="42" s="1"/>
  <c r="AA285" i="39"/>
  <c r="Y293" i="39"/>
  <c r="Y317" i="39" s="1"/>
  <c r="AA448" i="39"/>
  <c r="AA459" i="39"/>
  <c r="Z149" i="42"/>
  <c r="AA149" i="42" s="1"/>
  <c r="W158" i="39"/>
  <c r="V159" i="39"/>
  <c r="AB13" i="39"/>
  <c r="AC12" i="39"/>
  <c r="Y78" i="39"/>
  <c r="Z482" i="42"/>
  <c r="Z380" i="42"/>
  <c r="AA379" i="42"/>
  <c r="Y124" i="39"/>
  <c r="Z454" i="39"/>
  <c r="X92" i="42"/>
  <c r="X178" i="42"/>
  <c r="X476" i="42" s="1"/>
  <c r="Y325" i="39"/>
  <c r="Y45" i="39" s="1"/>
  <c r="Z324" i="39"/>
  <c r="U89" i="39"/>
  <c r="U99" i="39" s="1"/>
  <c r="T91" i="39"/>
  <c r="AA424" i="39"/>
  <c r="Z427" i="39"/>
  <c r="AA426" i="39"/>
  <c r="Y154" i="39"/>
  <c r="Y155" i="39" s="1"/>
  <c r="W339" i="42"/>
  <c r="V341" i="42"/>
  <c r="Y287" i="39"/>
  <c r="AA443" i="42"/>
  <c r="Z105" i="42"/>
  <c r="Z493" i="42"/>
  <c r="Z501" i="42" s="1"/>
  <c r="V519" i="42"/>
  <c r="V68" i="42"/>
  <c r="X474" i="39"/>
  <c r="W492" i="39"/>
  <c r="W495" i="39" s="1"/>
  <c r="AA468" i="39"/>
  <c r="Y139" i="42"/>
  <c r="AC20" i="42"/>
  <c r="AD19" i="42" s="1"/>
  <c r="AC23" i="42"/>
  <c r="AA167" i="39"/>
  <c r="Z172" i="39"/>
  <c r="T195" i="39"/>
  <c r="X157" i="42"/>
  <c r="Y335" i="42"/>
  <c r="Y157" i="42" s="1"/>
  <c r="AA142" i="42"/>
  <c r="Z145" i="42"/>
  <c r="Z87" i="42" s="1"/>
  <c r="W86" i="42"/>
  <c r="X472" i="42"/>
  <c r="AC20" i="39"/>
  <c r="AC23" i="39"/>
  <c r="X269" i="39"/>
  <c r="W271" i="39"/>
  <c r="AA425" i="39"/>
  <c r="Y88" i="42"/>
  <c r="K56" i="42"/>
  <c r="K54" i="42"/>
  <c r="K53" i="42"/>
  <c r="AA167" i="42"/>
  <c r="Z172" i="42"/>
  <c r="Z174" i="42" s="1"/>
  <c r="Z494" i="39"/>
  <c r="AA333" i="39"/>
  <c r="Z334" i="39"/>
  <c r="Y47" i="42"/>
  <c r="Z329" i="42"/>
  <c r="Z493" i="39"/>
  <c r="Z501" i="39" s="1"/>
  <c r="AA443" i="39"/>
  <c r="Z105" i="39"/>
  <c r="Z382" i="39"/>
  <c r="AA381" i="39"/>
  <c r="AA239" i="39"/>
  <c r="Z242" i="39"/>
  <c r="M125" i="42"/>
  <c r="AA349" i="39"/>
  <c r="U514" i="42"/>
  <c r="W158" i="42"/>
  <c r="Z284" i="42"/>
  <c r="AA358" i="39"/>
  <c r="Z360" i="39"/>
  <c r="Y325" i="42"/>
  <c r="Y45" i="42" s="1"/>
  <c r="Z324" i="42"/>
  <c r="Y290" i="42"/>
  <c r="Z175" i="42"/>
  <c r="AA468" i="42"/>
  <c r="Z382" i="42"/>
  <c r="AA381" i="42"/>
  <c r="Z454" i="42"/>
  <c r="Z518" i="42"/>
  <c r="AA453" i="42"/>
  <c r="Y123" i="42"/>
  <c r="Z400" i="42"/>
  <c r="Z517" i="39"/>
  <c r="AA399" i="39"/>
  <c r="Z257" i="39"/>
  <c r="Z260" i="39" s="1"/>
  <c r="AA250" i="39"/>
  <c r="Z518" i="39"/>
  <c r="AA453" i="39"/>
  <c r="AB13" i="42"/>
  <c r="AC12" i="42"/>
  <c r="Z512" i="42"/>
  <c r="AA328" i="42"/>
  <c r="Z268" i="39"/>
  <c r="AA176" i="39"/>
  <c r="Z512" i="39"/>
  <c r="AA328" i="39"/>
  <c r="Y483" i="42"/>
  <c r="Y420" i="42"/>
  <c r="Y421" i="42" s="1"/>
  <c r="Y102" i="42" s="1"/>
  <c r="Z419" i="42"/>
  <c r="Z396" i="39"/>
  <c r="Z516" i="39"/>
  <c r="AA395" i="39"/>
  <c r="N207" i="39"/>
  <c r="Z149" i="39"/>
  <c r="AA148" i="39"/>
  <c r="U41" i="39"/>
  <c r="V41" i="42"/>
  <c r="K499" i="42"/>
  <c r="K480" i="42"/>
  <c r="Z507" i="39"/>
  <c r="AA321" i="39"/>
  <c r="Z380" i="39"/>
  <c r="AA379" i="39"/>
  <c r="Z482" i="39"/>
  <c r="Z268" i="42"/>
  <c r="AA176" i="42"/>
  <c r="Z222" i="39"/>
  <c r="Z223" i="39" s="1"/>
  <c r="Z224" i="39" s="1"/>
  <c r="AA226" i="39"/>
  <c r="AA410" i="42"/>
  <c r="Z286" i="39"/>
  <c r="AA136" i="39"/>
  <c r="AA170" i="39"/>
  <c r="AA132" i="39"/>
  <c r="AA15" i="39"/>
  <c r="AA415" i="39" s="1"/>
  <c r="AA138" i="39"/>
  <c r="AA135" i="39"/>
  <c r="AA283" i="39" s="1"/>
  <c r="AA171" i="39"/>
  <c r="AA133" i="39"/>
  <c r="AA173" i="39"/>
  <c r="AA254" i="39" s="1"/>
  <c r="AA134" i="39"/>
  <c r="AA16" i="39"/>
  <c r="AB14" i="39"/>
  <c r="AA304" i="39"/>
  <c r="AA305" i="39" s="1"/>
  <c r="AA300" i="39"/>
  <c r="AA301" i="39" s="1"/>
  <c r="AA179" i="39"/>
  <c r="AA275" i="39"/>
  <c r="AA276" i="39" s="1"/>
  <c r="AA270" i="39"/>
  <c r="AA296" i="39"/>
  <c r="AA297" i="39" s="1"/>
  <c r="AA291" i="39"/>
  <c r="AA308" i="39"/>
  <c r="AA309" i="39" s="1"/>
  <c r="AA279" i="39"/>
  <c r="AA280" i="39" s="1"/>
  <c r="AA256" i="39"/>
  <c r="Z137" i="39"/>
  <c r="AA134" i="42"/>
  <c r="AA15" i="42"/>
  <c r="AA415" i="42" s="1"/>
  <c r="AA171" i="42"/>
  <c r="AA138" i="42"/>
  <c r="AA136" i="42"/>
  <c r="AA16" i="42"/>
  <c r="AA132" i="42"/>
  <c r="AA170" i="42"/>
  <c r="AA133" i="42"/>
  <c r="AA135" i="42"/>
  <c r="AA283" i="42" s="1"/>
  <c r="AA173" i="42"/>
  <c r="AA254" i="42" s="1"/>
  <c r="AB14" i="42"/>
  <c r="Z427" i="42"/>
  <c r="AA424" i="42"/>
  <c r="AA399" i="42"/>
  <c r="Z517" i="42"/>
  <c r="AA425" i="42"/>
  <c r="N481" i="39"/>
  <c r="N405" i="39"/>
  <c r="AA346" i="39"/>
  <c r="Z347" i="39"/>
  <c r="Z351" i="39" s="1"/>
  <c r="W449" i="39"/>
  <c r="X447" i="39"/>
  <c r="Z413" i="42"/>
  <c r="AA413" i="42" s="1"/>
  <c r="AA241" i="39"/>
  <c r="AB241" i="39" s="1"/>
  <c r="X157" i="39"/>
  <c r="Y335" i="39"/>
  <c r="Y157" i="39" s="1"/>
  <c r="K112" i="39"/>
  <c r="K106" i="39"/>
  <c r="Z511" i="39"/>
  <c r="AA457" i="39"/>
  <c r="Z460" i="39"/>
  <c r="Z117" i="39" s="1"/>
  <c r="N201" i="42"/>
  <c r="N200" i="42"/>
  <c r="N508" i="42"/>
  <c r="N513" i="42" s="1"/>
  <c r="T120" i="42"/>
  <c r="U342" i="42"/>
  <c r="T91" i="42"/>
  <c r="U89" i="42"/>
  <c r="Y340" i="42"/>
  <c r="Z475" i="42"/>
  <c r="Y78" i="42"/>
  <c r="Y123" i="39"/>
  <c r="Z400" i="39"/>
  <c r="X483" i="39"/>
  <c r="Y419" i="39"/>
  <c r="X420" i="39"/>
  <c r="X421" i="39" s="1"/>
  <c r="X102" i="39" s="1"/>
  <c r="W339" i="39"/>
  <c r="V341" i="39"/>
  <c r="Z286" i="42"/>
  <c r="T208" i="39"/>
  <c r="N206" i="39"/>
  <c r="O193" i="39" s="1"/>
  <c r="Y287" i="42"/>
  <c r="K214" i="42"/>
  <c r="K213" i="42"/>
  <c r="K215" i="42"/>
  <c r="Y383" i="39"/>
  <c r="Y101" i="39" s="1"/>
  <c r="Y80" i="39"/>
  <c r="AA457" i="42"/>
  <c r="Z511" i="42"/>
  <c r="Z460" i="42"/>
  <c r="Z117" i="42" s="1"/>
  <c r="Y47" i="39"/>
  <c r="Z329" i="39"/>
  <c r="X92" i="39"/>
  <c r="X178" i="39"/>
  <c r="AA321" i="42"/>
  <c r="Z507" i="42"/>
  <c r="Z175" i="39"/>
  <c r="Y80" i="42"/>
  <c r="Y383" i="42"/>
  <c r="Y101" i="42" s="1"/>
  <c r="AA168" i="42"/>
  <c r="Z137" i="42"/>
  <c r="Y88" i="39"/>
  <c r="Y340" i="39"/>
  <c r="Z475" i="39"/>
  <c r="N407" i="39"/>
  <c r="V519" i="39"/>
  <c r="V68" i="39"/>
  <c r="W449" i="42"/>
  <c r="X447" i="42"/>
  <c r="AA346" i="42"/>
  <c r="Z347" i="42"/>
  <c r="Z351" i="42" s="1"/>
  <c r="Z413" i="39"/>
  <c r="AA410" i="39"/>
  <c r="N412" i="42"/>
  <c r="N406" i="42" s="1"/>
  <c r="N404" i="42"/>
  <c r="AA168" i="39"/>
  <c r="N477" i="39"/>
  <c r="Y174" i="39"/>
  <c r="Y177" i="39" s="1"/>
  <c r="Y180" i="39"/>
  <c r="Y183" i="39" s="1"/>
  <c r="Z473" i="39"/>
  <c r="Z145" i="39"/>
  <c r="Z87" i="39" s="1"/>
  <c r="AA142" i="39"/>
  <c r="Z494" i="42"/>
  <c r="AA333" i="42"/>
  <c r="Z334" i="42"/>
  <c r="Z163" i="39"/>
  <c r="Z90" i="39" s="1"/>
  <c r="AA162" i="39"/>
  <c r="T99" i="39"/>
  <c r="AA358" i="42"/>
  <c r="Z360" i="42"/>
  <c r="W86" i="39"/>
  <c r="X472" i="39"/>
  <c r="Z222" i="42"/>
  <c r="Z223" i="42" s="1"/>
  <c r="Z224" i="42" s="1"/>
  <c r="AA226" i="42"/>
  <c r="Z396" i="42"/>
  <c r="AA395" i="42"/>
  <c r="Z516" i="42"/>
  <c r="U514" i="39"/>
  <c r="AA349" i="42"/>
  <c r="T120" i="39"/>
  <c r="U342" i="39"/>
  <c r="AA259" i="39"/>
  <c r="W476" i="39"/>
  <c r="AA285" i="42"/>
  <c r="Z163" i="42"/>
  <c r="Z90" i="42" s="1"/>
  <c r="AA162" i="42"/>
  <c r="AA169" i="42"/>
  <c r="AA144" i="42"/>
  <c r="AE24" i="42"/>
  <c r="AD25" i="42"/>
  <c r="AD25" i="39"/>
  <c r="AE24" i="39"/>
  <c r="AD19" i="39" l="1"/>
  <c r="Y50" i="42"/>
  <c r="W272" i="39"/>
  <c r="W316" i="39" s="1"/>
  <c r="W318" i="39" s="1"/>
  <c r="AB240" i="42"/>
  <c r="Y269" i="42"/>
  <c r="L55" i="39"/>
  <c r="L496" i="39"/>
  <c r="L77" i="39"/>
  <c r="L79" i="39" s="1"/>
  <c r="L82" i="39" s="1"/>
  <c r="L67" i="39"/>
  <c r="L69" i="39" s="1"/>
  <c r="L71" i="39" s="1"/>
  <c r="M212" i="39"/>
  <c r="L503" i="39"/>
  <c r="AB258" i="39"/>
  <c r="N100" i="39"/>
  <c r="AA284" i="39"/>
  <c r="AB148" i="42"/>
  <c r="AB149" i="42" s="1"/>
  <c r="U195" i="39"/>
  <c r="AB323" i="39"/>
  <c r="AB259" i="39"/>
  <c r="AB168" i="39"/>
  <c r="Y474" i="42"/>
  <c r="AA473" i="42"/>
  <c r="AB169" i="42"/>
  <c r="AB349" i="42"/>
  <c r="Y92" i="42"/>
  <c r="N209" i="39"/>
  <c r="U208" i="39"/>
  <c r="AA286" i="42"/>
  <c r="N202" i="42"/>
  <c r="N114" i="42" s="1"/>
  <c r="AB144" i="42"/>
  <c r="AB285" i="42"/>
  <c r="Z154" i="42"/>
  <c r="Z155" i="42" s="1"/>
  <c r="O194" i="39"/>
  <c r="O196" i="39" s="1"/>
  <c r="AB169" i="39"/>
  <c r="Z154" i="39"/>
  <c r="Z155" i="39" s="1"/>
  <c r="AB459" i="39"/>
  <c r="U120" i="39"/>
  <c r="V342" i="39"/>
  <c r="AA222" i="42"/>
  <c r="AA223" i="42" s="1"/>
  <c r="AA224" i="42" s="1"/>
  <c r="AB226" i="42"/>
  <c r="AA145" i="39"/>
  <c r="AA87" i="39" s="1"/>
  <c r="AB142" i="39"/>
  <c r="Y92" i="39"/>
  <c r="Y178" i="39"/>
  <c r="N481" i="42"/>
  <c r="N405" i="42"/>
  <c r="W519" i="42"/>
  <c r="W68" i="42"/>
  <c r="N43" i="39"/>
  <c r="N62" i="39"/>
  <c r="N46" i="39"/>
  <c r="Z139" i="42"/>
  <c r="X476" i="39"/>
  <c r="Z419" i="39"/>
  <c r="Y420" i="39"/>
  <c r="Y421" i="39" s="1"/>
  <c r="Y102" i="39" s="1"/>
  <c r="Y483" i="39"/>
  <c r="K108" i="39"/>
  <c r="K109" i="39" s="1"/>
  <c r="K74" i="39"/>
  <c r="N500" i="39"/>
  <c r="N486" i="39"/>
  <c r="AA517" i="42"/>
  <c r="AB399" i="42"/>
  <c r="AA137" i="42"/>
  <c r="AA139" i="42" s="1"/>
  <c r="AB410" i="42"/>
  <c r="AB468" i="42"/>
  <c r="W159" i="42"/>
  <c r="X158" i="42"/>
  <c r="Y158" i="42" s="1"/>
  <c r="Z287" i="42"/>
  <c r="AA382" i="39"/>
  <c r="AB381" i="39"/>
  <c r="AA493" i="39"/>
  <c r="AA501" i="39" s="1"/>
  <c r="AA105" i="39"/>
  <c r="AB443" i="39"/>
  <c r="Z47" i="42"/>
  <c r="AA329" i="42"/>
  <c r="AB167" i="42"/>
  <c r="AA172" i="42"/>
  <c r="AA174" i="42" s="1"/>
  <c r="AB425" i="39"/>
  <c r="AD20" i="39"/>
  <c r="AD23" i="39"/>
  <c r="AB142" i="42"/>
  <c r="AA145" i="42"/>
  <c r="AA87" i="42" s="1"/>
  <c r="X159" i="42"/>
  <c r="AA469" i="39"/>
  <c r="AB468" i="39"/>
  <c r="AB443" i="42"/>
  <c r="AA493" i="42"/>
  <c r="AA501" i="42" s="1"/>
  <c r="AA105" i="42"/>
  <c r="AB323" i="42"/>
  <c r="Z124" i="39"/>
  <c r="AA454" i="39"/>
  <c r="X158" i="39"/>
  <c r="Y158" i="39" s="1"/>
  <c r="W159" i="39"/>
  <c r="Z122" i="42"/>
  <c r="AA396" i="42"/>
  <c r="AB358" i="42"/>
  <c r="AA360" i="42"/>
  <c r="AB168" i="42"/>
  <c r="AB321" i="42"/>
  <c r="AA507" i="42"/>
  <c r="Y492" i="42"/>
  <c r="Y495" i="42" s="1"/>
  <c r="AA460" i="42"/>
  <c r="AA117" i="42" s="1"/>
  <c r="AB457" i="42"/>
  <c r="AA511" i="42"/>
  <c r="V514" i="39"/>
  <c r="U91" i="42"/>
  <c r="V89" i="42"/>
  <c r="U99" i="42"/>
  <c r="U120" i="42"/>
  <c r="Z335" i="39"/>
  <c r="X449" i="39"/>
  <c r="Y447" i="39"/>
  <c r="AB346" i="39"/>
  <c r="AA347" i="39"/>
  <c r="AA351" i="39" s="1"/>
  <c r="AA427" i="42"/>
  <c r="AB424" i="42"/>
  <c r="AA222" i="39"/>
  <c r="AA223" i="39" s="1"/>
  <c r="AA224" i="39" s="1"/>
  <c r="AB226" i="39"/>
  <c r="AA482" i="39"/>
  <c r="AB379" i="39"/>
  <c r="AA380" i="39"/>
  <c r="K487" i="42"/>
  <c r="K491" i="42"/>
  <c r="Z122" i="39"/>
  <c r="AA396" i="39"/>
  <c r="AA512" i="39"/>
  <c r="AB328" i="39"/>
  <c r="AA512" i="42"/>
  <c r="AB328" i="42"/>
  <c r="AA518" i="39"/>
  <c r="AB453" i="39"/>
  <c r="AA400" i="42"/>
  <c r="Z123" i="42"/>
  <c r="Z124" i="42"/>
  <c r="AA454" i="42"/>
  <c r="Z290" i="42"/>
  <c r="AA175" i="42"/>
  <c r="AB349" i="39"/>
  <c r="AB285" i="39"/>
  <c r="AB258" i="42"/>
  <c r="Y472" i="42"/>
  <c r="X86" i="42"/>
  <c r="Y50" i="39"/>
  <c r="AD20" i="42"/>
  <c r="AE19" i="42" s="1"/>
  <c r="AD23" i="42"/>
  <c r="AB426" i="39"/>
  <c r="AD12" i="39"/>
  <c r="AC13" i="39"/>
  <c r="AB448" i="42"/>
  <c r="AA469" i="42"/>
  <c r="AA163" i="42"/>
  <c r="AA90" i="42" s="1"/>
  <c r="AB162" i="42"/>
  <c r="X86" i="39"/>
  <c r="Y472" i="39"/>
  <c r="Z78" i="42"/>
  <c r="N407" i="42"/>
  <c r="Z340" i="39"/>
  <c r="AA475" i="39"/>
  <c r="AA516" i="42"/>
  <c r="AB395" i="42"/>
  <c r="AA334" i="42"/>
  <c r="AA494" i="42"/>
  <c r="AB333" i="42"/>
  <c r="AA473" i="39"/>
  <c r="AB346" i="42"/>
  <c r="AA347" i="42"/>
  <c r="AA351" i="42" s="1"/>
  <c r="Z290" i="39"/>
  <c r="Z292" i="39" s="1"/>
  <c r="Z293" i="39" s="1"/>
  <c r="Z317" i="39" s="1"/>
  <c r="AA175" i="39"/>
  <c r="Z47" i="39"/>
  <c r="AA329" i="39"/>
  <c r="K216" i="42"/>
  <c r="W341" i="39"/>
  <c r="X339" i="39"/>
  <c r="Z123" i="39"/>
  <c r="AA400" i="39"/>
  <c r="AA511" i="39"/>
  <c r="AA460" i="39"/>
  <c r="AA117" i="39" s="1"/>
  <c r="AB457" i="39"/>
  <c r="W519" i="39"/>
  <c r="W68" i="39"/>
  <c r="AB425" i="42"/>
  <c r="AB15" i="39"/>
  <c r="AB415" i="39" s="1"/>
  <c r="AB16" i="39"/>
  <c r="AB171" i="39"/>
  <c r="AB133" i="39"/>
  <c r="AB138" i="39"/>
  <c r="AB170" i="39"/>
  <c r="AB134" i="39"/>
  <c r="AC14" i="39"/>
  <c r="AB132" i="39"/>
  <c r="AB136" i="39"/>
  <c r="AB135" i="39"/>
  <c r="AB283" i="39" s="1"/>
  <c r="AB173" i="39"/>
  <c r="AB254" i="39" s="1"/>
  <c r="AB300" i="39"/>
  <c r="AB301" i="39" s="1"/>
  <c r="AB291" i="39"/>
  <c r="AB275" i="39"/>
  <c r="AB276" i="39" s="1"/>
  <c r="AB256" i="39"/>
  <c r="AB308" i="39"/>
  <c r="AB309" i="39" s="1"/>
  <c r="AB279" i="39"/>
  <c r="AB280" i="39" s="1"/>
  <c r="AB270" i="39"/>
  <c r="AB304" i="39"/>
  <c r="AB305" i="39" s="1"/>
  <c r="AB179" i="39"/>
  <c r="AB296" i="39"/>
  <c r="AB297" i="39" s="1"/>
  <c r="AA286" i="39"/>
  <c r="AB286" i="39" s="1"/>
  <c r="AB259" i="42"/>
  <c r="AB448" i="39"/>
  <c r="Z80" i="39"/>
  <c r="Z383" i="39"/>
  <c r="Z101" i="39" s="1"/>
  <c r="K506" i="42"/>
  <c r="K521" i="42" s="1"/>
  <c r="K502" i="42"/>
  <c r="K75" i="42" s="1"/>
  <c r="AA149" i="39"/>
  <c r="AB148" i="39"/>
  <c r="Z483" i="42"/>
  <c r="AA419" i="42"/>
  <c r="Z420" i="42"/>
  <c r="Z421" i="42" s="1"/>
  <c r="Z102" i="42" s="1"/>
  <c r="AB399" i="39"/>
  <c r="AA517" i="39"/>
  <c r="AA382" i="42"/>
  <c r="AB381" i="42"/>
  <c r="AB358" i="39"/>
  <c r="AA360" i="39"/>
  <c r="Z287" i="39"/>
  <c r="Z78" i="39"/>
  <c r="Y269" i="39"/>
  <c r="X271" i="39"/>
  <c r="X272" i="39" s="1"/>
  <c r="Z174" i="39"/>
  <c r="Z177" i="39" s="1"/>
  <c r="Z180" i="39"/>
  <c r="Z183" i="39" s="1"/>
  <c r="X492" i="39"/>
  <c r="X495" i="39" s="1"/>
  <c r="Y474" i="39"/>
  <c r="V342" i="42"/>
  <c r="V514" i="42"/>
  <c r="U91" i="39"/>
  <c r="V89" i="39"/>
  <c r="V99" i="39" s="1"/>
  <c r="AB379" i="42"/>
  <c r="AA482" i="42"/>
  <c r="AA380" i="42"/>
  <c r="AB240" i="39"/>
  <c r="AA163" i="39"/>
  <c r="AA90" i="39" s="1"/>
  <c r="AB162" i="39"/>
  <c r="AA413" i="39"/>
  <c r="AB410" i="39"/>
  <c r="X449" i="42"/>
  <c r="Y447" i="42"/>
  <c r="Z88" i="39"/>
  <c r="Z88" i="42"/>
  <c r="Z340" i="42"/>
  <c r="AA475" i="42"/>
  <c r="N408" i="39"/>
  <c r="N66" i="39"/>
  <c r="O411" i="39"/>
  <c r="AB16" i="42"/>
  <c r="AB15" i="42"/>
  <c r="AB415" i="42" s="1"/>
  <c r="AB133" i="42"/>
  <c r="AB132" i="42"/>
  <c r="AB173" i="42"/>
  <c r="AB254" i="42" s="1"/>
  <c r="AB134" i="42"/>
  <c r="AB135" i="42"/>
  <c r="AB283" i="42" s="1"/>
  <c r="AB171" i="42"/>
  <c r="AB170" i="42"/>
  <c r="AB138" i="42"/>
  <c r="AB136" i="42"/>
  <c r="AC14" i="42"/>
  <c r="Z139" i="39"/>
  <c r="AA137" i="39"/>
  <c r="AB241" i="42"/>
  <c r="AB176" i="42"/>
  <c r="AA268" i="42"/>
  <c r="AB426" i="42"/>
  <c r="AA507" i="39"/>
  <c r="AB321" i="39"/>
  <c r="AA516" i="39"/>
  <c r="AB395" i="39"/>
  <c r="AA268" i="39"/>
  <c r="AB176" i="39"/>
  <c r="AC13" i="42"/>
  <c r="AD12" i="42"/>
  <c r="AA257" i="39"/>
  <c r="AA260" i="39" s="1"/>
  <c r="AB250" i="39"/>
  <c r="AA518" i="42"/>
  <c r="AB453" i="42"/>
  <c r="Z325" i="42"/>
  <c r="Z45" i="42" s="1"/>
  <c r="AA324" i="42"/>
  <c r="AA284" i="42"/>
  <c r="AB239" i="39"/>
  <c r="AA242" i="39"/>
  <c r="AB144" i="39"/>
  <c r="AA494" i="39"/>
  <c r="AB333" i="39"/>
  <c r="AA334" i="39"/>
  <c r="Z177" i="42"/>
  <c r="Z335" i="42"/>
  <c r="AB167" i="39"/>
  <c r="AA172" i="39"/>
  <c r="W341" i="42"/>
  <c r="X339" i="42"/>
  <c r="AB424" i="39"/>
  <c r="AA427" i="39"/>
  <c r="Z325" i="39"/>
  <c r="Z45" i="39" s="1"/>
  <c r="AA324" i="39"/>
  <c r="Z383" i="42"/>
  <c r="Z101" i="42" s="1"/>
  <c r="Z80" i="42"/>
  <c r="AB459" i="42"/>
  <c r="V41" i="39"/>
  <c r="AE25" i="42"/>
  <c r="AF24" i="42"/>
  <c r="AE25" i="39"/>
  <c r="AF24" i="39"/>
  <c r="AE19" i="39" l="1"/>
  <c r="AE12" i="39" s="1"/>
  <c r="X316" i="39"/>
  <c r="M232" i="39"/>
  <c r="Z269" i="42"/>
  <c r="AA269" i="42" s="1"/>
  <c r="AB284" i="42"/>
  <c r="L488" i="39"/>
  <c r="M478" i="39"/>
  <c r="M515" i="39" s="1"/>
  <c r="M520" i="39" s="1"/>
  <c r="M51" i="39"/>
  <c r="AB473" i="39"/>
  <c r="V195" i="39"/>
  <c r="V208" i="39"/>
  <c r="AB473" i="42"/>
  <c r="AC323" i="39"/>
  <c r="AB469" i="39"/>
  <c r="AA154" i="39"/>
  <c r="AA155" i="39" s="1"/>
  <c r="Z50" i="39"/>
  <c r="AC241" i="39"/>
  <c r="X159" i="39"/>
  <c r="X41" i="39" s="1"/>
  <c r="AC240" i="39"/>
  <c r="AC169" i="39"/>
  <c r="N100" i="42"/>
  <c r="AC459" i="42"/>
  <c r="AC144" i="39"/>
  <c r="AB257" i="39"/>
  <c r="AB260" i="39" s="1"/>
  <c r="AC426" i="42"/>
  <c r="AA88" i="42"/>
  <c r="K503" i="42"/>
  <c r="AC448" i="39"/>
  <c r="AC241" i="42"/>
  <c r="AB469" i="42"/>
  <c r="Z474" i="42"/>
  <c r="Z492" i="42" s="1"/>
  <c r="Z495" i="42" s="1"/>
  <c r="Z50" i="42"/>
  <c r="AA174" i="39"/>
  <c r="AA177" i="39" s="1"/>
  <c r="AA180" i="39"/>
  <c r="AA183" i="39" s="1"/>
  <c r="Z178" i="42"/>
  <c r="Z476" i="42" s="1"/>
  <c r="Z92" i="42"/>
  <c r="AA325" i="42"/>
  <c r="AA45" i="42" s="1"/>
  <c r="AB324" i="42"/>
  <c r="AB268" i="39"/>
  <c r="AC176" i="39"/>
  <c r="AC346" i="42"/>
  <c r="AC16" i="42"/>
  <c r="AC173" i="42"/>
  <c r="AC254" i="42" s="1"/>
  <c r="AC134" i="42"/>
  <c r="AC15" i="42"/>
  <c r="AC415" i="42" s="1"/>
  <c r="AC132" i="42"/>
  <c r="AC171" i="42"/>
  <c r="AC138" i="42"/>
  <c r="AC136" i="42"/>
  <c r="AC135" i="42"/>
  <c r="AC283" i="42" s="1"/>
  <c r="AC133" i="42"/>
  <c r="AC170" i="42"/>
  <c r="AD14" i="42"/>
  <c r="AD241" i="42" s="1"/>
  <c r="AB137" i="42"/>
  <c r="O409" i="39"/>
  <c r="O199" i="39"/>
  <c r="O414" i="39"/>
  <c r="AA88" i="39"/>
  <c r="AB163" i="39"/>
  <c r="AB90" i="39" s="1"/>
  <c r="AC162" i="39"/>
  <c r="AA383" i="42"/>
  <c r="AA101" i="42" s="1"/>
  <c r="AA80" i="42"/>
  <c r="V120" i="42"/>
  <c r="AC259" i="42"/>
  <c r="AC132" i="39"/>
  <c r="AC136" i="39"/>
  <c r="AC16" i="39"/>
  <c r="AC171" i="39"/>
  <c r="AC134" i="39"/>
  <c r="AC133" i="39"/>
  <c r="AC138" i="39"/>
  <c r="AD14" i="39"/>
  <c r="AC173" i="39"/>
  <c r="AC254" i="39" s="1"/>
  <c r="AC135" i="39"/>
  <c r="AC283" i="39" s="1"/>
  <c r="AC286" i="39" s="1"/>
  <c r="AC15" i="39"/>
  <c r="AC415" i="39" s="1"/>
  <c r="AC170" i="39"/>
  <c r="W514" i="39"/>
  <c r="AC148" i="42"/>
  <c r="AC149" i="42" s="1"/>
  <c r="AC349" i="42"/>
  <c r="AA154" i="42"/>
  <c r="Y86" i="39"/>
  <c r="Z472" i="39"/>
  <c r="AC285" i="42"/>
  <c r="AD13" i="39"/>
  <c r="AB175" i="42"/>
  <c r="AA290" i="42"/>
  <c r="AB512" i="42"/>
  <c r="AC328" i="42"/>
  <c r="AA122" i="39"/>
  <c r="AB396" i="39"/>
  <c r="W41" i="39"/>
  <c r="AC323" i="42"/>
  <c r="AC167" i="42"/>
  <c r="AB172" i="42"/>
  <c r="AB174" i="42" s="1"/>
  <c r="AB382" i="39"/>
  <c r="AC381" i="39"/>
  <c r="W41" i="42"/>
  <c r="AB517" i="42"/>
  <c r="AC399" i="42"/>
  <c r="AA419" i="39"/>
  <c r="Z420" i="39"/>
  <c r="Z421" i="39" s="1"/>
  <c r="Z102" i="39" s="1"/>
  <c r="Z483" i="39"/>
  <c r="N486" i="42"/>
  <c r="N500" i="42"/>
  <c r="AC142" i="39"/>
  <c r="AB145" i="39"/>
  <c r="AB87" i="39" s="1"/>
  <c r="AC240" i="42"/>
  <c r="AC167" i="39"/>
  <c r="AB172" i="39"/>
  <c r="AA139" i="39"/>
  <c r="AA340" i="42"/>
  <c r="AB475" i="42"/>
  <c r="AB413" i="39"/>
  <c r="AC410" i="39"/>
  <c r="Z178" i="39"/>
  <c r="Z92" i="39"/>
  <c r="AC358" i="39"/>
  <c r="AB360" i="39"/>
  <c r="AB517" i="39"/>
  <c r="AC399" i="39"/>
  <c r="AB149" i="39"/>
  <c r="AC148" i="39"/>
  <c r="AC425" i="42"/>
  <c r="AB511" i="39"/>
  <c r="AB460" i="39"/>
  <c r="AB117" i="39" s="1"/>
  <c r="AC457" i="39"/>
  <c r="AA123" i="39"/>
  <c r="AB400" i="39"/>
  <c r="K94" i="42"/>
  <c r="K121" i="42" s="1"/>
  <c r="K126" i="42" s="1"/>
  <c r="K42" i="42"/>
  <c r="AA78" i="42"/>
  <c r="AC259" i="39"/>
  <c r="AC426" i="39"/>
  <c r="AC258" i="42"/>
  <c r="AB400" i="42"/>
  <c r="AA123" i="42"/>
  <c r="K55" i="42"/>
  <c r="K496" i="42"/>
  <c r="AC459" i="39"/>
  <c r="AA287" i="42"/>
  <c r="AC346" i="39"/>
  <c r="AB347" i="39"/>
  <c r="AB351" i="39" s="1"/>
  <c r="Z157" i="39"/>
  <c r="Z158" i="39" s="1"/>
  <c r="AA335" i="39"/>
  <c r="AA157" i="39" s="1"/>
  <c r="V91" i="42"/>
  <c r="W89" i="42"/>
  <c r="V99" i="42"/>
  <c r="AB511" i="42"/>
  <c r="AB460" i="42"/>
  <c r="AB117" i="42" s="1"/>
  <c r="AC457" i="42"/>
  <c r="AC358" i="42"/>
  <c r="AB360" i="42"/>
  <c r="X41" i="42"/>
  <c r="AE20" i="39"/>
  <c r="AB493" i="39"/>
  <c r="AB501" i="39" s="1"/>
  <c r="AC443" i="39"/>
  <c r="AB105" i="39"/>
  <c r="AC468" i="42"/>
  <c r="AC410" i="42"/>
  <c r="AB413" i="42"/>
  <c r="AB286" i="42"/>
  <c r="N113" i="39"/>
  <c r="AC258" i="39"/>
  <c r="AC424" i="39"/>
  <c r="AB427" i="39"/>
  <c r="AA78" i="39"/>
  <c r="AA325" i="39"/>
  <c r="AA45" i="39" s="1"/>
  <c r="AB324" i="39"/>
  <c r="Y339" i="42"/>
  <c r="X341" i="42"/>
  <c r="AC333" i="39"/>
  <c r="AB494" i="39"/>
  <c r="AB334" i="39"/>
  <c r="AC239" i="39"/>
  <c r="AD239" i="39" s="1"/>
  <c r="AE239" i="39" s="1"/>
  <c r="AF239" i="39" s="1"/>
  <c r="AG239" i="39" s="1"/>
  <c r="AH239" i="39" s="1"/>
  <c r="AB242" i="39"/>
  <c r="AB518" i="42"/>
  <c r="AC453" i="42"/>
  <c r="AE12" i="42"/>
  <c r="AD13" i="42"/>
  <c r="AB516" i="39"/>
  <c r="AC395" i="39"/>
  <c r="N98" i="39"/>
  <c r="N104" i="39" s="1"/>
  <c r="N59" i="39"/>
  <c r="Y449" i="42"/>
  <c r="Z447" i="42"/>
  <c r="AC169" i="42"/>
  <c r="AB482" i="42"/>
  <c r="AB380" i="42"/>
  <c r="AC379" i="42"/>
  <c r="Y492" i="39"/>
  <c r="Y495" i="39" s="1"/>
  <c r="Z474" i="39"/>
  <c r="X318" i="39"/>
  <c r="AB382" i="42"/>
  <c r="AC381" i="42"/>
  <c r="K77" i="42"/>
  <c r="K79" i="42" s="1"/>
  <c r="K82" i="42" s="1"/>
  <c r="K67" i="42"/>
  <c r="K69" i="42" s="1"/>
  <c r="K71" i="42" s="1"/>
  <c r="AA290" i="39"/>
  <c r="AA292" i="39" s="1"/>
  <c r="AA293" i="39" s="1"/>
  <c r="AA317" i="39" s="1"/>
  <c r="AB175" i="39"/>
  <c r="AB516" i="42"/>
  <c r="AC395" i="42"/>
  <c r="AC144" i="42"/>
  <c r="N43" i="42"/>
  <c r="N46" i="42"/>
  <c r="N62" i="42"/>
  <c r="AB163" i="42"/>
  <c r="AB90" i="42" s="1"/>
  <c r="AC162" i="42"/>
  <c r="AC448" i="42"/>
  <c r="Y86" i="42"/>
  <c r="Z472" i="42"/>
  <c r="AC285" i="39"/>
  <c r="AB454" i="42"/>
  <c r="AA124" i="42"/>
  <c r="AB518" i="39"/>
  <c r="AC453" i="39"/>
  <c r="AB512" i="39"/>
  <c r="AC328" i="39"/>
  <c r="AA383" i="39"/>
  <c r="AA101" i="39" s="1"/>
  <c r="AA80" i="39"/>
  <c r="AB427" i="42"/>
  <c r="AC424" i="42"/>
  <c r="Y449" i="39"/>
  <c r="Z447" i="39"/>
  <c r="AB507" i="42"/>
  <c r="AC321" i="42"/>
  <c r="AA122" i="42"/>
  <c r="AB396" i="42"/>
  <c r="AA124" i="39"/>
  <c r="AB454" i="39"/>
  <c r="Y159" i="39"/>
  <c r="AB493" i="42"/>
  <c r="AB501" i="42" s="1"/>
  <c r="AB105" i="42"/>
  <c r="AC443" i="42"/>
  <c r="AC425" i="39"/>
  <c r="AA47" i="42"/>
  <c r="AB329" i="42"/>
  <c r="AA287" i="39"/>
  <c r="K60" i="39"/>
  <c r="K61" i="39" s="1"/>
  <c r="L213" i="39"/>
  <c r="L214" i="39"/>
  <c r="L215" i="39"/>
  <c r="AB284" i="39"/>
  <c r="Y476" i="39"/>
  <c r="W342" i="39"/>
  <c r="V120" i="39"/>
  <c r="W342" i="42"/>
  <c r="W514" i="42"/>
  <c r="Z157" i="42"/>
  <c r="Z158" i="42" s="1"/>
  <c r="AA335" i="42"/>
  <c r="AA157" i="42" s="1"/>
  <c r="AC321" i="39"/>
  <c r="AB507" i="39"/>
  <c r="AB268" i="42"/>
  <c r="AC176" i="42"/>
  <c r="X519" i="42"/>
  <c r="X68" i="42"/>
  <c r="AC168" i="39"/>
  <c r="V91" i="39"/>
  <c r="W89" i="39"/>
  <c r="W99" i="39" s="1"/>
  <c r="Z269" i="39"/>
  <c r="Y271" i="39"/>
  <c r="Y272" i="39" s="1"/>
  <c r="AA483" i="42"/>
  <c r="AA420" i="42"/>
  <c r="AA421" i="42" s="1"/>
  <c r="AA102" i="42" s="1"/>
  <c r="AB419" i="42"/>
  <c r="AB137" i="39"/>
  <c r="Y339" i="39"/>
  <c r="X341" i="39"/>
  <c r="AA47" i="39"/>
  <c r="AB329" i="39"/>
  <c r="AB347" i="42"/>
  <c r="AB351" i="42" s="1"/>
  <c r="AB334" i="42"/>
  <c r="AB494" i="42"/>
  <c r="AC333" i="42"/>
  <c r="AA340" i="39"/>
  <c r="AB475" i="39"/>
  <c r="AE20" i="42"/>
  <c r="AF19" i="42" s="1"/>
  <c r="AE23" i="42"/>
  <c r="AC349" i="39"/>
  <c r="AC379" i="39"/>
  <c r="AB482" i="39"/>
  <c r="AB380" i="39"/>
  <c r="AB222" i="39"/>
  <c r="AB223" i="39" s="1"/>
  <c r="AB224" i="39" s="1"/>
  <c r="AC226" i="39"/>
  <c r="X519" i="39"/>
  <c r="X68" i="39"/>
  <c r="AC168" i="42"/>
  <c r="AC468" i="39"/>
  <c r="AB145" i="42"/>
  <c r="AB87" i="42" s="1"/>
  <c r="AC142" i="42"/>
  <c r="AA177" i="42"/>
  <c r="Y159" i="42"/>
  <c r="N107" i="39"/>
  <c r="N450" i="39" s="1"/>
  <c r="N118" i="39"/>
  <c r="N119" i="39" s="1"/>
  <c r="N408" i="42"/>
  <c r="N66" i="42"/>
  <c r="O411" i="42"/>
  <c r="O414" i="42" s="1"/>
  <c r="AB222" i="42"/>
  <c r="AB223" i="42" s="1"/>
  <c r="AB224" i="42" s="1"/>
  <c r="AC226" i="42"/>
  <c r="AF25" i="42"/>
  <c r="AG24" i="42"/>
  <c r="AF25" i="39"/>
  <c r="AG24" i="39"/>
  <c r="AD285" i="39" l="1"/>
  <c r="AE23" i="39"/>
  <c r="AF19" i="39"/>
  <c r="AF12" i="39" s="1"/>
  <c r="AB287" i="42"/>
  <c r="AC473" i="39"/>
  <c r="AC284" i="42"/>
  <c r="L232" i="42"/>
  <c r="L253" i="42" s="1"/>
  <c r="AD240" i="42"/>
  <c r="W195" i="39"/>
  <c r="M53" i="39"/>
  <c r="M54" i="39"/>
  <c r="M56" i="39"/>
  <c r="M480" i="39"/>
  <c r="M499" i="39"/>
  <c r="AD241" i="39"/>
  <c r="W208" i="39"/>
  <c r="AI239" i="39"/>
  <c r="AD459" i="42"/>
  <c r="AD144" i="42"/>
  <c r="AA50" i="39"/>
  <c r="AD323" i="39"/>
  <c r="AD240" i="39"/>
  <c r="AD425" i="39"/>
  <c r="AD468" i="39"/>
  <c r="AD259" i="39"/>
  <c r="AD349" i="39"/>
  <c r="AD258" i="39"/>
  <c r="AD426" i="39"/>
  <c r="AD459" i="39"/>
  <c r="AD448" i="39"/>
  <c r="AD168" i="39"/>
  <c r="AA474" i="42"/>
  <c r="AA492" i="42" s="1"/>
  <c r="AA495" i="42" s="1"/>
  <c r="AC284" i="39"/>
  <c r="AC287" i="39" s="1"/>
  <c r="AB177" i="42"/>
  <c r="AB178" i="42" s="1"/>
  <c r="AB476" i="42" s="1"/>
  <c r="AD144" i="39"/>
  <c r="AC413" i="39"/>
  <c r="AD425" i="42"/>
  <c r="AB154" i="42"/>
  <c r="K488" i="42"/>
  <c r="AD258" i="42"/>
  <c r="AD323" i="42"/>
  <c r="AC413" i="42"/>
  <c r="AD426" i="42"/>
  <c r="AD285" i="42"/>
  <c r="AD349" i="42"/>
  <c r="AD259" i="42"/>
  <c r="AD448" i="42"/>
  <c r="AD148" i="42"/>
  <c r="AD149" i="42" s="1"/>
  <c r="Z159" i="42"/>
  <c r="Z41" i="42" s="1"/>
  <c r="AA178" i="42"/>
  <c r="AA476" i="42" s="1"/>
  <c r="AA92" i="42"/>
  <c r="O200" i="42"/>
  <c r="O201" i="42"/>
  <c r="O409" i="42"/>
  <c r="O199" i="42"/>
  <c r="AC222" i="39"/>
  <c r="AC223" i="39" s="1"/>
  <c r="AC224" i="39" s="1"/>
  <c r="AD226" i="39"/>
  <c r="AC494" i="42"/>
  <c r="AC334" i="42"/>
  <c r="AD333" i="42"/>
  <c r="Y341" i="39"/>
  <c r="Z339" i="39"/>
  <c r="AC507" i="39"/>
  <c r="AD321" i="39"/>
  <c r="L216" i="39"/>
  <c r="AB124" i="42"/>
  <c r="AC454" i="42"/>
  <c r="N113" i="42"/>
  <c r="AC382" i="42"/>
  <c r="AD381" i="42"/>
  <c r="AD169" i="42"/>
  <c r="AB325" i="39"/>
  <c r="AB45" i="39" s="1"/>
  <c r="AC324" i="39"/>
  <c r="AC469" i="42"/>
  <c r="AD468" i="42"/>
  <c r="AC511" i="42"/>
  <c r="AC460" i="42"/>
  <c r="AC117" i="42" s="1"/>
  <c r="AD457" i="42"/>
  <c r="AD346" i="39"/>
  <c r="AC347" i="39"/>
  <c r="AC351" i="39" s="1"/>
  <c r="K96" i="42"/>
  <c r="K97" i="42" s="1"/>
  <c r="AD358" i="39"/>
  <c r="AC360" i="39"/>
  <c r="AD410" i="39"/>
  <c r="AD167" i="39"/>
  <c r="AC172" i="39"/>
  <c r="AC174" i="39" s="1"/>
  <c r="AD142" i="39"/>
  <c r="AC145" i="39"/>
  <c r="AC87" i="39" s="1"/>
  <c r="AB122" i="39"/>
  <c r="AC396" i="39"/>
  <c r="O412" i="39"/>
  <c r="O406" i="39" s="1"/>
  <c r="O404" i="39"/>
  <c r="AD169" i="39"/>
  <c r="N125" i="39"/>
  <c r="N93" i="39"/>
  <c r="Y41" i="42"/>
  <c r="AC482" i="39"/>
  <c r="AC380" i="39"/>
  <c r="AD379" i="39"/>
  <c r="AF20" i="42"/>
  <c r="AG19" i="42" s="1"/>
  <c r="AF23" i="42"/>
  <c r="AB47" i="39"/>
  <c r="AC329" i="39"/>
  <c r="AB139" i="39"/>
  <c r="AC268" i="42"/>
  <c r="AD176" i="42"/>
  <c r="AB335" i="42"/>
  <c r="W120" i="42"/>
  <c r="X342" i="42"/>
  <c r="W120" i="39"/>
  <c r="X342" i="39"/>
  <c r="K63" i="39"/>
  <c r="K7" i="39" s="1"/>
  <c r="K8" i="39" s="1"/>
  <c r="K65" i="39"/>
  <c r="AB122" i="42"/>
  <c r="AC396" i="42"/>
  <c r="Z449" i="39"/>
  <c r="AA447" i="39"/>
  <c r="AC518" i="39"/>
  <c r="AD453" i="39"/>
  <c r="AC163" i="42"/>
  <c r="AC90" i="42" s="1"/>
  <c r="AD162" i="42"/>
  <c r="N118" i="42"/>
  <c r="N119" i="42" s="1"/>
  <c r="N107" i="42"/>
  <c r="N450" i="42" s="1"/>
  <c r="AC482" i="42"/>
  <c r="AC380" i="42"/>
  <c r="AD379" i="42"/>
  <c r="Z449" i="42"/>
  <c r="AA447" i="42"/>
  <c r="AD333" i="39"/>
  <c r="AC334" i="39"/>
  <c r="AC494" i="39"/>
  <c r="Z159" i="39"/>
  <c r="AA158" i="39"/>
  <c r="W91" i="42"/>
  <c r="X89" i="42"/>
  <c r="AB335" i="39"/>
  <c r="AB157" i="39" s="1"/>
  <c r="AC460" i="39"/>
  <c r="AC117" i="39" s="1"/>
  <c r="AC511" i="39"/>
  <c r="AD457" i="39"/>
  <c r="AB287" i="39"/>
  <c r="AD399" i="39"/>
  <c r="AC517" i="39"/>
  <c r="AC419" i="42"/>
  <c r="AB419" i="39"/>
  <c r="AA420" i="39"/>
  <c r="AA421" i="39" s="1"/>
  <c r="AA102" i="39" s="1"/>
  <c r="AA483" i="39"/>
  <c r="W99" i="42"/>
  <c r="AB290" i="42"/>
  <c r="AC175" i="42"/>
  <c r="AC290" i="42" s="1"/>
  <c r="AE13" i="39"/>
  <c r="Z86" i="39"/>
  <c r="AA472" i="39"/>
  <c r="AC137" i="39"/>
  <c r="AB88" i="39"/>
  <c r="AC268" i="39"/>
  <c r="AD176" i="39"/>
  <c r="AA92" i="39"/>
  <c r="AA178" i="39"/>
  <c r="Y316" i="39"/>
  <c r="AB340" i="39"/>
  <c r="AC475" i="39"/>
  <c r="AB78" i="42"/>
  <c r="AB483" i="42"/>
  <c r="AB420" i="42"/>
  <c r="AB421" i="42" s="1"/>
  <c r="AB102" i="42" s="1"/>
  <c r="AA269" i="39"/>
  <c r="Z271" i="39"/>
  <c r="Z272" i="39" s="1"/>
  <c r="Y519" i="39"/>
  <c r="Y68" i="39"/>
  <c r="AA472" i="42"/>
  <c r="Z86" i="42"/>
  <c r="AB383" i="42"/>
  <c r="AB101" i="42" s="1"/>
  <c r="AB80" i="42"/>
  <c r="Y519" i="42"/>
  <c r="Y68" i="42"/>
  <c r="X514" i="42"/>
  <c r="AC427" i="39"/>
  <c r="AD424" i="39"/>
  <c r="AF23" i="39"/>
  <c r="Z476" i="39"/>
  <c r="AB88" i="42"/>
  <c r="AD167" i="42"/>
  <c r="AC172" i="42"/>
  <c r="AC174" i="42" s="1"/>
  <c r="AC512" i="42"/>
  <c r="AD328" i="42"/>
  <c r="AD132" i="39"/>
  <c r="AD133" i="39"/>
  <c r="AD15" i="39"/>
  <c r="AD415" i="39" s="1"/>
  <c r="AD138" i="39"/>
  <c r="AD134" i="39"/>
  <c r="AD135" i="39"/>
  <c r="AD283" i="39" s="1"/>
  <c r="AD16" i="39"/>
  <c r="AD173" i="39"/>
  <c r="AD254" i="39" s="1"/>
  <c r="AD171" i="39"/>
  <c r="AD136" i="39"/>
  <c r="AE14" i="39"/>
  <c r="AD170" i="39"/>
  <c r="O201" i="39"/>
  <c r="O200" i="39"/>
  <c r="AB139" i="42"/>
  <c r="AC137" i="42"/>
  <c r="AC222" i="42"/>
  <c r="AC223" i="42" s="1"/>
  <c r="AC224" i="42" s="1"/>
  <c r="AD226" i="42"/>
  <c r="N98" i="42"/>
  <c r="N104" i="42" s="1"/>
  <c r="N59" i="42"/>
  <c r="Y41" i="39"/>
  <c r="AE13" i="42"/>
  <c r="AF12" i="42"/>
  <c r="AC145" i="42"/>
  <c r="AC87" i="42" s="1"/>
  <c r="AD142" i="42"/>
  <c r="AB383" i="39"/>
  <c r="AB101" i="39" s="1"/>
  <c r="AB80" i="39"/>
  <c r="X514" i="39"/>
  <c r="W91" i="39"/>
  <c r="X89" i="39"/>
  <c r="AB47" i="42"/>
  <c r="AC329" i="42"/>
  <c r="AC493" i="42"/>
  <c r="AC501" i="42" s="1"/>
  <c r="AC105" i="42"/>
  <c r="AD443" i="42"/>
  <c r="AB124" i="39"/>
  <c r="AC454" i="39"/>
  <c r="AC507" i="42"/>
  <c r="AD321" i="42"/>
  <c r="AC427" i="42"/>
  <c r="AD424" i="42"/>
  <c r="AC512" i="39"/>
  <c r="AD328" i="39"/>
  <c r="AC516" i="42"/>
  <c r="AD395" i="42"/>
  <c r="AB290" i="39"/>
  <c r="AB292" i="39" s="1"/>
  <c r="AB293" i="39" s="1"/>
  <c r="AB317" i="39" s="1"/>
  <c r="AC175" i="39"/>
  <c r="AA474" i="39"/>
  <c r="Z492" i="39"/>
  <c r="Z495" i="39" s="1"/>
  <c r="AC473" i="42"/>
  <c r="AC516" i="39"/>
  <c r="AD395" i="39"/>
  <c r="AC518" i="42"/>
  <c r="AD453" i="42"/>
  <c r="AB78" i="39"/>
  <c r="Y341" i="42"/>
  <c r="Z339" i="42"/>
  <c r="AB154" i="39"/>
  <c r="AB155" i="39" s="1"/>
  <c r="AC286" i="42"/>
  <c r="AD410" i="42"/>
  <c r="AD443" i="39"/>
  <c r="AC105" i="39"/>
  <c r="AC493" i="39"/>
  <c r="AC501" i="39" s="1"/>
  <c r="AC360" i="42"/>
  <c r="AD358" i="42"/>
  <c r="AB123" i="42"/>
  <c r="AC400" i="42"/>
  <c r="AC123" i="42" s="1"/>
  <c r="K49" i="42"/>
  <c r="K44" i="42"/>
  <c r="K48" i="42" s="1"/>
  <c r="AC400" i="39"/>
  <c r="AB123" i="39"/>
  <c r="AC149" i="39"/>
  <c r="AD148" i="39"/>
  <c r="AB340" i="42"/>
  <c r="AC475" i="42"/>
  <c r="AB174" i="39"/>
  <c r="AB177" i="39" s="1"/>
  <c r="AB180" i="39"/>
  <c r="AB183" i="39" s="1"/>
  <c r="AC517" i="42"/>
  <c r="AD399" i="42"/>
  <c r="AC382" i="39"/>
  <c r="AD381" i="39"/>
  <c r="AC469" i="39"/>
  <c r="AA155" i="42"/>
  <c r="AA158" i="42" s="1"/>
  <c r="AC163" i="39"/>
  <c r="AC90" i="39" s="1"/>
  <c r="AD162" i="39"/>
  <c r="O508" i="39"/>
  <c r="O513" i="39" s="1"/>
  <c r="O205" i="39"/>
  <c r="O52" i="39" s="1"/>
  <c r="AD168" i="42"/>
  <c r="AD138" i="42"/>
  <c r="AD16" i="42"/>
  <c r="AD135" i="42"/>
  <c r="AD283" i="42" s="1"/>
  <c r="AE14" i="42"/>
  <c r="AD132" i="42"/>
  <c r="AD173" i="42"/>
  <c r="AD254" i="42" s="1"/>
  <c r="AD170" i="42"/>
  <c r="AD136" i="42"/>
  <c r="AD134" i="42"/>
  <c r="AD15" i="42"/>
  <c r="AD133" i="42"/>
  <c r="AD171" i="42"/>
  <c r="AC347" i="42"/>
  <c r="AC351" i="42" s="1"/>
  <c r="AD346" i="42"/>
  <c r="AB325" i="42"/>
  <c r="AB45" i="42" s="1"/>
  <c r="AC324" i="42"/>
  <c r="AG25" i="42"/>
  <c r="AH24" i="42"/>
  <c r="AG25" i="39"/>
  <c r="AH24" i="39"/>
  <c r="AF20" i="39" l="1"/>
  <c r="AG19" i="39" s="1"/>
  <c r="AD473" i="39"/>
  <c r="L251" i="42"/>
  <c r="X195" i="39"/>
  <c r="L300" i="42"/>
  <c r="L301" i="42" s="1"/>
  <c r="L304" i="42"/>
  <c r="L305" i="42" s="1"/>
  <c r="L270" i="42"/>
  <c r="L271" i="42" s="1"/>
  <c r="L272" i="42" s="1"/>
  <c r="L250" i="42"/>
  <c r="L179" i="42"/>
  <c r="L180" i="42" s="1"/>
  <c r="L183" i="42" s="1"/>
  <c r="L291" i="42"/>
  <c r="L292" i="42" s="1"/>
  <c r="L293" i="42" s="1"/>
  <c r="L317" i="42" s="1"/>
  <c r="L296" i="42"/>
  <c r="L297" i="42" s="1"/>
  <c r="L308" i="42"/>
  <c r="L309" i="42" s="1"/>
  <c r="L279" i="42"/>
  <c r="L280" i="42" s="1"/>
  <c r="L275" i="42"/>
  <c r="L276" i="42" s="1"/>
  <c r="L252" i="42"/>
  <c r="L256" i="42"/>
  <c r="L239" i="42"/>
  <c r="L242" i="42" s="1"/>
  <c r="X208" i="39"/>
  <c r="M506" i="39"/>
  <c r="M521" i="39" s="1"/>
  <c r="M502" i="39"/>
  <c r="M75" i="39" s="1"/>
  <c r="M491" i="39"/>
  <c r="M487" i="39"/>
  <c r="AJ239" i="39"/>
  <c r="AK239" i="39" s="1"/>
  <c r="AL239" i="39" s="1"/>
  <c r="AM239" i="39" s="1"/>
  <c r="AN239" i="39" s="1"/>
  <c r="AO239" i="39" s="1"/>
  <c r="AP239" i="39" s="1"/>
  <c r="AQ239" i="39" s="1"/>
  <c r="AR239" i="39" s="1"/>
  <c r="AS239" i="39" s="1"/>
  <c r="AT239" i="39" s="1"/>
  <c r="AU239" i="39" s="1"/>
  <c r="AV239" i="39" s="1"/>
  <c r="AW239" i="39" s="1"/>
  <c r="AE425" i="42"/>
  <c r="AB92" i="42"/>
  <c r="AD413" i="42"/>
  <c r="AE258" i="39"/>
  <c r="AC154" i="39"/>
  <c r="AC155" i="39" s="1"/>
  <c r="AD469" i="39"/>
  <c r="AD413" i="39"/>
  <c r="AB474" i="42"/>
  <c r="AB492" i="42" s="1"/>
  <c r="AB495" i="42" s="1"/>
  <c r="AC177" i="42"/>
  <c r="AC92" i="42" s="1"/>
  <c r="AD284" i="39"/>
  <c r="AB155" i="42"/>
  <c r="AB50" i="42" s="1"/>
  <c r="AE168" i="42"/>
  <c r="AD473" i="42"/>
  <c r="O202" i="39"/>
  <c r="O114" i="39" s="1"/>
  <c r="Z316" i="39"/>
  <c r="Z318" i="39" s="1"/>
  <c r="AD286" i="39"/>
  <c r="AE349" i="39"/>
  <c r="AD175" i="42"/>
  <c r="AD290" i="42" s="1"/>
  <c r="AC88" i="42"/>
  <c r="AD163" i="39"/>
  <c r="AD90" i="39" s="1"/>
  <c r="AE162" i="39"/>
  <c r="AD400" i="42"/>
  <c r="AD517" i="42"/>
  <c r="AE399" i="42"/>
  <c r="AC340" i="42"/>
  <c r="AD475" i="42"/>
  <c r="AD360" i="42"/>
  <c r="AE358" i="42"/>
  <c r="AD286" i="42"/>
  <c r="Y514" i="42"/>
  <c r="AD518" i="42"/>
  <c r="AE453" i="42"/>
  <c r="AD516" i="42"/>
  <c r="AE395" i="42"/>
  <c r="AD512" i="39"/>
  <c r="AE328" i="39"/>
  <c r="AD507" i="42"/>
  <c r="AE321" i="42"/>
  <c r="AC47" i="42"/>
  <c r="AD329" i="42"/>
  <c r="AB269" i="42"/>
  <c r="AE259" i="42"/>
  <c r="AD137" i="39"/>
  <c r="AE448" i="39"/>
  <c r="AC340" i="39"/>
  <c r="AD475" i="39"/>
  <c r="AC139" i="39"/>
  <c r="AA86" i="39"/>
  <c r="AB472" i="39"/>
  <c r="AE426" i="42"/>
  <c r="AA159" i="39"/>
  <c r="AB158" i="39"/>
  <c r="Z519" i="42"/>
  <c r="Z68" i="42"/>
  <c r="AD163" i="42"/>
  <c r="AD90" i="42" s="1"/>
  <c r="AE162" i="42"/>
  <c r="AB157" i="42"/>
  <c r="AC335" i="42"/>
  <c r="AC157" i="42" s="1"/>
  <c r="AE323" i="39"/>
  <c r="AB50" i="39"/>
  <c r="AG20" i="42"/>
  <c r="AH19" i="42" s="1"/>
  <c r="AG23" i="42"/>
  <c r="AE468" i="39"/>
  <c r="O481" i="39"/>
  <c r="O405" i="39"/>
  <c r="AE457" i="42"/>
  <c r="AD511" i="42"/>
  <c r="AD460" i="42"/>
  <c r="AD117" i="42" s="1"/>
  <c r="AE169" i="42"/>
  <c r="AD494" i="42"/>
  <c r="AE333" i="42"/>
  <c r="AD334" i="42"/>
  <c r="AE144" i="39"/>
  <c r="AD400" i="39"/>
  <c r="AC123" i="39"/>
  <c r="AD493" i="39"/>
  <c r="AD501" i="39" s="1"/>
  <c r="AE443" i="39"/>
  <c r="AD105" i="39"/>
  <c r="AD493" i="42"/>
  <c r="AD501" i="42" s="1"/>
  <c r="AE443" i="42"/>
  <c r="AD105" i="42"/>
  <c r="AF13" i="42"/>
  <c r="AG12" i="42"/>
  <c r="O206" i="39"/>
  <c r="P193" i="39" s="1"/>
  <c r="AE285" i="42"/>
  <c r="AE167" i="42"/>
  <c r="AD172" i="42"/>
  <c r="AD174" i="42" s="1"/>
  <c r="AE259" i="39"/>
  <c r="AD427" i="39"/>
  <c r="AE424" i="39"/>
  <c r="AE144" i="42"/>
  <c r="AB269" i="39"/>
  <c r="AA271" i="39"/>
  <c r="AA272" i="39" s="1"/>
  <c r="AE176" i="39"/>
  <c r="AD268" i="39"/>
  <c r="AE148" i="42"/>
  <c r="AC287" i="42"/>
  <c r="AD517" i="39"/>
  <c r="AE399" i="39"/>
  <c r="AC335" i="39"/>
  <c r="Z41" i="39"/>
  <c r="AC78" i="39"/>
  <c r="AD380" i="42"/>
  <c r="AD482" i="42"/>
  <c r="AE379" i="42"/>
  <c r="AA449" i="39"/>
  <c r="AB447" i="39"/>
  <c r="AE425" i="39"/>
  <c r="X120" i="42"/>
  <c r="Y342" i="42"/>
  <c r="AD284" i="42"/>
  <c r="AE240" i="39"/>
  <c r="AC47" i="39"/>
  <c r="AD329" i="39"/>
  <c r="AD482" i="39"/>
  <c r="AD380" i="39"/>
  <c r="AE379" i="39"/>
  <c r="O407" i="39"/>
  <c r="AD396" i="39"/>
  <c r="AC122" i="39"/>
  <c r="AE142" i="39"/>
  <c r="AD145" i="39"/>
  <c r="AD87" i="39" s="1"/>
  <c r="AE358" i="39"/>
  <c r="AD360" i="39"/>
  <c r="AE258" i="42"/>
  <c r="AD382" i="42"/>
  <c r="AE381" i="42"/>
  <c r="AE448" i="42"/>
  <c r="L42" i="39"/>
  <c r="L94" i="39"/>
  <c r="L121" i="39" s="1"/>
  <c r="L126" i="39" s="1"/>
  <c r="AA339" i="39"/>
  <c r="Z341" i="39"/>
  <c r="AC78" i="42"/>
  <c r="AD347" i="42"/>
  <c r="AD351" i="42" s="1"/>
  <c r="AE346" i="42"/>
  <c r="O477" i="39"/>
  <c r="AD382" i="39"/>
  <c r="AE381" i="39"/>
  <c r="AD149" i="39"/>
  <c r="AE148" i="39"/>
  <c r="K127" i="42"/>
  <c r="AD516" i="39"/>
  <c r="AE395" i="39"/>
  <c r="AA492" i="39"/>
  <c r="AA495" i="39" s="1"/>
  <c r="AB474" i="39"/>
  <c r="AD175" i="39"/>
  <c r="AC290" i="39"/>
  <c r="AE424" i="42"/>
  <c r="AD427" i="42"/>
  <c r="AC124" i="39"/>
  <c r="AD454" i="39"/>
  <c r="AE459" i="42"/>
  <c r="AD222" i="42"/>
  <c r="AD223" i="42" s="1"/>
  <c r="AD224" i="42" s="1"/>
  <c r="AE226" i="42"/>
  <c r="AC139" i="42"/>
  <c r="O207" i="39"/>
  <c r="P194" i="39" s="1"/>
  <c r="AE138" i="39"/>
  <c r="AE16" i="39"/>
  <c r="AE173" i="39"/>
  <c r="AE254" i="39" s="1"/>
  <c r="AE136" i="39"/>
  <c r="AE135" i="39"/>
  <c r="AE283" i="39" s="1"/>
  <c r="AE132" i="39"/>
  <c r="AE133" i="39"/>
  <c r="AE15" i="39"/>
  <c r="AE415" i="39" s="1"/>
  <c r="AE170" i="39"/>
  <c r="AE134" i="39"/>
  <c r="AF14" i="39"/>
  <c r="AE171" i="39"/>
  <c r="AD512" i="42"/>
  <c r="AE328" i="42"/>
  <c r="AE240" i="42"/>
  <c r="AE459" i="39"/>
  <c r="AC154" i="42"/>
  <c r="AC155" i="42" s="1"/>
  <c r="AC483" i="42"/>
  <c r="AC420" i="42"/>
  <c r="AC421" i="42" s="1"/>
  <c r="AC102" i="42" s="1"/>
  <c r="AD419" i="42"/>
  <c r="AE426" i="39"/>
  <c r="X91" i="42"/>
  <c r="Y89" i="42"/>
  <c r="X99" i="42"/>
  <c r="AE333" i="39"/>
  <c r="AD334" i="39"/>
  <c r="AD494" i="39"/>
  <c r="AC80" i="42"/>
  <c r="AC383" i="42"/>
  <c r="AC101" i="42" s="1"/>
  <c r="N125" i="42"/>
  <c r="AE285" i="39"/>
  <c r="Z519" i="39"/>
  <c r="Z68" i="39"/>
  <c r="X120" i="39"/>
  <c r="Y342" i="39"/>
  <c r="AD268" i="42"/>
  <c r="AE176" i="42"/>
  <c r="Y318" i="39"/>
  <c r="AC383" i="39"/>
  <c r="AC101" i="39" s="1"/>
  <c r="AC80" i="39"/>
  <c r="AE169" i="39"/>
  <c r="AC177" i="39"/>
  <c r="AC325" i="39"/>
  <c r="AC45" i="39" s="1"/>
  <c r="AD324" i="39"/>
  <c r="AC124" i="42"/>
  <c r="AD454" i="42"/>
  <c r="Y514" i="39"/>
  <c r="O508" i="42"/>
  <c r="O513" i="42" s="1"/>
  <c r="O202" i="42"/>
  <c r="AC325" i="42"/>
  <c r="AC45" i="42" s="1"/>
  <c r="AD324" i="42"/>
  <c r="AE136" i="42"/>
  <c r="AE170" i="42"/>
  <c r="AE138" i="42"/>
  <c r="AE133" i="42"/>
  <c r="AE15" i="42"/>
  <c r="AE134" i="42"/>
  <c r="AE132" i="42"/>
  <c r="AE135" i="42"/>
  <c r="AE283" i="42" s="1"/>
  <c r="AE16" i="42"/>
  <c r="AE173" i="42"/>
  <c r="AE254" i="42" s="1"/>
  <c r="AE171" i="42"/>
  <c r="AF14" i="42"/>
  <c r="AD137" i="42"/>
  <c r="P192" i="39"/>
  <c r="AA159" i="42"/>
  <c r="AA50" i="42"/>
  <c r="AB178" i="39"/>
  <c r="AB92" i="39"/>
  <c r="AE410" i="42"/>
  <c r="AA339" i="42"/>
  <c r="Z341" i="42"/>
  <c r="X91" i="39"/>
  <c r="Y89" i="39"/>
  <c r="X99" i="39"/>
  <c r="AD145" i="42"/>
  <c r="AD87" i="42" s="1"/>
  <c r="AE142" i="42"/>
  <c r="AD415" i="42"/>
  <c r="AE168" i="39"/>
  <c r="AA86" i="42"/>
  <c r="AB472" i="42"/>
  <c r="AE241" i="39"/>
  <c r="AA476" i="39"/>
  <c r="AC88" i="39"/>
  <c r="AF13" i="39"/>
  <c r="AB483" i="39"/>
  <c r="AC419" i="39"/>
  <c r="AB420" i="39"/>
  <c r="AB421" i="39" s="1"/>
  <c r="AB102" i="39" s="1"/>
  <c r="AD511" i="39"/>
  <c r="AE457" i="39"/>
  <c r="AD460" i="39"/>
  <c r="AD117" i="39" s="1"/>
  <c r="AA449" i="42"/>
  <c r="AB447" i="42"/>
  <c r="AD518" i="39"/>
  <c r="AE453" i="39"/>
  <c r="AC122" i="42"/>
  <c r="AD396" i="42"/>
  <c r="AE241" i="42"/>
  <c r="AE349" i="42"/>
  <c r="AE323" i="42"/>
  <c r="AE167" i="39"/>
  <c r="AD172" i="39"/>
  <c r="AD174" i="39" s="1"/>
  <c r="AE410" i="39"/>
  <c r="K112" i="42"/>
  <c r="K106" i="42"/>
  <c r="AD347" i="39"/>
  <c r="AD351" i="39" s="1"/>
  <c r="AE346" i="39"/>
  <c r="AD469" i="42"/>
  <c r="AE468" i="42"/>
  <c r="AE321" i="39"/>
  <c r="AD507" i="39"/>
  <c r="AD222" i="39"/>
  <c r="AD223" i="39" s="1"/>
  <c r="AD224" i="39" s="1"/>
  <c r="AE226" i="39"/>
  <c r="O412" i="42"/>
  <c r="O406" i="42" s="1"/>
  <c r="O404" i="42"/>
  <c r="AI24" i="42"/>
  <c r="AH25" i="42"/>
  <c r="AI24" i="39"/>
  <c r="AH25" i="39"/>
  <c r="AG23" i="39" l="1"/>
  <c r="AG12" i="39"/>
  <c r="AG13" i="39" s="1"/>
  <c r="AG20" i="39"/>
  <c r="AH19" i="39" s="1"/>
  <c r="AH20" i="39" s="1"/>
  <c r="AC178" i="42"/>
  <c r="AC476" i="42" s="1"/>
  <c r="L257" i="42"/>
  <c r="L260" i="42" s="1"/>
  <c r="Y208" i="39"/>
  <c r="L192" i="42"/>
  <c r="Y195" i="39"/>
  <c r="M503" i="39"/>
  <c r="M67" i="39"/>
  <c r="M69" i="39" s="1"/>
  <c r="M71" i="39" s="1"/>
  <c r="N212" i="39"/>
  <c r="M77" i="39"/>
  <c r="M79" i="39" s="1"/>
  <c r="M82" i="39" s="1"/>
  <c r="AC50" i="39"/>
  <c r="M55" i="39"/>
  <c r="M496" i="39"/>
  <c r="AE413" i="39"/>
  <c r="AA316" i="39"/>
  <c r="AA318" i="39" s="1"/>
  <c r="AB158" i="42"/>
  <c r="AB159" i="42" s="1"/>
  <c r="AF241" i="39"/>
  <c r="AE469" i="39"/>
  <c r="AE415" i="42"/>
  <c r="AD177" i="39"/>
  <c r="AD178" i="39" s="1"/>
  <c r="AD476" i="39" s="1"/>
  <c r="AD287" i="39"/>
  <c r="O100" i="39"/>
  <c r="AD177" i="42"/>
  <c r="AD92" i="42" s="1"/>
  <c r="AF349" i="39"/>
  <c r="AF241" i="42"/>
  <c r="AD88" i="39"/>
  <c r="AD88" i="42"/>
  <c r="AF285" i="39"/>
  <c r="AE286" i="39"/>
  <c r="AF349" i="42"/>
  <c r="AE175" i="42"/>
  <c r="AE290" i="42" s="1"/>
  <c r="AF468" i="42"/>
  <c r="AE137" i="42"/>
  <c r="AE139" i="42" s="1"/>
  <c r="AF323" i="42"/>
  <c r="AF426" i="39"/>
  <c r="O209" i="39"/>
  <c r="AF167" i="39"/>
  <c r="AE172" i="39"/>
  <c r="AE174" i="39" s="1"/>
  <c r="AE460" i="39"/>
  <c r="AE117" i="39" s="1"/>
  <c r="AF457" i="39"/>
  <c r="AE511" i="39"/>
  <c r="AC483" i="39"/>
  <c r="AD419" i="39"/>
  <c r="AC420" i="39"/>
  <c r="AC421" i="39" s="1"/>
  <c r="AC102" i="39" s="1"/>
  <c r="AB86" i="42"/>
  <c r="AC472" i="42"/>
  <c r="AF168" i="39"/>
  <c r="Z342" i="42"/>
  <c r="Z514" i="42"/>
  <c r="AA41" i="42"/>
  <c r="AF133" i="42"/>
  <c r="AF136" i="42"/>
  <c r="AF170" i="42"/>
  <c r="AF132" i="42"/>
  <c r="AF134" i="42"/>
  <c r="AF15" i="42"/>
  <c r="AF173" i="42"/>
  <c r="AF254" i="42" s="1"/>
  <c r="AF16" i="42"/>
  <c r="AF138" i="42"/>
  <c r="AF135" i="42"/>
  <c r="AF283" i="42" s="1"/>
  <c r="AF171" i="42"/>
  <c r="AG14" i="42"/>
  <c r="AD325" i="42"/>
  <c r="AD45" i="42" s="1"/>
  <c r="AE324" i="42"/>
  <c r="O100" i="42"/>
  <c r="O114" i="42"/>
  <c r="AD124" i="42"/>
  <c r="AE454" i="42"/>
  <c r="AE494" i="39"/>
  <c r="AF333" i="39"/>
  <c r="AE334" i="39"/>
  <c r="AF240" i="42"/>
  <c r="AF132" i="39"/>
  <c r="AF134" i="39"/>
  <c r="AF16" i="39"/>
  <c r="AF138" i="39"/>
  <c r="AF136" i="39"/>
  <c r="AF170" i="39"/>
  <c r="AF173" i="39"/>
  <c r="AF254" i="39" s="1"/>
  <c r="AF135" i="39"/>
  <c r="AF283" i="39" s="1"/>
  <c r="AF171" i="39"/>
  <c r="AF133" i="39"/>
  <c r="AF15" i="39"/>
  <c r="AF415" i="39" s="1"/>
  <c r="AG14" i="39"/>
  <c r="AE222" i="42"/>
  <c r="AE223" i="42" s="1"/>
  <c r="AE224" i="42" s="1"/>
  <c r="AF226" i="42"/>
  <c r="AC474" i="42"/>
  <c r="AE427" i="42"/>
  <c r="AF424" i="42"/>
  <c r="AB492" i="39"/>
  <c r="AB495" i="39" s="1"/>
  <c r="AC474" i="39"/>
  <c r="AE382" i="39"/>
  <c r="AF381" i="39"/>
  <c r="AE284" i="42"/>
  <c r="AF425" i="39"/>
  <c r="AC157" i="39"/>
  <c r="AC158" i="39" s="1"/>
  <c r="AD335" i="39"/>
  <c r="AF148" i="42"/>
  <c r="AC269" i="39"/>
  <c r="AB271" i="39"/>
  <c r="AB272" i="39" s="1"/>
  <c r="AF259" i="39"/>
  <c r="AF144" i="39"/>
  <c r="AF169" i="42"/>
  <c r="AE163" i="42"/>
  <c r="AE90" i="42" s="1"/>
  <c r="AF162" i="42"/>
  <c r="AF448" i="39"/>
  <c r="AC269" i="42"/>
  <c r="AF321" i="42"/>
  <c r="AE507" i="42"/>
  <c r="AE516" i="42"/>
  <c r="AF395" i="42"/>
  <c r="AE518" i="42"/>
  <c r="AF453" i="42"/>
  <c r="AE286" i="42"/>
  <c r="AE163" i="39"/>
  <c r="AE90" i="39" s="1"/>
  <c r="AF162" i="39"/>
  <c r="AF258" i="39"/>
  <c r="AB339" i="42"/>
  <c r="AA341" i="42"/>
  <c r="P196" i="39"/>
  <c r="AC178" i="39"/>
  <c r="AC476" i="39" s="1"/>
  <c r="AC92" i="39"/>
  <c r="Z342" i="39"/>
  <c r="Y120" i="39"/>
  <c r="AD420" i="42"/>
  <c r="AD421" i="42" s="1"/>
  <c r="AD102" i="42" s="1"/>
  <c r="AE419" i="42"/>
  <c r="AD483" i="42"/>
  <c r="AE512" i="42"/>
  <c r="AF328" i="42"/>
  <c r="AE137" i="39"/>
  <c r="AE454" i="39"/>
  <c r="AD124" i="39"/>
  <c r="L194" i="42"/>
  <c r="L207" i="42"/>
  <c r="Z514" i="39"/>
  <c r="AF258" i="42"/>
  <c r="AE145" i="39"/>
  <c r="AE87" i="39" s="1"/>
  <c r="AF142" i="39"/>
  <c r="O43" i="39"/>
  <c r="O46" i="39"/>
  <c r="O62" i="39"/>
  <c r="AD47" i="39"/>
  <c r="AE329" i="39"/>
  <c r="AB449" i="39"/>
  <c r="AC447" i="39"/>
  <c r="AD383" i="42"/>
  <c r="AD101" i="42" s="1"/>
  <c r="AD80" i="42"/>
  <c r="AF399" i="39"/>
  <c r="AE517" i="39"/>
  <c r="AF144" i="42"/>
  <c r="AE400" i="39"/>
  <c r="AD123" i="39"/>
  <c r="AD335" i="42"/>
  <c r="AD78" i="42"/>
  <c r="O408" i="39"/>
  <c r="O66" i="39"/>
  <c r="P411" i="39"/>
  <c r="AH20" i="42"/>
  <c r="AI19" i="42" s="1"/>
  <c r="AH23" i="42"/>
  <c r="AB159" i="39"/>
  <c r="AF358" i="42"/>
  <c r="AE360" i="42"/>
  <c r="AE517" i="42"/>
  <c r="AF399" i="42"/>
  <c r="AF425" i="42"/>
  <c r="O481" i="42"/>
  <c r="O405" i="42"/>
  <c r="AE507" i="39"/>
  <c r="AF321" i="39"/>
  <c r="AB449" i="42"/>
  <c r="AC447" i="42"/>
  <c r="AA519" i="42"/>
  <c r="AA68" i="42"/>
  <c r="AF142" i="42"/>
  <c r="AE145" i="42"/>
  <c r="AE87" i="42" s="1"/>
  <c r="Y91" i="39"/>
  <c r="Z89" i="39"/>
  <c r="Y99" i="39"/>
  <c r="AB476" i="39"/>
  <c r="AD139" i="42"/>
  <c r="AD325" i="39"/>
  <c r="AD45" i="39" s="1"/>
  <c r="AE324" i="39"/>
  <c r="AF169" i="39"/>
  <c r="AE268" i="42"/>
  <c r="AF176" i="42"/>
  <c r="Z89" i="42"/>
  <c r="Y91" i="42"/>
  <c r="Y99" i="42"/>
  <c r="AF459" i="39"/>
  <c r="AD290" i="39"/>
  <c r="AE175" i="39"/>
  <c r="AE516" i="39"/>
  <c r="AF395" i="39"/>
  <c r="AF148" i="39"/>
  <c r="AA341" i="39"/>
  <c r="AB339" i="39"/>
  <c r="L96" i="39"/>
  <c r="L97" i="39" s="1"/>
  <c r="AF448" i="42"/>
  <c r="AF379" i="39"/>
  <c r="AE380" i="39"/>
  <c r="AE482" i="39"/>
  <c r="Y120" i="42"/>
  <c r="AA519" i="39"/>
  <c r="AA68" i="39"/>
  <c r="AF176" i="39"/>
  <c r="AE268" i="39"/>
  <c r="AF424" i="39"/>
  <c r="AE427" i="39"/>
  <c r="AF167" i="42"/>
  <c r="AE172" i="42"/>
  <c r="AE174" i="42" s="1"/>
  <c r="L316" i="42"/>
  <c r="AE105" i="39"/>
  <c r="AE493" i="39"/>
  <c r="AE501" i="39" s="1"/>
  <c r="AF443" i="39"/>
  <c r="AE494" i="42"/>
  <c r="AF333" i="42"/>
  <c r="AE334" i="42"/>
  <c r="O500" i="39"/>
  <c r="O486" i="39"/>
  <c r="AE473" i="39"/>
  <c r="AA41" i="39"/>
  <c r="AC472" i="39"/>
  <c r="AB86" i="39"/>
  <c r="AD340" i="39"/>
  <c r="AE475" i="39"/>
  <c r="AD139" i="39"/>
  <c r="AD47" i="42"/>
  <c r="AE329" i="42"/>
  <c r="AE512" i="39"/>
  <c r="AF328" i="39"/>
  <c r="AF168" i="42"/>
  <c r="AE284" i="39"/>
  <c r="AF346" i="39"/>
  <c r="AE347" i="39"/>
  <c r="AE351" i="39" s="1"/>
  <c r="AD122" i="42"/>
  <c r="AE396" i="42"/>
  <c r="O407" i="42"/>
  <c r="AF410" i="39"/>
  <c r="AE222" i="39"/>
  <c r="AE223" i="39" s="1"/>
  <c r="AE224" i="39" s="1"/>
  <c r="AF226" i="39"/>
  <c r="AE469" i="42"/>
  <c r="K108" i="42"/>
  <c r="K109" i="42" s="1"/>
  <c r="K74" i="42"/>
  <c r="AE518" i="39"/>
  <c r="AF453" i="39"/>
  <c r="AF410" i="42"/>
  <c r="AD78" i="39"/>
  <c r="AC50" i="42"/>
  <c r="AF459" i="42"/>
  <c r="AE149" i="39"/>
  <c r="AE347" i="42"/>
  <c r="AE351" i="42" s="1"/>
  <c r="AF346" i="42"/>
  <c r="AD154" i="42"/>
  <c r="L49" i="39"/>
  <c r="L44" i="39"/>
  <c r="AE382" i="42"/>
  <c r="AF381" i="42"/>
  <c r="AF358" i="39"/>
  <c r="AE360" i="39"/>
  <c r="AE396" i="39"/>
  <c r="AD122" i="39"/>
  <c r="AD383" i="39"/>
  <c r="AD101" i="39" s="1"/>
  <c r="AD80" i="39"/>
  <c r="AF240" i="39"/>
  <c r="AE482" i="42"/>
  <c r="AE380" i="42"/>
  <c r="AF379" i="42"/>
  <c r="AD154" i="39"/>
  <c r="AF285" i="42"/>
  <c r="AG13" i="42"/>
  <c r="AH12" i="42"/>
  <c r="AE493" i="42"/>
  <c r="AE501" i="42" s="1"/>
  <c r="AF443" i="42"/>
  <c r="AE105" i="42"/>
  <c r="AD287" i="42"/>
  <c r="AE511" i="42"/>
  <c r="AE460" i="42"/>
  <c r="AE117" i="42" s="1"/>
  <c r="AF457" i="42"/>
  <c r="AF468" i="39"/>
  <c r="AF323" i="39"/>
  <c r="AF426" i="42"/>
  <c r="AE149" i="42"/>
  <c r="AF259" i="42"/>
  <c r="AE473" i="42"/>
  <c r="AD340" i="42"/>
  <c r="AE475" i="42"/>
  <c r="AD123" i="42"/>
  <c r="AE400" i="42"/>
  <c r="AE413" i="42"/>
  <c r="AJ24" i="39"/>
  <c r="AI25" i="39"/>
  <c r="AI25" i="42"/>
  <c r="AJ24" i="42"/>
  <c r="AH12" i="39" l="1"/>
  <c r="AH23" i="39"/>
  <c r="AI19" i="39"/>
  <c r="AI20" i="39" s="1"/>
  <c r="Z208" i="39"/>
  <c r="Z195" i="39"/>
  <c r="L205" i="42"/>
  <c r="L477" i="42" s="1"/>
  <c r="L212" i="42" s="1"/>
  <c r="L48" i="39"/>
  <c r="L127" i="39" s="1"/>
  <c r="N232" i="39"/>
  <c r="AB316" i="39"/>
  <c r="AB318" i="39" s="1"/>
  <c r="M488" i="39"/>
  <c r="AG259" i="42"/>
  <c r="AG258" i="39"/>
  <c r="AG259" i="39"/>
  <c r="N478" i="39"/>
  <c r="N515" i="39" s="1"/>
  <c r="N520" i="39" s="1"/>
  <c r="N51" i="39"/>
  <c r="AG323" i="42"/>
  <c r="AC158" i="42"/>
  <c r="AD178" i="42"/>
  <c r="AD476" i="42" s="1"/>
  <c r="AD92" i="39"/>
  <c r="AG349" i="42"/>
  <c r="AG425" i="42"/>
  <c r="AG144" i="42"/>
  <c r="AG426" i="42"/>
  <c r="AG285" i="42"/>
  <c r="AG459" i="42"/>
  <c r="AG448" i="42"/>
  <c r="AG258" i="42"/>
  <c r="AG240" i="42"/>
  <c r="AG148" i="42"/>
  <c r="AE177" i="42"/>
  <c r="AE178" i="42" s="1"/>
  <c r="AE476" i="42" s="1"/>
  <c r="AF469" i="42"/>
  <c r="AF175" i="42"/>
  <c r="AF290" i="42" s="1"/>
  <c r="AG241" i="42"/>
  <c r="AF149" i="42"/>
  <c r="AG349" i="39"/>
  <c r="AF286" i="39"/>
  <c r="AE154" i="39"/>
  <c r="AE155" i="39" s="1"/>
  <c r="AG285" i="39"/>
  <c r="AG323" i="39"/>
  <c r="AF284" i="39"/>
  <c r="AG148" i="39"/>
  <c r="AF415" i="42"/>
  <c r="AG425" i="39"/>
  <c r="AG468" i="39"/>
  <c r="AG240" i="39"/>
  <c r="AG241" i="39"/>
  <c r="AG459" i="39"/>
  <c r="AG448" i="39"/>
  <c r="AG144" i="39"/>
  <c r="AG426" i="39"/>
  <c r="AG468" i="42"/>
  <c r="AG168" i="42"/>
  <c r="AF284" i="42"/>
  <c r="AF473" i="42"/>
  <c r="AF473" i="39"/>
  <c r="AF286" i="42"/>
  <c r="AF149" i="39"/>
  <c r="AG169" i="39"/>
  <c r="AF400" i="42"/>
  <c r="AF123" i="42" s="1"/>
  <c r="AE123" i="42"/>
  <c r="AF493" i="42"/>
  <c r="AF501" i="42" s="1"/>
  <c r="AF105" i="42"/>
  <c r="AG443" i="42"/>
  <c r="AF482" i="42"/>
  <c r="AF380" i="42"/>
  <c r="AG379" i="42"/>
  <c r="AD155" i="42"/>
  <c r="AD50" i="42" s="1"/>
  <c r="AE122" i="42"/>
  <c r="AF396" i="42"/>
  <c r="AG346" i="39"/>
  <c r="AF347" i="39"/>
  <c r="AF351" i="39" s="1"/>
  <c r="AD472" i="39"/>
  <c r="AC86" i="39"/>
  <c r="AF469" i="39"/>
  <c r="AF482" i="39"/>
  <c r="AF380" i="39"/>
  <c r="AG379" i="39"/>
  <c r="AB341" i="39"/>
  <c r="AC339" i="39"/>
  <c r="AF268" i="42"/>
  <c r="AG176" i="42"/>
  <c r="AF145" i="42"/>
  <c r="AF87" i="42" s="1"/>
  <c r="AG142" i="42"/>
  <c r="AF360" i="42"/>
  <c r="AG358" i="42"/>
  <c r="AI20" i="42"/>
  <c r="AJ19" i="42" s="1"/>
  <c r="AI23" i="42"/>
  <c r="AE47" i="39"/>
  <c r="AF329" i="39"/>
  <c r="O113" i="39"/>
  <c r="AF512" i="42"/>
  <c r="AG328" i="42"/>
  <c r="AE420" i="42"/>
  <c r="AE421" i="42" s="1"/>
  <c r="AE102" i="42" s="1"/>
  <c r="AE483" i="42"/>
  <c r="AF419" i="42"/>
  <c r="AF516" i="42"/>
  <c r="AG395" i="42"/>
  <c r="AD269" i="42"/>
  <c r="AE269" i="42" s="1"/>
  <c r="AF427" i="42"/>
  <c r="AG424" i="42"/>
  <c r="AE124" i="42"/>
  <c r="AF454" i="42"/>
  <c r="AE325" i="42"/>
  <c r="AE45" i="42" s="1"/>
  <c r="AF324" i="42"/>
  <c r="AE88" i="39"/>
  <c r="AF172" i="39"/>
  <c r="AF174" i="39" s="1"/>
  <c r="AB41" i="42"/>
  <c r="AF347" i="42"/>
  <c r="AF351" i="42" s="1"/>
  <c r="AG346" i="42"/>
  <c r="AH13" i="39"/>
  <c r="AE88" i="42"/>
  <c r="AE47" i="42"/>
  <c r="AF329" i="42"/>
  <c r="AE78" i="42"/>
  <c r="AG167" i="42"/>
  <c r="AF172" i="42"/>
  <c r="AF174" i="42" s="1"/>
  <c r="AF268" i="39"/>
  <c r="AG176" i="39"/>
  <c r="AA514" i="39"/>
  <c r="AE290" i="39"/>
  <c r="AF175" i="39"/>
  <c r="Z91" i="39"/>
  <c r="AA89" i="39"/>
  <c r="Z99" i="39"/>
  <c r="AC449" i="42"/>
  <c r="AD447" i="42"/>
  <c r="AF517" i="42"/>
  <c r="AG399" i="42"/>
  <c r="AC159" i="39"/>
  <c r="P409" i="39"/>
  <c r="P199" i="39"/>
  <c r="AE154" i="42"/>
  <c r="AE155" i="42" s="1"/>
  <c r="AE50" i="42" s="1"/>
  <c r="AF400" i="39"/>
  <c r="AE123" i="39"/>
  <c r="O118" i="39"/>
  <c r="O119" i="39" s="1"/>
  <c r="O107" i="39"/>
  <c r="O450" i="39" s="1"/>
  <c r="AA342" i="39"/>
  <c r="Z120" i="39"/>
  <c r="AG169" i="42"/>
  <c r="AE78" i="39"/>
  <c r="Z120" i="42"/>
  <c r="AA342" i="42"/>
  <c r="AG168" i="39"/>
  <c r="AF511" i="39"/>
  <c r="AF460" i="39"/>
  <c r="AF117" i="39" s="1"/>
  <c r="AG457" i="39"/>
  <c r="AE383" i="42"/>
  <c r="AE101" i="42" s="1"/>
  <c r="AE80" i="42"/>
  <c r="AE340" i="42"/>
  <c r="AF475" i="42"/>
  <c r="AF511" i="42"/>
  <c r="AF460" i="42"/>
  <c r="AF117" i="42" s="1"/>
  <c r="AG457" i="42"/>
  <c r="AH13" i="42"/>
  <c r="AI12" i="42"/>
  <c r="AF494" i="42"/>
  <c r="AF334" i="42"/>
  <c r="AG333" i="42"/>
  <c r="AF493" i="39"/>
  <c r="AF501" i="39" s="1"/>
  <c r="AF105" i="39"/>
  <c r="AG443" i="39"/>
  <c r="L193" i="42"/>
  <c r="L206" i="42"/>
  <c r="L112" i="39"/>
  <c r="L106" i="39"/>
  <c r="AB519" i="42"/>
  <c r="AB68" i="42"/>
  <c r="O408" i="42"/>
  <c r="O66" i="42"/>
  <c r="P411" i="42"/>
  <c r="AB41" i="39"/>
  <c r="AC449" i="39"/>
  <c r="AD447" i="39"/>
  <c r="P414" i="39"/>
  <c r="AF145" i="39"/>
  <c r="AF87" i="39" s="1"/>
  <c r="AG142" i="39"/>
  <c r="AE124" i="39"/>
  <c r="AF454" i="39"/>
  <c r="AA514" i="42"/>
  <c r="AF518" i="42"/>
  <c r="AG453" i="42"/>
  <c r="AD157" i="39"/>
  <c r="AE335" i="39"/>
  <c r="AC492" i="39"/>
  <c r="AC495" i="39" s="1"/>
  <c r="AD474" i="39"/>
  <c r="AC492" i="42"/>
  <c r="AC495" i="42" s="1"/>
  <c r="AD474" i="42"/>
  <c r="AF137" i="39"/>
  <c r="AF494" i="39"/>
  <c r="AF334" i="39"/>
  <c r="AG333" i="39"/>
  <c r="AE287" i="42"/>
  <c r="AC86" i="42"/>
  <c r="AD472" i="42"/>
  <c r="AD420" i="39"/>
  <c r="AD421" i="39" s="1"/>
  <c r="AD102" i="39" s="1"/>
  <c r="AD483" i="39"/>
  <c r="AE419" i="39"/>
  <c r="AG358" i="39"/>
  <c r="AF360" i="39"/>
  <c r="AF382" i="42"/>
  <c r="AG381" i="42"/>
  <c r="AG410" i="42"/>
  <c r="AF518" i="39"/>
  <c r="AG453" i="39"/>
  <c r="AF413" i="42"/>
  <c r="AD155" i="39"/>
  <c r="AD50" i="39" s="1"/>
  <c r="AF396" i="39"/>
  <c r="AE122" i="39"/>
  <c r="K60" i="42"/>
  <c r="K61" i="42" s="1"/>
  <c r="AF222" i="39"/>
  <c r="AF223" i="39" s="1"/>
  <c r="AF224" i="39" s="1"/>
  <c r="AG226" i="39"/>
  <c r="AG410" i="39"/>
  <c r="O46" i="42"/>
  <c r="O62" i="42"/>
  <c r="O43" i="42"/>
  <c r="AF512" i="39"/>
  <c r="AG328" i="39"/>
  <c r="AE340" i="39"/>
  <c r="AF475" i="39"/>
  <c r="L318" i="42"/>
  <c r="AF427" i="39"/>
  <c r="AG424" i="39"/>
  <c r="AE383" i="39"/>
  <c r="AE101" i="39" s="1"/>
  <c r="AE80" i="39"/>
  <c r="AF516" i="39"/>
  <c r="AG395" i="39"/>
  <c r="AE287" i="39"/>
  <c r="Z99" i="42"/>
  <c r="AA89" i="42"/>
  <c r="Z91" i="42"/>
  <c r="AE325" i="39"/>
  <c r="AE45" i="39" s="1"/>
  <c r="AF324" i="39"/>
  <c r="AF507" i="39"/>
  <c r="AG321" i="39"/>
  <c r="O486" i="42"/>
  <c r="O500" i="42"/>
  <c r="O98" i="39"/>
  <c r="O104" i="39" s="1"/>
  <c r="O59" i="39"/>
  <c r="AD157" i="42"/>
  <c r="AE335" i="42"/>
  <c r="AF517" i="39"/>
  <c r="AG399" i="39"/>
  <c r="AB519" i="39"/>
  <c r="AB68" i="39"/>
  <c r="AE139" i="39"/>
  <c r="AB341" i="42"/>
  <c r="AC339" i="42"/>
  <c r="AF163" i="39"/>
  <c r="AF90" i="39" s="1"/>
  <c r="AG162" i="39"/>
  <c r="AF507" i="42"/>
  <c r="AG321" i="42"/>
  <c r="AF163" i="42"/>
  <c r="AF90" i="42" s="1"/>
  <c r="AG162" i="42"/>
  <c r="AD269" i="39"/>
  <c r="AF382" i="39"/>
  <c r="AG381" i="39"/>
  <c r="AF222" i="42"/>
  <c r="AF223" i="42" s="1"/>
  <c r="AF224" i="42" s="1"/>
  <c r="AG226" i="42"/>
  <c r="AG167" i="39"/>
  <c r="AG135" i="39"/>
  <c r="AG283" i="39" s="1"/>
  <c r="AG133" i="39"/>
  <c r="AG173" i="39"/>
  <c r="AG254" i="39" s="1"/>
  <c r="AG136" i="39"/>
  <c r="AG15" i="39"/>
  <c r="AG415" i="39" s="1"/>
  <c r="AG170" i="39"/>
  <c r="AG171" i="39"/>
  <c r="AG134" i="39"/>
  <c r="AH14" i="39"/>
  <c r="AG132" i="39"/>
  <c r="AG138" i="39"/>
  <c r="AG16" i="39"/>
  <c r="AG135" i="42"/>
  <c r="AG283" i="42" s="1"/>
  <c r="AG133" i="42"/>
  <c r="AG136" i="42"/>
  <c r="AG15" i="42"/>
  <c r="AG134" i="42"/>
  <c r="AH14" i="42"/>
  <c r="AG171" i="42"/>
  <c r="AG138" i="42"/>
  <c r="AG16" i="42"/>
  <c r="AG132" i="42"/>
  <c r="AG170" i="42"/>
  <c r="AG173" i="42"/>
  <c r="AG254" i="42" s="1"/>
  <c r="AF137" i="42"/>
  <c r="AE177" i="39"/>
  <c r="AC159" i="42"/>
  <c r="AF413" i="39"/>
  <c r="AJ25" i="42"/>
  <c r="AK24" i="42"/>
  <c r="AK24" i="39"/>
  <c r="AJ25" i="39"/>
  <c r="AI23" i="39" l="1"/>
  <c r="AI12" i="39"/>
  <c r="AJ19" i="39"/>
  <c r="AJ20" i="39" s="1"/>
  <c r="AA195" i="39"/>
  <c r="AA208" i="39"/>
  <c r="L52" i="42"/>
  <c r="AF287" i="39"/>
  <c r="N53" i="39"/>
  <c r="N54" i="39"/>
  <c r="N56" i="39"/>
  <c r="N499" i="39"/>
  <c r="N480" i="39"/>
  <c r="AG469" i="42"/>
  <c r="AH468" i="42"/>
  <c r="AG149" i="42"/>
  <c r="AE92" i="42"/>
  <c r="AF177" i="42"/>
  <c r="AF178" i="42" s="1"/>
  <c r="AF476" i="42" s="1"/>
  <c r="AG286" i="39"/>
  <c r="AF154" i="39"/>
  <c r="AF155" i="39" s="1"/>
  <c r="AD158" i="42"/>
  <c r="AD159" i="42" s="1"/>
  <c r="AF287" i="42"/>
  <c r="AG415" i="42"/>
  <c r="AE474" i="42"/>
  <c r="AE492" i="42" s="1"/>
  <c r="AE495" i="42" s="1"/>
  <c r="AG149" i="39"/>
  <c r="AE50" i="39"/>
  <c r="AE474" i="39"/>
  <c r="AE492" i="39" s="1"/>
  <c r="AE495" i="39" s="1"/>
  <c r="AH323" i="39"/>
  <c r="AG469" i="39"/>
  <c r="AH169" i="39"/>
  <c r="AF154" i="42"/>
  <c r="AF155" i="42" s="1"/>
  <c r="AG137" i="42"/>
  <c r="AG139" i="42" s="1"/>
  <c r="AH240" i="42"/>
  <c r="AG137" i="39"/>
  <c r="AG139" i="39" s="1"/>
  <c r="AE269" i="39"/>
  <c r="AD492" i="39"/>
  <c r="AD495" i="39" s="1"/>
  <c r="AG286" i="42"/>
  <c r="AG284" i="42"/>
  <c r="AF139" i="42"/>
  <c r="AF269" i="42" s="1"/>
  <c r="AG222" i="42"/>
  <c r="AG223" i="42" s="1"/>
  <c r="AG224" i="42" s="1"/>
  <c r="AH226" i="42"/>
  <c r="AG507" i="42"/>
  <c r="AH321" i="42"/>
  <c r="AC341" i="42"/>
  <c r="AD339" i="42"/>
  <c r="AG517" i="39"/>
  <c r="AH399" i="39"/>
  <c r="AF335" i="42"/>
  <c r="AH349" i="42"/>
  <c r="AA91" i="42"/>
  <c r="AB89" i="42"/>
  <c r="AA99" i="42"/>
  <c r="O118" i="42"/>
  <c r="O119" i="42" s="1"/>
  <c r="O107" i="42"/>
  <c r="O450" i="42" s="1"/>
  <c r="AG413" i="39"/>
  <c r="AH410" i="39"/>
  <c r="AH241" i="39"/>
  <c r="AH240" i="39"/>
  <c r="AG413" i="42"/>
  <c r="AH410" i="42"/>
  <c r="AH358" i="39"/>
  <c r="AG360" i="39"/>
  <c r="AF139" i="39"/>
  <c r="AG518" i="42"/>
  <c r="AH453" i="42"/>
  <c r="AD449" i="39"/>
  <c r="AE447" i="39"/>
  <c r="P409" i="42"/>
  <c r="P199" i="42"/>
  <c r="P414" i="42"/>
  <c r="AI13" i="42"/>
  <c r="AJ12" i="42"/>
  <c r="AH259" i="39"/>
  <c r="AH323" i="42"/>
  <c r="AA120" i="39"/>
  <c r="AB342" i="39"/>
  <c r="AH144" i="42"/>
  <c r="P508" i="39"/>
  <c r="P513" i="39" s="1"/>
  <c r="P205" i="39"/>
  <c r="P52" i="39" s="1"/>
  <c r="AC41" i="39"/>
  <c r="AC519" i="42"/>
  <c r="AC68" i="42"/>
  <c r="AF290" i="39"/>
  <c r="AG175" i="39"/>
  <c r="AH448" i="42"/>
  <c r="AH167" i="42"/>
  <c r="AG172" i="42"/>
  <c r="AG174" i="42" s="1"/>
  <c r="AF47" i="42"/>
  <c r="AG329" i="42"/>
  <c r="AF177" i="39"/>
  <c r="AF124" i="42"/>
  <c r="AG454" i="42"/>
  <c r="AG512" i="42"/>
  <c r="AH328" i="42"/>
  <c r="AH425" i="42"/>
  <c r="AG268" i="42"/>
  <c r="AH176" i="42"/>
  <c r="AB514" i="39"/>
  <c r="AD86" i="39"/>
  <c r="AE472" i="39"/>
  <c r="AF122" i="42"/>
  <c r="AG396" i="42"/>
  <c r="AH241" i="42"/>
  <c r="AH285" i="42"/>
  <c r="AB514" i="42"/>
  <c r="AF325" i="39"/>
  <c r="AF45" i="39" s="1"/>
  <c r="AG324" i="39"/>
  <c r="L195" i="42"/>
  <c r="L208" i="42"/>
  <c r="L209" i="42" s="1"/>
  <c r="AG512" i="39"/>
  <c r="AH328" i="39"/>
  <c r="AG222" i="39"/>
  <c r="AG223" i="39" s="1"/>
  <c r="AG224" i="39" s="1"/>
  <c r="AH226" i="39"/>
  <c r="AG518" i="39"/>
  <c r="AH453" i="39"/>
  <c r="AG382" i="42"/>
  <c r="AH381" i="42"/>
  <c r="AH468" i="39"/>
  <c r="AD86" i="42"/>
  <c r="AE472" i="42"/>
  <c r="AG494" i="39"/>
  <c r="AG334" i="39"/>
  <c r="AH333" i="39"/>
  <c r="AE157" i="39"/>
  <c r="AF335" i="39"/>
  <c r="AF157" i="39" s="1"/>
  <c r="AG145" i="39"/>
  <c r="AG87" i="39" s="1"/>
  <c r="AH142" i="39"/>
  <c r="AC519" i="39"/>
  <c r="AC68" i="39"/>
  <c r="L108" i="39"/>
  <c r="L109" i="39" s="1"/>
  <c r="L74" i="39"/>
  <c r="AF340" i="42"/>
  <c r="AG475" i="42"/>
  <c r="AH259" i="42"/>
  <c r="AH168" i="39"/>
  <c r="AH169" i="42"/>
  <c r="P412" i="39"/>
  <c r="P406" i="39" s="1"/>
  <c r="P404" i="39"/>
  <c r="AG400" i="42"/>
  <c r="AG517" i="42"/>
  <c r="AH399" i="42"/>
  <c r="AG268" i="39"/>
  <c r="AH176" i="39"/>
  <c r="AI13" i="39"/>
  <c r="AJ12" i="39"/>
  <c r="AF88" i="39"/>
  <c r="AH425" i="39"/>
  <c r="AH395" i="42"/>
  <c r="AG516" i="42"/>
  <c r="AF483" i="42"/>
  <c r="AF420" i="42"/>
  <c r="AF421" i="42" s="1"/>
  <c r="AF102" i="42" s="1"/>
  <c r="AG419" i="42"/>
  <c r="AJ20" i="42"/>
  <c r="AK19" i="42" s="1"/>
  <c r="AJ23" i="42"/>
  <c r="AH379" i="39"/>
  <c r="AG380" i="39"/>
  <c r="AG482" i="39"/>
  <c r="AD492" i="42"/>
  <c r="AD495" i="42" s="1"/>
  <c r="AH379" i="42"/>
  <c r="AG482" i="42"/>
  <c r="AG380" i="42"/>
  <c r="AG175" i="42"/>
  <c r="AC41" i="42"/>
  <c r="AH138" i="39"/>
  <c r="AH133" i="39"/>
  <c r="AH171" i="39"/>
  <c r="AH170" i="39"/>
  <c r="AH132" i="39"/>
  <c r="AH135" i="39"/>
  <c r="AH283" i="39" s="1"/>
  <c r="AH15" i="39"/>
  <c r="AH415" i="39" s="1"/>
  <c r="AH173" i="39"/>
  <c r="AH254" i="39" s="1"/>
  <c r="AH136" i="39"/>
  <c r="AH134" i="39"/>
  <c r="AH16" i="39"/>
  <c r="AI14" i="39"/>
  <c r="AG163" i="42"/>
  <c r="AG90" i="42" s="1"/>
  <c r="AH162" i="42"/>
  <c r="AG163" i="39"/>
  <c r="AG90" i="39" s="1"/>
  <c r="AH162" i="39"/>
  <c r="AG507" i="39"/>
  <c r="AH321" i="39"/>
  <c r="AG473" i="39"/>
  <c r="O113" i="42"/>
  <c r="AF419" i="39"/>
  <c r="AE420" i="39"/>
  <c r="AE421" i="39" s="1"/>
  <c r="AE102" i="39" s="1"/>
  <c r="AE483" i="39"/>
  <c r="AF78" i="39"/>
  <c r="AH258" i="39"/>
  <c r="AH285" i="39"/>
  <c r="O98" i="42"/>
  <c r="O104" i="42" s="1"/>
  <c r="O59" i="42"/>
  <c r="AG334" i="42"/>
  <c r="AG494" i="42"/>
  <c r="AH333" i="42"/>
  <c r="AG511" i="42"/>
  <c r="AG460" i="42"/>
  <c r="AG117" i="42" s="1"/>
  <c r="AH457" i="42"/>
  <c r="AH457" i="39"/>
  <c r="AG511" i="39"/>
  <c r="AG460" i="39"/>
  <c r="AG117" i="39" s="1"/>
  <c r="AH448" i="39"/>
  <c r="O125" i="39"/>
  <c r="O93" i="39"/>
  <c r="AF123" i="39"/>
  <c r="AG400" i="39"/>
  <c r="AA91" i="39"/>
  <c r="AB89" i="39"/>
  <c r="AA99" i="39"/>
  <c r="AG284" i="39"/>
  <c r="AH459" i="42"/>
  <c r="AF325" i="42"/>
  <c r="AF45" i="42" s="1"/>
  <c r="AG324" i="42"/>
  <c r="AH426" i="39"/>
  <c r="AH148" i="42"/>
  <c r="AF47" i="39"/>
  <c r="AG329" i="39"/>
  <c r="AH358" i="42"/>
  <c r="AG360" i="42"/>
  <c r="AH142" i="42"/>
  <c r="AG145" i="42"/>
  <c r="AG87" i="42" s="1"/>
  <c r="AH459" i="39"/>
  <c r="AF383" i="39"/>
  <c r="AF101" i="39" s="1"/>
  <c r="AF80" i="39"/>
  <c r="L478" i="42"/>
  <c r="L51" i="42"/>
  <c r="AF383" i="42"/>
  <c r="AF101" i="42" s="1"/>
  <c r="AF80" i="42"/>
  <c r="AG105" i="42"/>
  <c r="AG493" i="42"/>
  <c r="AG501" i="42" s="1"/>
  <c r="AH443" i="42"/>
  <c r="AG473" i="42"/>
  <c r="AE178" i="39"/>
  <c r="AE476" i="39" s="1"/>
  <c r="AE92" i="39"/>
  <c r="AH133" i="42"/>
  <c r="AH16" i="42"/>
  <c r="AH138" i="42"/>
  <c r="AH15" i="42"/>
  <c r="AH173" i="42"/>
  <c r="AH254" i="42" s="1"/>
  <c r="AH135" i="42"/>
  <c r="AH283" i="42" s="1"/>
  <c r="AH170" i="42"/>
  <c r="AH132" i="42"/>
  <c r="AH136" i="42"/>
  <c r="AH134" i="42"/>
  <c r="AH171" i="42"/>
  <c r="AI14" i="42"/>
  <c r="AH167" i="39"/>
  <c r="AG172" i="39"/>
  <c r="AG174" i="39" s="1"/>
  <c r="AG382" i="39"/>
  <c r="AH381" i="39"/>
  <c r="AE157" i="42"/>
  <c r="AG516" i="39"/>
  <c r="AH395" i="39"/>
  <c r="AG427" i="39"/>
  <c r="AH424" i="39"/>
  <c r="AF340" i="39"/>
  <c r="AG475" i="39"/>
  <c r="K63" i="42"/>
  <c r="K7" i="42" s="1"/>
  <c r="K8" i="42" s="1"/>
  <c r="K65" i="42"/>
  <c r="AF122" i="39"/>
  <c r="AG396" i="39"/>
  <c r="AH426" i="42"/>
  <c r="AI426" i="42" s="1"/>
  <c r="AH144" i="39"/>
  <c r="AF124" i="39"/>
  <c r="AG454" i="39"/>
  <c r="P200" i="39"/>
  <c r="P201" i="39"/>
  <c r="AH148" i="39"/>
  <c r="AG493" i="39"/>
  <c r="AG501" i="39" s="1"/>
  <c r="AH443" i="39"/>
  <c r="AG105" i="39"/>
  <c r="AF78" i="42"/>
  <c r="AH168" i="42"/>
  <c r="AB342" i="42"/>
  <c r="AA120" i="42"/>
  <c r="AD158" i="39"/>
  <c r="AD449" i="42"/>
  <c r="AE447" i="42"/>
  <c r="AF88" i="42"/>
  <c r="AH346" i="42"/>
  <c r="AG347" i="42"/>
  <c r="AG351" i="42" s="1"/>
  <c r="AG427" i="42"/>
  <c r="AH424" i="42"/>
  <c r="AH258" i="42"/>
  <c r="AD339" i="39"/>
  <c r="AC341" i="39"/>
  <c r="AH346" i="39"/>
  <c r="AG347" i="39"/>
  <c r="AG351" i="39" s="1"/>
  <c r="AH349" i="39"/>
  <c r="AL24" i="39"/>
  <c r="AK25" i="39"/>
  <c r="AK25" i="42"/>
  <c r="AL24" i="42"/>
  <c r="AC252" i="39"/>
  <c r="AC253" i="39"/>
  <c r="AC256" i="39"/>
  <c r="AC275" i="39"/>
  <c r="AC304" i="39"/>
  <c r="AC300" i="39"/>
  <c r="AC279" i="39"/>
  <c r="AC308" i="39"/>
  <c r="AC250" i="39"/>
  <c r="AC291" i="39"/>
  <c r="AC179" i="39"/>
  <c r="AC270" i="39"/>
  <c r="AC251" i="39"/>
  <c r="AC296" i="39"/>
  <c r="AJ23" i="39" l="1"/>
  <c r="AK19" i="39"/>
  <c r="AK20" i="39" s="1"/>
  <c r="AB208" i="39"/>
  <c r="AB195" i="39"/>
  <c r="AF92" i="42"/>
  <c r="N487" i="39"/>
  <c r="N491" i="39"/>
  <c r="N502" i="39"/>
  <c r="N75" i="39" s="1"/>
  <c r="N506" i="39"/>
  <c r="N521" i="39" s="1"/>
  <c r="AF50" i="39"/>
  <c r="AH469" i="42"/>
  <c r="AI468" i="42"/>
  <c r="AH415" i="42"/>
  <c r="AI258" i="42"/>
  <c r="AF474" i="39"/>
  <c r="AF492" i="39" s="1"/>
  <c r="AF495" i="39" s="1"/>
  <c r="AH473" i="39"/>
  <c r="AE158" i="39"/>
  <c r="AF158" i="39" s="1"/>
  <c r="AF159" i="39" s="1"/>
  <c r="AE158" i="42"/>
  <c r="AE159" i="42" s="1"/>
  <c r="AH469" i="39"/>
  <c r="AG88" i="42"/>
  <c r="AG177" i="39"/>
  <c r="AG178" i="39" s="1"/>
  <c r="AG476" i="39" s="1"/>
  <c r="AF269" i="39"/>
  <c r="AG269" i="39" s="1"/>
  <c r="AI448" i="39"/>
  <c r="AF474" i="42"/>
  <c r="AF492" i="42" s="1"/>
  <c r="AF495" i="42" s="1"/>
  <c r="AF50" i="42"/>
  <c r="AH473" i="42"/>
  <c r="AH284" i="39"/>
  <c r="AG154" i="39"/>
  <c r="AG155" i="39" s="1"/>
  <c r="AG50" i="39" s="1"/>
  <c r="AI168" i="42"/>
  <c r="P202" i="39"/>
  <c r="P114" i="39" s="1"/>
  <c r="Q192" i="39"/>
  <c r="L499" i="42"/>
  <c r="L480" i="42"/>
  <c r="AG47" i="39"/>
  <c r="AH329" i="39"/>
  <c r="AF483" i="39"/>
  <c r="AF420" i="39"/>
  <c r="AF421" i="39" s="1"/>
  <c r="AF102" i="39" s="1"/>
  <c r="AG419" i="39"/>
  <c r="AG383" i="42"/>
  <c r="AG101" i="42" s="1"/>
  <c r="AG80" i="42"/>
  <c r="AK20" i="42"/>
  <c r="AL19" i="42" s="1"/>
  <c r="AK23" i="42"/>
  <c r="AJ13" i="39"/>
  <c r="AH517" i="42"/>
  <c r="AI399" i="42"/>
  <c r="P407" i="39"/>
  <c r="AI168" i="39"/>
  <c r="AF472" i="42"/>
  <c r="AE86" i="42"/>
  <c r="AH222" i="39"/>
  <c r="AH223" i="39" s="1"/>
  <c r="AH224" i="39" s="1"/>
  <c r="AI226" i="39"/>
  <c r="AH512" i="42"/>
  <c r="AI328" i="42"/>
  <c r="AH454" i="42"/>
  <c r="AG124" i="42"/>
  <c r="AG47" i="42"/>
  <c r="AH329" i="42"/>
  <c r="AI448" i="42"/>
  <c r="AB120" i="39"/>
  <c r="AC342" i="39"/>
  <c r="AK12" i="42"/>
  <c r="AJ13" i="42"/>
  <c r="P200" i="42"/>
  <c r="P201" i="42"/>
  <c r="AE449" i="39"/>
  <c r="AF447" i="39"/>
  <c r="AI241" i="39"/>
  <c r="AD341" i="42"/>
  <c r="AE339" i="42"/>
  <c r="AI346" i="42"/>
  <c r="AH347" i="42"/>
  <c r="AH351" i="42" s="1"/>
  <c r="AG325" i="42"/>
  <c r="AG45" i="42" s="1"/>
  <c r="AH324" i="42"/>
  <c r="AE339" i="39"/>
  <c r="AD341" i="39"/>
  <c r="AD519" i="42"/>
  <c r="AD68" i="42"/>
  <c r="AG154" i="42"/>
  <c r="AI443" i="39"/>
  <c r="AH493" i="39"/>
  <c r="AH501" i="39" s="1"/>
  <c r="AH105" i="39"/>
  <c r="AH149" i="39"/>
  <c r="AI148" i="39"/>
  <c r="AG124" i="39"/>
  <c r="AH454" i="39"/>
  <c r="AI424" i="39"/>
  <c r="AH427" i="39"/>
  <c r="AI167" i="39"/>
  <c r="AH172" i="39"/>
  <c r="AH174" i="39" s="1"/>
  <c r="L515" i="42"/>
  <c r="L520" i="42" s="1"/>
  <c r="AI142" i="42"/>
  <c r="AH145" i="42"/>
  <c r="AH87" i="42" s="1"/>
  <c r="AB91" i="39"/>
  <c r="AC89" i="39"/>
  <c r="AB99" i="39"/>
  <c r="AH494" i="42"/>
  <c r="AI333" i="42"/>
  <c r="AH334" i="42"/>
  <c r="AD159" i="39"/>
  <c r="AH507" i="39"/>
  <c r="AI321" i="39"/>
  <c r="AH163" i="42"/>
  <c r="AH90" i="42" s="1"/>
  <c r="AI162" i="42"/>
  <c r="AG383" i="39"/>
  <c r="AG101" i="39" s="1"/>
  <c r="AG80" i="39"/>
  <c r="AG483" i="42"/>
  <c r="AH419" i="42"/>
  <c r="AG420" i="42"/>
  <c r="AG421" i="42" s="1"/>
  <c r="AG102" i="42" s="1"/>
  <c r="AH516" i="42"/>
  <c r="AI395" i="42"/>
  <c r="AI169" i="42"/>
  <c r="AI259" i="42"/>
  <c r="L60" i="39"/>
  <c r="L61" i="39" s="1"/>
  <c r="M213" i="39"/>
  <c r="M215" i="39"/>
  <c r="M214" i="39"/>
  <c r="AH145" i="39"/>
  <c r="AH87" i="39" s="1"/>
  <c r="AI142" i="39"/>
  <c r="AH334" i="39"/>
  <c r="AH494" i="39"/>
  <c r="AI333" i="39"/>
  <c r="AH518" i="39"/>
  <c r="AI453" i="39"/>
  <c r="AI285" i="42"/>
  <c r="AF472" i="39"/>
  <c r="AE86" i="39"/>
  <c r="AI176" i="42"/>
  <c r="AH268" i="42"/>
  <c r="AG290" i="39"/>
  <c r="AH175" i="39"/>
  <c r="P508" i="42"/>
  <c r="P513" i="42" s="1"/>
  <c r="AD519" i="39"/>
  <c r="AD68" i="39"/>
  <c r="AI410" i="42"/>
  <c r="O125" i="42"/>
  <c r="AB91" i="42"/>
  <c r="AC89" i="42"/>
  <c r="AB99" i="42"/>
  <c r="AF157" i="42"/>
  <c r="AG335" i="42"/>
  <c r="AG157" i="42" s="1"/>
  <c r="AC514" i="42"/>
  <c r="AH222" i="42"/>
  <c r="AH223" i="42" s="1"/>
  <c r="AH224" i="42" s="1"/>
  <c r="AI226" i="42"/>
  <c r="AI240" i="42"/>
  <c r="AH284" i="42"/>
  <c r="AE449" i="42"/>
  <c r="AF447" i="42"/>
  <c r="AH460" i="42"/>
  <c r="AH117" i="42" s="1"/>
  <c r="AH511" i="42"/>
  <c r="AI457" i="42"/>
  <c r="AI135" i="39"/>
  <c r="AI283" i="39" s="1"/>
  <c r="AI15" i="39"/>
  <c r="AI415" i="39" s="1"/>
  <c r="AI170" i="39"/>
  <c r="AI134" i="39"/>
  <c r="AJ14" i="39"/>
  <c r="AI173" i="39"/>
  <c r="AI254" i="39" s="1"/>
  <c r="AI132" i="39"/>
  <c r="AI136" i="39"/>
  <c r="AI16" i="39"/>
  <c r="AI171" i="39"/>
  <c r="AI133" i="39"/>
  <c r="AI138" i="39"/>
  <c r="AI349" i="39"/>
  <c r="AJ349" i="39" s="1"/>
  <c r="AC342" i="42"/>
  <c r="AB120" i="42"/>
  <c r="P207" i="39"/>
  <c r="Q194" i="39" s="1"/>
  <c r="AH382" i="39"/>
  <c r="AI381" i="39"/>
  <c r="AI133" i="42"/>
  <c r="AI135" i="42"/>
  <c r="AI283" i="42" s="1"/>
  <c r="AI170" i="42"/>
  <c r="AI134" i="42"/>
  <c r="AI15" i="42"/>
  <c r="AI132" i="42"/>
  <c r="AI138" i="42"/>
  <c r="AI173" i="42"/>
  <c r="AI254" i="42" s="1"/>
  <c r="AI171" i="42"/>
  <c r="AI136" i="42"/>
  <c r="AI16" i="42"/>
  <c r="AJ14" i="42"/>
  <c r="AH137" i="42"/>
  <c r="AI443" i="42"/>
  <c r="AH105" i="42"/>
  <c r="AH493" i="42"/>
  <c r="AH501" i="42" s="1"/>
  <c r="AH149" i="42"/>
  <c r="AI148" i="42"/>
  <c r="AI459" i="42"/>
  <c r="AI285" i="39"/>
  <c r="AI379" i="42"/>
  <c r="AH482" i="42"/>
  <c r="AH380" i="42"/>
  <c r="AH482" i="39"/>
  <c r="AH380" i="39"/>
  <c r="AI379" i="39"/>
  <c r="AI425" i="39"/>
  <c r="AH268" i="39"/>
  <c r="AI176" i="39"/>
  <c r="AG123" i="42"/>
  <c r="AH400" i="42"/>
  <c r="AG340" i="42"/>
  <c r="AH475" i="42"/>
  <c r="AG335" i="39"/>
  <c r="AG78" i="39"/>
  <c r="AI468" i="39"/>
  <c r="AI241" i="42"/>
  <c r="AG269" i="42"/>
  <c r="AF92" i="39"/>
  <c r="AF178" i="39"/>
  <c r="AF476" i="39" s="1"/>
  <c r="AG177" i="42"/>
  <c r="P477" i="39"/>
  <c r="AI144" i="42"/>
  <c r="AI323" i="42"/>
  <c r="L196" i="42"/>
  <c r="P412" i="42"/>
  <c r="P406" i="42" s="1"/>
  <c r="P404" i="42"/>
  <c r="AH518" i="42"/>
  <c r="AI453" i="42"/>
  <c r="AH413" i="42"/>
  <c r="AH413" i="39"/>
  <c r="AI410" i="39"/>
  <c r="AH517" i="39"/>
  <c r="AI399" i="39"/>
  <c r="AH507" i="42"/>
  <c r="AI321" i="42"/>
  <c r="AH286" i="39"/>
  <c r="AH286" i="42"/>
  <c r="AC514" i="39"/>
  <c r="AI346" i="39"/>
  <c r="AH347" i="39"/>
  <c r="AH351" i="39" s="1"/>
  <c r="AI424" i="42"/>
  <c r="AH427" i="42"/>
  <c r="P206" i="39"/>
  <c r="AI144" i="39"/>
  <c r="AG122" i="39"/>
  <c r="AH396" i="39"/>
  <c r="AG340" i="39"/>
  <c r="AH475" i="39"/>
  <c r="AH516" i="39"/>
  <c r="AI395" i="39"/>
  <c r="AD41" i="42"/>
  <c r="L56" i="42"/>
  <c r="L53" i="42"/>
  <c r="L54" i="42"/>
  <c r="AI459" i="39"/>
  <c r="AI358" i="42"/>
  <c r="AH360" i="42"/>
  <c r="AI426" i="39"/>
  <c r="AG123" i="39"/>
  <c r="AH400" i="39"/>
  <c r="AI457" i="39"/>
  <c r="AH511" i="39"/>
  <c r="AH460" i="39"/>
  <c r="AH117" i="39" s="1"/>
  <c r="AG78" i="42"/>
  <c r="AI258" i="39"/>
  <c r="AH163" i="39"/>
  <c r="AH90" i="39" s="1"/>
  <c r="AI162" i="39"/>
  <c r="AG287" i="39"/>
  <c r="AH137" i="39"/>
  <c r="AH139" i="39" s="1"/>
  <c r="AG290" i="42"/>
  <c r="AH175" i="42"/>
  <c r="AG88" i="39"/>
  <c r="P481" i="39"/>
  <c r="P405" i="39"/>
  <c r="AH382" i="42"/>
  <c r="AI381" i="42"/>
  <c r="AH512" i="39"/>
  <c r="AI328" i="39"/>
  <c r="AG325" i="39"/>
  <c r="AG45" i="39" s="1"/>
  <c r="AH324" i="39"/>
  <c r="AH396" i="42"/>
  <c r="AG122" i="42"/>
  <c r="AI425" i="42"/>
  <c r="AI167" i="42"/>
  <c r="AH172" i="42"/>
  <c r="AH174" i="42" s="1"/>
  <c r="AI259" i="39"/>
  <c r="AI358" i="39"/>
  <c r="AH360" i="39"/>
  <c r="AI240" i="39"/>
  <c r="AI349" i="42"/>
  <c r="AI323" i="39"/>
  <c r="AG287" i="42"/>
  <c r="AI169" i="39"/>
  <c r="AL25" i="42"/>
  <c r="AM24" i="42"/>
  <c r="AM24" i="39"/>
  <c r="AL25" i="39"/>
  <c r="AC271" i="39"/>
  <c r="AC272" i="39" s="1"/>
  <c r="AC309" i="39"/>
  <c r="AC276" i="39"/>
  <c r="AC242" i="39"/>
  <c r="AC180" i="39"/>
  <c r="AC280" i="39"/>
  <c r="AC297" i="39"/>
  <c r="AC292" i="39"/>
  <c r="AC293" i="39" s="1"/>
  <c r="AC317" i="39" s="1"/>
  <c r="AC301" i="39"/>
  <c r="AC257" i="39"/>
  <c r="AC260" i="39" s="1"/>
  <c r="AC305" i="39"/>
  <c r="AK12" i="39" l="1"/>
  <c r="AK23" i="39"/>
  <c r="AL19" i="39"/>
  <c r="AL20" i="39" s="1"/>
  <c r="N67" i="39"/>
  <c r="N69" i="39" s="1"/>
  <c r="N71" i="39" s="1"/>
  <c r="O212" i="39"/>
  <c r="N77" i="39"/>
  <c r="N79" i="39" s="1"/>
  <c r="N82" i="39" s="1"/>
  <c r="N503" i="39"/>
  <c r="N496" i="39"/>
  <c r="N55" i="39"/>
  <c r="AI469" i="42"/>
  <c r="AI415" i="42"/>
  <c r="AJ448" i="39"/>
  <c r="AG92" i="39"/>
  <c r="AE159" i="39"/>
  <c r="AE41" i="39" s="1"/>
  <c r="AI473" i="39"/>
  <c r="AF158" i="42"/>
  <c r="AF159" i="42" s="1"/>
  <c r="AG474" i="42"/>
  <c r="AH154" i="42"/>
  <c r="AH155" i="42" s="1"/>
  <c r="AI284" i="39"/>
  <c r="P100" i="39"/>
  <c r="P202" i="42"/>
  <c r="P114" i="42" s="1"/>
  <c r="AJ425" i="42"/>
  <c r="AJ241" i="42"/>
  <c r="AJ349" i="42"/>
  <c r="AJ323" i="42"/>
  <c r="AJ468" i="39"/>
  <c r="AH88" i="42"/>
  <c r="AJ323" i="39"/>
  <c r="AJ258" i="39"/>
  <c r="AJ459" i="39"/>
  <c r="AJ144" i="39"/>
  <c r="AJ240" i="39"/>
  <c r="AI286" i="39"/>
  <c r="AH287" i="42"/>
  <c r="AJ259" i="39"/>
  <c r="AH88" i="39"/>
  <c r="AJ426" i="39"/>
  <c r="P209" i="39"/>
  <c r="AJ144" i="42"/>
  <c r="AH287" i="39"/>
  <c r="AJ169" i="39"/>
  <c r="AI413" i="42"/>
  <c r="AJ425" i="39"/>
  <c r="AJ285" i="39"/>
  <c r="AG474" i="39"/>
  <c r="AG492" i="39" s="1"/>
  <c r="AG495" i="39" s="1"/>
  <c r="AJ358" i="39"/>
  <c r="AI360" i="39"/>
  <c r="AJ167" i="42"/>
  <c r="AI172" i="42"/>
  <c r="AI174" i="42" s="1"/>
  <c r="AH122" i="42"/>
  <c r="AI396" i="42"/>
  <c r="AI122" i="42" s="1"/>
  <c r="AI512" i="39"/>
  <c r="AJ328" i="39"/>
  <c r="P500" i="39"/>
  <c r="P486" i="39"/>
  <c r="AI360" i="42"/>
  <c r="AJ358" i="42"/>
  <c r="Q193" i="39"/>
  <c r="AJ168" i="42"/>
  <c r="P407" i="42"/>
  <c r="AH269" i="39"/>
  <c r="AI149" i="42"/>
  <c r="AJ148" i="42"/>
  <c r="AJ133" i="42"/>
  <c r="AJ15" i="42"/>
  <c r="AJ171" i="42"/>
  <c r="AJ173" i="42"/>
  <c r="AJ254" i="42" s="1"/>
  <c r="AJ134" i="42"/>
  <c r="AJ136" i="42"/>
  <c r="AJ170" i="42"/>
  <c r="AJ138" i="42"/>
  <c r="AJ135" i="42"/>
  <c r="AJ283" i="42" s="1"/>
  <c r="AJ16" i="42"/>
  <c r="AJ132" i="42"/>
  <c r="AK14" i="42"/>
  <c r="AI382" i="39"/>
  <c r="AJ381" i="39"/>
  <c r="AJ258" i="42"/>
  <c r="AI137" i="39"/>
  <c r="AI511" i="42"/>
  <c r="AI460" i="42"/>
  <c r="AI117" i="42" s="1"/>
  <c r="AJ457" i="42"/>
  <c r="AF449" i="42"/>
  <c r="AG447" i="42"/>
  <c r="AI222" i="42"/>
  <c r="AI223" i="42" s="1"/>
  <c r="AI224" i="42" s="1"/>
  <c r="AJ226" i="42"/>
  <c r="AI268" i="42"/>
  <c r="AJ176" i="42"/>
  <c r="L63" i="39"/>
  <c r="L7" i="39" s="1"/>
  <c r="L8" i="39" s="1"/>
  <c r="L65" i="39"/>
  <c r="AH78" i="42"/>
  <c r="AI145" i="42"/>
  <c r="AI87" i="42" s="1"/>
  <c r="AJ142" i="42"/>
  <c r="AH124" i="39"/>
  <c r="AI454" i="39"/>
  <c r="AG155" i="42"/>
  <c r="AD514" i="39"/>
  <c r="AI473" i="42"/>
  <c r="AF339" i="42"/>
  <c r="AE341" i="42"/>
  <c r="AE519" i="39"/>
  <c r="AE68" i="39"/>
  <c r="AF86" i="42"/>
  <c r="AG472" i="42"/>
  <c r="AI517" i="42"/>
  <c r="AJ399" i="42"/>
  <c r="AG483" i="39"/>
  <c r="AH419" i="39"/>
  <c r="AG420" i="39"/>
  <c r="AG421" i="39" s="1"/>
  <c r="AG102" i="39" s="1"/>
  <c r="L506" i="42"/>
  <c r="L521" i="42" s="1"/>
  <c r="L502" i="42"/>
  <c r="L75" i="42" s="1"/>
  <c r="AJ395" i="39"/>
  <c r="AI516" i="39"/>
  <c r="AH122" i="39"/>
  <c r="AI396" i="39"/>
  <c r="AJ346" i="39"/>
  <c r="AI347" i="39"/>
  <c r="AI351" i="39" s="1"/>
  <c r="AI507" i="42"/>
  <c r="AJ321" i="42"/>
  <c r="AI518" i="42"/>
  <c r="AJ453" i="42"/>
  <c r="AG157" i="39"/>
  <c r="AG158" i="39" s="1"/>
  <c r="AH335" i="39"/>
  <c r="AI400" i="42"/>
  <c r="AH123" i="42"/>
  <c r="AH383" i="42"/>
  <c r="AH101" i="42" s="1"/>
  <c r="AH80" i="42"/>
  <c r="AI105" i="42"/>
  <c r="AI493" i="42"/>
  <c r="AI501" i="42" s="1"/>
  <c r="AJ443" i="42"/>
  <c r="AC120" i="42"/>
  <c r="AD342" i="42"/>
  <c r="AE519" i="42"/>
  <c r="AE68" i="42"/>
  <c r="AH290" i="39"/>
  <c r="AI175" i="39"/>
  <c r="AI518" i="39"/>
  <c r="AJ453" i="39"/>
  <c r="AH78" i="39"/>
  <c r="AJ259" i="42"/>
  <c r="AI507" i="39"/>
  <c r="AJ321" i="39"/>
  <c r="AI494" i="42"/>
  <c r="AI334" i="42"/>
  <c r="AJ333" i="42"/>
  <c r="AC91" i="39"/>
  <c r="AD89" i="39"/>
  <c r="AD99" i="39" s="1"/>
  <c r="AC99" i="39"/>
  <c r="AJ424" i="39"/>
  <c r="AI427" i="39"/>
  <c r="AF339" i="39"/>
  <c r="AE341" i="39"/>
  <c r="AD514" i="42"/>
  <c r="AL12" i="42"/>
  <c r="AK13" i="42"/>
  <c r="AJ448" i="42"/>
  <c r="AI454" i="42"/>
  <c r="AH124" i="42"/>
  <c r="AI222" i="39"/>
  <c r="AI223" i="39" s="1"/>
  <c r="AI224" i="39" s="1"/>
  <c r="AJ226" i="39"/>
  <c r="AJ168" i="39"/>
  <c r="AL20" i="42"/>
  <c r="AM19" i="42" s="1"/>
  <c r="AL23" i="42"/>
  <c r="AH47" i="39"/>
  <c r="AI329" i="39"/>
  <c r="AH325" i="39"/>
  <c r="AH45" i="39" s="1"/>
  <c r="AI324" i="39"/>
  <c r="AH290" i="42"/>
  <c r="AI175" i="42"/>
  <c r="AI163" i="39"/>
  <c r="AI90" i="39" s="1"/>
  <c r="AJ162" i="39"/>
  <c r="AJ457" i="39"/>
  <c r="AI511" i="39"/>
  <c r="AI460" i="39"/>
  <c r="AI117" i="39" s="1"/>
  <c r="AI413" i="39"/>
  <c r="AJ410" i="39"/>
  <c r="AJ379" i="39"/>
  <c r="AI380" i="39"/>
  <c r="AI482" i="39"/>
  <c r="AI137" i="42"/>
  <c r="AJ132" i="39"/>
  <c r="AJ134" i="39"/>
  <c r="AJ15" i="39"/>
  <c r="AJ415" i="39" s="1"/>
  <c r="AJ170" i="39"/>
  <c r="AJ136" i="39"/>
  <c r="AJ16" i="39"/>
  <c r="AJ138" i="39"/>
  <c r="AJ173" i="39"/>
  <c r="AJ254" i="39" s="1"/>
  <c r="AJ133" i="39"/>
  <c r="AJ135" i="39"/>
  <c r="AJ283" i="39" s="1"/>
  <c r="AJ171" i="39"/>
  <c r="AK14" i="39"/>
  <c r="AI284" i="42"/>
  <c r="AC91" i="42"/>
  <c r="AD89" i="42"/>
  <c r="AC99" i="42"/>
  <c r="AF86" i="39"/>
  <c r="AG472" i="39"/>
  <c r="AJ169" i="42"/>
  <c r="AH483" i="42"/>
  <c r="AH420" i="42"/>
  <c r="AH421" i="42" s="1"/>
  <c r="AH102" i="42" s="1"/>
  <c r="AI419" i="42"/>
  <c r="AH177" i="39"/>
  <c r="AJ148" i="39"/>
  <c r="AH325" i="42"/>
  <c r="AH45" i="42" s="1"/>
  <c r="AI324" i="42"/>
  <c r="AI347" i="42"/>
  <c r="AI351" i="42" s="1"/>
  <c r="AJ346" i="42"/>
  <c r="AJ241" i="39"/>
  <c r="AH47" i="42"/>
  <c r="AI329" i="42"/>
  <c r="AI512" i="42"/>
  <c r="AJ328" i="42"/>
  <c r="AE41" i="42"/>
  <c r="AJ468" i="42"/>
  <c r="AI382" i="42"/>
  <c r="AJ381" i="42"/>
  <c r="AH177" i="42"/>
  <c r="P408" i="39"/>
  <c r="P66" i="39"/>
  <c r="Q411" i="39"/>
  <c r="Q414" i="39" s="1"/>
  <c r="AH123" i="39"/>
  <c r="AI400" i="39"/>
  <c r="AH340" i="39"/>
  <c r="AI475" i="39"/>
  <c r="L93" i="42"/>
  <c r="AI427" i="42"/>
  <c r="AJ424" i="42"/>
  <c r="AI286" i="42"/>
  <c r="AI517" i="39"/>
  <c r="AJ399" i="39"/>
  <c r="P481" i="42"/>
  <c r="P405" i="42"/>
  <c r="AG178" i="42"/>
  <c r="AG476" i="42" s="1"/>
  <c r="AG92" i="42"/>
  <c r="AH154" i="39"/>
  <c r="AH155" i="39" s="1"/>
  <c r="AH340" i="42"/>
  <c r="AI475" i="42"/>
  <c r="AI268" i="39"/>
  <c r="AJ176" i="39"/>
  <c r="AH383" i="39"/>
  <c r="AH101" i="39" s="1"/>
  <c r="AH80" i="39"/>
  <c r="AI380" i="42"/>
  <c r="AI482" i="42"/>
  <c r="AJ379" i="42"/>
  <c r="AJ459" i="42"/>
  <c r="AH139" i="42"/>
  <c r="AJ426" i="42"/>
  <c r="AF41" i="39"/>
  <c r="AI469" i="39"/>
  <c r="AJ240" i="42"/>
  <c r="AH335" i="42"/>
  <c r="AJ410" i="42"/>
  <c r="AJ285" i="42"/>
  <c r="AI334" i="39"/>
  <c r="AI494" i="39"/>
  <c r="AJ333" i="39"/>
  <c r="AI145" i="39"/>
  <c r="AI87" i="39" s="1"/>
  <c r="AJ142" i="39"/>
  <c r="M216" i="39"/>
  <c r="AI516" i="42"/>
  <c r="AJ395" i="42"/>
  <c r="AI163" i="42"/>
  <c r="AI90" i="42" s="1"/>
  <c r="AJ162" i="42"/>
  <c r="AD41" i="39"/>
  <c r="AJ167" i="39"/>
  <c r="AI172" i="39"/>
  <c r="AI174" i="39" s="1"/>
  <c r="AI149" i="39"/>
  <c r="AI105" i="39"/>
  <c r="AI493" i="39"/>
  <c r="AI501" i="39" s="1"/>
  <c r="AJ443" i="39"/>
  <c r="AF449" i="39"/>
  <c r="AG447" i="39"/>
  <c r="AD342" i="39"/>
  <c r="AC120" i="39"/>
  <c r="P43" i="39"/>
  <c r="P62" i="39"/>
  <c r="P46" i="39"/>
  <c r="AK13" i="39"/>
  <c r="L487" i="42"/>
  <c r="L491" i="42"/>
  <c r="AN24" i="42"/>
  <c r="AM25" i="42"/>
  <c r="AM25" i="39"/>
  <c r="AN24" i="39"/>
  <c r="AC183" i="39"/>
  <c r="AC316" i="39"/>
  <c r="AL23" i="39" l="1"/>
  <c r="AL12" i="39"/>
  <c r="AL14" i="39" s="1"/>
  <c r="AM19" i="39"/>
  <c r="AM12" i="39" s="1"/>
  <c r="O232" i="39"/>
  <c r="AJ415" i="42"/>
  <c r="N488" i="39"/>
  <c r="O478" i="39"/>
  <c r="O515" i="39" s="1"/>
  <c r="O520" i="39" s="1"/>
  <c r="O51" i="39"/>
  <c r="P100" i="42"/>
  <c r="AJ469" i="39"/>
  <c r="AH50" i="42"/>
  <c r="AJ473" i="39"/>
  <c r="AK426" i="42"/>
  <c r="AK285" i="42"/>
  <c r="AK323" i="42"/>
  <c r="AJ284" i="42"/>
  <c r="AH474" i="42"/>
  <c r="AK425" i="42"/>
  <c r="AK448" i="42"/>
  <c r="AK259" i="42"/>
  <c r="AG492" i="42"/>
  <c r="AG495" i="42" s="1"/>
  <c r="AI287" i="39"/>
  <c r="AK144" i="42"/>
  <c r="AK144" i="39"/>
  <c r="AK241" i="42"/>
  <c r="AK349" i="42"/>
  <c r="AK169" i="42"/>
  <c r="AJ149" i="39"/>
  <c r="AK240" i="42"/>
  <c r="AI177" i="39"/>
  <c r="AI178" i="39" s="1"/>
  <c r="AI476" i="39" s="1"/>
  <c r="AK241" i="39"/>
  <c r="AK148" i="39"/>
  <c r="AJ473" i="42"/>
  <c r="AJ286" i="42"/>
  <c r="AK258" i="42"/>
  <c r="AJ137" i="42"/>
  <c r="AJ139" i="42" s="1"/>
  <c r="AI88" i="42"/>
  <c r="L496" i="42"/>
  <c r="L55" i="42"/>
  <c r="P118" i="39"/>
  <c r="P119" i="39" s="1"/>
  <c r="P107" i="39"/>
  <c r="P450" i="39" s="1"/>
  <c r="AJ493" i="39"/>
  <c r="AJ501" i="39" s="1"/>
  <c r="AJ105" i="39"/>
  <c r="AJ163" i="42"/>
  <c r="AJ90" i="42" s="1"/>
  <c r="AK162" i="42"/>
  <c r="M42" i="39"/>
  <c r="M94" i="39"/>
  <c r="AJ334" i="39"/>
  <c r="AJ494" i="39"/>
  <c r="AK333" i="39"/>
  <c r="AJ268" i="39"/>
  <c r="AK176" i="39"/>
  <c r="AJ517" i="39"/>
  <c r="AK399" i="39"/>
  <c r="AI47" i="42"/>
  <c r="AJ329" i="42"/>
  <c r="AJ347" i="42"/>
  <c r="AJ351" i="42" s="1"/>
  <c r="AK346" i="42"/>
  <c r="AI483" i="42"/>
  <c r="AI420" i="42"/>
  <c r="AI421" i="42" s="1"/>
  <c r="AI102" i="42" s="1"/>
  <c r="AJ419" i="42"/>
  <c r="AD91" i="42"/>
  <c r="AE89" i="42"/>
  <c r="AD99" i="42"/>
  <c r="AK443" i="39"/>
  <c r="AK136" i="39"/>
  <c r="AK134" i="39"/>
  <c r="AK133" i="39"/>
  <c r="AK173" i="39"/>
  <c r="AK254" i="39" s="1"/>
  <c r="AK138" i="39"/>
  <c r="AK15" i="39"/>
  <c r="AK415" i="39" s="1"/>
  <c r="AK170" i="39"/>
  <c r="AK132" i="39"/>
  <c r="AK135" i="39"/>
  <c r="AK283" i="39" s="1"/>
  <c r="AK16" i="39"/>
  <c r="AK171" i="39"/>
  <c r="AK349" i="39"/>
  <c r="AI383" i="39"/>
  <c r="AI101" i="39" s="1"/>
  <c r="AI80" i="39"/>
  <c r="AH269" i="42"/>
  <c r="AJ511" i="39"/>
  <c r="AJ460" i="39"/>
  <c r="AJ117" i="39" s="1"/>
  <c r="AK457" i="39"/>
  <c r="AI290" i="42"/>
  <c r="AJ175" i="42"/>
  <c r="AJ290" i="42" s="1"/>
  <c r="AK240" i="39"/>
  <c r="AF341" i="39"/>
  <c r="AG339" i="39"/>
  <c r="AD91" i="39"/>
  <c r="AE89" i="39"/>
  <c r="AJ518" i="39"/>
  <c r="AK453" i="39"/>
  <c r="AJ493" i="42"/>
  <c r="AJ501" i="42" s="1"/>
  <c r="AJ105" i="42"/>
  <c r="AK443" i="42"/>
  <c r="AI123" i="42"/>
  <c r="AJ400" i="42"/>
  <c r="AK468" i="39"/>
  <c r="AJ507" i="42"/>
  <c r="AK321" i="42"/>
  <c r="AJ516" i="39"/>
  <c r="AK395" i="39"/>
  <c r="AJ517" i="42"/>
  <c r="AK399" i="42"/>
  <c r="AG50" i="42"/>
  <c r="AJ145" i="42"/>
  <c r="AJ87" i="42" s="1"/>
  <c r="AK142" i="42"/>
  <c r="AG449" i="42"/>
  <c r="AH447" i="42"/>
  <c r="AK168" i="42"/>
  <c r="AK258" i="39"/>
  <c r="AH492" i="42"/>
  <c r="AH495" i="42" s="1"/>
  <c r="AK358" i="39"/>
  <c r="AJ360" i="39"/>
  <c r="AI287" i="42"/>
  <c r="AE342" i="39"/>
  <c r="AD120" i="39"/>
  <c r="AJ413" i="42"/>
  <c r="AK410" i="42"/>
  <c r="AJ482" i="42"/>
  <c r="AJ380" i="42"/>
  <c r="AK379" i="42"/>
  <c r="Q201" i="39"/>
  <c r="Q200" i="39"/>
  <c r="AG449" i="39"/>
  <c r="AH447" i="39"/>
  <c r="AK167" i="39"/>
  <c r="AJ172" i="39"/>
  <c r="AJ174" i="39" s="1"/>
  <c r="AH157" i="42"/>
  <c r="AI335" i="42"/>
  <c r="AI157" i="42" s="1"/>
  <c r="AI383" i="42"/>
  <c r="AI101" i="42" s="1"/>
  <c r="AI80" i="42"/>
  <c r="L215" i="42"/>
  <c r="L213" i="42"/>
  <c r="L214" i="42"/>
  <c r="AI123" i="39"/>
  <c r="AJ400" i="39"/>
  <c r="AJ123" i="39" s="1"/>
  <c r="P98" i="39"/>
  <c r="P104" i="39" s="1"/>
  <c r="P59" i="39"/>
  <c r="AH474" i="39"/>
  <c r="AH472" i="39"/>
  <c r="AG86" i="39"/>
  <c r="AI139" i="42"/>
  <c r="AJ482" i="39"/>
  <c r="AJ380" i="39"/>
  <c r="AK379" i="39"/>
  <c r="AJ413" i="39"/>
  <c r="AK410" i="39"/>
  <c r="AK426" i="39"/>
  <c r="AI88" i="39"/>
  <c r="AM20" i="42"/>
  <c r="AN19" i="42" s="1"/>
  <c r="AM23" i="42"/>
  <c r="AJ507" i="39"/>
  <c r="AK321" i="39"/>
  <c r="AD120" i="42"/>
  <c r="AI122" i="39"/>
  <c r="AJ396" i="39"/>
  <c r="AK459" i="39"/>
  <c r="L67" i="42"/>
  <c r="L69" i="42" s="1"/>
  <c r="L71" i="42" s="1"/>
  <c r="L77" i="42"/>
  <c r="L79" i="42" s="1"/>
  <c r="L82" i="42" s="1"/>
  <c r="AM20" i="39"/>
  <c r="AI124" i="39"/>
  <c r="AJ454" i="39"/>
  <c r="AJ222" i="42"/>
  <c r="AJ223" i="42" s="1"/>
  <c r="AJ224" i="42" s="1"/>
  <c r="AK226" i="42"/>
  <c r="AF519" i="42"/>
  <c r="AF68" i="42"/>
  <c r="AI139" i="39"/>
  <c r="AI269" i="39" s="1"/>
  <c r="AK459" i="42"/>
  <c r="AK134" i="42"/>
  <c r="AK16" i="42"/>
  <c r="AK132" i="42"/>
  <c r="AK138" i="42"/>
  <c r="AK15" i="42"/>
  <c r="AK135" i="42"/>
  <c r="AK283" i="42" s="1"/>
  <c r="AL14" i="42"/>
  <c r="AK170" i="42"/>
  <c r="AK173" i="42"/>
  <c r="AK254" i="42" s="1"/>
  <c r="AK133" i="42"/>
  <c r="AK136" i="42"/>
  <c r="AK171" i="42"/>
  <c r="AK148" i="42"/>
  <c r="P62" i="42"/>
  <c r="P46" i="42"/>
  <c r="P43" i="42"/>
  <c r="Q196" i="39"/>
  <c r="AH50" i="39"/>
  <c r="AJ512" i="39"/>
  <c r="AK328" i="39"/>
  <c r="AI177" i="42"/>
  <c r="AK323" i="39"/>
  <c r="AG158" i="42"/>
  <c r="P113" i="39"/>
  <c r="AF519" i="39"/>
  <c r="AF68" i="39"/>
  <c r="AJ396" i="42"/>
  <c r="AJ516" i="42"/>
  <c r="AK395" i="42"/>
  <c r="AJ145" i="39"/>
  <c r="AJ87" i="39" s="1"/>
  <c r="AK142" i="39"/>
  <c r="AI78" i="39"/>
  <c r="AI340" i="42"/>
  <c r="AJ475" i="42"/>
  <c r="P408" i="42"/>
  <c r="P66" i="42"/>
  <c r="Q411" i="42"/>
  <c r="AH92" i="42"/>
  <c r="AH178" i="42"/>
  <c r="AH476" i="42" s="1"/>
  <c r="AK169" i="39"/>
  <c r="AJ512" i="42"/>
  <c r="AK328" i="42"/>
  <c r="AI325" i="42"/>
  <c r="AI45" i="42" s="1"/>
  <c r="AJ324" i="42"/>
  <c r="AK285" i="39"/>
  <c r="AJ163" i="39"/>
  <c r="AJ90" i="39" s="1"/>
  <c r="AK162" i="39"/>
  <c r="AI325" i="39"/>
  <c r="AI45" i="39" s="1"/>
  <c r="AJ324" i="39"/>
  <c r="AI47" i="39"/>
  <c r="AJ329" i="39"/>
  <c r="AK168" i="39"/>
  <c r="AL13" i="42"/>
  <c r="AM12" i="42"/>
  <c r="AJ427" i="39"/>
  <c r="AK424" i="39"/>
  <c r="AJ494" i="42"/>
  <c r="AJ334" i="42"/>
  <c r="AK333" i="42"/>
  <c r="AI154" i="39"/>
  <c r="AI155" i="39" s="1"/>
  <c r="AK425" i="39"/>
  <c r="AH157" i="39"/>
  <c r="AH158" i="39" s="1"/>
  <c r="AI335" i="39"/>
  <c r="AJ518" i="42"/>
  <c r="AK453" i="42"/>
  <c r="AJ284" i="39"/>
  <c r="AH483" i="39"/>
  <c r="AI419" i="39"/>
  <c r="AH420" i="39"/>
  <c r="AH421" i="39" s="1"/>
  <c r="AH102" i="39" s="1"/>
  <c r="AH472" i="42"/>
  <c r="AG86" i="42"/>
  <c r="AE342" i="42"/>
  <c r="AE514" i="42"/>
  <c r="AJ460" i="42"/>
  <c r="AJ117" i="42" s="1"/>
  <c r="AJ511" i="42"/>
  <c r="AK457" i="42"/>
  <c r="AJ149" i="42"/>
  <c r="AJ286" i="39"/>
  <c r="AJ360" i="42"/>
  <c r="AK358" i="42"/>
  <c r="AK167" i="42"/>
  <c r="AJ172" i="42"/>
  <c r="AJ174" i="42" s="1"/>
  <c r="AK259" i="39"/>
  <c r="AF41" i="42"/>
  <c r="P500" i="42"/>
  <c r="P486" i="42"/>
  <c r="AJ427" i="42"/>
  <c r="AK424" i="42"/>
  <c r="AI340" i="39"/>
  <c r="AJ475" i="39"/>
  <c r="Q409" i="39"/>
  <c r="Q199" i="39"/>
  <c r="AJ382" i="42"/>
  <c r="AK381" i="42"/>
  <c r="AJ469" i="42"/>
  <c r="AK468" i="42"/>
  <c r="AH178" i="39"/>
  <c r="AH476" i="39" s="1"/>
  <c r="AH92" i="39"/>
  <c r="AJ137" i="39"/>
  <c r="AK448" i="39"/>
  <c r="AJ222" i="39"/>
  <c r="AJ223" i="39" s="1"/>
  <c r="AJ224" i="39" s="1"/>
  <c r="AK226" i="39"/>
  <c r="AI124" i="42"/>
  <c r="AJ454" i="42"/>
  <c r="AJ124" i="42" s="1"/>
  <c r="AE514" i="39"/>
  <c r="AI78" i="42"/>
  <c r="AI290" i="39"/>
  <c r="AJ175" i="39"/>
  <c r="AG159" i="39"/>
  <c r="AJ347" i="39"/>
  <c r="AJ351" i="39" s="1"/>
  <c r="AK346" i="39"/>
  <c r="AK347" i="39" s="1"/>
  <c r="L503" i="42"/>
  <c r="AF341" i="42"/>
  <c r="AG339" i="42"/>
  <c r="AI154" i="42"/>
  <c r="AI155" i="42" s="1"/>
  <c r="AJ268" i="42"/>
  <c r="AK176" i="42"/>
  <c r="AJ382" i="39"/>
  <c r="AK381" i="39"/>
  <c r="AN25" i="39"/>
  <c r="AO24" i="39"/>
  <c r="AO24" i="42"/>
  <c r="AN25" i="42"/>
  <c r="AC318" i="39"/>
  <c r="AH158" i="42" l="1"/>
  <c r="AL13" i="39"/>
  <c r="AM23" i="39"/>
  <c r="AN19" i="39"/>
  <c r="AN23" i="39" s="1"/>
  <c r="M232" i="42"/>
  <c r="M296" i="42" s="1"/>
  <c r="AK351" i="39"/>
  <c r="O53" i="39"/>
  <c r="O54" i="39"/>
  <c r="O56" i="39"/>
  <c r="O480" i="39"/>
  <c r="O499" i="39"/>
  <c r="AL323" i="42"/>
  <c r="AL448" i="42"/>
  <c r="AJ287" i="42"/>
  <c r="AK284" i="39"/>
  <c r="AJ177" i="42"/>
  <c r="AJ92" i="42" s="1"/>
  <c r="AK286" i="39"/>
  <c r="AK175" i="42"/>
  <c r="AK290" i="42" s="1"/>
  <c r="AL259" i="42"/>
  <c r="AL349" i="42"/>
  <c r="AI50" i="39"/>
  <c r="AJ154" i="42"/>
  <c r="AJ155" i="42" s="1"/>
  <c r="AL144" i="39"/>
  <c r="AL258" i="39"/>
  <c r="AI92" i="39"/>
  <c r="AL241" i="39"/>
  <c r="AL426" i="42"/>
  <c r="AL169" i="42"/>
  <c r="AK149" i="39"/>
  <c r="AL258" i="42"/>
  <c r="AL240" i="42"/>
  <c r="AL425" i="39"/>
  <c r="AL285" i="39"/>
  <c r="AL459" i="39"/>
  <c r="AL448" i="39"/>
  <c r="AL426" i="39"/>
  <c r="AL468" i="39"/>
  <c r="AL259" i="39"/>
  <c r="AL323" i="39"/>
  <c r="AJ88" i="42"/>
  <c r="AH159" i="39"/>
  <c r="AJ50" i="42"/>
  <c r="AL459" i="42"/>
  <c r="AK137" i="39"/>
  <c r="AK139" i="39" s="1"/>
  <c r="AL169" i="39"/>
  <c r="AK419" i="42"/>
  <c r="AK284" i="42"/>
  <c r="AK286" i="42"/>
  <c r="AH41" i="39"/>
  <c r="AK268" i="42"/>
  <c r="AL176" i="42"/>
  <c r="AG41" i="39"/>
  <c r="AJ290" i="39"/>
  <c r="AK175" i="39"/>
  <c r="AK290" i="39" s="1"/>
  <c r="AG341" i="42"/>
  <c r="AH339" i="42"/>
  <c r="AK222" i="39"/>
  <c r="AK223" i="39" s="1"/>
  <c r="AK224" i="39" s="1"/>
  <c r="AL226" i="39"/>
  <c r="AK382" i="42"/>
  <c r="AL381" i="42"/>
  <c r="AK360" i="42"/>
  <c r="AL358" i="42"/>
  <c r="AF342" i="42"/>
  <c r="AE120" i="42"/>
  <c r="AI483" i="39"/>
  <c r="AJ419" i="39"/>
  <c r="AI420" i="39"/>
  <c r="AI421" i="39" s="1"/>
  <c r="AI102" i="39" s="1"/>
  <c r="AM13" i="42"/>
  <c r="AN12" i="42"/>
  <c r="P98" i="42"/>
  <c r="P104" i="42" s="1"/>
  <c r="P59" i="42"/>
  <c r="AK512" i="39"/>
  <c r="AL328" i="39"/>
  <c r="AK149" i="42"/>
  <c r="AL148" i="42"/>
  <c r="AN20" i="39"/>
  <c r="AJ383" i="39"/>
  <c r="AJ101" i="39" s="1"/>
  <c r="AJ80" i="39"/>
  <c r="AL425" i="42"/>
  <c r="AJ177" i="39"/>
  <c r="Q206" i="39"/>
  <c r="AL285" i="42"/>
  <c r="AK360" i="39"/>
  <c r="AL358" i="39"/>
  <c r="AL168" i="42"/>
  <c r="AG519" i="42"/>
  <c r="AG68" i="42"/>
  <c r="AG159" i="42"/>
  <c r="AK516" i="39"/>
  <c r="AL395" i="39"/>
  <c r="AK493" i="42"/>
  <c r="AK501" i="42" s="1"/>
  <c r="AL443" i="42"/>
  <c r="AK105" i="42"/>
  <c r="AF514" i="39"/>
  <c r="AI269" i="42"/>
  <c r="AJ269" i="42" s="1"/>
  <c r="AL346" i="39"/>
  <c r="AL132" i="39"/>
  <c r="AM14" i="39"/>
  <c r="AL133" i="39"/>
  <c r="AL16" i="39"/>
  <c r="AL170" i="39"/>
  <c r="AL134" i="39"/>
  <c r="AL138" i="39"/>
  <c r="AL136" i="39"/>
  <c r="AL135" i="39"/>
  <c r="AL283" i="39" s="1"/>
  <c r="AL173" i="39"/>
  <c r="AL254" i="39" s="1"/>
  <c r="AL15" i="39"/>
  <c r="AL171" i="39"/>
  <c r="AK493" i="39"/>
  <c r="AK501" i="39" s="1"/>
  <c r="AK105" i="39"/>
  <c r="AL443" i="39"/>
  <c r="AJ420" i="42"/>
  <c r="AJ421" i="42" s="1"/>
  <c r="AJ102" i="42" s="1"/>
  <c r="AJ483" i="42"/>
  <c r="AL346" i="42"/>
  <c r="AK347" i="42"/>
  <c r="AK351" i="42" s="1"/>
  <c r="AK494" i="39"/>
  <c r="AK334" i="39"/>
  <c r="AL333" i="39"/>
  <c r="M49" i="39"/>
  <c r="M44" i="39"/>
  <c r="L488" i="42"/>
  <c r="AJ139" i="39"/>
  <c r="AK427" i="39"/>
  <c r="AL424" i="39"/>
  <c r="AJ325" i="42"/>
  <c r="AJ45" i="42" s="1"/>
  <c r="AK324" i="42"/>
  <c r="AJ340" i="42"/>
  <c r="AK475" i="42"/>
  <c r="AJ154" i="39"/>
  <c r="AJ155" i="39" s="1"/>
  <c r="AK516" i="42"/>
  <c r="AL395" i="42"/>
  <c r="AH159" i="42"/>
  <c r="AI158" i="42"/>
  <c r="P118" i="42"/>
  <c r="P119" i="42" s="1"/>
  <c r="P107" i="42"/>
  <c r="P450" i="42" s="1"/>
  <c r="AJ124" i="39"/>
  <c r="AK454" i="39"/>
  <c r="AJ122" i="39"/>
  <c r="AK396" i="39"/>
  <c r="AK122" i="39" s="1"/>
  <c r="AK507" i="39"/>
  <c r="AL321" i="39"/>
  <c r="AN20" i="42"/>
  <c r="AO19" i="42" s="1"/>
  <c r="AN23" i="42"/>
  <c r="AK413" i="39"/>
  <c r="AL410" i="39"/>
  <c r="AI472" i="39"/>
  <c r="AH86" i="39"/>
  <c r="AL241" i="42"/>
  <c r="AL167" i="39"/>
  <c r="AK172" i="39"/>
  <c r="AK174" i="39" s="1"/>
  <c r="Q207" i="39"/>
  <c r="R194" i="39" s="1"/>
  <c r="AM13" i="39"/>
  <c r="AI474" i="42"/>
  <c r="AK145" i="42"/>
  <c r="AK87" i="42" s="1"/>
  <c r="AL142" i="42"/>
  <c r="AK473" i="42"/>
  <c r="AJ123" i="42"/>
  <c r="AK400" i="42"/>
  <c r="AF89" i="39"/>
  <c r="AE99" i="39"/>
  <c r="AE91" i="39"/>
  <c r="AK511" i="39"/>
  <c r="AK460" i="39"/>
  <c r="AK117" i="39" s="1"/>
  <c r="AL457" i="39"/>
  <c r="AK400" i="39"/>
  <c r="AK123" i="39" s="1"/>
  <c r="AK517" i="39"/>
  <c r="AL399" i="39"/>
  <c r="AK268" i="39"/>
  <c r="AL176" i="39"/>
  <c r="AF514" i="42"/>
  <c r="AJ340" i="39"/>
  <c r="AK475" i="39"/>
  <c r="AK469" i="42"/>
  <c r="AL468" i="42"/>
  <c r="Q508" i="39"/>
  <c r="Q513" i="39" s="1"/>
  <c r="Q202" i="39"/>
  <c r="Q205" i="39"/>
  <c r="R192" i="39" s="1"/>
  <c r="AI472" i="42"/>
  <c r="AH86" i="42"/>
  <c r="AI157" i="39"/>
  <c r="AI158" i="39" s="1"/>
  <c r="AJ335" i="39"/>
  <c r="AL333" i="42"/>
  <c r="AK334" i="42"/>
  <c r="AK494" i="42"/>
  <c r="AL168" i="39"/>
  <c r="AJ287" i="39"/>
  <c r="Q409" i="42"/>
  <c r="Q199" i="42"/>
  <c r="Q414" i="42"/>
  <c r="P113" i="42"/>
  <c r="AL136" i="42"/>
  <c r="AL16" i="42"/>
  <c r="AL173" i="42"/>
  <c r="AL254" i="42" s="1"/>
  <c r="AL15" i="42"/>
  <c r="AL134" i="42"/>
  <c r="AL170" i="42"/>
  <c r="AL138" i="42"/>
  <c r="AM14" i="42"/>
  <c r="AL132" i="42"/>
  <c r="AL135" i="42"/>
  <c r="AL283" i="42" s="1"/>
  <c r="AL133" i="42"/>
  <c r="AL171" i="42"/>
  <c r="AK137" i="42"/>
  <c r="AK222" i="42"/>
  <c r="AK223" i="42" s="1"/>
  <c r="AK224" i="42" s="1"/>
  <c r="AL226" i="42"/>
  <c r="M239" i="42"/>
  <c r="M300" i="42"/>
  <c r="M270" i="42"/>
  <c r="M279" i="42"/>
  <c r="M252" i="42"/>
  <c r="M253" i="42"/>
  <c r="M256" i="42"/>
  <c r="M304" i="42"/>
  <c r="M251" i="42"/>
  <c r="M308" i="42"/>
  <c r="M275" i="42"/>
  <c r="M179" i="42"/>
  <c r="AJ88" i="39"/>
  <c r="AH492" i="39"/>
  <c r="AH495" i="39" s="1"/>
  <c r="AI474" i="39"/>
  <c r="L216" i="42"/>
  <c r="AJ335" i="42"/>
  <c r="AJ157" i="42" s="1"/>
  <c r="AH449" i="39"/>
  <c r="AI447" i="39"/>
  <c r="AL379" i="42"/>
  <c r="AK482" i="42"/>
  <c r="AK380" i="42"/>
  <c r="AK413" i="42"/>
  <c r="AL410" i="42"/>
  <c r="AK517" i="42"/>
  <c r="AL399" i="42"/>
  <c r="AL321" i="42"/>
  <c r="AK507" i="42"/>
  <c r="AL240" i="39"/>
  <c r="AE91" i="42"/>
  <c r="AF89" i="42"/>
  <c r="AE99" i="42"/>
  <c r="AJ47" i="42"/>
  <c r="AK329" i="42"/>
  <c r="AJ78" i="39"/>
  <c r="AK163" i="42"/>
  <c r="AK90" i="42" s="1"/>
  <c r="AL162" i="42"/>
  <c r="P125" i="39"/>
  <c r="P93" i="39"/>
  <c r="AK415" i="42"/>
  <c r="AJ325" i="39"/>
  <c r="AJ45" i="39" s="1"/>
  <c r="AK324" i="39"/>
  <c r="AK325" i="39" s="1"/>
  <c r="AK45" i="39" s="1"/>
  <c r="AK382" i="39"/>
  <c r="AL381" i="39"/>
  <c r="Q412" i="39"/>
  <c r="Q406" i="39" s="1"/>
  <c r="Q404" i="39"/>
  <c r="AK427" i="42"/>
  <c r="AL424" i="42"/>
  <c r="AL167" i="42"/>
  <c r="AK172" i="42"/>
  <c r="AK174" i="42" s="1"/>
  <c r="AK511" i="42"/>
  <c r="AK460" i="42"/>
  <c r="AK117" i="42" s="1"/>
  <c r="AL457" i="42"/>
  <c r="AK454" i="42"/>
  <c r="AK518" i="42"/>
  <c r="AL453" i="42"/>
  <c r="AJ78" i="42"/>
  <c r="AJ47" i="39"/>
  <c r="AK329" i="39"/>
  <c r="AK163" i="39"/>
  <c r="AK90" i="39" s="1"/>
  <c r="AL162" i="39"/>
  <c r="AK512" i="42"/>
  <c r="AL328" i="42"/>
  <c r="AK145" i="39"/>
  <c r="AK87" i="39" s="1"/>
  <c r="AL142" i="39"/>
  <c r="AJ122" i="42"/>
  <c r="AK396" i="42"/>
  <c r="AI178" i="42"/>
  <c r="AI476" i="42" s="1"/>
  <c r="AI92" i="42"/>
  <c r="AK380" i="39"/>
  <c r="AK482" i="39"/>
  <c r="AL379" i="39"/>
  <c r="AI50" i="42"/>
  <c r="AG519" i="39"/>
  <c r="AG68" i="39"/>
  <c r="AJ383" i="42"/>
  <c r="AJ101" i="42" s="1"/>
  <c r="AJ80" i="42"/>
  <c r="AF342" i="39"/>
  <c r="AE120" i="39"/>
  <c r="AH449" i="42"/>
  <c r="AI447" i="42"/>
  <c r="AK518" i="39"/>
  <c r="AL453" i="39"/>
  <c r="AH339" i="39"/>
  <c r="AG341" i="39"/>
  <c r="AL349" i="39"/>
  <c r="AL148" i="39"/>
  <c r="AL144" i="42"/>
  <c r="AK473" i="39"/>
  <c r="M121" i="39"/>
  <c r="M126" i="39" s="1"/>
  <c r="M96" i="39"/>
  <c r="M97" i="39" s="1"/>
  <c r="AK469" i="39"/>
  <c r="AO25" i="39"/>
  <c r="AP24" i="39"/>
  <c r="AO25" i="42"/>
  <c r="AP24" i="42"/>
  <c r="AC208" i="39"/>
  <c r="AC195" i="39"/>
  <c r="AJ178" i="42" l="1"/>
  <c r="AJ476" i="42" s="1"/>
  <c r="AN12" i="39"/>
  <c r="AO19" i="39"/>
  <c r="AO23" i="39" s="1"/>
  <c r="M250" i="42"/>
  <c r="M257" i="42" s="1"/>
  <c r="M260" i="42" s="1"/>
  <c r="M291" i="42"/>
  <c r="M192" i="42" s="1"/>
  <c r="M48" i="39"/>
  <c r="M127" i="39" s="1"/>
  <c r="AL175" i="39"/>
  <c r="AM285" i="39"/>
  <c r="O502" i="39"/>
  <c r="O75" i="39" s="1"/>
  <c r="O506" i="39"/>
  <c r="O521" i="39" s="1"/>
  <c r="O487" i="39"/>
  <c r="O491" i="39"/>
  <c r="AL284" i="39"/>
  <c r="AM349" i="42"/>
  <c r="AL286" i="39"/>
  <c r="AK287" i="39"/>
  <c r="AK177" i="42"/>
  <c r="AK92" i="42" s="1"/>
  <c r="AL175" i="42"/>
  <c r="AL290" i="42" s="1"/>
  <c r="AL469" i="39"/>
  <c r="AM240" i="42"/>
  <c r="AL415" i="42"/>
  <c r="AM323" i="39"/>
  <c r="AM144" i="42"/>
  <c r="AL413" i="42"/>
  <c r="AM168" i="39"/>
  <c r="Q52" i="39"/>
  <c r="AK177" i="39"/>
  <c r="AK92" i="39" s="1"/>
  <c r="AM448" i="39"/>
  <c r="AL137" i="42"/>
  <c r="AL139" i="42" s="1"/>
  <c r="AM258" i="39"/>
  <c r="AM426" i="39"/>
  <c r="AM241" i="39"/>
  <c r="AM240" i="39"/>
  <c r="AM169" i="39"/>
  <c r="AJ50" i="39"/>
  <c r="AL419" i="42"/>
  <c r="AI159" i="39"/>
  <c r="AM349" i="39"/>
  <c r="AL512" i="42"/>
  <c r="AM328" i="42"/>
  <c r="AK47" i="39"/>
  <c r="AL329" i="39"/>
  <c r="AL511" i="42"/>
  <c r="AL460" i="42"/>
  <c r="AL117" i="42" s="1"/>
  <c r="AM457" i="42"/>
  <c r="AM167" i="42"/>
  <c r="AL172" i="42"/>
  <c r="AL174" i="42" s="1"/>
  <c r="Q407" i="39"/>
  <c r="AG89" i="42"/>
  <c r="AG99" i="42" s="1"/>
  <c r="AF99" i="42"/>
  <c r="AF91" i="42"/>
  <c r="AM321" i="42"/>
  <c r="AL507" i="42"/>
  <c r="AM410" i="42"/>
  <c r="AM379" i="42"/>
  <c r="AL482" i="42"/>
  <c r="AL380" i="42"/>
  <c r="AI492" i="39"/>
  <c r="AI495" i="39" s="1"/>
  <c r="AJ474" i="39"/>
  <c r="M276" i="42"/>
  <c r="M305" i="42"/>
  <c r="M301" i="42"/>
  <c r="AK335" i="42"/>
  <c r="AK157" i="42" s="1"/>
  <c r="AK78" i="42"/>
  <c r="Q114" i="39"/>
  <c r="Q100" i="39"/>
  <c r="AM169" i="42"/>
  <c r="AG89" i="39"/>
  <c r="AF99" i="39"/>
  <c r="AF91" i="39"/>
  <c r="AM142" i="42"/>
  <c r="AL145" i="42"/>
  <c r="AL87" i="42" s="1"/>
  <c r="AL427" i="39"/>
  <c r="AM424" i="39"/>
  <c r="AL290" i="39"/>
  <c r="AJ178" i="39"/>
  <c r="AJ476" i="39" s="1"/>
  <c r="AJ92" i="39"/>
  <c r="AM148" i="42"/>
  <c r="AM426" i="42"/>
  <c r="AO12" i="42"/>
  <c r="AN13" i="42"/>
  <c r="AJ483" i="39"/>
  <c r="AJ420" i="39"/>
  <c r="AJ421" i="39" s="1"/>
  <c r="AJ102" i="39" s="1"/>
  <c r="AK419" i="39"/>
  <c r="AF120" i="42"/>
  <c r="AL382" i="42"/>
  <c r="AM381" i="42"/>
  <c r="AH341" i="42"/>
  <c r="AI339" i="42"/>
  <c r="AJ269" i="39"/>
  <c r="AK269" i="39" s="1"/>
  <c r="AL268" i="42"/>
  <c r="AM176" i="42"/>
  <c r="AL284" i="42"/>
  <c r="AG514" i="39"/>
  <c r="AI449" i="42"/>
  <c r="AJ447" i="42"/>
  <c r="AK383" i="39"/>
  <c r="AK101" i="39" s="1"/>
  <c r="AK80" i="39"/>
  <c r="AL473" i="39"/>
  <c r="AL145" i="39"/>
  <c r="AL87" i="39" s="1"/>
  <c r="AM142" i="39"/>
  <c r="AL518" i="42"/>
  <c r="AM453" i="42"/>
  <c r="AM424" i="42"/>
  <c r="AL427" i="42"/>
  <c r="AL163" i="42"/>
  <c r="AL90" i="42" s="1"/>
  <c r="AM162" i="42"/>
  <c r="AK47" i="42"/>
  <c r="AL329" i="42"/>
  <c r="AL517" i="42"/>
  <c r="AM399" i="42"/>
  <c r="AI449" i="39"/>
  <c r="AJ447" i="39"/>
  <c r="M309" i="42"/>
  <c r="M280" i="42"/>
  <c r="M242" i="42"/>
  <c r="AK139" i="42"/>
  <c r="AK269" i="42" s="1"/>
  <c r="Q201" i="42"/>
  <c r="Q200" i="42"/>
  <c r="AL334" i="42"/>
  <c r="AL494" i="42"/>
  <c r="AM333" i="42"/>
  <c r="AK340" i="39"/>
  <c r="AL475" i="39"/>
  <c r="AL268" i="39"/>
  <c r="AM176" i="39"/>
  <c r="AL400" i="42"/>
  <c r="AK123" i="42"/>
  <c r="AM167" i="39"/>
  <c r="AL172" i="39"/>
  <c r="AL174" i="39" s="1"/>
  <c r="AJ472" i="39"/>
  <c r="AI86" i="39"/>
  <c r="AM459" i="42"/>
  <c r="AI159" i="42"/>
  <c r="AJ158" i="42"/>
  <c r="AJ159" i="42" s="1"/>
  <c r="AK325" i="42"/>
  <c r="AK45" i="42" s="1"/>
  <c r="AL324" i="42"/>
  <c r="AL494" i="39"/>
  <c r="AM333" i="39"/>
  <c r="AL334" i="39"/>
  <c r="AM132" i="39"/>
  <c r="AM133" i="39"/>
  <c r="AM135" i="39"/>
  <c r="AM283" i="39" s="1"/>
  <c r="AM134" i="39"/>
  <c r="AM16" i="39"/>
  <c r="AM138" i="39"/>
  <c r="AM170" i="39"/>
  <c r="AM173" i="39"/>
  <c r="AM254" i="39" s="1"/>
  <c r="AM136" i="39"/>
  <c r="AM15" i="39"/>
  <c r="AM171" i="39"/>
  <c r="AN14" i="39"/>
  <c r="AL493" i="42"/>
  <c r="AL501" i="42" s="1"/>
  <c r="AM443" i="42"/>
  <c r="AL105" i="42"/>
  <c r="AL396" i="39"/>
  <c r="AL122" i="39" s="1"/>
  <c r="AL516" i="39"/>
  <c r="AM395" i="39"/>
  <c r="AM285" i="42"/>
  <c r="AM425" i="42"/>
  <c r="AM459" i="39"/>
  <c r="AL149" i="42"/>
  <c r="AG342" i="42"/>
  <c r="AG514" i="42"/>
  <c r="AM259" i="39"/>
  <c r="AK287" i="42"/>
  <c r="AI339" i="39"/>
  <c r="AH341" i="39"/>
  <c r="AF120" i="39"/>
  <c r="AG342" i="39"/>
  <c r="AL163" i="39"/>
  <c r="AL90" i="39" s="1"/>
  <c r="AM162" i="39"/>
  <c r="AK383" i="42"/>
  <c r="AK101" i="42" s="1"/>
  <c r="AK80" i="42"/>
  <c r="AH519" i="39"/>
  <c r="AH68" i="39"/>
  <c r="L94" i="42"/>
  <c r="L121" i="42" s="1"/>
  <c r="L126" i="42" s="1"/>
  <c r="L42" i="42"/>
  <c r="AK88" i="39"/>
  <c r="M297" i="42"/>
  <c r="AM170" i="42"/>
  <c r="AM136" i="42"/>
  <c r="AM138" i="42"/>
  <c r="AM134" i="42"/>
  <c r="AM173" i="42"/>
  <c r="AM254" i="42" s="1"/>
  <c r="AM133" i="42"/>
  <c r="AM15" i="42"/>
  <c r="AM132" i="42"/>
  <c r="AM135" i="42"/>
  <c r="AM283" i="42" s="1"/>
  <c r="AM16" i="42"/>
  <c r="AM171" i="42"/>
  <c r="AN14" i="42"/>
  <c r="Q508" i="42"/>
  <c r="Q513" i="42" s="1"/>
  <c r="AI86" i="42"/>
  <c r="AJ472" i="42"/>
  <c r="AM468" i="42"/>
  <c r="AI492" i="42"/>
  <c r="AI495" i="42" s="1"/>
  <c r="AJ474" i="42"/>
  <c r="AM241" i="42"/>
  <c r="AO20" i="42"/>
  <c r="AP19" i="42" s="1"/>
  <c r="AO23" i="42"/>
  <c r="AH41" i="42"/>
  <c r="AK340" i="42"/>
  <c r="AL475" i="42"/>
  <c r="AK335" i="39"/>
  <c r="AK157" i="39" s="1"/>
  <c r="AK78" i="39"/>
  <c r="AL347" i="42"/>
  <c r="AL351" i="42" s="1"/>
  <c r="AM346" i="42"/>
  <c r="AL493" i="39"/>
  <c r="AL501" i="39" s="1"/>
  <c r="AM443" i="39"/>
  <c r="AL105" i="39"/>
  <c r="AL137" i="39"/>
  <c r="AM168" i="42"/>
  <c r="R193" i="39"/>
  <c r="R196" i="39" s="1"/>
  <c r="AL512" i="39"/>
  <c r="AM328" i="39"/>
  <c r="AM425" i="39"/>
  <c r="AM358" i="42"/>
  <c r="AL360" i="42"/>
  <c r="AM323" i="42"/>
  <c r="AM259" i="42"/>
  <c r="AM448" i="42"/>
  <c r="AL415" i="39"/>
  <c r="M112" i="39"/>
  <c r="M106" i="39"/>
  <c r="AL149" i="39"/>
  <c r="AM148" i="39"/>
  <c r="AH519" i="42"/>
  <c r="AH68" i="42"/>
  <c r="AL518" i="39"/>
  <c r="AM453" i="39"/>
  <c r="AL482" i="39"/>
  <c r="AM379" i="39"/>
  <c r="AL380" i="39"/>
  <c r="AL396" i="42"/>
  <c r="AK122" i="42"/>
  <c r="AK154" i="42"/>
  <c r="AK124" i="42"/>
  <c r="AL454" i="42"/>
  <c r="Q481" i="39"/>
  <c r="Q405" i="39"/>
  <c r="AL382" i="39"/>
  <c r="AM381" i="39"/>
  <c r="AK154" i="39"/>
  <c r="AK155" i="39" s="1"/>
  <c r="AK50" i="39" s="1"/>
  <c r="M180" i="42"/>
  <c r="M183" i="42" s="1"/>
  <c r="M271" i="42"/>
  <c r="M272" i="42" s="1"/>
  <c r="AL222" i="42"/>
  <c r="AL223" i="42" s="1"/>
  <c r="AL224" i="42" s="1"/>
  <c r="AM226" i="42"/>
  <c r="Q412" i="42"/>
  <c r="Q406" i="42" s="1"/>
  <c r="Q404" i="42"/>
  <c r="AJ157" i="39"/>
  <c r="AJ158" i="39" s="1"/>
  <c r="AM258" i="42"/>
  <c r="Q477" i="39"/>
  <c r="Q209" i="39"/>
  <c r="AL469" i="42"/>
  <c r="AL400" i="39"/>
  <c r="AL123" i="39" s="1"/>
  <c r="AM399" i="39"/>
  <c r="AL517" i="39"/>
  <c r="AL511" i="39"/>
  <c r="AL460" i="39"/>
  <c r="AL117" i="39" s="1"/>
  <c r="AM457" i="39"/>
  <c r="AL473" i="42"/>
  <c r="AN13" i="39"/>
  <c r="AO12" i="39"/>
  <c r="AL413" i="39"/>
  <c r="AM410" i="39"/>
  <c r="AL324" i="39"/>
  <c r="AL325" i="39" s="1"/>
  <c r="AL45" i="39" s="1"/>
  <c r="AL507" i="39"/>
  <c r="AM321" i="39"/>
  <c r="AK124" i="39"/>
  <c r="AL454" i="39"/>
  <c r="P125" i="42"/>
  <c r="AL516" i="42"/>
  <c r="AM395" i="42"/>
  <c r="AL347" i="39"/>
  <c r="AM346" i="39"/>
  <c r="AM468" i="39"/>
  <c r="AG41" i="42"/>
  <c r="AL360" i="39"/>
  <c r="AM358" i="39"/>
  <c r="AO20" i="39"/>
  <c r="AM144" i="39"/>
  <c r="AL222" i="39"/>
  <c r="AL223" i="39" s="1"/>
  <c r="AL224" i="39" s="1"/>
  <c r="AM226" i="39"/>
  <c r="AK88" i="42"/>
  <c r="AL286" i="42"/>
  <c r="AK483" i="42"/>
  <c r="AK420" i="42"/>
  <c r="AK421" i="42" s="1"/>
  <c r="AP25" i="42"/>
  <c r="AQ24" i="42"/>
  <c r="AP25" i="39"/>
  <c r="AQ24" i="39"/>
  <c r="M292" i="42" l="1"/>
  <c r="M293" i="42" s="1"/>
  <c r="M317" i="42" s="1"/>
  <c r="AM175" i="42"/>
  <c r="AM290" i="42" s="1"/>
  <c r="AP19" i="39"/>
  <c r="AP20" i="39" s="1"/>
  <c r="AM175" i="39"/>
  <c r="AM290" i="39" s="1"/>
  <c r="AL177" i="39"/>
  <c r="AL178" i="39" s="1"/>
  <c r="AL476" i="39" s="1"/>
  <c r="O503" i="39"/>
  <c r="AN285" i="39"/>
  <c r="AL177" i="42"/>
  <c r="AL92" i="42" s="1"/>
  <c r="AL287" i="39"/>
  <c r="O496" i="39"/>
  <c r="O55" i="39"/>
  <c r="AM286" i="39"/>
  <c r="P212" i="39"/>
  <c r="O77" i="39"/>
  <c r="O79" i="39" s="1"/>
  <c r="O82" i="39" s="1"/>
  <c r="O67" i="39"/>
  <c r="O69" i="39" s="1"/>
  <c r="O71" i="39" s="1"/>
  <c r="AK178" i="42"/>
  <c r="AK476" i="42" s="1"/>
  <c r="AM469" i="42"/>
  <c r="AN144" i="39"/>
  <c r="AK178" i="39"/>
  <c r="AK476" i="39" s="1"/>
  <c r="AN144" i="42"/>
  <c r="AM473" i="42"/>
  <c r="Q202" i="42"/>
  <c r="Q114" i="42" s="1"/>
  <c r="AM413" i="42"/>
  <c r="AL154" i="39"/>
  <c r="AL155" i="39" s="1"/>
  <c r="AN259" i="42"/>
  <c r="AN425" i="39"/>
  <c r="AN168" i="42"/>
  <c r="AN258" i="42"/>
  <c r="AN258" i="39"/>
  <c r="AM149" i="42"/>
  <c r="AL88" i="42"/>
  <c r="AM415" i="39"/>
  <c r="AM284" i="39"/>
  <c r="AN169" i="39"/>
  <c r="AN323" i="42"/>
  <c r="AN168" i="39"/>
  <c r="AL269" i="42"/>
  <c r="AM473" i="39"/>
  <c r="AN468" i="42"/>
  <c r="M205" i="42"/>
  <c r="M52" i="42" s="1"/>
  <c r="AN240" i="42"/>
  <c r="AN448" i="42"/>
  <c r="AN241" i="42"/>
  <c r="AJ159" i="39"/>
  <c r="AK158" i="39"/>
  <c r="AK159" i="39" s="1"/>
  <c r="AM286" i="42"/>
  <c r="AM347" i="39"/>
  <c r="AM351" i="39" s="1"/>
  <c r="AN346" i="39"/>
  <c r="AM413" i="39"/>
  <c r="AN410" i="39"/>
  <c r="Q407" i="42"/>
  <c r="M316" i="42"/>
  <c r="AK155" i="42"/>
  <c r="AK50" i="42" s="1"/>
  <c r="AL383" i="39"/>
  <c r="AL101" i="39" s="1"/>
  <c r="AL80" i="39"/>
  <c r="AM518" i="39"/>
  <c r="AN453" i="39"/>
  <c r="AM149" i="39"/>
  <c r="AN148" i="39"/>
  <c r="AL139" i="39"/>
  <c r="AJ86" i="42"/>
  <c r="AK472" i="42"/>
  <c r="L96" i="42"/>
  <c r="L97" i="42" s="1"/>
  <c r="AI341" i="39"/>
  <c r="AJ339" i="39"/>
  <c r="AN425" i="42"/>
  <c r="AM137" i="39"/>
  <c r="AM494" i="39"/>
  <c r="AM334" i="39"/>
  <c r="AN333" i="39"/>
  <c r="AN333" i="42"/>
  <c r="AM494" i="42"/>
  <c r="AM334" i="42"/>
  <c r="AI519" i="39"/>
  <c r="AI68" i="39"/>
  <c r="AL47" i="42"/>
  <c r="AM329" i="42"/>
  <c r="AM415" i="42"/>
  <c r="AM427" i="42"/>
  <c r="AN424" i="42"/>
  <c r="AJ449" i="42"/>
  <c r="AK447" i="42"/>
  <c r="AN426" i="42"/>
  <c r="AH89" i="39"/>
  <c r="AG99" i="39"/>
  <c r="AG91" i="39"/>
  <c r="AL383" i="42"/>
  <c r="AL101" i="42" s="1"/>
  <c r="AL80" i="42"/>
  <c r="AN410" i="42"/>
  <c r="AM511" i="42"/>
  <c r="AM460" i="42"/>
  <c r="AM117" i="42" s="1"/>
  <c r="AN457" i="42"/>
  <c r="AL351" i="39"/>
  <c r="AN395" i="42"/>
  <c r="AM516" i="42"/>
  <c r="AL124" i="39"/>
  <c r="AM454" i="39"/>
  <c r="AM124" i="39" s="1"/>
  <c r="AM511" i="39"/>
  <c r="AM460" i="39"/>
  <c r="AM117" i="39" s="1"/>
  <c r="AN457" i="39"/>
  <c r="AM400" i="39"/>
  <c r="AM123" i="39" s="1"/>
  <c r="AM517" i="39"/>
  <c r="AN399" i="39"/>
  <c r="AM222" i="42"/>
  <c r="AM223" i="42" s="1"/>
  <c r="AM224" i="42" s="1"/>
  <c r="AN226" i="42"/>
  <c r="AM482" i="39"/>
  <c r="AM380" i="39"/>
  <c r="AN379" i="39"/>
  <c r="AN358" i="42"/>
  <c r="AM360" i="42"/>
  <c r="AM493" i="39"/>
  <c r="AM501" i="39" s="1"/>
  <c r="AM105" i="39"/>
  <c r="AN443" i="39"/>
  <c r="AL340" i="42"/>
  <c r="AM475" i="42"/>
  <c r="AJ492" i="42"/>
  <c r="AJ495" i="42" s="1"/>
  <c r="AK474" i="42"/>
  <c r="AK492" i="42" s="1"/>
  <c r="AK495" i="42" s="1"/>
  <c r="AM163" i="39"/>
  <c r="AM90" i="39" s="1"/>
  <c r="AN162" i="39"/>
  <c r="AH342" i="39"/>
  <c r="AG120" i="39"/>
  <c r="AG120" i="42"/>
  <c r="AN285" i="42"/>
  <c r="AN16" i="39"/>
  <c r="AN171" i="39"/>
  <c r="AN132" i="39"/>
  <c r="AN138" i="39"/>
  <c r="AN136" i="39"/>
  <c r="AN170" i="39"/>
  <c r="AN173" i="39"/>
  <c r="AN254" i="39" s="1"/>
  <c r="AN135" i="39"/>
  <c r="AN283" i="39" s="1"/>
  <c r="AN133" i="39"/>
  <c r="AN15" i="39"/>
  <c r="AN134" i="39"/>
  <c r="AO14" i="39"/>
  <c r="AJ41" i="42"/>
  <c r="AJ86" i="39"/>
  <c r="AK472" i="39"/>
  <c r="AL340" i="39"/>
  <c r="AM475" i="39"/>
  <c r="AN453" i="42"/>
  <c r="AM518" i="42"/>
  <c r="AI519" i="42"/>
  <c r="AI68" i="42"/>
  <c r="AM284" i="42"/>
  <c r="AI341" i="42"/>
  <c r="AJ339" i="42"/>
  <c r="AN148" i="42"/>
  <c r="AM145" i="42"/>
  <c r="AM87" i="42" s="1"/>
  <c r="AN142" i="42"/>
  <c r="AN169" i="42"/>
  <c r="AH89" i="42"/>
  <c r="AG91" i="42"/>
  <c r="Q46" i="39"/>
  <c r="Q43" i="39"/>
  <c r="Q62" i="39"/>
  <c r="AM512" i="42"/>
  <c r="AN328" i="42"/>
  <c r="AL483" i="42"/>
  <c r="AL420" i="42"/>
  <c r="AL421" i="42" s="1"/>
  <c r="AL102" i="42" s="1"/>
  <c r="AM419" i="42"/>
  <c r="AK102" i="42"/>
  <c r="AM222" i="39"/>
  <c r="AM223" i="39" s="1"/>
  <c r="AM224" i="39" s="1"/>
  <c r="AN226" i="39"/>
  <c r="AM324" i="39"/>
  <c r="AO13" i="39"/>
  <c r="Q408" i="39"/>
  <c r="Q66" i="39"/>
  <c r="R411" i="39"/>
  <c r="AM454" i="42"/>
  <c r="AL124" i="42"/>
  <c r="M108" i="39"/>
  <c r="M109" i="39" s="1"/>
  <c r="M74" i="39"/>
  <c r="AP20" i="42"/>
  <c r="AQ19" i="42" s="1"/>
  <c r="AP23" i="42"/>
  <c r="AN133" i="42"/>
  <c r="AN15" i="42"/>
  <c r="AN175" i="42" s="1"/>
  <c r="AN134" i="42"/>
  <c r="AN173" i="42"/>
  <c r="AN254" i="42" s="1"/>
  <c r="AN170" i="42"/>
  <c r="AN171" i="42"/>
  <c r="AN16" i="42"/>
  <c r="AN135" i="42"/>
  <c r="AN283" i="42" s="1"/>
  <c r="AN136" i="42"/>
  <c r="AN138" i="42"/>
  <c r="AN132" i="42"/>
  <c r="AO14" i="42"/>
  <c r="AM137" i="42"/>
  <c r="M194" i="42"/>
  <c r="M207" i="42"/>
  <c r="AL88" i="39"/>
  <c r="AN259" i="39"/>
  <c r="AM396" i="39"/>
  <c r="AM516" i="39"/>
  <c r="AN395" i="39"/>
  <c r="AI41" i="42"/>
  <c r="AL92" i="39"/>
  <c r="AL123" i="42"/>
  <c r="AM400" i="42"/>
  <c r="AL335" i="42"/>
  <c r="AL78" i="42"/>
  <c r="AM517" i="42"/>
  <c r="AN399" i="42"/>
  <c r="AM163" i="42"/>
  <c r="AM90" i="42" s="1"/>
  <c r="AN162" i="42"/>
  <c r="AN448" i="39"/>
  <c r="AM268" i="42"/>
  <c r="AN176" i="42"/>
  <c r="AH342" i="42"/>
  <c r="AH514" i="42"/>
  <c r="AN323" i="39"/>
  <c r="AJ492" i="39"/>
  <c r="AJ495" i="39" s="1"/>
  <c r="AK474" i="39"/>
  <c r="AK492" i="39" s="1"/>
  <c r="AK495" i="39" s="1"/>
  <c r="AN379" i="42"/>
  <c r="AM482" i="42"/>
  <c r="AM380" i="42"/>
  <c r="AN321" i="42"/>
  <c r="AM507" i="42"/>
  <c r="AN241" i="39"/>
  <c r="AI41" i="39"/>
  <c r="AM360" i="39"/>
  <c r="AN358" i="39"/>
  <c r="AM469" i="39"/>
  <c r="AN468" i="39"/>
  <c r="AM507" i="39"/>
  <c r="AN321" i="39"/>
  <c r="Q405" i="42"/>
  <c r="Q481" i="42"/>
  <c r="AM382" i="39"/>
  <c r="AN381" i="39"/>
  <c r="Q500" i="39"/>
  <c r="Q486" i="39"/>
  <c r="AM396" i="42"/>
  <c r="AL122" i="42"/>
  <c r="AM512" i="39"/>
  <c r="AN328" i="39"/>
  <c r="AM347" i="42"/>
  <c r="AM351" i="42" s="1"/>
  <c r="AN346" i="42"/>
  <c r="L49" i="42"/>
  <c r="L44" i="42"/>
  <c r="AN240" i="39"/>
  <c r="AN426" i="39"/>
  <c r="AH514" i="39"/>
  <c r="AN459" i="39"/>
  <c r="AM493" i="42"/>
  <c r="AM501" i="42" s="1"/>
  <c r="AN443" i="42"/>
  <c r="AM105" i="42"/>
  <c r="AL335" i="39"/>
  <c r="AL78" i="39"/>
  <c r="AL325" i="42"/>
  <c r="AL45" i="42" s="1"/>
  <c r="AM324" i="42"/>
  <c r="AN459" i="42"/>
  <c r="AN167" i="39"/>
  <c r="AM172" i="39"/>
  <c r="AM174" i="39" s="1"/>
  <c r="AM268" i="39"/>
  <c r="AN176" i="39"/>
  <c r="AJ449" i="39"/>
  <c r="AK447" i="39"/>
  <c r="AM145" i="39"/>
  <c r="AM87" i="39" s="1"/>
  <c r="AN142" i="39"/>
  <c r="AM382" i="42"/>
  <c r="AN381" i="42"/>
  <c r="AK483" i="39"/>
  <c r="AK420" i="39"/>
  <c r="AK421" i="39" s="1"/>
  <c r="AK102" i="39" s="1"/>
  <c r="AL419" i="39"/>
  <c r="AP12" i="42"/>
  <c r="AO13" i="42"/>
  <c r="AM427" i="39"/>
  <c r="AN424" i="39"/>
  <c r="AL154" i="42"/>
  <c r="AL155" i="42" s="1"/>
  <c r="AN167" i="42"/>
  <c r="AM172" i="42"/>
  <c r="AM174" i="42" s="1"/>
  <c r="AL47" i="39"/>
  <c r="AM329" i="39"/>
  <c r="AN349" i="39"/>
  <c r="AL287" i="42"/>
  <c r="AN349" i="42"/>
  <c r="AQ25" i="39"/>
  <c r="AR24" i="39"/>
  <c r="AQ25" i="42"/>
  <c r="AR24" i="42"/>
  <c r="AP12" i="39" l="1"/>
  <c r="AM177" i="42"/>
  <c r="AP23" i="39"/>
  <c r="AN286" i="39"/>
  <c r="AM177" i="39"/>
  <c r="AM92" i="39" s="1"/>
  <c r="AN175" i="39"/>
  <c r="AN290" i="39" s="1"/>
  <c r="AQ19" i="39"/>
  <c r="AQ20" i="39" s="1"/>
  <c r="L48" i="42"/>
  <c r="L127" i="42" s="1"/>
  <c r="P232" i="39"/>
  <c r="AL178" i="42"/>
  <c r="AL476" i="42" s="1"/>
  <c r="AN469" i="42"/>
  <c r="AM287" i="39"/>
  <c r="O488" i="39"/>
  <c r="P51" i="39"/>
  <c r="P478" i="39"/>
  <c r="AO258" i="42"/>
  <c r="AN413" i="42"/>
  <c r="AO426" i="39"/>
  <c r="AN473" i="39"/>
  <c r="AO258" i="39"/>
  <c r="AO425" i="39"/>
  <c r="AO168" i="39"/>
  <c r="Q100" i="42"/>
  <c r="AO349" i="42"/>
  <c r="AO241" i="39"/>
  <c r="AO323" i="39"/>
  <c r="AN149" i="42"/>
  <c r="AO459" i="39"/>
  <c r="AO349" i="39"/>
  <c r="AO448" i="39"/>
  <c r="AM287" i="42"/>
  <c r="AO259" i="39"/>
  <c r="M477" i="42"/>
  <c r="M212" i="42" s="1"/>
  <c r="AL50" i="39"/>
  <c r="AO240" i="39"/>
  <c r="AO241" i="42"/>
  <c r="AO323" i="42"/>
  <c r="AM88" i="39"/>
  <c r="AO459" i="42"/>
  <c r="AO468" i="42"/>
  <c r="AL269" i="39"/>
  <c r="AM154" i="39"/>
  <c r="AM155" i="39" s="1"/>
  <c r="AO168" i="42"/>
  <c r="AN419" i="42"/>
  <c r="AM325" i="42"/>
  <c r="AM45" i="42" s="1"/>
  <c r="AN324" i="42"/>
  <c r="AN493" i="42"/>
  <c r="AN501" i="42" s="1"/>
  <c r="AN105" i="42"/>
  <c r="AO443" i="42"/>
  <c r="AN380" i="42"/>
  <c r="AN482" i="42"/>
  <c r="AO379" i="42"/>
  <c r="AN268" i="42"/>
  <c r="AO176" i="42"/>
  <c r="AN400" i="42"/>
  <c r="AN123" i="42" s="1"/>
  <c r="AM123" i="42"/>
  <c r="AO448" i="42"/>
  <c r="AO138" i="42"/>
  <c r="AO171" i="42"/>
  <c r="AO16" i="42"/>
  <c r="AO173" i="42"/>
  <c r="AO254" i="42" s="1"/>
  <c r="AO135" i="42"/>
  <c r="AO283" i="42" s="1"/>
  <c r="AO133" i="42"/>
  <c r="AO170" i="42"/>
  <c r="AO136" i="42"/>
  <c r="AO15" i="42"/>
  <c r="AO175" i="42" s="1"/>
  <c r="AO132" i="42"/>
  <c r="AO134" i="42"/>
  <c r="AP14" i="42"/>
  <c r="AO259" i="42"/>
  <c r="AM124" i="42"/>
  <c r="AN454" i="42"/>
  <c r="AN124" i="42" s="1"/>
  <c r="AM325" i="39"/>
  <c r="AM45" i="39" s="1"/>
  <c r="AN324" i="39"/>
  <c r="AN512" i="42"/>
  <c r="AO328" i="42"/>
  <c r="Q113" i="39"/>
  <c r="AO169" i="42"/>
  <c r="AJ341" i="42"/>
  <c r="AK339" i="42"/>
  <c r="AN360" i="42"/>
  <c r="AO358" i="42"/>
  <c r="AO240" i="42"/>
  <c r="AM88" i="42"/>
  <c r="AI89" i="39"/>
  <c r="AH99" i="39"/>
  <c r="AH91" i="39"/>
  <c r="AK449" i="42"/>
  <c r="AL447" i="42"/>
  <c r="AN415" i="42"/>
  <c r="AM335" i="39"/>
  <c r="AM157" i="39" s="1"/>
  <c r="AM78" i="39"/>
  <c r="AJ341" i="39"/>
  <c r="AJ514" i="39" s="1"/>
  <c r="AK339" i="39"/>
  <c r="AN454" i="39"/>
  <c r="AN124" i="39" s="1"/>
  <c r="AN518" i="39"/>
  <c r="AO453" i="39"/>
  <c r="AO410" i="39"/>
  <c r="AJ41" i="39"/>
  <c r="AM92" i="42"/>
  <c r="AM178" i="42"/>
  <c r="AM476" i="42" s="1"/>
  <c r="AP13" i="42"/>
  <c r="AQ12" i="42"/>
  <c r="AN382" i="42"/>
  <c r="AO381" i="42"/>
  <c r="AL50" i="42"/>
  <c r="AM178" i="39"/>
  <c r="AM476" i="39" s="1"/>
  <c r="Q500" i="42"/>
  <c r="Q486" i="42"/>
  <c r="AN507" i="39"/>
  <c r="AO321" i="39"/>
  <c r="AN360" i="39"/>
  <c r="AO358" i="39"/>
  <c r="AN507" i="42"/>
  <c r="AO321" i="42"/>
  <c r="AN517" i="42"/>
  <c r="AO399" i="42"/>
  <c r="AM154" i="42"/>
  <c r="AM155" i="42" s="1"/>
  <c r="AN516" i="39"/>
  <c r="AO395" i="39"/>
  <c r="AN137" i="42"/>
  <c r="M60" i="39"/>
  <c r="M61" i="39" s="1"/>
  <c r="N213" i="39"/>
  <c r="N214" i="39"/>
  <c r="N215" i="39"/>
  <c r="R409" i="39"/>
  <c r="R199" i="39"/>
  <c r="R414" i="39"/>
  <c r="AN222" i="39"/>
  <c r="AN223" i="39" s="1"/>
  <c r="AN224" i="39" s="1"/>
  <c r="AO226" i="39"/>
  <c r="AM420" i="42"/>
  <c r="AM421" i="42" s="1"/>
  <c r="AM102" i="42" s="1"/>
  <c r="AM483" i="42"/>
  <c r="AN145" i="42"/>
  <c r="AN87" i="42" s="1"/>
  <c r="AO142" i="42"/>
  <c r="AI514" i="42"/>
  <c r="AK86" i="39"/>
  <c r="AL472" i="39"/>
  <c r="AO135" i="39"/>
  <c r="AO283" i="39" s="1"/>
  <c r="AO15" i="39"/>
  <c r="AO173" i="39"/>
  <c r="AO254" i="39" s="1"/>
  <c r="AO138" i="39"/>
  <c r="AP14" i="39"/>
  <c r="AO134" i="39"/>
  <c r="AO132" i="39"/>
  <c r="AO170" i="39"/>
  <c r="AO133" i="39"/>
  <c r="AO16" i="39"/>
  <c r="AO171" i="39"/>
  <c r="AO136" i="39"/>
  <c r="AO285" i="42"/>
  <c r="AL474" i="42"/>
  <c r="AN284" i="39"/>
  <c r="AN287" i="39" s="1"/>
  <c r="AN482" i="39"/>
  <c r="AN380" i="39"/>
  <c r="AO379" i="39"/>
  <c r="AN511" i="39"/>
  <c r="AN460" i="39"/>
  <c r="AN117" i="39" s="1"/>
  <c r="AO457" i="39"/>
  <c r="AJ519" i="42"/>
  <c r="AJ68" i="42"/>
  <c r="AM47" i="42"/>
  <c r="AN329" i="42"/>
  <c r="AN494" i="42"/>
  <c r="AN334" i="42"/>
  <c r="AO333" i="42"/>
  <c r="AI514" i="39"/>
  <c r="AL157" i="39"/>
  <c r="AL158" i="39" s="1"/>
  <c r="AN415" i="39"/>
  <c r="AK158" i="42"/>
  <c r="AK159" i="42" s="1"/>
  <c r="Q62" i="42"/>
  <c r="Q43" i="42"/>
  <c r="Q46" i="42"/>
  <c r="AN413" i="39"/>
  <c r="AO144" i="39"/>
  <c r="AL474" i="39"/>
  <c r="AO167" i="42"/>
  <c r="AN172" i="42"/>
  <c r="AN174" i="42" s="1"/>
  <c r="AN177" i="42" s="1"/>
  <c r="AN427" i="39"/>
  <c r="AO424" i="39"/>
  <c r="AL483" i="39"/>
  <c r="AL420" i="39"/>
  <c r="AL421" i="39" s="1"/>
  <c r="AL102" i="39" s="1"/>
  <c r="AM419" i="39"/>
  <c r="AK449" i="39"/>
  <c r="AL447" i="39"/>
  <c r="AO167" i="39"/>
  <c r="AN172" i="39"/>
  <c r="AN174" i="39" s="1"/>
  <c r="AN512" i="39"/>
  <c r="AO328" i="39"/>
  <c r="AN382" i="39"/>
  <c r="AO381" i="39"/>
  <c r="Q408" i="42"/>
  <c r="Q66" i="42"/>
  <c r="R411" i="42"/>
  <c r="AM80" i="42"/>
  <c r="AM383" i="42"/>
  <c r="AM101" i="42" s="1"/>
  <c r="AN290" i="42"/>
  <c r="AQ20" i="42"/>
  <c r="AR19" i="42" s="1"/>
  <c r="AQ23" i="42"/>
  <c r="AI89" i="42"/>
  <c r="AH91" i="42"/>
  <c r="AH99" i="42"/>
  <c r="AN284" i="42"/>
  <c r="AN137" i="39"/>
  <c r="AH120" i="39"/>
  <c r="AI342" i="39"/>
  <c r="AN493" i="39"/>
  <c r="AN501" i="39" s="1"/>
  <c r="AN105" i="39"/>
  <c r="AO443" i="39"/>
  <c r="AM383" i="39"/>
  <c r="AM101" i="39" s="1"/>
  <c r="AM80" i="39"/>
  <c r="AN222" i="42"/>
  <c r="AN223" i="42" s="1"/>
  <c r="AN224" i="42" s="1"/>
  <c r="AO226" i="42"/>
  <c r="AN400" i="39"/>
  <c r="AN123" i="39" s="1"/>
  <c r="AN517" i="39"/>
  <c r="AO399" i="39"/>
  <c r="AN511" i="42"/>
  <c r="AN460" i="42"/>
  <c r="AN117" i="42" s="1"/>
  <c r="AO457" i="42"/>
  <c r="AO410" i="42"/>
  <c r="AO426" i="42"/>
  <c r="AN427" i="42"/>
  <c r="AO424" i="42"/>
  <c r="AM139" i="39"/>
  <c r="L112" i="42"/>
  <c r="L106" i="42"/>
  <c r="AK86" i="42"/>
  <c r="AL472" i="42"/>
  <c r="AO148" i="39"/>
  <c r="M193" i="42"/>
  <c r="M206" i="42"/>
  <c r="AN473" i="42"/>
  <c r="AO285" i="39"/>
  <c r="AN286" i="42"/>
  <c r="AO169" i="39"/>
  <c r="AM47" i="39"/>
  <c r="AN329" i="39"/>
  <c r="AN145" i="39"/>
  <c r="AN87" i="39" s="1"/>
  <c r="AO142" i="39"/>
  <c r="AJ519" i="39"/>
  <c r="AJ68" i="39"/>
  <c r="AN268" i="39"/>
  <c r="AO176" i="39"/>
  <c r="AN347" i="42"/>
  <c r="AN351" i="42" s="1"/>
  <c r="AO346" i="42"/>
  <c r="AM122" i="42"/>
  <c r="AN396" i="42"/>
  <c r="AN122" i="42" s="1"/>
  <c r="AN469" i="39"/>
  <c r="AO468" i="39"/>
  <c r="AH120" i="42"/>
  <c r="AI342" i="42"/>
  <c r="AN163" i="42"/>
  <c r="AN90" i="42" s="1"/>
  <c r="AO162" i="42"/>
  <c r="AL157" i="42"/>
  <c r="AM335" i="42"/>
  <c r="AM122" i="39"/>
  <c r="AN396" i="39"/>
  <c r="AN122" i="39" s="1"/>
  <c r="AM139" i="42"/>
  <c r="Q98" i="39"/>
  <c r="Q104" i="39" s="1"/>
  <c r="Q59" i="39"/>
  <c r="AP13" i="39"/>
  <c r="Q107" i="39"/>
  <c r="Q450" i="39" s="1"/>
  <c r="Q118" i="39"/>
  <c r="Q119" i="39" s="1"/>
  <c r="AO148" i="42"/>
  <c r="AN518" i="42"/>
  <c r="AO453" i="42"/>
  <c r="AM340" i="39"/>
  <c r="AN475" i="39"/>
  <c r="AN163" i="39"/>
  <c r="AN90" i="39" s="1"/>
  <c r="AO162" i="39"/>
  <c r="AM340" i="42"/>
  <c r="AN475" i="42"/>
  <c r="AN516" i="42"/>
  <c r="AO395" i="42"/>
  <c r="AM78" i="42"/>
  <c r="AN494" i="39"/>
  <c r="AN334" i="39"/>
  <c r="AO333" i="39"/>
  <c r="AO425" i="42"/>
  <c r="AN149" i="39"/>
  <c r="M318" i="42"/>
  <c r="AN347" i="39"/>
  <c r="AN351" i="39" s="1"/>
  <c r="AO346" i="39"/>
  <c r="AK41" i="39"/>
  <c r="AO144" i="42"/>
  <c r="AS24" i="39"/>
  <c r="AR25" i="39"/>
  <c r="AS24" i="42"/>
  <c r="AR25" i="42"/>
  <c r="AO286" i="39" l="1"/>
  <c r="AO175" i="39"/>
  <c r="AN177" i="39"/>
  <c r="AN92" i="39" s="1"/>
  <c r="AQ12" i="39"/>
  <c r="AQ14" i="39" s="1"/>
  <c r="AQ23" i="39"/>
  <c r="AR19" i="39"/>
  <c r="AO469" i="42"/>
  <c r="AP425" i="39"/>
  <c r="P515" i="39"/>
  <c r="P520" i="39" s="1"/>
  <c r="P480" i="39"/>
  <c r="P499" i="39"/>
  <c r="P56" i="39"/>
  <c r="P54" i="39"/>
  <c r="P53" i="39"/>
  <c r="AP459" i="42"/>
  <c r="AP258" i="42"/>
  <c r="AP144" i="42"/>
  <c r="AO286" i="42"/>
  <c r="AP425" i="42"/>
  <c r="AP426" i="42"/>
  <c r="AM50" i="39"/>
  <c r="AO415" i="39"/>
  <c r="AP468" i="42"/>
  <c r="AP349" i="39"/>
  <c r="AO473" i="42"/>
  <c r="AP349" i="42"/>
  <c r="AP241" i="42"/>
  <c r="AP285" i="42"/>
  <c r="AO415" i="42"/>
  <c r="AO284" i="42"/>
  <c r="AN154" i="42"/>
  <c r="AN155" i="42" s="1"/>
  <c r="AP240" i="39"/>
  <c r="AL158" i="42"/>
  <c r="AL159" i="42" s="1"/>
  <c r="AL41" i="42" s="1"/>
  <c r="AP241" i="39"/>
  <c r="AP448" i="39"/>
  <c r="AP459" i="39"/>
  <c r="AP169" i="39"/>
  <c r="AM269" i="39"/>
  <c r="AN88" i="39"/>
  <c r="AP285" i="39"/>
  <c r="AP144" i="39"/>
  <c r="AL159" i="39"/>
  <c r="AM158" i="39"/>
  <c r="AN78" i="39"/>
  <c r="AN340" i="39"/>
  <c r="AO475" i="39"/>
  <c r="AO347" i="39"/>
  <c r="AO351" i="39" s="1"/>
  <c r="AP346" i="39"/>
  <c r="AO163" i="39"/>
  <c r="AO90" i="39" s="1"/>
  <c r="AP162" i="39"/>
  <c r="AO454" i="42"/>
  <c r="AO124" i="42" s="1"/>
  <c r="AP453" i="42"/>
  <c r="AO518" i="42"/>
  <c r="AM157" i="42"/>
  <c r="AN335" i="42"/>
  <c r="AO469" i="39"/>
  <c r="AP468" i="39"/>
  <c r="AO268" i="39"/>
  <c r="AP176" i="39"/>
  <c r="AO473" i="39"/>
  <c r="AO145" i="39"/>
  <c r="AO87" i="39" s="1"/>
  <c r="AP142" i="39"/>
  <c r="AO222" i="42"/>
  <c r="AO223" i="42" s="1"/>
  <c r="AO224" i="42" s="1"/>
  <c r="AP226" i="42"/>
  <c r="AN139" i="39"/>
  <c r="AO512" i="39"/>
  <c r="AP328" i="39"/>
  <c r="AK519" i="39"/>
  <c r="AK68" i="39"/>
  <c r="AP424" i="39"/>
  <c r="AO427" i="39"/>
  <c r="AL492" i="39"/>
  <c r="AL495" i="39" s="1"/>
  <c r="AM474" i="39"/>
  <c r="Q107" i="42"/>
  <c r="Q450" i="42" s="1"/>
  <c r="Q118" i="42"/>
  <c r="Q119" i="42" s="1"/>
  <c r="AP333" i="42"/>
  <c r="AO334" i="42"/>
  <c r="AO494" i="42"/>
  <c r="AO511" i="39"/>
  <c r="AO460" i="39"/>
  <c r="AO117" i="39" s="1"/>
  <c r="AP457" i="39"/>
  <c r="AN80" i="39"/>
  <c r="AN383" i="39"/>
  <c r="AN101" i="39" s="1"/>
  <c r="AP173" i="39"/>
  <c r="AP254" i="39" s="1"/>
  <c r="AP136" i="39"/>
  <c r="AP135" i="39"/>
  <c r="AP283" i="39" s="1"/>
  <c r="AP286" i="39" s="1"/>
  <c r="AP132" i="39"/>
  <c r="AP170" i="39"/>
  <c r="AP16" i="39"/>
  <c r="AP171" i="39"/>
  <c r="AP15" i="39"/>
  <c r="AP133" i="39"/>
  <c r="AP138" i="39"/>
  <c r="AP134" i="39"/>
  <c r="R200" i="39"/>
  <c r="R201" i="39"/>
  <c r="AN139" i="42"/>
  <c r="AO507" i="42"/>
  <c r="AP321" i="42"/>
  <c r="AO507" i="39"/>
  <c r="AP321" i="39"/>
  <c r="AP258" i="39"/>
  <c r="AO382" i="42"/>
  <c r="AP381" i="42"/>
  <c r="AO413" i="39"/>
  <c r="AP410" i="39"/>
  <c r="AK341" i="39"/>
  <c r="AL339" i="39"/>
  <c r="AK519" i="42"/>
  <c r="AK68" i="42"/>
  <c r="AN88" i="42"/>
  <c r="AL339" i="42"/>
  <c r="AK341" i="42"/>
  <c r="AN383" i="42"/>
  <c r="AN101" i="42" s="1"/>
  <c r="AN80" i="42"/>
  <c r="AO494" i="39"/>
  <c r="AO334" i="39"/>
  <c r="AP333" i="39"/>
  <c r="AO396" i="42"/>
  <c r="AO122" i="42" s="1"/>
  <c r="AO516" i="42"/>
  <c r="AP395" i="42"/>
  <c r="M478" i="42"/>
  <c r="M51" i="42"/>
  <c r="Q125" i="39"/>
  <c r="Q93" i="39"/>
  <c r="AM50" i="42"/>
  <c r="AM269" i="42"/>
  <c r="AI120" i="42"/>
  <c r="AJ342" i="42"/>
  <c r="AO347" i="42"/>
  <c r="AO351" i="42" s="1"/>
  <c r="AP346" i="42"/>
  <c r="AO149" i="39"/>
  <c r="AP148" i="39"/>
  <c r="L108" i="42"/>
  <c r="L109" i="42" s="1"/>
  <c r="L74" i="42"/>
  <c r="AO427" i="42"/>
  <c r="AP424" i="42"/>
  <c r="AO413" i="42"/>
  <c r="AP410" i="42"/>
  <c r="AO400" i="39"/>
  <c r="AO123" i="39" s="1"/>
  <c r="AP399" i="39"/>
  <c r="AO517" i="39"/>
  <c r="AJ89" i="42"/>
  <c r="AI91" i="42"/>
  <c r="AI99" i="42"/>
  <c r="AR20" i="42"/>
  <c r="AS19" i="42" s="1"/>
  <c r="AR23" i="42"/>
  <c r="Q98" i="42"/>
  <c r="Q104" i="42" s="1"/>
  <c r="Q59" i="42"/>
  <c r="AN178" i="39"/>
  <c r="AN476" i="39" s="1"/>
  <c r="AM483" i="39"/>
  <c r="AM420" i="39"/>
  <c r="AM421" i="39" s="1"/>
  <c r="AM102" i="39" s="1"/>
  <c r="AN419" i="39"/>
  <c r="AN78" i="42"/>
  <c r="AL86" i="39"/>
  <c r="AM472" i="39"/>
  <c r="AO145" i="42"/>
  <c r="AO87" i="42" s="1"/>
  <c r="AP142" i="42"/>
  <c r="AO222" i="39"/>
  <c r="AO223" i="39" s="1"/>
  <c r="AO224" i="39" s="1"/>
  <c r="AP226" i="39"/>
  <c r="R508" i="39"/>
  <c r="R513" i="39" s="1"/>
  <c r="R205" i="39"/>
  <c r="S192" i="39" s="1"/>
  <c r="AO454" i="39"/>
  <c r="AO124" i="39" s="1"/>
  <c r="AO518" i="39"/>
  <c r="AP453" i="39"/>
  <c r="AN335" i="39"/>
  <c r="AN157" i="39" s="1"/>
  <c r="AP240" i="42"/>
  <c r="AJ514" i="42"/>
  <c r="AO512" i="42"/>
  <c r="AP328" i="42"/>
  <c r="AO137" i="42"/>
  <c r="AP323" i="39"/>
  <c r="AP323" i="42"/>
  <c r="AN287" i="42"/>
  <c r="M208" i="42"/>
  <c r="M209" i="42" s="1"/>
  <c r="M195" i="42"/>
  <c r="M196" i="42" s="1"/>
  <c r="AO149" i="42"/>
  <c r="AP148" i="42"/>
  <c r="AO163" i="42"/>
  <c r="AO90" i="42" s="1"/>
  <c r="AP162" i="42"/>
  <c r="AO460" i="42"/>
  <c r="AO117" i="42" s="1"/>
  <c r="AP457" i="42"/>
  <c r="AO511" i="42"/>
  <c r="AO493" i="39"/>
  <c r="AO501" i="39" s="1"/>
  <c r="AO105" i="39"/>
  <c r="AP443" i="39"/>
  <c r="AJ342" i="39"/>
  <c r="AI120" i="39"/>
  <c r="AO290" i="42"/>
  <c r="AO382" i="39"/>
  <c r="AP381" i="39"/>
  <c r="AP167" i="39"/>
  <c r="AO172" i="39"/>
  <c r="AO174" i="39" s="1"/>
  <c r="AO177" i="39" s="1"/>
  <c r="AN92" i="42"/>
  <c r="AN178" i="42"/>
  <c r="AN476" i="42" s="1"/>
  <c r="AK41" i="42"/>
  <c r="AO284" i="39"/>
  <c r="AO137" i="39"/>
  <c r="R412" i="39"/>
  <c r="R406" i="39" s="1"/>
  <c r="R404" i="39"/>
  <c r="N216" i="39"/>
  <c r="AP259" i="39"/>
  <c r="AO400" i="42"/>
  <c r="AO123" i="42" s="1"/>
  <c r="AP399" i="42"/>
  <c r="AO517" i="42"/>
  <c r="AO360" i="39"/>
  <c r="AP358" i="39"/>
  <c r="AP426" i="39"/>
  <c r="AQ13" i="42"/>
  <c r="AR12" i="42"/>
  <c r="AO360" i="42"/>
  <c r="AP358" i="42"/>
  <c r="AP169" i="42"/>
  <c r="AN325" i="39"/>
  <c r="AN45" i="39" s="1"/>
  <c r="AO324" i="39"/>
  <c r="AP259" i="42"/>
  <c r="AP379" i="42"/>
  <c r="AO380" i="42"/>
  <c r="AO482" i="42"/>
  <c r="AN325" i="42"/>
  <c r="AN45" i="42" s="1"/>
  <c r="AO324" i="42"/>
  <c r="AN483" i="42"/>
  <c r="AN420" i="42"/>
  <c r="AN421" i="42" s="1"/>
  <c r="AN102" i="42" s="1"/>
  <c r="AO419" i="42"/>
  <c r="AN340" i="42"/>
  <c r="AO475" i="42"/>
  <c r="AR12" i="39"/>
  <c r="AN47" i="39"/>
  <c r="AO329" i="39"/>
  <c r="AL86" i="42"/>
  <c r="AM472" i="42"/>
  <c r="AR20" i="39"/>
  <c r="AR23" i="39"/>
  <c r="R409" i="42"/>
  <c r="R199" i="42"/>
  <c r="R414" i="42"/>
  <c r="AL449" i="39"/>
  <c r="AM447" i="39"/>
  <c r="AP167" i="42"/>
  <c r="AO172" i="42"/>
  <c r="AO174" i="42" s="1"/>
  <c r="AO177" i="42" s="1"/>
  <c r="Q113" i="42"/>
  <c r="AN47" i="42"/>
  <c r="AO329" i="42"/>
  <c r="AO482" i="39"/>
  <c r="AP379" i="39"/>
  <c r="AO380" i="39"/>
  <c r="AL492" i="42"/>
  <c r="AL495" i="42" s="1"/>
  <c r="AM474" i="42"/>
  <c r="AO290" i="39"/>
  <c r="M63" i="39"/>
  <c r="M7" i="39" s="1"/>
  <c r="M8" i="39" s="1"/>
  <c r="M65" i="39"/>
  <c r="AO396" i="39"/>
  <c r="AO122" i="39" s="1"/>
  <c r="AO516" i="39"/>
  <c r="AP395" i="39"/>
  <c r="AN154" i="39"/>
  <c r="AN155" i="39" s="1"/>
  <c r="AL449" i="42"/>
  <c r="AM447" i="42"/>
  <c r="AJ89" i="39"/>
  <c r="AI99" i="39"/>
  <c r="AI91" i="39"/>
  <c r="AP138" i="42"/>
  <c r="AP15" i="42"/>
  <c r="AP170" i="42"/>
  <c r="AP134" i="42"/>
  <c r="AP135" i="42"/>
  <c r="AP283" i="42" s="1"/>
  <c r="AP16" i="42"/>
  <c r="AP171" i="42"/>
  <c r="AP133" i="42"/>
  <c r="AP136" i="42"/>
  <c r="AP173" i="42"/>
  <c r="AP254" i="42" s="1"/>
  <c r="AP132" i="42"/>
  <c r="AQ14" i="42"/>
  <c r="AP448" i="42"/>
  <c r="AO268" i="42"/>
  <c r="AP176" i="42"/>
  <c r="AO493" i="42"/>
  <c r="AO501" i="42" s="1"/>
  <c r="AP443" i="42"/>
  <c r="AO105" i="42"/>
  <c r="AP168" i="39"/>
  <c r="AP168" i="42"/>
  <c r="AS25" i="42"/>
  <c r="AT24" i="42"/>
  <c r="AS25" i="39"/>
  <c r="AT24" i="39"/>
  <c r="AQ13" i="39" l="1"/>
  <c r="AP469" i="42"/>
  <c r="AS19" i="39"/>
  <c r="AS12" i="39" s="1"/>
  <c r="AQ240" i="39"/>
  <c r="AQ259" i="39"/>
  <c r="AQ349" i="39"/>
  <c r="AN50" i="39"/>
  <c r="P502" i="39"/>
  <c r="P75" i="39" s="1"/>
  <c r="P506" i="39"/>
  <c r="P521" i="39" s="1"/>
  <c r="P491" i="39"/>
  <c r="P487" i="39"/>
  <c r="AO287" i="42"/>
  <c r="AQ425" i="39"/>
  <c r="AN50" i="42"/>
  <c r="AQ468" i="42"/>
  <c r="AQ469" i="42" s="1"/>
  <c r="AP415" i="42"/>
  <c r="AP473" i="42"/>
  <c r="AQ168" i="39"/>
  <c r="AP415" i="39"/>
  <c r="AP286" i="42"/>
  <c r="AM158" i="42"/>
  <c r="AM159" i="42" s="1"/>
  <c r="AM41" i="42" s="1"/>
  <c r="AN269" i="42"/>
  <c r="AQ426" i="39"/>
  <c r="AQ323" i="39"/>
  <c r="R202" i="39"/>
  <c r="R100" i="39" s="1"/>
  <c r="AQ258" i="39"/>
  <c r="AQ144" i="39"/>
  <c r="AO88" i="39"/>
  <c r="AP175" i="39"/>
  <c r="AP290" i="39" s="1"/>
  <c r="AQ241" i="39"/>
  <c r="AP137" i="42"/>
  <c r="AP139" i="42" s="1"/>
  <c r="AP284" i="39"/>
  <c r="AP287" i="39" s="1"/>
  <c r="AN269" i="39"/>
  <c r="AP268" i="42"/>
  <c r="AQ176" i="42"/>
  <c r="AM492" i="42"/>
  <c r="AM495" i="42" s="1"/>
  <c r="AN474" i="42"/>
  <c r="AL519" i="39"/>
  <c r="AL68" i="39"/>
  <c r="R412" i="42"/>
  <c r="R406" i="42" s="1"/>
  <c r="R404" i="42"/>
  <c r="AQ426" i="42"/>
  <c r="AQ459" i="42"/>
  <c r="AR13" i="39"/>
  <c r="AQ259" i="42"/>
  <c r="AP360" i="42"/>
  <c r="AQ358" i="42"/>
  <c r="AR13" i="42"/>
  <c r="AS12" i="42"/>
  <c r="R407" i="39"/>
  <c r="AO92" i="39"/>
  <c r="AO178" i="39"/>
  <c r="AO476" i="39" s="1"/>
  <c r="AP105" i="39"/>
  <c r="AP493" i="39"/>
  <c r="AP501" i="39" s="1"/>
  <c r="AQ443" i="39"/>
  <c r="AQ457" i="42"/>
  <c r="AP511" i="42"/>
  <c r="AP460" i="42"/>
  <c r="AP117" i="42" s="1"/>
  <c r="AP163" i="42"/>
  <c r="AP90" i="42" s="1"/>
  <c r="AQ162" i="42"/>
  <c r="AP149" i="42"/>
  <c r="AQ323" i="42"/>
  <c r="R477" i="39"/>
  <c r="AP222" i="39"/>
  <c r="AP223" i="39" s="1"/>
  <c r="AP224" i="39" s="1"/>
  <c r="AQ226" i="39"/>
  <c r="AM86" i="39"/>
  <c r="AN472" i="39"/>
  <c r="AO419" i="39"/>
  <c r="AN420" i="39"/>
  <c r="AN421" i="39" s="1"/>
  <c r="AN102" i="39" s="1"/>
  <c r="AN483" i="39"/>
  <c r="AS20" i="42"/>
  <c r="AT19" i="42" s="1"/>
  <c r="AS23" i="42"/>
  <c r="AP413" i="42"/>
  <c r="AQ410" i="42"/>
  <c r="L60" i="42"/>
  <c r="L61" i="42" s="1"/>
  <c r="M56" i="42"/>
  <c r="M53" i="42"/>
  <c r="M54" i="42"/>
  <c r="AP396" i="42"/>
  <c r="AP122" i="42" s="1"/>
  <c r="AQ395" i="42"/>
  <c r="AP516" i="42"/>
  <c r="AP334" i="39"/>
  <c r="AQ333" i="39"/>
  <c r="AP494" i="39"/>
  <c r="AQ144" i="42"/>
  <c r="AK342" i="42"/>
  <c r="AK514" i="42"/>
  <c r="AP413" i="39"/>
  <c r="AQ410" i="39"/>
  <c r="R207" i="39"/>
  <c r="S194" i="39" s="1"/>
  <c r="AQ171" i="39"/>
  <c r="AQ132" i="39"/>
  <c r="AQ133" i="39"/>
  <c r="AQ16" i="39"/>
  <c r="AQ138" i="39"/>
  <c r="AQ170" i="39"/>
  <c r="AQ15" i="39"/>
  <c r="AQ135" i="39"/>
  <c r="AQ283" i="39" s="1"/>
  <c r="AQ134" i="39"/>
  <c r="AQ173" i="39"/>
  <c r="AQ254" i="39" s="1"/>
  <c r="AQ136" i="39"/>
  <c r="AR14" i="39"/>
  <c r="AM492" i="39"/>
  <c r="AM495" i="39" s="1"/>
  <c r="AN474" i="39"/>
  <c r="AP473" i="39"/>
  <c r="AP145" i="39"/>
  <c r="AP87" i="39" s="1"/>
  <c r="AQ142" i="39"/>
  <c r="AN157" i="42"/>
  <c r="AO335" i="42"/>
  <c r="AO157" i="42" s="1"/>
  <c r="AQ425" i="42"/>
  <c r="AN158" i="39"/>
  <c r="AM159" i="39"/>
  <c r="AK89" i="39"/>
  <c r="AJ99" i="39"/>
  <c r="AJ91" i="39"/>
  <c r="AO47" i="42"/>
  <c r="AP329" i="42"/>
  <c r="AO92" i="42"/>
  <c r="AO178" i="42"/>
  <c r="AO476" i="42" s="1"/>
  <c r="AN472" i="42"/>
  <c r="AM86" i="42"/>
  <c r="AO340" i="42"/>
  <c r="AP475" i="42"/>
  <c r="AO80" i="42"/>
  <c r="AO383" i="42"/>
  <c r="AO101" i="42" s="1"/>
  <c r="AO325" i="39"/>
  <c r="AO45" i="39" s="1"/>
  <c r="AP324" i="39"/>
  <c r="N42" i="39"/>
  <c r="N94" i="39"/>
  <c r="N121" i="39" s="1"/>
  <c r="N126" i="39" s="1"/>
  <c r="AQ167" i="39"/>
  <c r="AP172" i="39"/>
  <c r="AP174" i="39" s="1"/>
  <c r="AP175" i="42"/>
  <c r="AQ169" i="39"/>
  <c r="AP400" i="39"/>
  <c r="AP123" i="39" s="1"/>
  <c r="AP517" i="39"/>
  <c r="AQ399" i="39"/>
  <c r="AJ120" i="42"/>
  <c r="M480" i="42"/>
  <c r="M499" i="42"/>
  <c r="AO335" i="39"/>
  <c r="AO157" i="39" s="1"/>
  <c r="AO78" i="39"/>
  <c r="AM339" i="42"/>
  <c r="AL341" i="42"/>
  <c r="AL341" i="39"/>
  <c r="AM339" i="39"/>
  <c r="AQ321" i="39"/>
  <c r="AP507" i="39"/>
  <c r="R206" i="39"/>
  <c r="S193" i="39" s="1"/>
  <c r="AQ448" i="39"/>
  <c r="AP222" i="42"/>
  <c r="AP223" i="42" s="1"/>
  <c r="AP224" i="42" s="1"/>
  <c r="AQ226" i="42"/>
  <c r="AP469" i="39"/>
  <c r="AQ468" i="39"/>
  <c r="AP163" i="39"/>
  <c r="AP90" i="39" s="1"/>
  <c r="AQ162" i="39"/>
  <c r="AP347" i="39"/>
  <c r="AP351" i="39" s="1"/>
  <c r="AQ346" i="39"/>
  <c r="AL41" i="39"/>
  <c r="AP396" i="39"/>
  <c r="AQ395" i="39"/>
  <c r="AP516" i="39"/>
  <c r="AQ168" i="42"/>
  <c r="AQ443" i="42"/>
  <c r="AP105" i="42"/>
  <c r="AP493" i="42"/>
  <c r="AP501" i="42" s="1"/>
  <c r="AQ448" i="42"/>
  <c r="AM449" i="42"/>
  <c r="AN447" i="42"/>
  <c r="AO383" i="39"/>
  <c r="AO101" i="39" s="1"/>
  <c r="AO80" i="39"/>
  <c r="AQ167" i="42"/>
  <c r="AP172" i="42"/>
  <c r="AP174" i="42" s="1"/>
  <c r="R201" i="42"/>
  <c r="R200" i="42"/>
  <c r="AO47" i="39"/>
  <c r="AP329" i="39"/>
  <c r="AO325" i="42"/>
  <c r="AO45" i="42" s="1"/>
  <c r="AP324" i="42"/>
  <c r="AP380" i="42"/>
  <c r="AP482" i="42"/>
  <c r="AQ379" i="42"/>
  <c r="AP400" i="42"/>
  <c r="AP517" i="42"/>
  <c r="AQ399" i="42"/>
  <c r="AO139" i="39"/>
  <c r="AQ241" i="42"/>
  <c r="AJ120" i="39"/>
  <c r="AK342" i="39"/>
  <c r="AO287" i="39"/>
  <c r="AO139" i="42"/>
  <c r="R52" i="39"/>
  <c r="AQ142" i="42"/>
  <c r="AP145" i="42"/>
  <c r="AP87" i="42" s="1"/>
  <c r="AQ424" i="42"/>
  <c r="AP427" i="42"/>
  <c r="AP149" i="39"/>
  <c r="AQ148" i="39"/>
  <c r="AQ346" i="42"/>
  <c r="AP347" i="42"/>
  <c r="AP351" i="42" s="1"/>
  <c r="M515" i="42"/>
  <c r="M520" i="42" s="1"/>
  <c r="AO88" i="42"/>
  <c r="AK514" i="39"/>
  <c r="AP382" i="42"/>
  <c r="AQ381" i="42"/>
  <c r="AP137" i="39"/>
  <c r="AP511" i="39"/>
  <c r="AP460" i="39"/>
  <c r="AP117" i="39" s="1"/>
  <c r="AQ457" i="39"/>
  <c r="AO78" i="42"/>
  <c r="AQ459" i="39"/>
  <c r="AO154" i="39"/>
  <c r="AO155" i="39" s="1"/>
  <c r="AQ133" i="42"/>
  <c r="AQ135" i="42"/>
  <c r="AQ283" i="42" s="1"/>
  <c r="AQ173" i="42"/>
  <c r="AQ254" i="42" s="1"/>
  <c r="AQ134" i="42"/>
  <c r="AQ15" i="42"/>
  <c r="AQ171" i="42"/>
  <c r="AQ170" i="42"/>
  <c r="AQ138" i="42"/>
  <c r="AQ136" i="42"/>
  <c r="AQ16" i="42"/>
  <c r="AQ132" i="42"/>
  <c r="AR14" i="42"/>
  <c r="AL519" i="42"/>
  <c r="AL68" i="42"/>
  <c r="AP380" i="39"/>
  <c r="AQ379" i="39"/>
  <c r="AP482" i="39"/>
  <c r="AM449" i="39"/>
  <c r="AN447" i="39"/>
  <c r="R508" i="42"/>
  <c r="R513" i="42" s="1"/>
  <c r="AO420" i="42"/>
  <c r="AO421" i="42" s="1"/>
  <c r="AO102" i="42" s="1"/>
  <c r="AO483" i="42"/>
  <c r="AP419" i="42"/>
  <c r="AQ169" i="42"/>
  <c r="AQ349" i="42"/>
  <c r="AP360" i="39"/>
  <c r="AQ358" i="39"/>
  <c r="R481" i="39"/>
  <c r="R405" i="39"/>
  <c r="AP382" i="39"/>
  <c r="AQ381" i="39"/>
  <c r="AP284" i="42"/>
  <c r="M93" i="42"/>
  <c r="M214" i="42" s="1"/>
  <c r="AQ258" i="42"/>
  <c r="AQ148" i="42"/>
  <c r="AP512" i="42"/>
  <c r="AQ328" i="42"/>
  <c r="AQ240" i="42"/>
  <c r="AP454" i="39"/>
  <c r="AP518" i="39"/>
  <c r="AQ453" i="39"/>
  <c r="AO154" i="42"/>
  <c r="AO155" i="42" s="1"/>
  <c r="AJ91" i="42"/>
  <c r="AK89" i="42"/>
  <c r="AJ99" i="42"/>
  <c r="AP507" i="42"/>
  <c r="AQ321" i="42"/>
  <c r="AQ285" i="42"/>
  <c r="AP334" i="42"/>
  <c r="AQ333" i="42"/>
  <c r="AP494" i="42"/>
  <c r="Q125" i="42"/>
  <c r="AQ424" i="39"/>
  <c r="AP427" i="39"/>
  <c r="AP512" i="39"/>
  <c r="AQ328" i="39"/>
  <c r="AQ285" i="39"/>
  <c r="AP268" i="39"/>
  <c r="AQ176" i="39"/>
  <c r="AP454" i="42"/>
  <c r="AP124" i="42" s="1"/>
  <c r="AP518" i="42"/>
  <c r="AQ453" i="42"/>
  <c r="AO340" i="39"/>
  <c r="AP475" i="39"/>
  <c r="AU24" i="39"/>
  <c r="AT25" i="39"/>
  <c r="AT25" i="42"/>
  <c r="AU24" i="42"/>
  <c r="AS23" i="39" l="1"/>
  <c r="AS20" i="39"/>
  <c r="AT19" i="39"/>
  <c r="AT20" i="39" s="1"/>
  <c r="P503" i="39"/>
  <c r="AO269" i="42"/>
  <c r="AP269" i="42" s="1"/>
  <c r="P496" i="39"/>
  <c r="P55" i="39"/>
  <c r="Q212" i="39"/>
  <c r="P77" i="39"/>
  <c r="P79" i="39" s="1"/>
  <c r="P82" i="39" s="1"/>
  <c r="P67" i="39"/>
  <c r="P69" i="39" s="1"/>
  <c r="P71" i="39" s="1"/>
  <c r="AR468" i="42"/>
  <c r="AR469" i="42" s="1"/>
  <c r="AQ286" i="42"/>
  <c r="AQ415" i="42"/>
  <c r="AN158" i="42"/>
  <c r="AN159" i="42" s="1"/>
  <c r="AQ415" i="39"/>
  <c r="AP177" i="42"/>
  <c r="AP178" i="42" s="1"/>
  <c r="AP476" i="42" s="1"/>
  <c r="AQ175" i="39"/>
  <c r="AQ290" i="39" s="1"/>
  <c r="R114" i="39"/>
  <c r="AR285" i="42"/>
  <c r="R202" i="42"/>
  <c r="R114" i="42" s="1"/>
  <c r="AR258" i="39"/>
  <c r="AR426" i="39"/>
  <c r="S196" i="39"/>
  <c r="AQ284" i="42"/>
  <c r="AO269" i="39"/>
  <c r="AP177" i="39"/>
  <c r="AP178" i="39" s="1"/>
  <c r="AP476" i="39" s="1"/>
  <c r="AR459" i="39"/>
  <c r="AR448" i="39"/>
  <c r="AR323" i="39"/>
  <c r="AR240" i="39"/>
  <c r="AQ284" i="39"/>
  <c r="AR144" i="39"/>
  <c r="AR425" i="39"/>
  <c r="AR241" i="39"/>
  <c r="AR285" i="39"/>
  <c r="AR168" i="39"/>
  <c r="AR349" i="39"/>
  <c r="AP88" i="39"/>
  <c r="AR169" i="39"/>
  <c r="AQ137" i="42"/>
  <c r="AQ139" i="42" s="1"/>
  <c r="AP340" i="39"/>
  <c r="AQ475" i="39"/>
  <c r="AQ512" i="39"/>
  <c r="AR328" i="39"/>
  <c r="AP78" i="42"/>
  <c r="AR240" i="42"/>
  <c r="AR258" i="42"/>
  <c r="R500" i="39"/>
  <c r="R486" i="39"/>
  <c r="AR169" i="42"/>
  <c r="AP139" i="39"/>
  <c r="AQ517" i="42"/>
  <c r="AR399" i="42"/>
  <c r="AQ380" i="42"/>
  <c r="AQ482" i="42"/>
  <c r="AR379" i="42"/>
  <c r="AP287" i="42"/>
  <c r="AQ516" i="39"/>
  <c r="AR395" i="39"/>
  <c r="AQ347" i="39"/>
  <c r="AQ351" i="39" s="1"/>
  <c r="AR346" i="39"/>
  <c r="AQ469" i="39"/>
  <c r="AR468" i="39"/>
  <c r="AL514" i="39"/>
  <c r="M491" i="42"/>
  <c r="M487" i="42"/>
  <c r="AQ473" i="39"/>
  <c r="AQ145" i="39"/>
  <c r="AQ87" i="39" s="1"/>
  <c r="AR142" i="39"/>
  <c r="AQ396" i="42"/>
  <c r="AQ516" i="42"/>
  <c r="AR395" i="42"/>
  <c r="AQ163" i="42"/>
  <c r="AR162" i="42"/>
  <c r="AQ460" i="42"/>
  <c r="AQ117" i="42" s="1"/>
  <c r="AQ511" i="42"/>
  <c r="AR457" i="42"/>
  <c r="R46" i="39"/>
  <c r="R43" i="39"/>
  <c r="R62" i="39"/>
  <c r="AQ360" i="42"/>
  <c r="AR358" i="42"/>
  <c r="AQ518" i="39"/>
  <c r="AR453" i="39"/>
  <c r="AQ512" i="42"/>
  <c r="AR328" i="42"/>
  <c r="AQ360" i="39"/>
  <c r="AR358" i="39"/>
  <c r="AQ419" i="42"/>
  <c r="AP483" i="42"/>
  <c r="AP420" i="42"/>
  <c r="AP421" i="42" s="1"/>
  <c r="AP102" i="42" s="1"/>
  <c r="AQ482" i="39"/>
  <c r="AQ380" i="39"/>
  <c r="AR379" i="39"/>
  <c r="AR138" i="42"/>
  <c r="AR136" i="42"/>
  <c r="AR16" i="42"/>
  <c r="AR15" i="42"/>
  <c r="AR171" i="42"/>
  <c r="AR170" i="42"/>
  <c r="AR133" i="42"/>
  <c r="AR135" i="42"/>
  <c r="AR283" i="42" s="1"/>
  <c r="AR132" i="42"/>
  <c r="AR134" i="42"/>
  <c r="AS14" i="42"/>
  <c r="AR173" i="42"/>
  <c r="AR254" i="42" s="1"/>
  <c r="AQ460" i="39"/>
  <c r="AQ117" i="39" s="1"/>
  <c r="AQ511" i="39"/>
  <c r="AR457" i="39"/>
  <c r="AQ145" i="42"/>
  <c r="AQ87" i="42" s="1"/>
  <c r="AR142" i="42"/>
  <c r="AR241" i="42"/>
  <c r="AR167" i="42"/>
  <c r="AQ172" i="42"/>
  <c r="AQ174" i="42" s="1"/>
  <c r="AR448" i="42"/>
  <c r="AQ105" i="42"/>
  <c r="AQ493" i="42"/>
  <c r="AQ501" i="42" s="1"/>
  <c r="AR443" i="42"/>
  <c r="AP122" i="39"/>
  <c r="AQ396" i="39"/>
  <c r="AL342" i="42"/>
  <c r="AL514" i="42"/>
  <c r="AP154" i="39"/>
  <c r="AP155" i="39" s="1"/>
  <c r="AQ400" i="39"/>
  <c r="AQ517" i="39"/>
  <c r="AR399" i="39"/>
  <c r="AR167" i="39"/>
  <c r="AQ172" i="39"/>
  <c r="AQ174" i="39" s="1"/>
  <c r="AM41" i="39"/>
  <c r="AR15" i="39"/>
  <c r="AR171" i="39"/>
  <c r="AR136" i="39"/>
  <c r="AR132" i="39"/>
  <c r="AR133" i="39"/>
  <c r="AR138" i="39"/>
  <c r="AR170" i="39"/>
  <c r="AR134" i="39"/>
  <c r="AR16" i="39"/>
  <c r="AR135" i="39"/>
  <c r="AR283" i="39" s="1"/>
  <c r="AR173" i="39"/>
  <c r="AR254" i="39" s="1"/>
  <c r="AS14" i="39"/>
  <c r="AQ494" i="39"/>
  <c r="AQ334" i="39"/>
  <c r="AR333" i="39"/>
  <c r="L63" i="42"/>
  <c r="L7" i="42" s="1"/>
  <c r="L8" i="42" s="1"/>
  <c r="L65" i="42"/>
  <c r="AO483" i="39"/>
  <c r="AP419" i="39"/>
  <c r="AO420" i="39"/>
  <c r="AO421" i="39" s="1"/>
  <c r="AO102" i="39" s="1"/>
  <c r="AQ222" i="39"/>
  <c r="AQ223" i="39" s="1"/>
  <c r="AQ224" i="39" s="1"/>
  <c r="AR226" i="39"/>
  <c r="AR259" i="39"/>
  <c r="AR459" i="42"/>
  <c r="AS459" i="42" s="1"/>
  <c r="AQ268" i="42"/>
  <c r="AR176" i="42"/>
  <c r="AQ286" i="39"/>
  <c r="AQ268" i="39"/>
  <c r="AR176" i="39"/>
  <c r="AT23" i="39"/>
  <c r="AN449" i="39"/>
  <c r="AO447" i="39"/>
  <c r="AP383" i="39"/>
  <c r="AP101" i="39" s="1"/>
  <c r="AP80" i="39"/>
  <c r="AO50" i="39"/>
  <c r="AQ382" i="42"/>
  <c r="AR381" i="42"/>
  <c r="AQ347" i="42"/>
  <c r="AQ351" i="42" s="1"/>
  <c r="AR346" i="42"/>
  <c r="AQ427" i="42"/>
  <c r="AR424" i="42"/>
  <c r="AO50" i="42"/>
  <c r="AP123" i="42"/>
  <c r="AQ400" i="42"/>
  <c r="AQ123" i="42" s="1"/>
  <c r="AP80" i="42"/>
  <c r="AP383" i="42"/>
  <c r="AP101" i="42" s="1"/>
  <c r="AP47" i="39"/>
  <c r="AQ329" i="39"/>
  <c r="AN449" i="42"/>
  <c r="AO447" i="42"/>
  <c r="AR168" i="42"/>
  <c r="AQ163" i="39"/>
  <c r="AQ90" i="39" s="1"/>
  <c r="AR162" i="39"/>
  <c r="AQ222" i="42"/>
  <c r="AQ223" i="42" s="1"/>
  <c r="AQ224" i="42" s="1"/>
  <c r="AR226" i="42"/>
  <c r="AQ507" i="39"/>
  <c r="AR321" i="39"/>
  <c r="AM341" i="42"/>
  <c r="AN339" i="42"/>
  <c r="AP335" i="39"/>
  <c r="AP157" i="39" s="1"/>
  <c r="N96" i="39"/>
  <c r="N97" i="39" s="1"/>
  <c r="AP325" i="39"/>
  <c r="AP45" i="39" s="1"/>
  <c r="AQ324" i="39"/>
  <c r="AP340" i="42"/>
  <c r="AQ475" i="42"/>
  <c r="AN159" i="39"/>
  <c r="AO158" i="39"/>
  <c r="AP335" i="42"/>
  <c r="AQ413" i="39"/>
  <c r="AR410" i="39"/>
  <c r="AK120" i="42"/>
  <c r="AP78" i="39"/>
  <c r="M215" i="42"/>
  <c r="AT20" i="42"/>
  <c r="AU19" i="42" s="1"/>
  <c r="AT23" i="42"/>
  <c r="AN86" i="39"/>
  <c r="AO472" i="39"/>
  <c r="AR323" i="42"/>
  <c r="AQ493" i="39"/>
  <c r="AQ501" i="39" s="1"/>
  <c r="AQ105" i="39"/>
  <c r="AR443" i="39"/>
  <c r="AT12" i="42"/>
  <c r="AS13" i="42"/>
  <c r="AR259" i="42"/>
  <c r="AR426" i="42"/>
  <c r="R481" i="42"/>
  <c r="R405" i="42"/>
  <c r="AN492" i="42"/>
  <c r="AN495" i="42" s="1"/>
  <c r="AO474" i="42"/>
  <c r="AQ454" i="42"/>
  <c r="AQ518" i="42"/>
  <c r="AR453" i="42"/>
  <c r="AK91" i="42"/>
  <c r="AL89" i="42"/>
  <c r="AK99" i="42"/>
  <c r="AQ427" i="39"/>
  <c r="AR424" i="39"/>
  <c r="AQ494" i="42"/>
  <c r="AQ334" i="42"/>
  <c r="AR333" i="42"/>
  <c r="AQ507" i="42"/>
  <c r="AR321" i="42"/>
  <c r="AP124" i="39"/>
  <c r="AQ454" i="39"/>
  <c r="AR148" i="42"/>
  <c r="AQ382" i="39"/>
  <c r="AR381" i="39"/>
  <c r="R408" i="39"/>
  <c r="R66" i="39"/>
  <c r="S411" i="39"/>
  <c r="AR349" i="42"/>
  <c r="AM519" i="39"/>
  <c r="AM68" i="39"/>
  <c r="AP154" i="42"/>
  <c r="AQ149" i="39"/>
  <c r="AR148" i="39"/>
  <c r="AL342" i="39"/>
  <c r="AK120" i="39"/>
  <c r="AP325" i="42"/>
  <c r="AP45" i="42" s="1"/>
  <c r="AQ324" i="42"/>
  <c r="AM519" i="42"/>
  <c r="AM68" i="42"/>
  <c r="AM341" i="39"/>
  <c r="AN339" i="39"/>
  <c r="M506" i="42"/>
  <c r="M521" i="42" s="1"/>
  <c r="M502" i="42"/>
  <c r="M75" i="42" s="1"/>
  <c r="AQ175" i="42"/>
  <c r="AP290" i="42"/>
  <c r="N49" i="39"/>
  <c r="N44" i="39"/>
  <c r="AN86" i="42"/>
  <c r="AO472" i="42"/>
  <c r="AP47" i="42"/>
  <c r="AQ329" i="42"/>
  <c r="AL89" i="39"/>
  <c r="AK99" i="39"/>
  <c r="AK91" i="39"/>
  <c r="AR425" i="42"/>
  <c r="AN492" i="39"/>
  <c r="AN495" i="39" s="1"/>
  <c r="AO474" i="39"/>
  <c r="AQ137" i="39"/>
  <c r="AR144" i="42"/>
  <c r="M213" i="42"/>
  <c r="AQ413" i="42"/>
  <c r="AR410" i="42"/>
  <c r="R209" i="39"/>
  <c r="AP88" i="42"/>
  <c r="AQ149" i="42"/>
  <c r="AS13" i="39"/>
  <c r="AT12" i="39"/>
  <c r="R407" i="42"/>
  <c r="AQ473" i="42"/>
  <c r="AV24" i="42"/>
  <c r="AU25" i="42"/>
  <c r="AU25" i="39"/>
  <c r="AV24" i="39"/>
  <c r="AW24" i="39" s="1"/>
  <c r="AD270" i="39"/>
  <c r="AD179" i="39"/>
  <c r="AD256" i="39"/>
  <c r="AD300" i="39"/>
  <c r="AD250" i="39"/>
  <c r="AD275" i="39"/>
  <c r="AD253" i="39"/>
  <c r="AD296" i="39"/>
  <c r="AD251" i="39"/>
  <c r="AD304" i="39"/>
  <c r="AD308" i="39"/>
  <c r="AD279" i="39"/>
  <c r="AD291" i="39"/>
  <c r="AD252" i="39"/>
  <c r="AR415" i="42" l="1"/>
  <c r="AU19" i="39"/>
  <c r="AU20" i="39" s="1"/>
  <c r="N48" i="39"/>
  <c r="N127" i="39" s="1"/>
  <c r="Q232" i="39"/>
  <c r="R100" i="42"/>
  <c r="AO158" i="42"/>
  <c r="AO159" i="42" s="1"/>
  <c r="AO41" i="42" s="1"/>
  <c r="P488" i="39"/>
  <c r="Q51" i="39"/>
  <c r="Q478" i="39"/>
  <c r="Q515" i="39" s="1"/>
  <c r="Q520" i="39" s="1"/>
  <c r="AR284" i="39"/>
  <c r="AQ287" i="42"/>
  <c r="AS323" i="42"/>
  <c r="AR415" i="39"/>
  <c r="AQ269" i="42"/>
  <c r="AP92" i="42"/>
  <c r="AQ177" i="39"/>
  <c r="AQ178" i="39" s="1"/>
  <c r="AQ476" i="39" s="1"/>
  <c r="AS144" i="42"/>
  <c r="AS258" i="39"/>
  <c r="AP269" i="39"/>
  <c r="AS425" i="42"/>
  <c r="AS426" i="42"/>
  <c r="AS349" i="42"/>
  <c r="AS285" i="39"/>
  <c r="AS259" i="42"/>
  <c r="AS448" i="42"/>
  <c r="AS144" i="39"/>
  <c r="AS168" i="42"/>
  <c r="AS426" i="39"/>
  <c r="AQ154" i="39"/>
  <c r="AQ155" i="39" s="1"/>
  <c r="AP50" i="39"/>
  <c r="AP92" i="39"/>
  <c r="AS259" i="39"/>
  <c r="AS241" i="42"/>
  <c r="AS169" i="39"/>
  <c r="AQ154" i="42"/>
  <c r="AQ155" i="42" s="1"/>
  <c r="AQ50" i="42" s="1"/>
  <c r="AR473" i="42"/>
  <c r="AR473" i="39"/>
  <c r="AR427" i="39"/>
  <c r="M503" i="42"/>
  <c r="AR286" i="39"/>
  <c r="AQ287" i="39"/>
  <c r="M216" i="42"/>
  <c r="AO86" i="42"/>
  <c r="AP472" i="42"/>
  <c r="AL120" i="39"/>
  <c r="AP155" i="42"/>
  <c r="R98" i="39"/>
  <c r="R104" i="39" s="1"/>
  <c r="R59" i="39"/>
  <c r="AQ88" i="39"/>
  <c r="AQ124" i="39"/>
  <c r="AR454" i="39"/>
  <c r="AR124" i="39" s="1"/>
  <c r="AR494" i="42"/>
  <c r="AS333" i="42"/>
  <c r="AR334" i="42"/>
  <c r="AO492" i="42"/>
  <c r="AO495" i="42" s="1"/>
  <c r="AP474" i="42"/>
  <c r="R500" i="42"/>
  <c r="R486" i="42"/>
  <c r="AT13" i="42"/>
  <c r="AU12" i="42"/>
  <c r="AU20" i="42"/>
  <c r="AV19" i="42" s="1"/>
  <c r="AU23" i="42"/>
  <c r="AR413" i="39"/>
  <c r="AS410" i="39"/>
  <c r="AP157" i="42"/>
  <c r="AQ335" i="42"/>
  <c r="AQ340" i="42"/>
  <c r="AR475" i="42"/>
  <c r="N112" i="39"/>
  <c r="N106" i="39"/>
  <c r="AR507" i="39"/>
  <c r="AS321" i="39"/>
  <c r="AQ47" i="39"/>
  <c r="AR329" i="39"/>
  <c r="AN519" i="39"/>
  <c r="AN68" i="39"/>
  <c r="AS176" i="42"/>
  <c r="AR268" i="42"/>
  <c r="AQ122" i="39"/>
  <c r="AR396" i="39"/>
  <c r="AS167" i="42"/>
  <c r="AR172" i="42"/>
  <c r="AR174" i="42" s="1"/>
  <c r="AR145" i="42"/>
  <c r="AR87" i="42" s="1"/>
  <c r="AS142" i="42"/>
  <c r="AR460" i="39"/>
  <c r="AR117" i="39" s="1"/>
  <c r="AR511" i="39"/>
  <c r="AS457" i="39"/>
  <c r="AR380" i="39"/>
  <c r="AR482" i="39"/>
  <c r="AS379" i="39"/>
  <c r="AR518" i="39"/>
  <c r="AS453" i="39"/>
  <c r="AS395" i="42"/>
  <c r="AR516" i="42"/>
  <c r="AS241" i="39"/>
  <c r="AS349" i="39"/>
  <c r="AR175" i="39"/>
  <c r="AR290" i="39" s="1"/>
  <c r="AS379" i="42"/>
  <c r="AR380" i="42"/>
  <c r="AR482" i="42"/>
  <c r="AQ340" i="39"/>
  <c r="AR475" i="39"/>
  <c r="AN41" i="42"/>
  <c r="AM89" i="39"/>
  <c r="AL99" i="39"/>
  <c r="AL91" i="39"/>
  <c r="AQ290" i="42"/>
  <c r="AR175" i="42"/>
  <c r="AR419" i="42"/>
  <c r="AR382" i="39"/>
  <c r="AS381" i="39"/>
  <c r="AQ78" i="42"/>
  <c r="AR518" i="42"/>
  <c r="AS453" i="42"/>
  <c r="AR493" i="39"/>
  <c r="AR501" i="39" s="1"/>
  <c r="AR105" i="39"/>
  <c r="AS443" i="39"/>
  <c r="AP472" i="39"/>
  <c r="AO86" i="39"/>
  <c r="AP158" i="39"/>
  <c r="AO449" i="42"/>
  <c r="AP447" i="42"/>
  <c r="AS346" i="42"/>
  <c r="AR347" i="42"/>
  <c r="AR351" i="42" s="1"/>
  <c r="AO159" i="39"/>
  <c r="AR268" i="39"/>
  <c r="AS176" i="39"/>
  <c r="AQ92" i="39"/>
  <c r="AQ123" i="39"/>
  <c r="AR400" i="39"/>
  <c r="AL120" i="42"/>
  <c r="AM342" i="42"/>
  <c r="AS135" i="42"/>
  <c r="AS283" i="42" s="1"/>
  <c r="AS133" i="42"/>
  <c r="AS132" i="42"/>
  <c r="AS173" i="42"/>
  <c r="AS254" i="42" s="1"/>
  <c r="AS170" i="42"/>
  <c r="AS15" i="42"/>
  <c r="AS415" i="42" s="1"/>
  <c r="AT14" i="42"/>
  <c r="AS136" i="42"/>
  <c r="AS134" i="42"/>
  <c r="AS16" i="42"/>
  <c r="AS171" i="42"/>
  <c r="AS138" i="42"/>
  <c r="AQ383" i="39"/>
  <c r="AQ101" i="39" s="1"/>
  <c r="AQ80" i="39"/>
  <c r="AQ483" i="42"/>
  <c r="AQ420" i="42"/>
  <c r="AQ421" i="42" s="1"/>
  <c r="AQ102" i="42" s="1"/>
  <c r="R107" i="39"/>
  <c r="R450" i="39" s="1"/>
  <c r="R118" i="39"/>
  <c r="R119" i="39" s="1"/>
  <c r="M496" i="42"/>
  <c r="M55" i="42"/>
  <c r="AR469" i="39"/>
  <c r="AS468" i="39"/>
  <c r="AR516" i="39"/>
  <c r="AS395" i="39"/>
  <c r="AS258" i="42"/>
  <c r="AS410" i="42"/>
  <c r="AQ139" i="39"/>
  <c r="AQ47" i="42"/>
  <c r="AR329" i="42"/>
  <c r="AO339" i="39"/>
  <c r="AN341" i="39"/>
  <c r="AR149" i="39"/>
  <c r="AS148" i="39"/>
  <c r="S409" i="39"/>
  <c r="S199" i="39"/>
  <c r="S414" i="39"/>
  <c r="AR507" i="42"/>
  <c r="AS321" i="42"/>
  <c r="AN41" i="39"/>
  <c r="AQ325" i="39"/>
  <c r="AQ45" i="39" s="1"/>
  <c r="AR324" i="39"/>
  <c r="AN341" i="42"/>
  <c r="AO339" i="42"/>
  <c r="AR163" i="39"/>
  <c r="AR90" i="39" s="1"/>
  <c r="AS162" i="39"/>
  <c r="AN519" i="42"/>
  <c r="AN68" i="42"/>
  <c r="AR222" i="39"/>
  <c r="AR223" i="39" s="1"/>
  <c r="AR224" i="39" s="1"/>
  <c r="AS226" i="39"/>
  <c r="AP483" i="39"/>
  <c r="AQ419" i="39"/>
  <c r="AP420" i="39"/>
  <c r="AP421" i="39" s="1"/>
  <c r="AP102" i="39" s="1"/>
  <c r="AR334" i="39"/>
  <c r="AR494" i="39"/>
  <c r="AS333" i="39"/>
  <c r="AS167" i="39"/>
  <c r="AR172" i="39"/>
  <c r="AR174" i="39" s="1"/>
  <c r="AS448" i="39"/>
  <c r="AR105" i="42"/>
  <c r="AS443" i="42"/>
  <c r="AR493" i="42"/>
  <c r="AR501" i="42" s="1"/>
  <c r="AS425" i="39"/>
  <c r="AR360" i="39"/>
  <c r="AS358" i="39"/>
  <c r="AR512" i="42"/>
  <c r="AS328" i="42"/>
  <c r="AR360" i="42"/>
  <c r="AS358" i="42"/>
  <c r="R113" i="39"/>
  <c r="AS162" i="42"/>
  <c r="AQ122" i="42"/>
  <c r="AR396" i="42"/>
  <c r="AQ80" i="42"/>
  <c r="AQ383" i="42"/>
  <c r="AQ101" i="42" s="1"/>
  <c r="AS169" i="42"/>
  <c r="AS240" i="42"/>
  <c r="AR512" i="39"/>
  <c r="AS328" i="39"/>
  <c r="R46" i="42"/>
  <c r="R43" i="42"/>
  <c r="R62" i="42"/>
  <c r="AT13" i="39"/>
  <c r="AR413" i="42"/>
  <c r="AO492" i="39"/>
  <c r="AO495" i="39" s="1"/>
  <c r="AP474" i="39"/>
  <c r="M67" i="42"/>
  <c r="M69" i="42" s="1"/>
  <c r="M71" i="42" s="1"/>
  <c r="M77" i="42"/>
  <c r="M79" i="42" s="1"/>
  <c r="M82" i="42" s="1"/>
  <c r="AM342" i="39"/>
  <c r="AM514" i="39"/>
  <c r="AQ325" i="42"/>
  <c r="AQ45" i="42" s="1"/>
  <c r="AR324" i="42"/>
  <c r="AR149" i="42"/>
  <c r="AS148" i="42"/>
  <c r="AL91" i="42"/>
  <c r="AM89" i="42"/>
  <c r="AL99" i="42"/>
  <c r="AQ124" i="42"/>
  <c r="AR454" i="42"/>
  <c r="R408" i="42"/>
  <c r="R66" i="42"/>
  <c r="S411" i="42"/>
  <c r="AM514" i="42"/>
  <c r="AR222" i="42"/>
  <c r="AR223" i="42" s="1"/>
  <c r="AR224" i="42" s="1"/>
  <c r="AS226" i="42"/>
  <c r="AR427" i="42"/>
  <c r="AS424" i="42"/>
  <c r="AR382" i="42"/>
  <c r="AS381" i="42"/>
  <c r="AO449" i="39"/>
  <c r="AP447" i="39"/>
  <c r="AR284" i="42"/>
  <c r="AQ335" i="39"/>
  <c r="AQ78" i="39"/>
  <c r="AS424" i="39"/>
  <c r="AS138" i="39"/>
  <c r="AT14" i="39"/>
  <c r="AS170" i="39"/>
  <c r="AS134" i="39"/>
  <c r="AS135" i="39"/>
  <c r="AS283" i="39" s="1"/>
  <c r="AS16" i="39"/>
  <c r="AS171" i="39"/>
  <c r="AS133" i="39"/>
  <c r="AS132" i="39"/>
  <c r="AS136" i="39"/>
  <c r="AS15" i="39"/>
  <c r="AS173" i="39"/>
  <c r="AS254" i="39" s="1"/>
  <c r="AR137" i="39"/>
  <c r="AR517" i="39"/>
  <c r="AS399" i="39"/>
  <c r="AQ177" i="42"/>
  <c r="AS168" i="39"/>
  <c r="AR137" i="42"/>
  <c r="AS285" i="42"/>
  <c r="AR511" i="42"/>
  <c r="AR460" i="42"/>
  <c r="AR117" i="42" s="1"/>
  <c r="AS457" i="42"/>
  <c r="AQ90" i="42"/>
  <c r="AQ88" i="42" s="1"/>
  <c r="AR163" i="42"/>
  <c r="AR145" i="39"/>
  <c r="AR87" i="39" s="1"/>
  <c r="AS142" i="39"/>
  <c r="AS240" i="39"/>
  <c r="AS323" i="39"/>
  <c r="AR347" i="39"/>
  <c r="AR351" i="39" s="1"/>
  <c r="AS346" i="39"/>
  <c r="AR400" i="42"/>
  <c r="AR123" i="42" s="1"/>
  <c r="AS399" i="42"/>
  <c r="AR517" i="42"/>
  <c r="AS459" i="39"/>
  <c r="AR286" i="42"/>
  <c r="AS468" i="42"/>
  <c r="AW25" i="39"/>
  <c r="AV25" i="39"/>
  <c r="AW24" i="42"/>
  <c r="AW25" i="42" s="1"/>
  <c r="AV25" i="42"/>
  <c r="AD292" i="39"/>
  <c r="AD293" i="39" s="1"/>
  <c r="AD317" i="39" s="1"/>
  <c r="AD305" i="39"/>
  <c r="AD276" i="39"/>
  <c r="AD180" i="39"/>
  <c r="AD280" i="39"/>
  <c r="AD257" i="39"/>
  <c r="AD260" i="39" s="1"/>
  <c r="AD271" i="39"/>
  <c r="AD272" i="39" s="1"/>
  <c r="AD242" i="39"/>
  <c r="AD297" i="39"/>
  <c r="AD301" i="39"/>
  <c r="AD309" i="39"/>
  <c r="AU12" i="39" l="1"/>
  <c r="AU23" i="39"/>
  <c r="AV19" i="39"/>
  <c r="AV20" i="39" s="1"/>
  <c r="N232" i="42"/>
  <c r="N291" i="42" s="1"/>
  <c r="AT426" i="39"/>
  <c r="AT323" i="42"/>
  <c r="AT258" i="42"/>
  <c r="AQ474" i="42"/>
  <c r="AQ492" i="42" s="1"/>
  <c r="AQ495" i="42" s="1"/>
  <c r="AS175" i="39"/>
  <c r="AS290" i="39" s="1"/>
  <c r="Q499" i="39"/>
  <c r="Q480" i="39"/>
  <c r="Q53" i="39"/>
  <c r="Q56" i="39"/>
  <c r="Q54" i="39"/>
  <c r="AR287" i="39"/>
  <c r="AQ269" i="39"/>
  <c r="AT241" i="42"/>
  <c r="AS284" i="42"/>
  <c r="AT148" i="42"/>
  <c r="AT459" i="42"/>
  <c r="AT259" i="42"/>
  <c r="AT468" i="42"/>
  <c r="AQ50" i="39"/>
  <c r="AT169" i="42"/>
  <c r="AS473" i="42"/>
  <c r="AR177" i="39"/>
  <c r="AR92" i="39" s="1"/>
  <c r="AT285" i="42"/>
  <c r="AT448" i="42"/>
  <c r="AT425" i="42"/>
  <c r="AT240" i="42"/>
  <c r="AR90" i="42"/>
  <c r="AR88" i="42" s="1"/>
  <c r="AS286" i="42"/>
  <c r="AS413" i="42"/>
  <c r="AS469" i="39"/>
  <c r="AT240" i="39"/>
  <c r="AT323" i="39"/>
  <c r="AR154" i="42"/>
  <c r="AR155" i="42" s="1"/>
  <c r="AR154" i="39"/>
  <c r="AR155" i="39" s="1"/>
  <c r="AS286" i="39"/>
  <c r="AS284" i="39"/>
  <c r="AS517" i="39"/>
  <c r="AT399" i="39"/>
  <c r="AT259" i="39"/>
  <c r="AO519" i="39"/>
  <c r="AO68" i="39"/>
  <c r="AT424" i="42"/>
  <c r="AS427" i="42"/>
  <c r="S409" i="42"/>
  <c r="S199" i="42"/>
  <c r="S414" i="42"/>
  <c r="AS469" i="42"/>
  <c r="AS512" i="42"/>
  <c r="AT328" i="42"/>
  <c r="AT425" i="39"/>
  <c r="AS105" i="42"/>
  <c r="AT443" i="42"/>
  <c r="AS493" i="42"/>
  <c r="AS501" i="42" s="1"/>
  <c r="AT167" i="39"/>
  <c r="AS172" i="39"/>
  <c r="AS174" i="39" s="1"/>
  <c r="AV23" i="39"/>
  <c r="AS163" i="39"/>
  <c r="AS90" i="39" s="1"/>
  <c r="AT162" i="39"/>
  <c r="AT169" i="39"/>
  <c r="S201" i="39"/>
  <c r="S200" i="39"/>
  <c r="AS149" i="39"/>
  <c r="AT148" i="39"/>
  <c r="AT410" i="42"/>
  <c r="AR123" i="39"/>
  <c r="AS400" i="39"/>
  <c r="AO41" i="39"/>
  <c r="AP449" i="42"/>
  <c r="AQ447" i="42"/>
  <c r="AP159" i="39"/>
  <c r="AS493" i="39"/>
  <c r="AS501" i="39" s="1"/>
  <c r="AS105" i="39"/>
  <c r="AT443" i="39"/>
  <c r="AS518" i="42"/>
  <c r="AT453" i="42"/>
  <c r="AT349" i="42"/>
  <c r="AT144" i="42"/>
  <c r="AR340" i="39"/>
  <c r="AS475" i="39"/>
  <c r="AR383" i="42"/>
  <c r="AR101" i="42" s="1"/>
  <c r="AR80" i="42"/>
  <c r="AT349" i="39"/>
  <c r="AT167" i="42"/>
  <c r="AS172" i="42"/>
  <c r="AS174" i="42" s="1"/>
  <c r="AS268" i="42"/>
  <c r="AT176" i="42"/>
  <c r="AR47" i="39"/>
  <c r="AS329" i="39"/>
  <c r="AV20" i="42"/>
  <c r="AW19" i="42" s="1"/>
  <c r="AV23" i="42"/>
  <c r="AT132" i="39"/>
  <c r="AT133" i="39"/>
  <c r="AU14" i="39"/>
  <c r="AT173" i="39"/>
  <c r="AT254" i="39" s="1"/>
  <c r="AT15" i="39"/>
  <c r="AT138" i="39"/>
  <c r="AT134" i="39"/>
  <c r="AT170" i="39"/>
  <c r="AT171" i="39"/>
  <c r="AT136" i="39"/>
  <c r="AT135" i="39"/>
  <c r="AT283" i="39" s="1"/>
  <c r="AT16" i="39"/>
  <c r="AS396" i="42"/>
  <c r="AR122" i="42"/>
  <c r="AT333" i="39"/>
  <c r="AS334" i="39"/>
  <c r="AS494" i="39"/>
  <c r="AQ483" i="39"/>
  <c r="AQ420" i="39"/>
  <c r="AQ421" i="39" s="1"/>
  <c r="AQ102" i="39" s="1"/>
  <c r="AR419" i="39"/>
  <c r="AR325" i="39"/>
  <c r="AR45" i="39" s="1"/>
  <c r="AS324" i="39"/>
  <c r="S508" i="39"/>
  <c r="S513" i="39" s="1"/>
  <c r="S205" i="39"/>
  <c r="S52" i="39" s="1"/>
  <c r="AT468" i="39"/>
  <c r="R125" i="39"/>
  <c r="AO519" i="42"/>
  <c r="AO68" i="42"/>
  <c r="AR287" i="42"/>
  <c r="AS175" i="42"/>
  <c r="AR290" i="42"/>
  <c r="AM91" i="39"/>
  <c r="AN89" i="39"/>
  <c r="AM99" i="39"/>
  <c r="AT379" i="42"/>
  <c r="AS380" i="42"/>
  <c r="AS482" i="42"/>
  <c r="AT241" i="39"/>
  <c r="AS454" i="39"/>
  <c r="AT453" i="39"/>
  <c r="AS518" i="39"/>
  <c r="AR383" i="39"/>
  <c r="AR101" i="39" s="1"/>
  <c r="AR80" i="39"/>
  <c r="AS145" i="42"/>
  <c r="AS87" i="42" s="1"/>
  <c r="AT142" i="42"/>
  <c r="AR122" i="39"/>
  <c r="AS396" i="39"/>
  <c r="N108" i="39"/>
  <c r="N109" i="39" s="1"/>
  <c r="N74" i="39"/>
  <c r="AS413" i="39"/>
  <c r="AT410" i="39"/>
  <c r="AR78" i="42"/>
  <c r="AP492" i="42"/>
  <c r="AP495" i="42" s="1"/>
  <c r="AQ472" i="42"/>
  <c r="AP86" i="42"/>
  <c r="AS400" i="42"/>
  <c r="AT399" i="42"/>
  <c r="AS517" i="42"/>
  <c r="AT459" i="39"/>
  <c r="AS145" i="39"/>
  <c r="AS87" i="39" s="1"/>
  <c r="AT142" i="39"/>
  <c r="AS460" i="42"/>
  <c r="AS117" i="42" s="1"/>
  <c r="AT457" i="42"/>
  <c r="AS511" i="42"/>
  <c r="AR139" i="42"/>
  <c r="AQ92" i="42"/>
  <c r="AQ178" i="42"/>
  <c r="AQ476" i="42" s="1"/>
  <c r="AR139" i="39"/>
  <c r="AS137" i="39"/>
  <c r="AS382" i="42"/>
  <c r="AT381" i="42"/>
  <c r="R98" i="42"/>
  <c r="R104" i="42" s="1"/>
  <c r="R59" i="42"/>
  <c r="AM99" i="42"/>
  <c r="AN89" i="42"/>
  <c r="AM91" i="42"/>
  <c r="AS149" i="42"/>
  <c r="AU13" i="39"/>
  <c r="R107" i="42"/>
  <c r="R450" i="42" s="1"/>
  <c r="R118" i="42"/>
  <c r="R119" i="42" s="1"/>
  <c r="AS512" i="39"/>
  <c r="AT328" i="39"/>
  <c r="AT358" i="42"/>
  <c r="AS360" i="42"/>
  <c r="AS360" i="39"/>
  <c r="AT358" i="39"/>
  <c r="AT448" i="39"/>
  <c r="AO341" i="42"/>
  <c r="AP339" i="42"/>
  <c r="AT321" i="42"/>
  <c r="AS507" i="42"/>
  <c r="S412" i="39"/>
  <c r="S406" i="39" s="1"/>
  <c r="S404" i="39"/>
  <c r="AN514" i="39"/>
  <c r="AR47" i="42"/>
  <c r="AS329" i="42"/>
  <c r="AS473" i="39"/>
  <c r="AT138" i="42"/>
  <c r="AT16" i="42"/>
  <c r="AT171" i="42"/>
  <c r="AT135" i="42"/>
  <c r="AT283" i="42" s="1"/>
  <c r="AT134" i="42"/>
  <c r="AT170" i="42"/>
  <c r="AT173" i="42"/>
  <c r="AT254" i="42" s="1"/>
  <c r="AT136" i="42"/>
  <c r="AT132" i="42"/>
  <c r="AT15" i="42"/>
  <c r="AT415" i="42" s="1"/>
  <c r="AT133" i="42"/>
  <c r="AU14" i="42"/>
  <c r="AS137" i="42"/>
  <c r="AS139" i="42" s="1"/>
  <c r="AM120" i="42"/>
  <c r="AN342" i="42"/>
  <c r="AT176" i="39"/>
  <c r="AS268" i="39"/>
  <c r="AQ472" i="39"/>
  <c r="AP86" i="39"/>
  <c r="AT285" i="39"/>
  <c r="AS382" i="39"/>
  <c r="AT381" i="39"/>
  <c r="AR483" i="42"/>
  <c r="AS419" i="42"/>
  <c r="AR420" i="42"/>
  <c r="AR421" i="42" s="1"/>
  <c r="AR102" i="42" s="1"/>
  <c r="AS460" i="39"/>
  <c r="AS117" i="39" s="1"/>
  <c r="AS511" i="39"/>
  <c r="AT457" i="39"/>
  <c r="AT168" i="42"/>
  <c r="AQ157" i="42"/>
  <c r="AR335" i="42"/>
  <c r="AR157" i="42" s="1"/>
  <c r="AV12" i="42"/>
  <c r="AU13" i="42"/>
  <c r="AS494" i="42"/>
  <c r="AT333" i="42"/>
  <c r="AS334" i="42"/>
  <c r="AR88" i="39"/>
  <c r="AP50" i="42"/>
  <c r="AP158" i="42"/>
  <c r="R93" i="39"/>
  <c r="AS347" i="39"/>
  <c r="AS351" i="39" s="1"/>
  <c r="AT346" i="39"/>
  <c r="AT168" i="39"/>
  <c r="AS427" i="39"/>
  <c r="AT424" i="39"/>
  <c r="AR335" i="39"/>
  <c r="AR157" i="39" s="1"/>
  <c r="AP449" i="39"/>
  <c r="AQ447" i="39"/>
  <c r="AS222" i="42"/>
  <c r="AS223" i="42" s="1"/>
  <c r="AS224" i="42" s="1"/>
  <c r="AT226" i="42"/>
  <c r="AS454" i="42"/>
  <c r="AR124" i="42"/>
  <c r="AR325" i="42"/>
  <c r="AR45" i="42" s="1"/>
  <c r="AS324" i="42"/>
  <c r="AM120" i="39"/>
  <c r="AN342" i="39"/>
  <c r="AP492" i="39"/>
  <c r="AP495" i="39" s="1"/>
  <c r="AQ474" i="39"/>
  <c r="R113" i="42"/>
  <c r="AS163" i="42"/>
  <c r="AT162" i="42"/>
  <c r="AR78" i="39"/>
  <c r="AS222" i="39"/>
  <c r="AS223" i="39" s="1"/>
  <c r="AS224" i="39" s="1"/>
  <c r="AT226" i="39"/>
  <c r="AN514" i="42"/>
  <c r="AO341" i="39"/>
  <c r="AP339" i="39"/>
  <c r="AT395" i="39"/>
  <c r="AS516" i="39"/>
  <c r="M488" i="42"/>
  <c r="AS347" i="42"/>
  <c r="AS351" i="42" s="1"/>
  <c r="AT346" i="42"/>
  <c r="AQ157" i="39"/>
  <c r="AQ158" i="39" s="1"/>
  <c r="AT426" i="42"/>
  <c r="AT144" i="39"/>
  <c r="AT395" i="42"/>
  <c r="AS516" i="42"/>
  <c r="AS482" i="39"/>
  <c r="AT379" i="39"/>
  <c r="AS380" i="39"/>
  <c r="AR177" i="42"/>
  <c r="AS507" i="39"/>
  <c r="AT321" i="39"/>
  <c r="AR340" i="42"/>
  <c r="AS475" i="42"/>
  <c r="M94" i="42"/>
  <c r="M42" i="42"/>
  <c r="AS415" i="39"/>
  <c r="AT258" i="39"/>
  <c r="AD183" i="39"/>
  <c r="AD316" i="39"/>
  <c r="N270" i="42" l="1"/>
  <c r="N275" i="42"/>
  <c r="N250" i="42"/>
  <c r="N304" i="42"/>
  <c r="N305" i="42" s="1"/>
  <c r="AV12" i="39"/>
  <c r="N308" i="42"/>
  <c r="AW19" i="39"/>
  <c r="N279" i="42"/>
  <c r="N280" i="42" s="1"/>
  <c r="N256" i="42"/>
  <c r="AU448" i="39"/>
  <c r="N179" i="42"/>
  <c r="N180" i="42" s="1"/>
  <c r="N183" i="42" s="1"/>
  <c r="N253" i="42"/>
  <c r="N300" i="42"/>
  <c r="N252" i="42"/>
  <c r="N296" i="42"/>
  <c r="N297" i="42" s="1"/>
  <c r="N251" i="42"/>
  <c r="N239" i="42"/>
  <c r="N242" i="42" s="1"/>
  <c r="AT175" i="39"/>
  <c r="AT290" i="39" s="1"/>
  <c r="AU323" i="39"/>
  <c r="AT473" i="42"/>
  <c r="AU241" i="42"/>
  <c r="AS177" i="39"/>
  <c r="AS178" i="39" s="1"/>
  <c r="AS476" i="39" s="1"/>
  <c r="Q491" i="39"/>
  <c r="Q487" i="39"/>
  <c r="Q502" i="39"/>
  <c r="Q75" i="39" s="1"/>
  <c r="Q506" i="39"/>
  <c r="Q521" i="39" s="1"/>
  <c r="AS287" i="42"/>
  <c r="AU426" i="42"/>
  <c r="AU468" i="39"/>
  <c r="AS90" i="42"/>
  <c r="AS88" i="42" s="1"/>
  <c r="AT149" i="42"/>
  <c r="AR50" i="39"/>
  <c r="AT469" i="42"/>
  <c r="AR178" i="39"/>
  <c r="AR476" i="39" s="1"/>
  <c r="AT469" i="39"/>
  <c r="AQ158" i="42"/>
  <c r="AQ159" i="42" s="1"/>
  <c r="AU168" i="39"/>
  <c r="AU240" i="39"/>
  <c r="AS88" i="39"/>
  <c r="AR474" i="42"/>
  <c r="AR492" i="42" s="1"/>
  <c r="AR495" i="42" s="1"/>
  <c r="AU285" i="39"/>
  <c r="AT473" i="39"/>
  <c r="AU459" i="39"/>
  <c r="AU258" i="39"/>
  <c r="AU144" i="39"/>
  <c r="AU241" i="39"/>
  <c r="AT413" i="42"/>
  <c r="S202" i="39"/>
  <c r="S114" i="39" s="1"/>
  <c r="AT415" i="39"/>
  <c r="AU168" i="42"/>
  <c r="T192" i="39"/>
  <c r="AQ159" i="39"/>
  <c r="AR158" i="39"/>
  <c r="AS80" i="39"/>
  <c r="AS383" i="39"/>
  <c r="AS101" i="39" s="1"/>
  <c r="AT516" i="42"/>
  <c r="AU395" i="42"/>
  <c r="AU346" i="39"/>
  <c r="AT347" i="39"/>
  <c r="AT351" i="39" s="1"/>
  <c r="AT382" i="39"/>
  <c r="AU381" i="39"/>
  <c r="AQ86" i="39"/>
  <c r="AR472" i="39"/>
  <c r="AU135" i="42"/>
  <c r="AU283" i="42" s="1"/>
  <c r="AU134" i="42"/>
  <c r="AU171" i="42"/>
  <c r="AU170" i="42"/>
  <c r="AU136" i="42"/>
  <c r="AU16" i="42"/>
  <c r="AU132" i="42"/>
  <c r="AU133" i="42"/>
  <c r="AU138" i="42"/>
  <c r="AU15" i="42"/>
  <c r="AU415" i="42" s="1"/>
  <c r="AU173" i="42"/>
  <c r="AU254" i="42" s="1"/>
  <c r="AV14" i="42"/>
  <c r="S407" i="39"/>
  <c r="AO514" i="42"/>
  <c r="AN91" i="42"/>
  <c r="AO89" i="42"/>
  <c r="AN99" i="42"/>
  <c r="AT382" i="42"/>
  <c r="AU381" i="42"/>
  <c r="AS123" i="42"/>
  <c r="AT400" i="42"/>
  <c r="AT413" i="39"/>
  <c r="AU410" i="39"/>
  <c r="AS122" i="39"/>
  <c r="AT396" i="39"/>
  <c r="AS124" i="39"/>
  <c r="AT454" i="39"/>
  <c r="AT380" i="42"/>
  <c r="AT482" i="42"/>
  <c r="AU379" i="42"/>
  <c r="AU259" i="42"/>
  <c r="AR420" i="39"/>
  <c r="AR421" i="39" s="1"/>
  <c r="AR102" i="39" s="1"/>
  <c r="AR483" i="39"/>
  <c r="AS335" i="39"/>
  <c r="AS157" i="39" s="1"/>
  <c r="AS78" i="39"/>
  <c r="AT396" i="42"/>
  <c r="AS122" i="42"/>
  <c r="AT137" i="39"/>
  <c r="AT139" i="39" s="1"/>
  <c r="AW20" i="42"/>
  <c r="AW23" i="42"/>
  <c r="AU144" i="42"/>
  <c r="AP519" i="42"/>
  <c r="AP68" i="42"/>
  <c r="AU425" i="42"/>
  <c r="S207" i="39"/>
  <c r="T194" i="39" s="1"/>
  <c r="AU167" i="39"/>
  <c r="AT172" i="39"/>
  <c r="AT174" i="39" s="1"/>
  <c r="S412" i="42"/>
  <c r="S406" i="42" s="1"/>
  <c r="S404" i="42"/>
  <c r="AT284" i="39"/>
  <c r="AS419" i="39"/>
  <c r="AU379" i="39"/>
  <c r="AT482" i="39"/>
  <c r="AT380" i="39"/>
  <c r="AO342" i="39"/>
  <c r="AN120" i="39"/>
  <c r="AS78" i="42"/>
  <c r="AU457" i="39"/>
  <c r="AT460" i="39"/>
  <c r="AT117" i="39" s="1"/>
  <c r="AT511" i="39"/>
  <c r="AO342" i="42"/>
  <c r="AN120" i="42"/>
  <c r="AU459" i="42"/>
  <c r="AR50" i="42"/>
  <c r="AR269" i="42"/>
  <c r="AS269" i="42" s="1"/>
  <c r="AT145" i="39"/>
  <c r="AT87" i="39" s="1"/>
  <c r="AU142" i="39"/>
  <c r="AT286" i="42"/>
  <c r="AS154" i="42"/>
  <c r="AS155" i="42" s="1"/>
  <c r="AS50" i="42" s="1"/>
  <c r="AT175" i="42"/>
  <c r="AS290" i="42"/>
  <c r="AS325" i="39"/>
  <c r="AS45" i="39" s="1"/>
  <c r="AT324" i="39"/>
  <c r="AT494" i="39"/>
  <c r="AU333" i="39"/>
  <c r="AT334" i="39"/>
  <c r="AU169" i="42"/>
  <c r="N309" i="42"/>
  <c r="N292" i="42"/>
  <c r="N293" i="42" s="1"/>
  <c r="N317" i="42" s="1"/>
  <c r="AU285" i="42"/>
  <c r="AS47" i="39"/>
  <c r="AT329" i="39"/>
  <c r="AS177" i="42"/>
  <c r="AU349" i="42"/>
  <c r="AT149" i="39"/>
  <c r="AU148" i="39"/>
  <c r="AU425" i="39"/>
  <c r="AU240" i="42"/>
  <c r="AT286" i="39"/>
  <c r="AU323" i="42"/>
  <c r="M121" i="42"/>
  <c r="M126" i="42" s="1"/>
  <c r="AU395" i="39"/>
  <c r="AT516" i="39"/>
  <c r="AQ339" i="39"/>
  <c r="AP341" i="39"/>
  <c r="AT222" i="39"/>
  <c r="AT223" i="39" s="1"/>
  <c r="AT224" i="39" s="1"/>
  <c r="AU226" i="39"/>
  <c r="AS154" i="39"/>
  <c r="AT163" i="42"/>
  <c r="AU162" i="42"/>
  <c r="AQ492" i="39"/>
  <c r="AQ495" i="39" s="1"/>
  <c r="AR474" i="39"/>
  <c r="AT454" i="42"/>
  <c r="AS124" i="42"/>
  <c r="AQ449" i="39"/>
  <c r="AR447" i="39"/>
  <c r="AT334" i="42"/>
  <c r="AT494" i="42"/>
  <c r="AU333" i="42"/>
  <c r="AS335" i="42"/>
  <c r="AT419" i="42"/>
  <c r="AS420" i="42"/>
  <c r="AS421" i="42" s="1"/>
  <c r="AS102" i="42" s="1"/>
  <c r="AS483" i="42"/>
  <c r="AU258" i="42"/>
  <c r="AT507" i="42"/>
  <c r="AU321" i="42"/>
  <c r="AT360" i="42"/>
  <c r="AU358" i="42"/>
  <c r="AT284" i="42"/>
  <c r="AQ86" i="42"/>
  <c r="AR472" i="42"/>
  <c r="N60" i="39"/>
  <c r="N61" i="39" s="1"/>
  <c r="O215" i="39"/>
  <c r="O214" i="39"/>
  <c r="O213" i="39"/>
  <c r="AT145" i="42"/>
  <c r="AT87" i="42" s="1"/>
  <c r="AU142" i="42"/>
  <c r="AN91" i="39"/>
  <c r="AO89" i="39"/>
  <c r="AN99" i="39"/>
  <c r="AU448" i="42"/>
  <c r="AU133" i="39"/>
  <c r="AU15" i="39"/>
  <c r="AU171" i="39"/>
  <c r="AU170" i="39"/>
  <c r="AU134" i="39"/>
  <c r="AU173" i="39"/>
  <c r="AU254" i="39" s="1"/>
  <c r="AU136" i="39"/>
  <c r="AU135" i="39"/>
  <c r="AU283" i="39" s="1"/>
  <c r="AU132" i="39"/>
  <c r="AU138" i="39"/>
  <c r="AU16" i="39"/>
  <c r="AU468" i="42"/>
  <c r="AU167" i="42"/>
  <c r="AT172" i="42"/>
  <c r="AT174" i="42" s="1"/>
  <c r="AS340" i="39"/>
  <c r="AT475" i="39"/>
  <c r="AT493" i="39"/>
  <c r="AT501" i="39" s="1"/>
  <c r="AT105" i="39"/>
  <c r="AU443" i="39"/>
  <c r="AP41" i="39"/>
  <c r="AU169" i="39"/>
  <c r="AT512" i="42"/>
  <c r="AU328" i="42"/>
  <c r="S201" i="42"/>
  <c r="S200" i="42"/>
  <c r="AU259" i="39"/>
  <c r="AS287" i="39"/>
  <c r="AU426" i="39"/>
  <c r="M96" i="42"/>
  <c r="M97" i="42" s="1"/>
  <c r="AT507" i="39"/>
  <c r="AU321" i="39"/>
  <c r="AT347" i="42"/>
  <c r="AT351" i="42" s="1"/>
  <c r="AU346" i="42"/>
  <c r="M49" i="42"/>
  <c r="M44" i="42"/>
  <c r="AS340" i="42"/>
  <c r="AT475" i="42"/>
  <c r="AR178" i="42"/>
  <c r="AR476" i="42" s="1"/>
  <c r="AR92" i="42"/>
  <c r="AO514" i="39"/>
  <c r="AS325" i="42"/>
  <c r="AS45" i="42" s="1"/>
  <c r="AT324" i="42"/>
  <c r="AT222" i="42"/>
  <c r="AT223" i="42" s="1"/>
  <c r="AT224" i="42" s="1"/>
  <c r="AU226" i="42"/>
  <c r="AP519" i="39"/>
  <c r="AP68" i="39"/>
  <c r="AU424" i="39"/>
  <c r="AT427" i="39"/>
  <c r="AP159" i="42"/>
  <c r="AV13" i="42"/>
  <c r="AW12" i="42"/>
  <c r="AW13" i="42" s="1"/>
  <c r="AT268" i="39"/>
  <c r="AU176" i="39"/>
  <c r="AT137" i="42"/>
  <c r="AS47" i="42"/>
  <c r="AT329" i="42"/>
  <c r="S481" i="39"/>
  <c r="S405" i="39"/>
  <c r="AP341" i="42"/>
  <c r="AQ339" i="42"/>
  <c r="AT360" i="39"/>
  <c r="AU358" i="39"/>
  <c r="AT512" i="39"/>
  <c r="AU328" i="39"/>
  <c r="R125" i="42"/>
  <c r="AS139" i="39"/>
  <c r="AT511" i="42"/>
  <c r="AT460" i="42"/>
  <c r="AT117" i="42" s="1"/>
  <c r="AU457" i="42"/>
  <c r="AT517" i="42"/>
  <c r="AU399" i="42"/>
  <c r="AU453" i="39"/>
  <c r="AT518" i="39"/>
  <c r="AS383" i="42"/>
  <c r="AS101" i="42" s="1"/>
  <c r="AS80" i="42"/>
  <c r="S477" i="39"/>
  <c r="N271" i="42"/>
  <c r="N272" i="42" s="1"/>
  <c r="N276" i="42"/>
  <c r="AU148" i="42"/>
  <c r="AT268" i="42"/>
  <c r="AU176" i="42"/>
  <c r="AU349" i="39"/>
  <c r="AT518" i="42"/>
  <c r="AU453" i="42"/>
  <c r="AU518" i="42" s="1"/>
  <c r="AQ449" i="42"/>
  <c r="AR447" i="42"/>
  <c r="AT400" i="39"/>
  <c r="AS123" i="39"/>
  <c r="AU410" i="42"/>
  <c r="S206" i="39"/>
  <c r="T193" i="39" s="1"/>
  <c r="AT163" i="39"/>
  <c r="AT90" i="39" s="1"/>
  <c r="AU162" i="39"/>
  <c r="AT493" i="42"/>
  <c r="AT501" i="42" s="1"/>
  <c r="AT105" i="42"/>
  <c r="AU443" i="42"/>
  <c r="S508" i="42"/>
  <c r="S513" i="42" s="1"/>
  <c r="AT427" i="42"/>
  <c r="AU424" i="42"/>
  <c r="AU399" i="39"/>
  <c r="AT517" i="39"/>
  <c r="AR269" i="39"/>
  <c r="AD318" i="39"/>
  <c r="AW20" i="39" l="1"/>
  <c r="AW23" i="39"/>
  <c r="AW12" i="39"/>
  <c r="AW13" i="39" s="1"/>
  <c r="AV13" i="39"/>
  <c r="AV14" i="39"/>
  <c r="AV169" i="39" s="1"/>
  <c r="N257" i="42"/>
  <c r="N260" i="42" s="1"/>
  <c r="AU175" i="39"/>
  <c r="AU290" i="39" s="1"/>
  <c r="AT177" i="39"/>
  <c r="AT92" i="39" s="1"/>
  <c r="N192" i="42"/>
  <c r="N301" i="42"/>
  <c r="N316" i="42" s="1"/>
  <c r="M48" i="42"/>
  <c r="M127" i="42" s="1"/>
  <c r="AS92" i="39"/>
  <c r="AV241" i="42"/>
  <c r="Q77" i="39"/>
  <c r="Q79" i="39" s="1"/>
  <c r="Q82" i="39" s="1"/>
  <c r="Q67" i="39"/>
  <c r="Q69" i="39" s="1"/>
  <c r="Q71" i="39" s="1"/>
  <c r="R212" i="39"/>
  <c r="Q496" i="39"/>
  <c r="Q55" i="39"/>
  <c r="Q503" i="39"/>
  <c r="AT90" i="42"/>
  <c r="AT88" i="42" s="1"/>
  <c r="AU469" i="39"/>
  <c r="AU473" i="39"/>
  <c r="AT154" i="39"/>
  <c r="AT155" i="39" s="1"/>
  <c r="AT50" i="39" s="1"/>
  <c r="AR158" i="42"/>
  <c r="AR159" i="42" s="1"/>
  <c r="AV448" i="42"/>
  <c r="AV426" i="42"/>
  <c r="AV468" i="42"/>
  <c r="S100" i="39"/>
  <c r="AT177" i="42"/>
  <c r="AT92" i="42" s="1"/>
  <c r="AV240" i="42"/>
  <c r="AV349" i="42"/>
  <c r="AV285" i="42"/>
  <c r="AV258" i="42"/>
  <c r="AV459" i="42"/>
  <c r="AV144" i="42"/>
  <c r="AV323" i="42"/>
  <c r="AU286" i="42"/>
  <c r="AU137" i="42"/>
  <c r="AU139" i="42" s="1"/>
  <c r="AU284" i="42"/>
  <c r="AV425" i="42"/>
  <c r="AV259" i="42"/>
  <c r="AS269" i="39"/>
  <c r="AT269" i="39" s="1"/>
  <c r="AU149" i="39"/>
  <c r="S202" i="42"/>
  <c r="S114" i="42" s="1"/>
  <c r="AU137" i="39"/>
  <c r="AU139" i="39" s="1"/>
  <c r="S209" i="39"/>
  <c r="AT154" i="42"/>
  <c r="AT155" i="42" s="1"/>
  <c r="AU512" i="39"/>
  <c r="AV328" i="39"/>
  <c r="AQ341" i="42"/>
  <c r="AR339" i="42"/>
  <c r="S500" i="39"/>
  <c r="S486" i="39"/>
  <c r="AU222" i="42"/>
  <c r="AU223" i="42" s="1"/>
  <c r="AU224" i="42" s="1"/>
  <c r="AV226" i="42"/>
  <c r="AV167" i="42"/>
  <c r="AU172" i="42"/>
  <c r="AU174" i="42" s="1"/>
  <c r="AV173" i="39"/>
  <c r="AV254" i="39" s="1"/>
  <c r="AV15" i="39"/>
  <c r="N63" i="39"/>
  <c r="N7" i="39" s="1"/>
  <c r="N8" i="39" s="1"/>
  <c r="N65" i="39"/>
  <c r="AU360" i="42"/>
  <c r="AV358" i="42"/>
  <c r="AT335" i="42"/>
  <c r="AQ68" i="39"/>
  <c r="AQ519" i="39"/>
  <c r="AQ341" i="39"/>
  <c r="AR339" i="39"/>
  <c r="AS178" i="42"/>
  <c r="AS476" i="42" s="1"/>
  <c r="AS92" i="42"/>
  <c r="AU334" i="39"/>
  <c r="AU494" i="39"/>
  <c r="AT383" i="39"/>
  <c r="AT101" i="39" s="1"/>
  <c r="AT80" i="39"/>
  <c r="AU284" i="39"/>
  <c r="AT122" i="42"/>
  <c r="AU396" i="42"/>
  <c r="AU122" i="42" s="1"/>
  <c r="AT335" i="39"/>
  <c r="AT124" i="39"/>
  <c r="AU454" i="39"/>
  <c r="AO91" i="42"/>
  <c r="AP89" i="42"/>
  <c r="AP99" i="42" s="1"/>
  <c r="AO99" i="42"/>
  <c r="AV168" i="42"/>
  <c r="AT287" i="39"/>
  <c r="AU493" i="42"/>
  <c r="AU501" i="42" s="1"/>
  <c r="AU105" i="42"/>
  <c r="AV443" i="42"/>
  <c r="AU517" i="39"/>
  <c r="AU163" i="39"/>
  <c r="AU90" i="39" s="1"/>
  <c r="AU400" i="39"/>
  <c r="AT123" i="39"/>
  <c r="AU149" i="42"/>
  <c r="AV148" i="42"/>
  <c r="AV453" i="39"/>
  <c r="AU518" i="39"/>
  <c r="AU511" i="42"/>
  <c r="AU460" i="42"/>
  <c r="AU117" i="42" s="1"/>
  <c r="AV457" i="42"/>
  <c r="AP514" i="42"/>
  <c r="AT47" i="42"/>
  <c r="AU329" i="42"/>
  <c r="AV176" i="39"/>
  <c r="AU268" i="39"/>
  <c r="AU427" i="39"/>
  <c r="AU347" i="42"/>
  <c r="AU351" i="42" s="1"/>
  <c r="AV346" i="42"/>
  <c r="M112" i="42"/>
  <c r="M106" i="42"/>
  <c r="AV259" i="39"/>
  <c r="AT340" i="39"/>
  <c r="AU475" i="39"/>
  <c r="AO91" i="39"/>
  <c r="AP89" i="39"/>
  <c r="AO99" i="39"/>
  <c r="O216" i="39"/>
  <c r="AR86" i="42"/>
  <c r="AS472" i="42"/>
  <c r="AT420" i="42"/>
  <c r="AT421" i="42" s="1"/>
  <c r="AT102" i="42" s="1"/>
  <c r="AT483" i="42"/>
  <c r="AU494" i="42"/>
  <c r="AU334" i="42"/>
  <c r="AV333" i="42"/>
  <c r="AU163" i="42"/>
  <c r="AV162" i="42"/>
  <c r="AU222" i="39"/>
  <c r="AU223" i="39" s="1"/>
  <c r="AU224" i="39" s="1"/>
  <c r="AU516" i="39"/>
  <c r="AU286" i="39"/>
  <c r="AT47" i="39"/>
  <c r="AU329" i="39"/>
  <c r="S481" i="42"/>
  <c r="S405" i="42"/>
  <c r="AU172" i="39"/>
  <c r="AU174" i="39" s="1"/>
  <c r="AU380" i="42"/>
  <c r="AU482" i="42"/>
  <c r="AV379" i="42"/>
  <c r="AU413" i="39"/>
  <c r="AV410" i="39"/>
  <c r="AU382" i="42"/>
  <c r="AV381" i="42"/>
  <c r="AU419" i="42"/>
  <c r="AU382" i="39"/>
  <c r="AS474" i="42"/>
  <c r="AU347" i="39"/>
  <c r="AU351" i="39" s="1"/>
  <c r="AQ41" i="39"/>
  <c r="AU427" i="42"/>
  <c r="AV424" i="42"/>
  <c r="AR449" i="42"/>
  <c r="AS447" i="42"/>
  <c r="AU517" i="42"/>
  <c r="AV399" i="42"/>
  <c r="AV358" i="39"/>
  <c r="AU360" i="39"/>
  <c r="AP41" i="42"/>
  <c r="AT340" i="42"/>
  <c r="AU475" i="42"/>
  <c r="AU512" i="42"/>
  <c r="AV328" i="42"/>
  <c r="AU105" i="39"/>
  <c r="AU493" i="39"/>
  <c r="AU501" i="39" s="1"/>
  <c r="AT124" i="42"/>
  <c r="AU454" i="42"/>
  <c r="N194" i="42"/>
  <c r="N207" i="42"/>
  <c r="AV169" i="42"/>
  <c r="AT325" i="39"/>
  <c r="AT45" i="39" s="1"/>
  <c r="AU324" i="39"/>
  <c r="AT290" i="42"/>
  <c r="AU175" i="42"/>
  <c r="AU145" i="39"/>
  <c r="AU87" i="39" s="1"/>
  <c r="AO120" i="42"/>
  <c r="AP342" i="42"/>
  <c r="AU511" i="39"/>
  <c r="AU460" i="39"/>
  <c r="AU117" i="39" s="1"/>
  <c r="AU380" i="39"/>
  <c r="AU482" i="39"/>
  <c r="S407" i="42"/>
  <c r="AU396" i="39"/>
  <c r="AT122" i="39"/>
  <c r="AT287" i="42"/>
  <c r="AT88" i="39"/>
  <c r="AU413" i="42"/>
  <c r="AV410" i="42"/>
  <c r="AQ519" i="42"/>
  <c r="AQ68" i="42"/>
  <c r="AU268" i="42"/>
  <c r="AV176" i="42"/>
  <c r="S408" i="39"/>
  <c r="S66" i="39"/>
  <c r="T411" i="39"/>
  <c r="AT139" i="42"/>
  <c r="AT325" i="42"/>
  <c r="AT45" i="42" s="1"/>
  <c r="AU324" i="42"/>
  <c r="AU507" i="39"/>
  <c r="T196" i="39"/>
  <c r="AU145" i="42"/>
  <c r="AU87" i="42" s="1"/>
  <c r="AV142" i="42"/>
  <c r="AU507" i="42"/>
  <c r="AV321" i="42"/>
  <c r="AS157" i="42"/>
  <c r="AT78" i="42"/>
  <c r="AR449" i="39"/>
  <c r="AS447" i="39"/>
  <c r="AR492" i="39"/>
  <c r="AR495" i="39" s="1"/>
  <c r="AS474" i="39"/>
  <c r="AS155" i="39"/>
  <c r="AP514" i="39"/>
  <c r="AU415" i="39"/>
  <c r="AT78" i="39"/>
  <c r="AQ41" i="42"/>
  <c r="AP342" i="39"/>
  <c r="AO120" i="39"/>
  <c r="AS483" i="39"/>
  <c r="AS420" i="39"/>
  <c r="AS421" i="39" s="1"/>
  <c r="AS102" i="39" s="1"/>
  <c r="AT419" i="39"/>
  <c r="AU469" i="42"/>
  <c r="AT80" i="42"/>
  <c r="AT383" i="42"/>
  <c r="AT101" i="42" s="1"/>
  <c r="AT123" i="42"/>
  <c r="AU400" i="42"/>
  <c r="S43" i="39"/>
  <c r="S62" i="39"/>
  <c r="S46" i="39"/>
  <c r="AV453" i="42"/>
  <c r="AV173" i="42"/>
  <c r="AV254" i="42" s="1"/>
  <c r="AV138" i="42"/>
  <c r="AV171" i="42"/>
  <c r="AV136" i="42"/>
  <c r="AV15" i="42"/>
  <c r="AV415" i="42" s="1"/>
  <c r="AV16" i="42"/>
  <c r="AV170" i="42"/>
  <c r="AV134" i="42"/>
  <c r="AW14" i="42"/>
  <c r="AV132" i="42"/>
  <c r="AV135" i="42"/>
  <c r="AV283" i="42" s="1"/>
  <c r="AV133" i="42"/>
  <c r="AR86" i="39"/>
  <c r="AS472" i="39"/>
  <c r="AU473" i="42"/>
  <c r="AU516" i="42"/>
  <c r="AV395" i="42"/>
  <c r="AR159" i="39"/>
  <c r="AD195" i="39"/>
  <c r="AD208" i="39"/>
  <c r="AV379" i="39" l="1"/>
  <c r="AV380" i="39" s="1"/>
  <c r="AV240" i="39"/>
  <c r="AV323" i="39"/>
  <c r="AV258" i="39"/>
  <c r="AV457" i="39"/>
  <c r="AV144" i="39"/>
  <c r="AV448" i="39"/>
  <c r="AV167" i="39"/>
  <c r="AW167" i="39" s="1"/>
  <c r="AV395" i="39"/>
  <c r="AV168" i="39"/>
  <c r="AV134" i="39"/>
  <c r="AV132" i="39"/>
  <c r="AV135" i="39"/>
  <c r="AV283" i="39" s="1"/>
  <c r="AV284" i="39" s="1"/>
  <c r="AV425" i="39"/>
  <c r="AV426" i="39"/>
  <c r="AV142" i="39"/>
  <c r="AV145" i="39" s="1"/>
  <c r="AV87" i="39" s="1"/>
  <c r="AV285" i="39"/>
  <c r="AV346" i="39"/>
  <c r="AV424" i="39"/>
  <c r="AV162" i="39"/>
  <c r="AV475" i="39" s="1"/>
  <c r="AV171" i="39"/>
  <c r="AV133" i="39"/>
  <c r="AV16" i="39"/>
  <c r="AV459" i="39"/>
  <c r="AV349" i="39"/>
  <c r="AV241" i="39"/>
  <c r="AV321" i="39"/>
  <c r="AV443" i="39"/>
  <c r="AV105" i="39" s="1"/>
  <c r="AV381" i="39"/>
  <c r="AV382" i="39" s="1"/>
  <c r="AV148" i="39"/>
  <c r="AV226" i="39"/>
  <c r="AV399" i="39"/>
  <c r="AV517" i="39" s="1"/>
  <c r="AV468" i="39"/>
  <c r="AV333" i="39"/>
  <c r="AV170" i="39"/>
  <c r="AV136" i="39"/>
  <c r="AV138" i="39"/>
  <c r="AT178" i="39"/>
  <c r="AT476" i="39" s="1"/>
  <c r="AU177" i="39"/>
  <c r="AU92" i="39" s="1"/>
  <c r="AV175" i="39"/>
  <c r="AV290" i="39" s="1"/>
  <c r="AW14" i="39"/>
  <c r="AW144" i="39" s="1"/>
  <c r="N205" i="42"/>
  <c r="N477" i="42" s="1"/>
  <c r="N212" i="42" s="1"/>
  <c r="AT178" i="42"/>
  <c r="AT476" i="42" s="1"/>
  <c r="R232" i="39"/>
  <c r="AV469" i="42"/>
  <c r="AU90" i="42"/>
  <c r="AU88" i="42" s="1"/>
  <c r="Q488" i="39"/>
  <c r="AT474" i="39"/>
  <c r="AT492" i="39" s="1"/>
  <c r="AT495" i="39" s="1"/>
  <c r="AW448" i="42"/>
  <c r="R478" i="39"/>
  <c r="R51" i="39"/>
  <c r="S100" i="42"/>
  <c r="AV469" i="39"/>
  <c r="AU154" i="39"/>
  <c r="AU155" i="39" s="1"/>
  <c r="AU50" i="39" s="1"/>
  <c r="AV415" i="39"/>
  <c r="AU154" i="42"/>
  <c r="AU155" i="42" s="1"/>
  <c r="AU50" i="42" s="1"/>
  <c r="AU88" i="39"/>
  <c r="AU287" i="42"/>
  <c r="AV149" i="39"/>
  <c r="AU269" i="39"/>
  <c r="AT50" i="42"/>
  <c r="AU287" i="39"/>
  <c r="AV473" i="42"/>
  <c r="S113" i="39"/>
  <c r="AP120" i="39"/>
  <c r="AQ342" i="39"/>
  <c r="AW285" i="42"/>
  <c r="AS50" i="39"/>
  <c r="AR519" i="39"/>
  <c r="AR68" i="39"/>
  <c r="AV413" i="42"/>
  <c r="AW410" i="42"/>
  <c r="S62" i="42"/>
  <c r="S43" i="42"/>
  <c r="S46" i="42"/>
  <c r="AS158" i="42"/>
  <c r="AS159" i="42" s="1"/>
  <c r="AU325" i="39"/>
  <c r="AV324" i="39"/>
  <c r="AV517" i="42"/>
  <c r="AW399" i="42"/>
  <c r="AW517" i="42" s="1"/>
  <c r="AR519" i="42"/>
  <c r="AR68" i="42"/>
  <c r="AS492" i="42"/>
  <c r="AS495" i="42" s="1"/>
  <c r="AT474" i="42"/>
  <c r="AU483" i="42"/>
  <c r="AU420" i="42"/>
  <c r="AU421" i="42" s="1"/>
  <c r="AU102" i="42" s="1"/>
  <c r="AV419" i="42"/>
  <c r="AV413" i="39"/>
  <c r="AU383" i="42"/>
  <c r="AU101" i="42" s="1"/>
  <c r="AU80" i="42"/>
  <c r="AU47" i="39"/>
  <c r="AV329" i="39"/>
  <c r="AV222" i="39"/>
  <c r="AV223" i="39" s="1"/>
  <c r="AV224" i="39" s="1"/>
  <c r="AV334" i="42"/>
  <c r="AW333" i="42"/>
  <c r="AV494" i="42"/>
  <c r="O42" i="39"/>
  <c r="O94" i="39"/>
  <c r="AU340" i="39"/>
  <c r="AV149" i="42"/>
  <c r="AW148" i="42"/>
  <c r="AU335" i="39"/>
  <c r="AU157" i="39" s="1"/>
  <c r="AW144" i="42"/>
  <c r="AQ514" i="39"/>
  <c r="AW167" i="42"/>
  <c r="AV172" i="42"/>
  <c r="AV174" i="42" s="1"/>
  <c r="AV222" i="42"/>
  <c r="AV223" i="42" s="1"/>
  <c r="AV224" i="42" s="1"/>
  <c r="AW226" i="42"/>
  <c r="AV512" i="39"/>
  <c r="AT472" i="39"/>
  <c r="AS86" i="39"/>
  <c r="AV137" i="42"/>
  <c r="AW349" i="42"/>
  <c r="AV507" i="42"/>
  <c r="AW321" i="42"/>
  <c r="AW507" i="42" s="1"/>
  <c r="AW142" i="42"/>
  <c r="AV145" i="42"/>
  <c r="AV87" i="42" s="1"/>
  <c r="AV507" i="39"/>
  <c r="AW426" i="42"/>
  <c r="S98" i="39"/>
  <c r="S104" i="39" s="1"/>
  <c r="S59" i="39"/>
  <c r="AR41" i="42"/>
  <c r="AU122" i="39"/>
  <c r="AV396" i="39"/>
  <c r="AP120" i="42"/>
  <c r="AQ342" i="42"/>
  <c r="AV454" i="42"/>
  <c r="AU124" i="42"/>
  <c r="AV512" i="42"/>
  <c r="AW328" i="42"/>
  <c r="AW512" i="42" s="1"/>
  <c r="AW424" i="42"/>
  <c r="AV427" i="42"/>
  <c r="AV382" i="42"/>
  <c r="AW381" i="42"/>
  <c r="AW425" i="42"/>
  <c r="S408" i="42"/>
  <c r="S66" i="42"/>
  <c r="T411" i="42"/>
  <c r="T414" i="42" s="1"/>
  <c r="AV516" i="39"/>
  <c r="AU78" i="42"/>
  <c r="AW258" i="42"/>
  <c r="AV347" i="42"/>
  <c r="AV351" i="42" s="1"/>
  <c r="AW346" i="42"/>
  <c r="AW347" i="42" s="1"/>
  <c r="AW168" i="42"/>
  <c r="AP91" i="42"/>
  <c r="AQ89" i="42"/>
  <c r="AV494" i="39"/>
  <c r="AV334" i="39"/>
  <c r="AT157" i="42"/>
  <c r="AU335" i="42"/>
  <c r="AU157" i="42" s="1"/>
  <c r="AR41" i="39"/>
  <c r="S107" i="39"/>
  <c r="S450" i="39" s="1"/>
  <c r="S118" i="39"/>
  <c r="S119" i="39" s="1"/>
  <c r="AU325" i="42"/>
  <c r="AU45" i="42" s="1"/>
  <c r="AV324" i="42"/>
  <c r="AU290" i="42"/>
  <c r="AV175" i="42"/>
  <c r="AW169" i="42"/>
  <c r="AU340" i="42"/>
  <c r="AV475" i="42"/>
  <c r="AV482" i="42"/>
  <c r="AV380" i="42"/>
  <c r="AW379" i="42"/>
  <c r="AU178" i="39"/>
  <c r="AU476" i="39" s="1"/>
  <c r="S486" i="42"/>
  <c r="S500" i="42"/>
  <c r="AV163" i="42"/>
  <c r="AW162" i="42"/>
  <c r="AS86" i="42"/>
  <c r="AT472" i="42"/>
  <c r="AW468" i="42"/>
  <c r="AV268" i="39"/>
  <c r="N206" i="42"/>
  <c r="N193" i="42"/>
  <c r="AS158" i="39"/>
  <c r="AW323" i="42"/>
  <c r="AV360" i="42"/>
  <c r="AW358" i="42"/>
  <c r="AW360" i="42" s="1"/>
  <c r="AR341" i="42"/>
  <c r="AS339" i="42"/>
  <c r="AV396" i="42"/>
  <c r="AV516" i="42"/>
  <c r="AW395" i="42"/>
  <c r="AW516" i="42" s="1"/>
  <c r="AW15" i="42"/>
  <c r="AW415" i="42" s="1"/>
  <c r="AW136" i="42"/>
  <c r="AW173" i="42"/>
  <c r="AW254" i="42" s="1"/>
  <c r="AW171" i="42"/>
  <c r="AW133" i="42"/>
  <c r="AW132" i="42"/>
  <c r="AW170" i="42"/>
  <c r="AW135" i="42"/>
  <c r="AW283" i="42" s="1"/>
  <c r="AW134" i="42"/>
  <c r="AW138" i="42"/>
  <c r="AW16" i="42"/>
  <c r="AV518" i="42"/>
  <c r="AW453" i="42"/>
  <c r="AW518" i="42" s="1"/>
  <c r="AU123" i="42"/>
  <c r="AV400" i="42"/>
  <c r="AW259" i="42"/>
  <c r="AT420" i="39"/>
  <c r="AT421" i="39" s="1"/>
  <c r="AT102" i="39" s="1"/>
  <c r="AT483" i="39"/>
  <c r="AU419" i="39"/>
  <c r="AS492" i="39"/>
  <c r="AS495" i="39" s="1"/>
  <c r="AS449" i="39"/>
  <c r="AT447" i="39"/>
  <c r="AV284" i="42"/>
  <c r="T409" i="39"/>
  <c r="T199" i="39"/>
  <c r="T414" i="39"/>
  <c r="AV268" i="42"/>
  <c r="AW176" i="42"/>
  <c r="AW268" i="42" s="1"/>
  <c r="AU383" i="39"/>
  <c r="AU101" i="39" s="1"/>
  <c r="AU80" i="39"/>
  <c r="AV511" i="39"/>
  <c r="AW459" i="42"/>
  <c r="AW240" i="42"/>
  <c r="AV360" i="39"/>
  <c r="AS449" i="42"/>
  <c r="AT447" i="42"/>
  <c r="AV347" i="39"/>
  <c r="AV286" i="42"/>
  <c r="AQ89" i="39"/>
  <c r="AP99" i="39"/>
  <c r="AP91" i="39"/>
  <c r="M108" i="42"/>
  <c r="M109" i="42" s="1"/>
  <c r="M74" i="42"/>
  <c r="AV427" i="39"/>
  <c r="AU47" i="42"/>
  <c r="AV329" i="42"/>
  <c r="AV511" i="42"/>
  <c r="AW457" i="42"/>
  <c r="AV460" i="42"/>
  <c r="AV117" i="42" s="1"/>
  <c r="AV518" i="39"/>
  <c r="N318" i="42"/>
  <c r="AV400" i="39"/>
  <c r="AU123" i="39"/>
  <c r="AV493" i="42"/>
  <c r="AV501" i="42" s="1"/>
  <c r="AW443" i="42"/>
  <c r="AV105" i="42"/>
  <c r="AV454" i="39"/>
  <c r="AU124" i="39"/>
  <c r="AT157" i="39"/>
  <c r="AT269" i="42"/>
  <c r="AU269" i="42" s="1"/>
  <c r="AU78" i="39"/>
  <c r="AR341" i="39"/>
  <c r="AS339" i="39"/>
  <c r="AW241" i="42"/>
  <c r="AU177" i="42"/>
  <c r="AQ514" i="42"/>
  <c r="AV137" i="39" l="1"/>
  <c r="AV163" i="39"/>
  <c r="AV90" i="39" s="1"/>
  <c r="AV473" i="39"/>
  <c r="AV493" i="39"/>
  <c r="AV501" i="39" s="1"/>
  <c r="AV172" i="39"/>
  <c r="AV174" i="39" s="1"/>
  <c r="AV177" i="39" s="1"/>
  <c r="AV460" i="39"/>
  <c r="AV117" i="39" s="1"/>
  <c r="AV286" i="39"/>
  <c r="AV287" i="39" s="1"/>
  <c r="AV482" i="39"/>
  <c r="AV351" i="39"/>
  <c r="AW240" i="39"/>
  <c r="AW424" i="39"/>
  <c r="AW170" i="39"/>
  <c r="AW410" i="39"/>
  <c r="AW413" i="39" s="1"/>
  <c r="AW453" i="39"/>
  <c r="AW518" i="39" s="1"/>
  <c r="AW16" i="39"/>
  <c r="AW426" i="39"/>
  <c r="AW168" i="39"/>
  <c r="AW15" i="39"/>
  <c r="AW175" i="39" s="1"/>
  <c r="AW290" i="39" s="1"/>
  <c r="AW169" i="39"/>
  <c r="AW258" i="39"/>
  <c r="AW171" i="39"/>
  <c r="AW136" i="39"/>
  <c r="AW395" i="39"/>
  <c r="AW516" i="39" s="1"/>
  <c r="AW381" i="39"/>
  <c r="AW382" i="39" s="1"/>
  <c r="AW328" i="39"/>
  <c r="AW512" i="39" s="1"/>
  <c r="AW162" i="39"/>
  <c r="AW163" i="39" s="1"/>
  <c r="AW90" i="39" s="1"/>
  <c r="AW148" i="39"/>
  <c r="AW149" i="39" s="1"/>
  <c r="AW323" i="39"/>
  <c r="AW285" i="39"/>
  <c r="AW346" i="39"/>
  <c r="AW347" i="39" s="1"/>
  <c r="AW457" i="39"/>
  <c r="AW511" i="39" s="1"/>
  <c r="AW459" i="39"/>
  <c r="AW176" i="39"/>
  <c r="AW268" i="39" s="1"/>
  <c r="AW138" i="39"/>
  <c r="AW134" i="39"/>
  <c r="AW133" i="39"/>
  <c r="AW443" i="39"/>
  <c r="AW105" i="39" s="1"/>
  <c r="AW379" i="39"/>
  <c r="AW380" i="39" s="1"/>
  <c r="AW321" i="39"/>
  <c r="AW507" i="39" s="1"/>
  <c r="AW142" i="39"/>
  <c r="AW473" i="39" s="1"/>
  <c r="AW259" i="39"/>
  <c r="AW349" i="39"/>
  <c r="AW448" i="39"/>
  <c r="AW241" i="39"/>
  <c r="AW358" i="39"/>
  <c r="AW360" i="39" s="1"/>
  <c r="AW132" i="39"/>
  <c r="AW173" i="39"/>
  <c r="AW254" i="39" s="1"/>
  <c r="AW135" i="39"/>
  <c r="AW283" i="39" s="1"/>
  <c r="AW284" i="39" s="1"/>
  <c r="AW333" i="39"/>
  <c r="AW494" i="39" s="1"/>
  <c r="AW399" i="39"/>
  <c r="AW517" i="39" s="1"/>
  <c r="AW226" i="39"/>
  <c r="AW222" i="39" s="1"/>
  <c r="AW223" i="39" s="1"/>
  <c r="AW224" i="39" s="1"/>
  <c r="AW468" i="39"/>
  <c r="AW469" i="39" s="1"/>
  <c r="AW425" i="39"/>
  <c r="N52" i="42"/>
  <c r="AW469" i="42"/>
  <c r="AV90" i="42"/>
  <c r="AV88" i="42" s="1"/>
  <c r="AU474" i="39"/>
  <c r="AU492" i="39" s="1"/>
  <c r="AU495" i="39" s="1"/>
  <c r="R54" i="39"/>
  <c r="R56" i="39"/>
  <c r="R53" i="39"/>
  <c r="R515" i="39"/>
  <c r="R520" i="39" s="1"/>
  <c r="R499" i="39"/>
  <c r="R480" i="39"/>
  <c r="AV154" i="42"/>
  <c r="AV155" i="42" s="1"/>
  <c r="AW163" i="42"/>
  <c r="AW351" i="42"/>
  <c r="AW145" i="42"/>
  <c r="AW87" i="42" s="1"/>
  <c r="AV154" i="39"/>
  <c r="AV155" i="39" s="1"/>
  <c r="AW286" i="42"/>
  <c r="AW382" i="42"/>
  <c r="T200" i="42"/>
  <c r="T201" i="42"/>
  <c r="AS41" i="42"/>
  <c r="AU178" i="42"/>
  <c r="AU476" i="42" s="1"/>
  <c r="AU92" i="42"/>
  <c r="AQ91" i="39"/>
  <c r="AR89" i="39"/>
  <c r="AQ99" i="39"/>
  <c r="AV123" i="39"/>
  <c r="AT449" i="42"/>
  <c r="AU447" i="42"/>
  <c r="T508" i="39"/>
  <c r="T513" i="39" s="1"/>
  <c r="T205" i="39"/>
  <c r="T52" i="39" s="1"/>
  <c r="AW284" i="42"/>
  <c r="AU483" i="39"/>
  <c r="AU420" i="39"/>
  <c r="AU421" i="39" s="1"/>
  <c r="AU102" i="39" s="1"/>
  <c r="AV419" i="39"/>
  <c r="AV123" i="42"/>
  <c r="AW400" i="42"/>
  <c r="AW123" i="42" s="1"/>
  <c r="AR514" i="42"/>
  <c r="AT158" i="39"/>
  <c r="AV325" i="42"/>
  <c r="AV45" i="42" s="1"/>
  <c r="AW324" i="42"/>
  <c r="AW325" i="42" s="1"/>
  <c r="AW45" i="42" s="1"/>
  <c r="AQ120" i="42"/>
  <c r="AR342" i="42"/>
  <c r="AV80" i="39"/>
  <c r="AV383" i="39"/>
  <c r="AV101" i="39" s="1"/>
  <c r="AT86" i="39"/>
  <c r="AU472" i="39"/>
  <c r="AV139" i="39"/>
  <c r="AW149" i="42"/>
  <c r="AU45" i="39"/>
  <c r="AW473" i="42"/>
  <c r="M60" i="42"/>
  <c r="M61" i="42" s="1"/>
  <c r="AV124" i="39"/>
  <c r="AW493" i="42"/>
  <c r="AW501" i="42" s="1"/>
  <c r="AW105" i="42"/>
  <c r="N208" i="42"/>
  <c r="N209" i="42" s="1"/>
  <c r="N195" i="42"/>
  <c r="N196" i="42" s="1"/>
  <c r="AW460" i="42"/>
  <c r="AW117" i="42" s="1"/>
  <c r="AW511" i="42"/>
  <c r="AS519" i="42"/>
  <c r="AS68" i="42"/>
  <c r="T412" i="39"/>
  <c r="T406" i="39" s="1"/>
  <c r="T404" i="39"/>
  <c r="AT449" i="39"/>
  <c r="AU447" i="39"/>
  <c r="AW137" i="42"/>
  <c r="AV122" i="42"/>
  <c r="AW396" i="42"/>
  <c r="AW122" i="42" s="1"/>
  <c r="AT86" i="42"/>
  <c r="AU472" i="42"/>
  <c r="AW482" i="42"/>
  <c r="AW380" i="42"/>
  <c r="AW175" i="42"/>
  <c r="AW290" i="42" s="1"/>
  <c r="AV290" i="42"/>
  <c r="AV335" i="42"/>
  <c r="AV157" i="42" s="1"/>
  <c r="T409" i="42"/>
  <c r="T199" i="42"/>
  <c r="AV124" i="42"/>
  <c r="AW454" i="42"/>
  <c r="AW124" i="42" s="1"/>
  <c r="AV122" i="39"/>
  <c r="O96" i="39"/>
  <c r="O97" i="39" s="1"/>
  <c r="AT492" i="42"/>
  <c r="AT495" i="42" s="1"/>
  <c r="AU474" i="42"/>
  <c r="S113" i="42"/>
  <c r="AW413" i="42"/>
  <c r="AS341" i="39"/>
  <c r="AT339" i="39"/>
  <c r="AR514" i="39"/>
  <c r="AV178" i="39"/>
  <c r="AV476" i="39" s="1"/>
  <c r="AV92" i="39"/>
  <c r="AS519" i="39"/>
  <c r="AS68" i="39"/>
  <c r="AV78" i="42"/>
  <c r="AV80" i="42"/>
  <c r="AV383" i="42"/>
  <c r="AV101" i="42" s="1"/>
  <c r="AV340" i="42"/>
  <c r="AW475" i="42"/>
  <c r="AQ91" i="42"/>
  <c r="AR89" i="42"/>
  <c r="AQ99" i="42"/>
  <c r="AW427" i="42"/>
  <c r="AV139" i="42"/>
  <c r="AV177" i="42"/>
  <c r="AV335" i="39"/>
  <c r="AV157" i="39" s="1"/>
  <c r="O49" i="39"/>
  <c r="O44" i="39"/>
  <c r="AW494" i="42"/>
  <c r="AW334" i="42"/>
  <c r="AV483" i="42"/>
  <c r="AW419" i="42"/>
  <c r="AV420" i="42"/>
  <c r="AV421" i="42" s="1"/>
  <c r="AV102" i="42" s="1"/>
  <c r="S118" i="42"/>
  <c r="S119" i="42" s="1"/>
  <c r="S107" i="42"/>
  <c r="S450" i="42" s="1"/>
  <c r="AS159" i="39"/>
  <c r="AS41" i="39" s="1"/>
  <c r="N478" i="42"/>
  <c r="N51" i="42"/>
  <c r="AV47" i="42"/>
  <c r="AW329" i="42"/>
  <c r="AW47" i="42" s="1"/>
  <c r="T200" i="39"/>
  <c r="T201" i="39"/>
  <c r="AS341" i="42"/>
  <c r="AT339" i="42"/>
  <c r="AV88" i="39"/>
  <c r="S125" i="39"/>
  <c r="S93" i="39"/>
  <c r="AV78" i="39"/>
  <c r="S98" i="42"/>
  <c r="S104" i="42" s="1"/>
  <c r="S59" i="42"/>
  <c r="AW222" i="42"/>
  <c r="AW223" i="42" s="1"/>
  <c r="AW224" i="42" s="1"/>
  <c r="AW172" i="42"/>
  <c r="AW174" i="42" s="1"/>
  <c r="AV340" i="39"/>
  <c r="O121" i="39"/>
  <c r="O126" i="39" s="1"/>
  <c r="AV47" i="39"/>
  <c r="AV325" i="39"/>
  <c r="AT158" i="42"/>
  <c r="AQ120" i="39"/>
  <c r="AR342" i="39"/>
  <c r="AV287" i="42"/>
  <c r="AW482" i="39" l="1"/>
  <c r="AW400" i="39"/>
  <c r="AW123" i="39" s="1"/>
  <c r="AW454" i="39"/>
  <c r="AW124" i="39" s="1"/>
  <c r="AW475" i="39"/>
  <c r="AW340" i="39" s="1"/>
  <c r="AW460" i="39"/>
  <c r="AW117" i="39" s="1"/>
  <c r="AW351" i="39"/>
  <c r="AW415" i="39"/>
  <c r="AW427" i="39"/>
  <c r="AW172" i="39"/>
  <c r="AW145" i="39"/>
  <c r="AW87" i="39" s="1"/>
  <c r="AW493" i="39"/>
  <c r="AW501" i="39" s="1"/>
  <c r="AW334" i="39"/>
  <c r="AW154" i="39" s="1"/>
  <c r="AW155" i="39" s="1"/>
  <c r="AW286" i="39"/>
  <c r="AW329" i="39"/>
  <c r="AW47" i="39" s="1"/>
  <c r="AW137" i="39"/>
  <c r="AW139" i="39" s="1"/>
  <c r="AW396" i="39"/>
  <c r="AW122" i="39" s="1"/>
  <c r="AW174" i="39"/>
  <c r="AW177" i="39" s="1"/>
  <c r="AW178" i="39" s="1"/>
  <c r="AW476" i="39" s="1"/>
  <c r="AW324" i="39"/>
  <c r="AW325" i="39" s="1"/>
  <c r="AW45" i="39" s="1"/>
  <c r="O48" i="39"/>
  <c r="O127" i="39" s="1"/>
  <c r="AV474" i="39"/>
  <c r="AV492" i="39" s="1"/>
  <c r="AV495" i="39" s="1"/>
  <c r="AW90" i="42"/>
  <c r="AW88" i="42" s="1"/>
  <c r="AW154" i="42"/>
  <c r="AW155" i="42" s="1"/>
  <c r="R491" i="39"/>
  <c r="R487" i="39"/>
  <c r="R506" i="39"/>
  <c r="R521" i="39" s="1"/>
  <c r="R502" i="39"/>
  <c r="R75" i="39" s="1"/>
  <c r="AV50" i="42"/>
  <c r="AW287" i="42"/>
  <c r="AW287" i="39"/>
  <c r="AW177" i="42"/>
  <c r="AW178" i="42" s="1"/>
  <c r="AW476" i="42" s="1"/>
  <c r="AW340" i="42"/>
  <c r="T202" i="39"/>
  <c r="T100" i="39" s="1"/>
  <c r="U192" i="39"/>
  <c r="N93" i="42"/>
  <c r="N213" i="42" s="1"/>
  <c r="AV45" i="39"/>
  <c r="N499" i="42"/>
  <c r="N480" i="42"/>
  <c r="AU492" i="42"/>
  <c r="AU495" i="42" s="1"/>
  <c r="AV474" i="42"/>
  <c r="T508" i="42"/>
  <c r="T513" i="42" s="1"/>
  <c r="T202" i="42"/>
  <c r="AU449" i="39"/>
  <c r="AV447" i="39"/>
  <c r="M63" i="42"/>
  <c r="M7" i="42" s="1"/>
  <c r="M8" i="42" s="1"/>
  <c r="M65" i="42"/>
  <c r="AR120" i="42"/>
  <c r="AW80" i="39"/>
  <c r="AW383" i="39"/>
  <c r="AW101" i="39" s="1"/>
  <c r="T207" i="39"/>
  <c r="U194" i="39" s="1"/>
  <c r="N515" i="42"/>
  <c r="N520" i="42" s="1"/>
  <c r="AR91" i="42"/>
  <c r="AS89" i="42"/>
  <c r="AR99" i="42"/>
  <c r="T412" i="42"/>
  <c r="T406" i="42" s="1"/>
  <c r="T404" i="42"/>
  <c r="AW80" i="42"/>
  <c r="AW383" i="42"/>
  <c r="AW101" i="42" s="1"/>
  <c r="AT519" i="39"/>
  <c r="AT68" i="39"/>
  <c r="AV269" i="42"/>
  <c r="AR91" i="39"/>
  <c r="AS89" i="39"/>
  <c r="AR99" i="39"/>
  <c r="AT159" i="42"/>
  <c r="AU158" i="42"/>
  <c r="AT341" i="42"/>
  <c r="AU339" i="42"/>
  <c r="T206" i="39"/>
  <c r="U193" i="39" s="1"/>
  <c r="S125" i="42"/>
  <c r="AV178" i="42"/>
  <c r="AV476" i="42" s="1"/>
  <c r="AV92" i="42"/>
  <c r="AT341" i="39"/>
  <c r="AU339" i="39"/>
  <c r="O112" i="39"/>
  <c r="O106" i="39"/>
  <c r="AW335" i="42"/>
  <c r="T481" i="39"/>
  <c r="T405" i="39"/>
  <c r="AV50" i="39"/>
  <c r="AV269" i="39"/>
  <c r="AT159" i="39"/>
  <c r="AU158" i="39"/>
  <c r="T477" i="39"/>
  <c r="AU449" i="42"/>
  <c r="AV447" i="42"/>
  <c r="AW483" i="42"/>
  <c r="AW420" i="42"/>
  <c r="AW421" i="42" s="1"/>
  <c r="AW102" i="42" s="1"/>
  <c r="AR120" i="39"/>
  <c r="AW88" i="39"/>
  <c r="AS342" i="42"/>
  <c r="AS514" i="42"/>
  <c r="N56" i="42"/>
  <c r="N54" i="42"/>
  <c r="N53" i="42"/>
  <c r="AW78" i="42"/>
  <c r="AS342" i="39"/>
  <c r="AS514" i="39"/>
  <c r="AU86" i="42"/>
  <c r="AV472" i="42"/>
  <c r="AW139" i="42"/>
  <c r="T407" i="39"/>
  <c r="AV472" i="39"/>
  <c r="AU86" i="39"/>
  <c r="AV483" i="39"/>
  <c r="AW419" i="39"/>
  <c r="AV420" i="39"/>
  <c r="AV421" i="39" s="1"/>
  <c r="AV102" i="39" s="1"/>
  <c r="AT519" i="42"/>
  <c r="AT68" i="42"/>
  <c r="AW335" i="39" l="1"/>
  <c r="AW78" i="39"/>
  <c r="AW269" i="39"/>
  <c r="AW92" i="39"/>
  <c r="AW92" i="42"/>
  <c r="AW50" i="42"/>
  <c r="AW50" i="39"/>
  <c r="S212" i="39"/>
  <c r="R67" i="39"/>
  <c r="R69" i="39" s="1"/>
  <c r="R71" i="39" s="1"/>
  <c r="R77" i="39"/>
  <c r="R79" i="39" s="1"/>
  <c r="R82" i="39" s="1"/>
  <c r="R496" i="39"/>
  <c r="R55" i="39"/>
  <c r="R503" i="39"/>
  <c r="T114" i="39"/>
  <c r="T209" i="39"/>
  <c r="N215" i="42"/>
  <c r="U196" i="39"/>
  <c r="N214" i="42"/>
  <c r="AW474" i="39"/>
  <c r="AW492" i="39" s="1"/>
  <c r="AW495" i="39" s="1"/>
  <c r="AS120" i="42"/>
  <c r="AW157" i="39"/>
  <c r="AV339" i="39"/>
  <c r="AU341" i="39"/>
  <c r="AU159" i="42"/>
  <c r="AV158" i="42"/>
  <c r="AS99" i="39"/>
  <c r="AT89" i="39"/>
  <c r="AT99" i="39" s="1"/>
  <c r="AS91" i="39"/>
  <c r="AT89" i="42"/>
  <c r="AT99" i="42" s="1"/>
  <c r="AS99" i="42"/>
  <c r="AS91" i="42"/>
  <c r="AV449" i="39"/>
  <c r="AW447" i="39"/>
  <c r="AW449" i="39" s="1"/>
  <c r="T100" i="42"/>
  <c r="T114" i="42"/>
  <c r="AV449" i="42"/>
  <c r="AW447" i="42"/>
  <c r="AW449" i="42" s="1"/>
  <c r="AW157" i="42"/>
  <c r="AT514" i="39"/>
  <c r="AU341" i="42"/>
  <c r="AV339" i="42"/>
  <c r="AT41" i="42"/>
  <c r="AW269" i="42"/>
  <c r="AU519" i="39"/>
  <c r="AU68" i="39"/>
  <c r="N487" i="42"/>
  <c r="N491" i="42"/>
  <c r="AV86" i="42"/>
  <c r="AW472" i="42"/>
  <c r="AW86" i="42" s="1"/>
  <c r="AU519" i="42"/>
  <c r="AU68" i="42"/>
  <c r="AU159" i="39"/>
  <c r="AV158" i="39"/>
  <c r="T408" i="39"/>
  <c r="T66" i="39"/>
  <c r="U411" i="39"/>
  <c r="U414" i="39" s="1"/>
  <c r="O108" i="39"/>
  <c r="O109" i="39" s="1"/>
  <c r="O74" i="39"/>
  <c r="AT342" i="42"/>
  <c r="AT514" i="42"/>
  <c r="T481" i="42"/>
  <c r="T405" i="42"/>
  <c r="AV492" i="42"/>
  <c r="AV495" i="42" s="1"/>
  <c r="AW474" i="42"/>
  <c r="AW492" i="42" s="1"/>
  <c r="AW495" i="42" s="1"/>
  <c r="N506" i="42"/>
  <c r="N521" i="42" s="1"/>
  <c r="N502" i="42"/>
  <c r="N75" i="42" s="1"/>
  <c r="AW483" i="39"/>
  <c r="AW420" i="39"/>
  <c r="AW421" i="39" s="1"/>
  <c r="AW102" i="39" s="1"/>
  <c r="AV86" i="39"/>
  <c r="AW472" i="39"/>
  <c r="AW86" i="39" s="1"/>
  <c r="T46" i="39"/>
  <c r="T62" i="39"/>
  <c r="T43" i="39"/>
  <c r="AS120" i="39"/>
  <c r="AT342" i="39"/>
  <c r="AT41" i="39"/>
  <c r="T500" i="39"/>
  <c r="T486" i="39"/>
  <c r="T407" i="42"/>
  <c r="S232" i="39" l="1"/>
  <c r="R488" i="39"/>
  <c r="S478" i="39"/>
  <c r="S515" i="39" s="1"/>
  <c r="S520" i="39" s="1"/>
  <c r="S51" i="39"/>
  <c r="N216" i="42"/>
  <c r="N42" i="42" s="1"/>
  <c r="N503" i="42"/>
  <c r="U201" i="39"/>
  <c r="U200" i="39"/>
  <c r="N94" i="42"/>
  <c r="T408" i="42"/>
  <c r="T66" i="42"/>
  <c r="U411" i="42"/>
  <c r="AT120" i="42"/>
  <c r="AU342" i="42"/>
  <c r="U409" i="39"/>
  <c r="U199" i="39"/>
  <c r="AU41" i="39"/>
  <c r="N55" i="42"/>
  <c r="N496" i="42"/>
  <c r="AV159" i="42"/>
  <c r="AV41" i="42" s="1"/>
  <c r="AW158" i="42"/>
  <c r="AW159" i="42" s="1"/>
  <c r="T107" i="39"/>
  <c r="T450" i="39" s="1"/>
  <c r="T118" i="39"/>
  <c r="T119" i="39" s="1"/>
  <c r="N67" i="42"/>
  <c r="N69" i="42" s="1"/>
  <c r="N71" i="42" s="1"/>
  <c r="N77" i="42"/>
  <c r="N79" i="42" s="1"/>
  <c r="N82" i="42" s="1"/>
  <c r="T500" i="42"/>
  <c r="T486" i="42"/>
  <c r="AU41" i="42"/>
  <c r="AU342" i="39"/>
  <c r="AT120" i="39"/>
  <c r="O60" i="39"/>
  <c r="O61" i="39" s="1"/>
  <c r="P213" i="39"/>
  <c r="P214" i="39"/>
  <c r="P215" i="39"/>
  <c r="T98" i="39"/>
  <c r="T104" i="39" s="1"/>
  <c r="T59" i="39"/>
  <c r="AW339" i="42"/>
  <c r="AW341" i="42" s="1"/>
  <c r="AV341" i="42"/>
  <c r="AW519" i="42"/>
  <c r="AW68" i="42"/>
  <c r="AW519" i="39"/>
  <c r="AW68" i="39"/>
  <c r="AU89" i="42"/>
  <c r="AT91" i="42"/>
  <c r="AU89" i="39"/>
  <c r="AT91" i="39"/>
  <c r="AU514" i="39"/>
  <c r="T43" i="42"/>
  <c r="T46" i="42"/>
  <c r="T62" i="42"/>
  <c r="T113" i="39"/>
  <c r="AV159" i="39"/>
  <c r="AW158" i="39"/>
  <c r="AW159" i="39" s="1"/>
  <c r="AU514" i="42"/>
  <c r="AV519" i="42"/>
  <c r="AV68" i="42"/>
  <c r="AV68" i="39"/>
  <c r="AV519" i="39"/>
  <c r="AW339" i="39"/>
  <c r="AW341" i="39" s="1"/>
  <c r="AV341" i="39"/>
  <c r="AE291" i="39"/>
  <c r="AE179" i="39"/>
  <c r="AE251" i="39"/>
  <c r="AE296" i="39"/>
  <c r="AE304" i="39"/>
  <c r="AE308" i="39"/>
  <c r="AE250" i="39"/>
  <c r="AE300" i="39"/>
  <c r="AE253" i="39"/>
  <c r="AE252" i="39"/>
  <c r="AE275" i="39"/>
  <c r="AE279" i="39"/>
  <c r="AE270" i="39"/>
  <c r="AE256" i="39"/>
  <c r="O232" i="42" l="1"/>
  <c r="O304" i="42" s="1"/>
  <c r="S53" i="39"/>
  <c r="S54" i="39"/>
  <c r="S56" i="39"/>
  <c r="S499" i="39"/>
  <c r="S480" i="39"/>
  <c r="AV514" i="39"/>
  <c r="AV41" i="39"/>
  <c r="T113" i="42"/>
  <c r="AU91" i="42"/>
  <c r="AV89" i="42"/>
  <c r="O63" i="39"/>
  <c r="O7" i="39" s="1"/>
  <c r="O8" i="39" s="1"/>
  <c r="O65" i="39"/>
  <c r="AW41" i="42"/>
  <c r="U508" i="39"/>
  <c r="U513" i="39" s="1"/>
  <c r="U202" i="39"/>
  <c r="U205" i="39"/>
  <c r="AU120" i="42"/>
  <c r="AV342" i="42"/>
  <c r="T98" i="42"/>
  <c r="T104" i="42" s="1"/>
  <c r="T59" i="42"/>
  <c r="AW514" i="39"/>
  <c r="T107" i="42"/>
  <c r="T450" i="42" s="1"/>
  <c r="T118" i="42"/>
  <c r="T119" i="42" s="1"/>
  <c r="AV514" i="42"/>
  <c r="AU99" i="42"/>
  <c r="U412" i="39"/>
  <c r="U406" i="39" s="1"/>
  <c r="U404" i="39"/>
  <c r="N49" i="42"/>
  <c r="N44" i="42"/>
  <c r="N48" i="42" s="1"/>
  <c r="U206" i="39"/>
  <c r="V193" i="39" s="1"/>
  <c r="AV89" i="39"/>
  <c r="AU91" i="39"/>
  <c r="AW514" i="42"/>
  <c r="N488" i="42"/>
  <c r="AU99" i="39"/>
  <c r="U409" i="42"/>
  <c r="U199" i="42"/>
  <c r="U414" i="42"/>
  <c r="N96" i="42"/>
  <c r="N97" i="42" s="1"/>
  <c r="U207" i="39"/>
  <c r="V194" i="39" s="1"/>
  <c r="AW41" i="39"/>
  <c r="P216" i="39"/>
  <c r="AV342" i="39"/>
  <c r="AU120" i="39"/>
  <c r="T125" i="39"/>
  <c r="T93" i="39"/>
  <c r="N121" i="42"/>
  <c r="N126" i="42" s="1"/>
  <c r="AE276" i="39"/>
  <c r="AE257" i="39"/>
  <c r="AE260" i="39" s="1"/>
  <c r="AE297" i="39"/>
  <c r="AE309" i="39"/>
  <c r="AE242" i="39"/>
  <c r="AE180" i="39"/>
  <c r="AE271" i="39"/>
  <c r="AE272" i="39" s="1"/>
  <c r="AE280" i="39"/>
  <c r="AE301" i="39"/>
  <c r="AE305" i="39"/>
  <c r="AE292" i="39"/>
  <c r="AE293" i="39" s="1"/>
  <c r="AE317" i="39" s="1"/>
  <c r="O239" i="42" l="1"/>
  <c r="O279" i="42"/>
  <c r="O280" i="42" s="1"/>
  <c r="O251" i="42"/>
  <c r="O275" i="42"/>
  <c r="O276" i="42" s="1"/>
  <c r="O256" i="42"/>
  <c r="O253" i="42"/>
  <c r="O296" i="42"/>
  <c r="O297" i="42" s="1"/>
  <c r="O252" i="42"/>
  <c r="O300" i="42"/>
  <c r="O301" i="42" s="1"/>
  <c r="O308" i="42"/>
  <c r="O309" i="42" s="1"/>
  <c r="O270" i="42"/>
  <c r="O271" i="42" s="1"/>
  <c r="O272" i="42" s="1"/>
  <c r="O291" i="42"/>
  <c r="O292" i="42" s="1"/>
  <c r="O293" i="42" s="1"/>
  <c r="O317" i="42" s="1"/>
  <c r="O179" i="42"/>
  <c r="O180" i="42" s="1"/>
  <c r="O183" i="42" s="1"/>
  <c r="O250" i="42"/>
  <c r="S491" i="39"/>
  <c r="S487" i="39"/>
  <c r="S502" i="39"/>
  <c r="S75" i="39" s="1"/>
  <c r="S506" i="39"/>
  <c r="S521" i="39" s="1"/>
  <c r="N112" i="42"/>
  <c r="N106" i="42"/>
  <c r="U412" i="42"/>
  <c r="U406" i="42" s="1"/>
  <c r="U404" i="42"/>
  <c r="U405" i="39"/>
  <c r="U481" i="39"/>
  <c r="T125" i="42"/>
  <c r="U114" i="39"/>
  <c r="U100" i="39"/>
  <c r="P42" i="39"/>
  <c r="P94" i="39"/>
  <c r="U201" i="42"/>
  <c r="U200" i="42"/>
  <c r="O242" i="42"/>
  <c r="U407" i="39"/>
  <c r="U52" i="39"/>
  <c r="U477" i="39"/>
  <c r="U209" i="39"/>
  <c r="AW342" i="39"/>
  <c r="AV120" i="39"/>
  <c r="U508" i="42"/>
  <c r="U513" i="42" s="1"/>
  <c r="O305" i="42"/>
  <c r="AW89" i="39"/>
  <c r="AV91" i="39"/>
  <c r="N127" i="42"/>
  <c r="AV120" i="42"/>
  <c r="AW342" i="42"/>
  <c r="V192" i="39"/>
  <c r="AV99" i="42"/>
  <c r="AW89" i="42"/>
  <c r="AV91" i="42"/>
  <c r="AV99" i="39"/>
  <c r="AE183" i="39"/>
  <c r="AE316" i="39"/>
  <c r="O257" i="42" l="1"/>
  <c r="O260" i="42" s="1"/>
  <c r="O192" i="42"/>
  <c r="T212" i="39"/>
  <c r="S77" i="39"/>
  <c r="S79" i="39" s="1"/>
  <c r="S82" i="39" s="1"/>
  <c r="S67" i="39"/>
  <c r="S69" i="39" s="1"/>
  <c r="S496" i="39"/>
  <c r="S55" i="39"/>
  <c r="S503" i="39"/>
  <c r="U202" i="42"/>
  <c r="U100" i="42" s="1"/>
  <c r="O316" i="42"/>
  <c r="N108" i="42"/>
  <c r="N109" i="42" s="1"/>
  <c r="N74" i="42"/>
  <c r="U62" i="39"/>
  <c r="U43" i="39"/>
  <c r="U46" i="39"/>
  <c r="P49" i="39"/>
  <c r="P44" i="39"/>
  <c r="P96" i="39"/>
  <c r="P97" i="39" s="1"/>
  <c r="AW91" i="42"/>
  <c r="AW99" i="42"/>
  <c r="AW120" i="42"/>
  <c r="P121" i="39"/>
  <c r="P126" i="39" s="1"/>
  <c r="U500" i="39"/>
  <c r="U486" i="39"/>
  <c r="O207" i="42"/>
  <c r="O194" i="42"/>
  <c r="U481" i="42"/>
  <c r="U405" i="42"/>
  <c r="V196" i="39"/>
  <c r="AW91" i="39"/>
  <c r="AW99" i="39"/>
  <c r="AW120" i="39"/>
  <c r="U408" i="39"/>
  <c r="U66" i="39"/>
  <c r="V411" i="39"/>
  <c r="U407" i="42"/>
  <c r="AE318" i="39"/>
  <c r="U114" i="42" l="1"/>
  <c r="O205" i="42"/>
  <c r="O52" i="42" s="1"/>
  <c r="P48" i="39"/>
  <c r="S488" i="39"/>
  <c r="S71" i="39"/>
  <c r="T232" i="39"/>
  <c r="T51" i="39"/>
  <c r="T478" i="39"/>
  <c r="U98" i="39"/>
  <c r="U104" i="39" s="1"/>
  <c r="U59" i="39"/>
  <c r="U113" i="39"/>
  <c r="U43" i="42"/>
  <c r="U62" i="42"/>
  <c r="U46" i="42"/>
  <c r="U107" i="39"/>
  <c r="U450" i="39" s="1"/>
  <c r="U118" i="39"/>
  <c r="U119" i="39" s="1"/>
  <c r="O206" i="42"/>
  <c r="O193" i="42"/>
  <c r="U500" i="42"/>
  <c r="U486" i="42"/>
  <c r="N60" i="42"/>
  <c r="N61" i="42" s="1"/>
  <c r="V409" i="39"/>
  <c r="V199" i="39"/>
  <c r="V414" i="39"/>
  <c r="U408" i="42"/>
  <c r="U66" i="42"/>
  <c r="V411" i="42"/>
  <c r="P112" i="39"/>
  <c r="P106" i="39"/>
  <c r="O318" i="42"/>
  <c r="AE208" i="39"/>
  <c r="AE195" i="39"/>
  <c r="O477" i="42" l="1"/>
  <c r="O212" i="42" s="1"/>
  <c r="O478" i="42" s="1"/>
  <c r="O515" i="42" s="1"/>
  <c r="O520" i="42" s="1"/>
  <c r="P127" i="39"/>
  <c r="T515" i="39"/>
  <c r="T520" i="39" s="1"/>
  <c r="T499" i="39"/>
  <c r="T480" i="39"/>
  <c r="T56" i="39"/>
  <c r="T54" i="39"/>
  <c r="T53" i="39"/>
  <c r="O208" i="42"/>
  <c r="O209" i="42" s="1"/>
  <c r="O195" i="42"/>
  <c r="O196" i="42" s="1"/>
  <c r="V409" i="42"/>
  <c r="V199" i="42"/>
  <c r="V508" i="39"/>
  <c r="V513" i="39" s="1"/>
  <c r="V205" i="39"/>
  <c r="U125" i="39"/>
  <c r="U93" i="39"/>
  <c r="U118" i="42"/>
  <c r="U119" i="42" s="1"/>
  <c r="U107" i="42"/>
  <c r="U450" i="42" s="1"/>
  <c r="V201" i="39"/>
  <c r="V200" i="39"/>
  <c r="P108" i="39"/>
  <c r="P109" i="39" s="1"/>
  <c r="P74" i="39"/>
  <c r="V412" i="39"/>
  <c r="V406" i="39" s="1"/>
  <c r="V404" i="39"/>
  <c r="V414" i="42"/>
  <c r="U98" i="42"/>
  <c r="U104" i="42" s="1"/>
  <c r="U59" i="42"/>
  <c r="N63" i="42"/>
  <c r="N7" i="42" s="1"/>
  <c r="N8" i="42" s="1"/>
  <c r="N65" i="42"/>
  <c r="U113" i="42"/>
  <c r="O51" i="42" l="1"/>
  <c r="O56" i="42" s="1"/>
  <c r="T487" i="39"/>
  <c r="T491" i="39"/>
  <c r="T506" i="39"/>
  <c r="T521" i="39" s="1"/>
  <c r="T502" i="39"/>
  <c r="T75" i="39" s="1"/>
  <c r="P60" i="39"/>
  <c r="P61" i="39" s="1"/>
  <c r="Q214" i="39"/>
  <c r="Q213" i="39"/>
  <c r="Q215" i="39"/>
  <c r="U125" i="42"/>
  <c r="V200" i="42"/>
  <c r="V201" i="42"/>
  <c r="V52" i="39"/>
  <c r="V477" i="39"/>
  <c r="V508" i="42"/>
  <c r="V513" i="42" s="1"/>
  <c r="V481" i="39"/>
  <c r="V405" i="39"/>
  <c r="V412" i="42"/>
  <c r="V406" i="42" s="1"/>
  <c r="V404" i="42"/>
  <c r="V207" i="39"/>
  <c r="W194" i="39" s="1"/>
  <c r="O499" i="42"/>
  <c r="O480" i="42"/>
  <c r="O93" i="42"/>
  <c r="V407" i="39"/>
  <c r="V206" i="39"/>
  <c r="W192" i="39"/>
  <c r="V202" i="39"/>
  <c r="O54" i="42" l="1"/>
  <c r="O53" i="42"/>
  <c r="U212" i="39"/>
  <c r="T77" i="39"/>
  <c r="T79" i="39" s="1"/>
  <c r="T82" i="39" s="1"/>
  <c r="T67" i="39"/>
  <c r="T69" i="39" s="1"/>
  <c r="T71" i="39" s="1"/>
  <c r="T503" i="39"/>
  <c r="T55" i="39"/>
  <c r="T496" i="39"/>
  <c r="V202" i="42"/>
  <c r="V114" i="42" s="1"/>
  <c r="O506" i="42"/>
  <c r="O521" i="42" s="1"/>
  <c r="O502" i="42"/>
  <c r="O75" i="42" s="1"/>
  <c r="Q216" i="39"/>
  <c r="V43" i="39"/>
  <c r="V46" i="39"/>
  <c r="V62" i="39"/>
  <c r="V408" i="39"/>
  <c r="V66" i="39"/>
  <c r="W411" i="39"/>
  <c r="W414" i="39" s="1"/>
  <c r="O215" i="42"/>
  <c r="O214" i="42"/>
  <c r="O213" i="42"/>
  <c r="V481" i="42"/>
  <c r="V405" i="42"/>
  <c r="P63" i="39"/>
  <c r="P7" i="39" s="1"/>
  <c r="P8" i="39" s="1"/>
  <c r="P65" i="39"/>
  <c r="W193" i="39"/>
  <c r="W196" i="39" s="1"/>
  <c r="V486" i="39"/>
  <c r="V500" i="39"/>
  <c r="V114" i="39"/>
  <c r="V100" i="39"/>
  <c r="O491" i="42"/>
  <c r="O487" i="42"/>
  <c r="V407" i="42"/>
  <c r="V209" i="39"/>
  <c r="U232" i="39" l="1"/>
  <c r="T488" i="39"/>
  <c r="U51" i="39"/>
  <c r="U478" i="39"/>
  <c r="V100" i="42"/>
  <c r="V500" i="42"/>
  <c r="V486" i="42"/>
  <c r="W200" i="39"/>
  <c r="W201" i="39"/>
  <c r="W409" i="39"/>
  <c r="W199" i="39"/>
  <c r="Q42" i="39"/>
  <c r="Q94" i="39"/>
  <c r="Q121" i="39" s="1"/>
  <c r="Q126" i="39" s="1"/>
  <c r="V113" i="39"/>
  <c r="O503" i="42"/>
  <c r="V43" i="42"/>
  <c r="V62" i="42"/>
  <c r="V46" i="42"/>
  <c r="O216" i="42"/>
  <c r="O67" i="42"/>
  <c r="O69" i="42" s="1"/>
  <c r="O71" i="42" s="1"/>
  <c r="O77" i="42"/>
  <c r="O79" i="42" s="1"/>
  <c r="O82" i="42" s="1"/>
  <c r="O496" i="42"/>
  <c r="O55" i="42"/>
  <c r="V408" i="42"/>
  <c r="V66" i="42"/>
  <c r="W411" i="42"/>
  <c r="W414" i="42" s="1"/>
  <c r="V98" i="39"/>
  <c r="V104" i="39" s="1"/>
  <c r="V59" i="39"/>
  <c r="V118" i="39"/>
  <c r="V119" i="39" s="1"/>
  <c r="V107" i="39"/>
  <c r="V450" i="39" s="1"/>
  <c r="V93" i="39" s="1"/>
  <c r="P232" i="42" l="1"/>
  <c r="P291" i="42" s="1"/>
  <c r="U515" i="39"/>
  <c r="U520" i="39" s="1"/>
  <c r="U499" i="39"/>
  <c r="U480" i="39"/>
  <c r="U54" i="39"/>
  <c r="U56" i="39"/>
  <c r="U53" i="39"/>
  <c r="O488" i="42"/>
  <c r="W200" i="42"/>
  <c r="W201" i="42"/>
  <c r="O94" i="42"/>
  <c r="O42" i="42"/>
  <c r="W206" i="39"/>
  <c r="X193" i="39" s="1"/>
  <c r="V118" i="42"/>
  <c r="V119" i="42" s="1"/>
  <c r="V107" i="42"/>
  <c r="V450" i="42" s="1"/>
  <c r="Q96" i="39"/>
  <c r="Q97" i="39" s="1"/>
  <c r="W409" i="42"/>
  <c r="W199" i="42"/>
  <c r="W412" i="39"/>
  <c r="W406" i="39" s="1"/>
  <c r="W404" i="39"/>
  <c r="V98" i="42"/>
  <c r="V104" i="42" s="1"/>
  <c r="V59" i="42"/>
  <c r="V125" i="39"/>
  <c r="V113" i="42"/>
  <c r="Q49" i="39"/>
  <c r="Q44" i="39"/>
  <c r="W508" i="39"/>
  <c r="W513" i="39" s="1"/>
  <c r="W202" i="39"/>
  <c r="W205" i="39"/>
  <c r="X192" i="39" s="1"/>
  <c r="W207" i="39"/>
  <c r="X194" i="39" s="1"/>
  <c r="AF179" i="39"/>
  <c r="AF270" i="39"/>
  <c r="AF279" i="39"/>
  <c r="AF304" i="39"/>
  <c r="AF275" i="39"/>
  <c r="AF296" i="39"/>
  <c r="AF308" i="39"/>
  <c r="AF253" i="39"/>
  <c r="AF291" i="39"/>
  <c r="AF256" i="39"/>
  <c r="AF251" i="39"/>
  <c r="AF300" i="39"/>
  <c r="AF250" i="39"/>
  <c r="AF252" i="39"/>
  <c r="P296" i="42" l="1"/>
  <c r="P252" i="42"/>
  <c r="P275" i="42"/>
  <c r="P256" i="42"/>
  <c r="P308" i="42"/>
  <c r="P309" i="42" s="1"/>
  <c r="P179" i="42"/>
  <c r="P180" i="42" s="1"/>
  <c r="P183" i="42" s="1"/>
  <c r="P279" i="42"/>
  <c r="P280" i="42" s="1"/>
  <c r="P270" i="42"/>
  <c r="P271" i="42" s="1"/>
  <c r="P272" i="42" s="1"/>
  <c r="P250" i="42"/>
  <c r="P239" i="42"/>
  <c r="P242" i="42" s="1"/>
  <c r="P251" i="42"/>
  <c r="P304" i="42"/>
  <c r="P305" i="42" s="1"/>
  <c r="P253" i="42"/>
  <c r="P300" i="42"/>
  <c r="P301" i="42" s="1"/>
  <c r="Q48" i="39"/>
  <c r="Q127" i="39" s="1"/>
  <c r="U491" i="39"/>
  <c r="U487" i="39"/>
  <c r="U506" i="39"/>
  <c r="U521" i="39" s="1"/>
  <c r="U502" i="39"/>
  <c r="U75" i="39" s="1"/>
  <c r="X196" i="39"/>
  <c r="W508" i="42"/>
  <c r="W513" i="42" s="1"/>
  <c r="W202" i="42"/>
  <c r="Q112" i="39"/>
  <c r="Q106" i="39"/>
  <c r="P297" i="42"/>
  <c r="W52" i="39"/>
  <c r="W477" i="39"/>
  <c r="W209" i="39"/>
  <c r="W412" i="42"/>
  <c r="W406" i="42" s="1"/>
  <c r="W404" i="42"/>
  <c r="V125" i="42"/>
  <c r="W407" i="39"/>
  <c r="O121" i="42"/>
  <c r="O126" i="42" s="1"/>
  <c r="O96" i="42"/>
  <c r="O97" i="42" s="1"/>
  <c r="P276" i="42"/>
  <c r="W405" i="39"/>
  <c r="W481" i="39"/>
  <c r="P292" i="42"/>
  <c r="P293" i="42" s="1"/>
  <c r="P317" i="42" s="1"/>
  <c r="O49" i="42"/>
  <c r="O44" i="42"/>
  <c r="W114" i="39"/>
  <c r="W100" i="39"/>
  <c r="AF242" i="39"/>
  <c r="AF305" i="39"/>
  <c r="AF280" i="39"/>
  <c r="AF297" i="39"/>
  <c r="AF271" i="39"/>
  <c r="AF272" i="39" s="1"/>
  <c r="AF309" i="39"/>
  <c r="AF257" i="39"/>
  <c r="AF260" i="39" s="1"/>
  <c r="AF301" i="39"/>
  <c r="AF292" i="39"/>
  <c r="AF293" i="39" s="1"/>
  <c r="AF317" i="39" s="1"/>
  <c r="AF276" i="39"/>
  <c r="AF180" i="39"/>
  <c r="P257" i="42" l="1"/>
  <c r="P260" i="42" s="1"/>
  <c r="P192" i="42"/>
  <c r="O48" i="42"/>
  <c r="O127" i="42" s="1"/>
  <c r="U67" i="39"/>
  <c r="U69" i="39" s="1"/>
  <c r="U71" i="39" s="1"/>
  <c r="V212" i="39"/>
  <c r="U77" i="39"/>
  <c r="U79" i="39" s="1"/>
  <c r="U82" i="39" s="1"/>
  <c r="U55" i="39"/>
  <c r="U496" i="39"/>
  <c r="U503" i="39"/>
  <c r="W486" i="39"/>
  <c r="W500" i="39"/>
  <c r="O112" i="42"/>
  <c r="O106" i="42"/>
  <c r="P316" i="42"/>
  <c r="P318" i="42" s="1"/>
  <c r="W408" i="39"/>
  <c r="W66" i="39"/>
  <c r="X411" i="39"/>
  <c r="X414" i="39" s="1"/>
  <c r="W407" i="42"/>
  <c r="W114" i="42"/>
  <c r="W100" i="42"/>
  <c r="P194" i="42"/>
  <c r="P207" i="42"/>
  <c r="W46" i="39"/>
  <c r="W43" i="39"/>
  <c r="W62" i="39"/>
  <c r="W405" i="42"/>
  <c r="W481" i="42"/>
  <c r="Q108" i="39"/>
  <c r="Q109" i="39" s="1"/>
  <c r="Q74" i="39"/>
  <c r="AF183" i="39"/>
  <c r="AF316" i="39"/>
  <c r="P205" i="42" l="1"/>
  <c r="P477" i="42" s="1"/>
  <c r="V232" i="39"/>
  <c r="U488" i="39"/>
  <c r="V478" i="39"/>
  <c r="V515" i="39" s="1"/>
  <c r="V520" i="39" s="1"/>
  <c r="V51" i="39"/>
  <c r="X201" i="39"/>
  <c r="X200" i="39"/>
  <c r="W107" i="39"/>
  <c r="W450" i="39" s="1"/>
  <c r="W118" i="39"/>
  <c r="W119" i="39" s="1"/>
  <c r="P195" i="42"/>
  <c r="P208" i="42"/>
  <c r="W113" i="39"/>
  <c r="W98" i="39"/>
  <c r="W104" i="39" s="1"/>
  <c r="W59" i="39"/>
  <c r="O108" i="42"/>
  <c r="O109" i="42" s="1"/>
  <c r="O74" i="42"/>
  <c r="Q60" i="39"/>
  <c r="Q61" i="39" s="1"/>
  <c r="R214" i="39"/>
  <c r="R213" i="39"/>
  <c r="R215" i="39"/>
  <c r="W486" i="42"/>
  <c r="W500" i="42"/>
  <c r="W408" i="42"/>
  <c r="W66" i="42"/>
  <c r="X411" i="42"/>
  <c r="W62" i="42"/>
  <c r="W46" i="42"/>
  <c r="W43" i="42"/>
  <c r="X409" i="39"/>
  <c r="X199" i="39"/>
  <c r="P193" i="42"/>
  <c r="P206" i="42"/>
  <c r="AF318" i="39"/>
  <c r="P52" i="42" l="1"/>
  <c r="V54" i="39"/>
  <c r="V53" i="39"/>
  <c r="V56" i="39"/>
  <c r="V499" i="39"/>
  <c r="V480" i="39"/>
  <c r="X412" i="39"/>
  <c r="X406" i="39" s="1"/>
  <c r="X404" i="39"/>
  <c r="P212" i="42"/>
  <c r="X207" i="39"/>
  <c r="Y194" i="39" s="1"/>
  <c r="R216" i="39"/>
  <c r="W118" i="42"/>
  <c r="W119" i="42" s="1"/>
  <c r="W107" i="42"/>
  <c r="W450" i="42" s="1"/>
  <c r="O60" i="42"/>
  <c r="O61" i="42" s="1"/>
  <c r="W125" i="39"/>
  <c r="W93" i="39"/>
  <c r="P196" i="42"/>
  <c r="W98" i="42"/>
  <c r="W104" i="42" s="1"/>
  <c r="W59" i="42"/>
  <c r="X508" i="39"/>
  <c r="X513" i="39" s="1"/>
  <c r="X202" i="39"/>
  <c r="X205" i="39"/>
  <c r="W113" i="42"/>
  <c r="X409" i="42"/>
  <c r="X199" i="42"/>
  <c r="X414" i="42"/>
  <c r="P209" i="42"/>
  <c r="Q63" i="39"/>
  <c r="Q7" i="39" s="1"/>
  <c r="Q8" i="39" s="1"/>
  <c r="Q65" i="39"/>
  <c r="X206" i="39"/>
  <c r="Y193" i="39" s="1"/>
  <c r="AF208" i="39"/>
  <c r="AF195" i="39"/>
  <c r="V487" i="39" l="1"/>
  <c r="V491" i="39"/>
  <c r="V506" i="39"/>
  <c r="V521" i="39" s="1"/>
  <c r="V502" i="39"/>
  <c r="V75" i="39" s="1"/>
  <c r="P93" i="42"/>
  <c r="P214" i="42" s="1"/>
  <c r="X477" i="39"/>
  <c r="X209" i="39"/>
  <c r="X114" i="39"/>
  <c r="X100" i="39"/>
  <c r="X200" i="42"/>
  <c r="X201" i="42"/>
  <c r="P478" i="42"/>
  <c r="P515" i="42" s="1"/>
  <c r="P520" i="42" s="1"/>
  <c r="P51" i="42"/>
  <c r="X405" i="39"/>
  <c r="X481" i="39"/>
  <c r="X412" i="42"/>
  <c r="X406" i="42" s="1"/>
  <c r="X404" i="42"/>
  <c r="O63" i="42"/>
  <c r="O7" i="42" s="1"/>
  <c r="O8" i="42" s="1"/>
  <c r="O65" i="42"/>
  <c r="X52" i="39"/>
  <c r="R42" i="39"/>
  <c r="R94" i="39"/>
  <c r="X508" i="42"/>
  <c r="X513" i="42" s="1"/>
  <c r="Y192" i="39"/>
  <c r="W125" i="42"/>
  <c r="X407" i="39"/>
  <c r="V77" i="39" l="1"/>
  <c r="V79" i="39" s="1"/>
  <c r="V82" i="39" s="1"/>
  <c r="W212" i="39"/>
  <c r="V67" i="39"/>
  <c r="V69" i="39" s="1"/>
  <c r="V71" i="39" s="1"/>
  <c r="V503" i="39"/>
  <c r="V496" i="39"/>
  <c r="V55" i="39"/>
  <c r="P215" i="42"/>
  <c r="P213" i="42"/>
  <c r="X46" i="39"/>
  <c r="X43" i="39"/>
  <c r="X62" i="39"/>
  <c r="Y196" i="39"/>
  <c r="X202" i="42"/>
  <c r="R49" i="39"/>
  <c r="R44" i="39"/>
  <c r="X405" i="42"/>
  <c r="X481" i="42"/>
  <c r="X486" i="39"/>
  <c r="X500" i="39"/>
  <c r="P56" i="42"/>
  <c r="P54" i="42"/>
  <c r="P53" i="42"/>
  <c r="R96" i="39"/>
  <c r="R97" i="39" s="1"/>
  <c r="P480" i="42"/>
  <c r="P499" i="42"/>
  <c r="R121" i="39"/>
  <c r="R126" i="39" s="1"/>
  <c r="X407" i="42"/>
  <c r="X408" i="39"/>
  <c r="X66" i="39"/>
  <c r="Y411" i="39"/>
  <c r="Y414" i="39" s="1"/>
  <c r="R48" i="39" l="1"/>
  <c r="R127" i="39" s="1"/>
  <c r="W232" i="39"/>
  <c r="V488" i="39"/>
  <c r="W51" i="39"/>
  <c r="W478" i="39"/>
  <c r="P216" i="42"/>
  <c r="P94" i="42" s="1"/>
  <c r="Y201" i="39"/>
  <c r="Y200" i="39"/>
  <c r="X62" i="42"/>
  <c r="X43" i="42"/>
  <c r="X46" i="42"/>
  <c r="R112" i="39"/>
  <c r="R106" i="39"/>
  <c r="X118" i="39"/>
  <c r="X119" i="39" s="1"/>
  <c r="X107" i="39"/>
  <c r="X450" i="39" s="1"/>
  <c r="X98" i="39"/>
  <c r="X104" i="39" s="1"/>
  <c r="X59" i="39"/>
  <c r="P491" i="42"/>
  <c r="P487" i="42"/>
  <c r="X486" i="42"/>
  <c r="X500" i="42"/>
  <c r="X114" i="42"/>
  <c r="X100" i="42"/>
  <c r="X113" i="39"/>
  <c r="Y409" i="39"/>
  <c r="Y199" i="39"/>
  <c r="P506" i="42"/>
  <c r="P521" i="42" s="1"/>
  <c r="P502" i="42"/>
  <c r="P75" i="42" s="1"/>
  <c r="X408" i="42"/>
  <c r="X66" i="42"/>
  <c r="Y411" i="42"/>
  <c r="P42" i="42" l="1"/>
  <c r="P44" i="42" s="1"/>
  <c r="P48" i="42" s="1"/>
  <c r="W515" i="39"/>
  <c r="W520" i="39" s="1"/>
  <c r="W499" i="39"/>
  <c r="W480" i="39"/>
  <c r="W56" i="39"/>
  <c r="W53" i="39"/>
  <c r="W54" i="39"/>
  <c r="Y409" i="42"/>
  <c r="Y199" i="42"/>
  <c r="P96" i="42"/>
  <c r="P97" i="42" s="1"/>
  <c r="P67" i="42"/>
  <c r="P69" i="42" s="1"/>
  <c r="P71" i="42" s="1"/>
  <c r="P77" i="42"/>
  <c r="P79" i="42" s="1"/>
  <c r="P82" i="42" s="1"/>
  <c r="Y508" i="39"/>
  <c r="Y513" i="39" s="1"/>
  <c r="Y202" i="39"/>
  <c r="Y205" i="39"/>
  <c r="Z192" i="39" s="1"/>
  <c r="P55" i="42"/>
  <c r="P496" i="42"/>
  <c r="Y414" i="42"/>
  <c r="X113" i="42"/>
  <c r="Y207" i="39"/>
  <c r="Z194" i="39" s="1"/>
  <c r="X125" i="39"/>
  <c r="X93" i="39"/>
  <c r="R108" i="39"/>
  <c r="R109" i="39" s="1"/>
  <c r="R74" i="39"/>
  <c r="P49" i="42"/>
  <c r="Y206" i="39"/>
  <c r="X98" i="42"/>
  <c r="X104" i="42" s="1"/>
  <c r="X59" i="42"/>
  <c r="P121" i="42"/>
  <c r="P126" i="42" s="1"/>
  <c r="P503" i="42"/>
  <c r="Y412" i="39"/>
  <c r="Y406" i="39" s="1"/>
  <c r="Y404" i="39"/>
  <c r="X118" i="42"/>
  <c r="X119" i="42" s="1"/>
  <c r="X107" i="42"/>
  <c r="X450" i="42" s="1"/>
  <c r="Q232" i="42" l="1"/>
  <c r="Q270" i="42" s="1"/>
  <c r="W491" i="39"/>
  <c r="W487" i="39"/>
  <c r="W506" i="39"/>
  <c r="W521" i="39" s="1"/>
  <c r="W502" i="39"/>
  <c r="W75" i="39" s="1"/>
  <c r="Y481" i="39"/>
  <c r="Y405" i="39"/>
  <c r="X125" i="42"/>
  <c r="P127" i="42"/>
  <c r="Y412" i="42"/>
  <c r="Y406" i="42" s="1"/>
  <c r="Y404" i="42"/>
  <c r="P488" i="42"/>
  <c r="P112" i="42"/>
  <c r="P106" i="42"/>
  <c r="Y508" i="42"/>
  <c r="Y513" i="42" s="1"/>
  <c r="Y407" i="39"/>
  <c r="Y201" i="42"/>
  <c r="Y200" i="42"/>
  <c r="Y114" i="39"/>
  <c r="Y100" i="39"/>
  <c r="Z193" i="39"/>
  <c r="Z196" i="39" s="1"/>
  <c r="R60" i="39"/>
  <c r="R61" i="39" s="1"/>
  <c r="S215" i="39"/>
  <c r="S214" i="39"/>
  <c r="S213" i="39"/>
  <c r="Y52" i="39"/>
  <c r="Y477" i="39"/>
  <c r="Y209" i="39"/>
  <c r="AG279" i="39"/>
  <c r="AG270" i="39"/>
  <c r="AG253" i="39"/>
  <c r="AG291" i="39"/>
  <c r="AG250" i="39"/>
  <c r="AG296" i="39"/>
  <c r="AG304" i="39"/>
  <c r="AG256" i="39"/>
  <c r="AG252" i="39"/>
  <c r="AG275" i="39"/>
  <c r="AG179" i="39"/>
  <c r="AG308" i="39"/>
  <c r="AG251" i="39"/>
  <c r="AG300" i="39"/>
  <c r="Q239" i="42" l="1"/>
  <c r="Q242" i="42" s="1"/>
  <c r="Q275" i="42"/>
  <c r="Q276" i="42" s="1"/>
  <c r="Q252" i="42"/>
  <c r="Q304" i="42"/>
  <c r="Q305" i="42" s="1"/>
  <c r="Q256" i="42"/>
  <c r="Q250" i="42"/>
  <c r="Q291" i="42"/>
  <c r="Q292" i="42" s="1"/>
  <c r="Q293" i="42" s="1"/>
  <c r="Q317" i="42" s="1"/>
  <c r="Q253" i="42"/>
  <c r="Q300" i="42"/>
  <c r="Q301" i="42" s="1"/>
  <c r="Q296" i="42"/>
  <c r="Q297" i="42" s="1"/>
  <c r="Q279" i="42"/>
  <c r="Q280" i="42" s="1"/>
  <c r="Q179" i="42"/>
  <c r="Q180" i="42" s="1"/>
  <c r="Q183" i="42" s="1"/>
  <c r="Q251" i="42"/>
  <c r="Q308" i="42"/>
  <c r="Q309" i="42" s="1"/>
  <c r="X212" i="39"/>
  <c r="W77" i="39"/>
  <c r="W79" i="39" s="1"/>
  <c r="W82" i="39" s="1"/>
  <c r="W488" i="39" s="1"/>
  <c r="W67" i="39"/>
  <c r="W69" i="39" s="1"/>
  <c r="W71" i="39" s="1"/>
  <c r="W55" i="39"/>
  <c r="W496" i="39"/>
  <c r="W503" i="39"/>
  <c r="Y407" i="42"/>
  <c r="Y202" i="42"/>
  <c r="Q271" i="42"/>
  <c r="Q272" i="42" s="1"/>
  <c r="S216" i="39"/>
  <c r="Y500" i="39"/>
  <c r="Y486" i="39"/>
  <c r="P108" i="42"/>
  <c r="P109" i="42" s="1"/>
  <c r="P74" i="42"/>
  <c r="R63" i="39"/>
  <c r="R7" i="39" s="1"/>
  <c r="R8" i="39" s="1"/>
  <c r="R65" i="39"/>
  <c r="Y408" i="39"/>
  <c r="Y66" i="39"/>
  <c r="Z411" i="39"/>
  <c r="Y43" i="39"/>
  <c r="Y46" i="39"/>
  <c r="Y62" i="39"/>
  <c r="Y481" i="42"/>
  <c r="Y405" i="42"/>
  <c r="AG242" i="39"/>
  <c r="AG280" i="39"/>
  <c r="AG180" i="39"/>
  <c r="AG305" i="39"/>
  <c r="AG292" i="39"/>
  <c r="AG293" i="39" s="1"/>
  <c r="AG317" i="39" s="1"/>
  <c r="AG271" i="39"/>
  <c r="AG272" i="39" s="1"/>
  <c r="AG309" i="39"/>
  <c r="AG257" i="39"/>
  <c r="AG260" i="39" s="1"/>
  <c r="AG301" i="39"/>
  <c r="AG276" i="39"/>
  <c r="AG297" i="39"/>
  <c r="Q257" i="42" l="1"/>
  <c r="Q260" i="42" s="1"/>
  <c r="Q192" i="42"/>
  <c r="X232" i="39"/>
  <c r="X51" i="39"/>
  <c r="X478" i="39"/>
  <c r="X515" i="39" s="1"/>
  <c r="X520" i="39" s="1"/>
  <c r="Y118" i="39"/>
  <c r="Y119" i="39" s="1"/>
  <c r="Y107" i="39"/>
  <c r="Y450" i="39" s="1"/>
  <c r="P60" i="42"/>
  <c r="P61" i="42" s="1"/>
  <c r="Q316" i="42"/>
  <c r="S42" i="39"/>
  <c r="S94" i="39"/>
  <c r="S121" i="39" s="1"/>
  <c r="S126" i="39" s="1"/>
  <c r="Y62" i="42"/>
  <c r="Y46" i="42"/>
  <c r="Y43" i="42"/>
  <c r="Y408" i="42"/>
  <c r="Y66" i="42"/>
  <c r="Z411" i="42"/>
  <c r="Y486" i="42"/>
  <c r="Y500" i="42"/>
  <c r="Z409" i="39"/>
  <c r="Z199" i="39"/>
  <c r="Z414" i="39"/>
  <c r="Q194" i="42"/>
  <c r="Q207" i="42"/>
  <c r="Y113" i="39"/>
  <c r="Y98" i="39"/>
  <c r="Y104" i="39" s="1"/>
  <c r="Y59" i="39"/>
  <c r="Y114" i="42"/>
  <c r="Y100" i="42"/>
  <c r="AG183" i="39"/>
  <c r="AG316" i="39"/>
  <c r="Q205" i="42" l="1"/>
  <c r="Q52" i="42" s="1"/>
  <c r="X480" i="39"/>
  <c r="X499" i="39"/>
  <c r="X53" i="39"/>
  <c r="X54" i="39"/>
  <c r="X56" i="39"/>
  <c r="Y107" i="42"/>
  <c r="Y450" i="42" s="1"/>
  <c r="Y118" i="42"/>
  <c r="Y119" i="42" s="1"/>
  <c r="Z201" i="39"/>
  <c r="Z200" i="39"/>
  <c r="Y113" i="42"/>
  <c r="Q206" i="42"/>
  <c r="Q193" i="42"/>
  <c r="Z508" i="39"/>
  <c r="Z513" i="39" s="1"/>
  <c r="Z205" i="39"/>
  <c r="AA192" i="39" s="1"/>
  <c r="Y98" i="42"/>
  <c r="Y104" i="42" s="1"/>
  <c r="Y59" i="42"/>
  <c r="Q318" i="42"/>
  <c r="P63" i="42"/>
  <c r="P7" i="42" s="1"/>
  <c r="P8" i="42" s="1"/>
  <c r="P65" i="42"/>
  <c r="Y125" i="39"/>
  <c r="Y93" i="39"/>
  <c r="Z409" i="42"/>
  <c r="Z199" i="42"/>
  <c r="Z414" i="42"/>
  <c r="S49" i="39"/>
  <c r="S44" i="39"/>
  <c r="Z412" i="39"/>
  <c r="Z406" i="39" s="1"/>
  <c r="Z404" i="39"/>
  <c r="S96" i="39"/>
  <c r="S97" i="39" s="1"/>
  <c r="AG318" i="39"/>
  <c r="Q477" i="42" l="1"/>
  <c r="Q212" i="42" s="1"/>
  <c r="S48" i="39"/>
  <c r="S127" i="39" s="1"/>
  <c r="X506" i="39"/>
  <c r="X521" i="39" s="1"/>
  <c r="X502" i="39"/>
  <c r="X75" i="39" s="1"/>
  <c r="X491" i="39"/>
  <c r="X487" i="39"/>
  <c r="Z206" i="39"/>
  <c r="AA193" i="39" s="1"/>
  <c r="S112" i="39"/>
  <c r="S106" i="39"/>
  <c r="Z407" i="39"/>
  <c r="Z508" i="42"/>
  <c r="Z513" i="42" s="1"/>
  <c r="Z202" i="39"/>
  <c r="Z207" i="39"/>
  <c r="AA194" i="39" s="1"/>
  <c r="Z405" i="39"/>
  <c r="Z481" i="39"/>
  <c r="Z201" i="42"/>
  <c r="Z200" i="42"/>
  <c r="Q195" i="42"/>
  <c r="Q208" i="42"/>
  <c r="Y125" i="42"/>
  <c r="Z412" i="42"/>
  <c r="Z406" i="42" s="1"/>
  <c r="Z404" i="42"/>
  <c r="Z52" i="39"/>
  <c r="Z477" i="39"/>
  <c r="AG195" i="39"/>
  <c r="AG208" i="39"/>
  <c r="Z202" i="42" l="1"/>
  <c r="Z114" i="42" s="1"/>
  <c r="X503" i="39"/>
  <c r="X67" i="39"/>
  <c r="X69" i="39" s="1"/>
  <c r="X71" i="39" s="1"/>
  <c r="X77" i="39"/>
  <c r="X79" i="39" s="1"/>
  <c r="X82" i="39" s="1"/>
  <c r="Y212" i="39"/>
  <c r="X496" i="39"/>
  <c r="X55" i="39"/>
  <c r="Z209" i="39"/>
  <c r="AA196" i="39"/>
  <c r="S108" i="39"/>
  <c r="S109" i="39" s="1"/>
  <c r="S74" i="39"/>
  <c r="Q209" i="42"/>
  <c r="Z500" i="39"/>
  <c r="Z486" i="39"/>
  <c r="Z114" i="39"/>
  <c r="Z100" i="39"/>
  <c r="Q196" i="42"/>
  <c r="Z407" i="42"/>
  <c r="Z481" i="42"/>
  <c r="Z405" i="42"/>
  <c r="Q478" i="42"/>
  <c r="Q51" i="42"/>
  <c r="Z408" i="39"/>
  <c r="Z66" i="39"/>
  <c r="AA411" i="39"/>
  <c r="Z62" i="39"/>
  <c r="Z43" i="39"/>
  <c r="Z46" i="39"/>
  <c r="Y232" i="39" l="1"/>
  <c r="X488" i="39"/>
  <c r="Z100" i="42"/>
  <c r="Y478" i="39"/>
  <c r="Y51" i="39"/>
  <c r="AA409" i="39"/>
  <c r="AA199" i="39"/>
  <c r="AA414" i="39"/>
  <c r="Q480" i="42"/>
  <c r="Q499" i="42"/>
  <c r="Z408" i="42"/>
  <c r="Z66" i="42"/>
  <c r="AA411" i="42"/>
  <c r="AA414" i="42" s="1"/>
  <c r="Q93" i="42"/>
  <c r="S60" i="39"/>
  <c r="S61" i="39" s="1"/>
  <c r="T215" i="39"/>
  <c r="T213" i="39"/>
  <c r="T214" i="39"/>
  <c r="Q515" i="42"/>
  <c r="Q520" i="42" s="1"/>
  <c r="Z98" i="39"/>
  <c r="Z104" i="39" s="1"/>
  <c r="Z59" i="39"/>
  <c r="Z113" i="39"/>
  <c r="Z107" i="39"/>
  <c r="Z450" i="39" s="1"/>
  <c r="Z118" i="39"/>
  <c r="Z119" i="39" s="1"/>
  <c r="Z486" i="42"/>
  <c r="Z500" i="42"/>
  <c r="Q56" i="42"/>
  <c r="Q53" i="42"/>
  <c r="Q54" i="42"/>
  <c r="Z46" i="42"/>
  <c r="Z62" i="42"/>
  <c r="Z43" i="42"/>
  <c r="Y56" i="39" l="1"/>
  <c r="Y53" i="39"/>
  <c r="Y54" i="39"/>
  <c r="Y515" i="39"/>
  <c r="Y520" i="39" s="1"/>
  <c r="Y480" i="39"/>
  <c r="Y499" i="39"/>
  <c r="AA200" i="39"/>
  <c r="AA201" i="39"/>
  <c r="Q506" i="42"/>
  <c r="Q521" i="42" s="1"/>
  <c r="Q502" i="42"/>
  <c r="Q75" i="42" s="1"/>
  <c r="Z125" i="39"/>
  <c r="Z93" i="39"/>
  <c r="AA409" i="42"/>
  <c r="AA199" i="42"/>
  <c r="Q491" i="42"/>
  <c r="Q487" i="42"/>
  <c r="AA412" i="39"/>
  <c r="AA406" i="39" s="1"/>
  <c r="AA404" i="39"/>
  <c r="AA201" i="42"/>
  <c r="AA200" i="42"/>
  <c r="Q213" i="42"/>
  <c r="Q214" i="42"/>
  <c r="Q215" i="42"/>
  <c r="Z98" i="42"/>
  <c r="Z104" i="42" s="1"/>
  <c r="Z59" i="42"/>
  <c r="Z118" i="42"/>
  <c r="Z119" i="42" s="1"/>
  <c r="Z107" i="42"/>
  <c r="Z450" i="42" s="1"/>
  <c r="T216" i="39"/>
  <c r="AA508" i="39"/>
  <c r="AA513" i="39" s="1"/>
  <c r="AA205" i="39"/>
  <c r="Z113" i="42"/>
  <c r="S63" i="39"/>
  <c r="S7" i="39" s="1"/>
  <c r="S8" i="39" s="1"/>
  <c r="S65" i="39"/>
  <c r="Y506" i="39" l="1"/>
  <c r="Y521" i="39" s="1"/>
  <c r="Y502" i="39"/>
  <c r="Y75" i="39" s="1"/>
  <c r="Y491" i="39"/>
  <c r="Y487" i="39"/>
  <c r="AA202" i="39"/>
  <c r="AA114" i="39" s="1"/>
  <c r="AA52" i="39"/>
  <c r="AA477" i="39"/>
  <c r="Q496" i="42"/>
  <c r="Q55" i="42"/>
  <c r="AA207" i="39"/>
  <c r="AB194" i="39" s="1"/>
  <c r="Q67" i="42"/>
  <c r="Q69" i="42" s="1"/>
  <c r="Q71" i="42" s="1"/>
  <c r="Q77" i="42"/>
  <c r="Q79" i="42" s="1"/>
  <c r="Q82" i="42" s="1"/>
  <c r="AA481" i="39"/>
  <c r="AA405" i="39"/>
  <c r="AA508" i="42"/>
  <c r="AA513" i="42" s="1"/>
  <c r="AA202" i="42"/>
  <c r="Q503" i="42"/>
  <c r="T42" i="39"/>
  <c r="T94" i="39"/>
  <c r="Q216" i="42"/>
  <c r="AA206" i="39"/>
  <c r="AB192" i="39"/>
  <c r="Z125" i="42"/>
  <c r="AA407" i="39"/>
  <c r="AA412" i="42"/>
  <c r="AA406" i="42" s="1"/>
  <c r="AA404" i="42"/>
  <c r="R232" i="42" l="1"/>
  <c r="R275" i="42" s="1"/>
  <c r="Y503" i="39"/>
  <c r="Y77" i="39"/>
  <c r="Y79" i="39" s="1"/>
  <c r="Y82" i="39" s="1"/>
  <c r="Y67" i="39"/>
  <c r="Y69" i="39" s="1"/>
  <c r="Y71" i="39" s="1"/>
  <c r="Z212" i="39"/>
  <c r="Y496" i="39"/>
  <c r="Y55" i="39"/>
  <c r="AA100" i="39"/>
  <c r="AA209" i="39"/>
  <c r="Q488" i="42"/>
  <c r="AA407" i="42"/>
  <c r="AA114" i="42"/>
  <c r="AA100" i="42"/>
  <c r="AA43" i="39"/>
  <c r="AA46" i="39"/>
  <c r="AA62" i="39"/>
  <c r="T49" i="39"/>
  <c r="T44" i="39"/>
  <c r="AA500" i="39"/>
  <c r="AA486" i="39"/>
  <c r="T96" i="39"/>
  <c r="T97" i="39" s="1"/>
  <c r="Q94" i="42"/>
  <c r="Q42" i="42"/>
  <c r="AA405" i="42"/>
  <c r="AA481" i="42"/>
  <c r="AB193" i="39"/>
  <c r="T121" i="39"/>
  <c r="T126" i="39" s="1"/>
  <c r="AA408" i="39"/>
  <c r="AA66" i="39"/>
  <c r="AB411" i="39"/>
  <c r="AB414" i="39" s="1"/>
  <c r="R252" i="42"/>
  <c r="R251" i="42" l="1"/>
  <c r="R291" i="42"/>
  <c r="R239" i="42"/>
  <c r="R179" i="42"/>
  <c r="R180" i="42" s="1"/>
  <c r="R183" i="42" s="1"/>
  <c r="R279" i="42"/>
  <c r="R280" i="42" s="1"/>
  <c r="R250" i="42"/>
  <c r="R300" i="42"/>
  <c r="R301" i="42" s="1"/>
  <c r="R296" i="42"/>
  <c r="R253" i="42"/>
  <c r="R308" i="42"/>
  <c r="R309" i="42" s="1"/>
  <c r="R256" i="42"/>
  <c r="R304" i="42"/>
  <c r="R305" i="42" s="1"/>
  <c r="R270" i="42"/>
  <c r="R271" i="42" s="1"/>
  <c r="R272" i="42" s="1"/>
  <c r="T48" i="39"/>
  <c r="T127" i="39" s="1"/>
  <c r="Z232" i="39"/>
  <c r="Y488" i="39"/>
  <c r="Z51" i="39"/>
  <c r="Z478" i="39"/>
  <c r="AA408" i="42"/>
  <c r="AA66" i="42"/>
  <c r="AB411" i="42"/>
  <c r="AB414" i="42" s="1"/>
  <c r="AA113" i="39"/>
  <c r="R276" i="42"/>
  <c r="AB409" i="39"/>
  <c r="AB199" i="39"/>
  <c r="AB196" i="39"/>
  <c r="Q96" i="42"/>
  <c r="Q97" i="42" s="1"/>
  <c r="T112" i="39"/>
  <c r="T106" i="39"/>
  <c r="AA107" i="39"/>
  <c r="AA450" i="39" s="1"/>
  <c r="AA118" i="39"/>
  <c r="AA119" i="39" s="1"/>
  <c r="R297" i="42"/>
  <c r="AA98" i="39"/>
  <c r="AA104" i="39" s="1"/>
  <c r="AA59" i="39"/>
  <c r="R242" i="42"/>
  <c r="Q49" i="42"/>
  <c r="Q44" i="42"/>
  <c r="AA46" i="42"/>
  <c r="AA62" i="42"/>
  <c r="AA43" i="42"/>
  <c r="AB201" i="39"/>
  <c r="AB200" i="39"/>
  <c r="R292" i="42"/>
  <c r="R293" i="42" s="1"/>
  <c r="R317" i="42" s="1"/>
  <c r="AA486" i="42"/>
  <c r="AA500" i="42"/>
  <c r="Q121" i="42"/>
  <c r="Q126" i="42" s="1"/>
  <c r="AH252" i="39"/>
  <c r="AH251" i="39"/>
  <c r="AH308" i="39"/>
  <c r="AH300" i="39"/>
  <c r="AH296" i="39"/>
  <c r="AH270" i="39"/>
  <c r="AH253" i="39"/>
  <c r="AH279" i="39"/>
  <c r="AH304" i="39"/>
  <c r="AH179" i="39"/>
  <c r="AH291" i="39"/>
  <c r="AH250" i="39"/>
  <c r="AH275" i="39"/>
  <c r="AH256" i="39"/>
  <c r="R192" i="42" l="1"/>
  <c r="R257" i="42"/>
  <c r="R260" i="42" s="1"/>
  <c r="Q48" i="42"/>
  <c r="Z515" i="39"/>
  <c r="Z520" i="39" s="1"/>
  <c r="Z480" i="39"/>
  <c r="Z499" i="39"/>
  <c r="Z54" i="39"/>
  <c r="Z53" i="39"/>
  <c r="Z56" i="39"/>
  <c r="R205" i="42"/>
  <c r="R316" i="42"/>
  <c r="R193" i="42" s="1"/>
  <c r="AB412" i="39"/>
  <c r="AB406" i="39" s="1"/>
  <c r="AB404" i="39"/>
  <c r="AA98" i="42"/>
  <c r="AA104" i="42" s="1"/>
  <c r="AA59" i="42"/>
  <c r="AB207" i="39"/>
  <c r="AC194" i="39" s="1"/>
  <c r="AB201" i="42"/>
  <c r="AB200" i="42"/>
  <c r="Q127" i="42"/>
  <c r="AA125" i="39"/>
  <c r="AA93" i="39"/>
  <c r="AB409" i="42"/>
  <c r="AB199" i="42"/>
  <c r="AB206" i="39"/>
  <c r="AA113" i="42"/>
  <c r="T108" i="39"/>
  <c r="T109" i="39" s="1"/>
  <c r="T74" i="39"/>
  <c r="R194" i="42"/>
  <c r="R207" i="42"/>
  <c r="AA118" i="42"/>
  <c r="AA119" i="42" s="1"/>
  <c r="AA107" i="42"/>
  <c r="AA450" i="42" s="1"/>
  <c r="Q112" i="42"/>
  <c r="Q106" i="42"/>
  <c r="AB508" i="39"/>
  <c r="AB513" i="39" s="1"/>
  <c r="AB202" i="39"/>
  <c r="AB205" i="39"/>
  <c r="AH292" i="39"/>
  <c r="AH293" i="39" s="1"/>
  <c r="AH317" i="39" s="1"/>
  <c r="AH301" i="39"/>
  <c r="AH180" i="39"/>
  <c r="AH309" i="39"/>
  <c r="AH276" i="39"/>
  <c r="AH305" i="39"/>
  <c r="AH271" i="39"/>
  <c r="AH272" i="39" s="1"/>
  <c r="AH242" i="39"/>
  <c r="AH257" i="39"/>
  <c r="AH280" i="39"/>
  <c r="AH297" i="39"/>
  <c r="R52" i="42" l="1"/>
  <c r="R206" i="42"/>
  <c r="R477" i="42"/>
  <c r="R212" i="42" s="1"/>
  <c r="Z506" i="39"/>
  <c r="Z521" i="39" s="1"/>
  <c r="Z502" i="39"/>
  <c r="Z75" i="39" s="1"/>
  <c r="Z487" i="39"/>
  <c r="Z491" i="39"/>
  <c r="AH260" i="39"/>
  <c r="R318" i="42"/>
  <c r="R208" i="42" s="1"/>
  <c r="Q108" i="42"/>
  <c r="Q109" i="42" s="1"/>
  <c r="Q74" i="42"/>
  <c r="AB52" i="39"/>
  <c r="AB114" i="39"/>
  <c r="AB100" i="39"/>
  <c r="AB412" i="42"/>
  <c r="AB406" i="42" s="1"/>
  <c r="AB404" i="42"/>
  <c r="AB407" i="39"/>
  <c r="AB477" i="39"/>
  <c r="AB209" i="39"/>
  <c r="T60" i="39"/>
  <c r="T61" i="39" s="1"/>
  <c r="U214" i="39"/>
  <c r="U215" i="39"/>
  <c r="U213" i="39"/>
  <c r="AB508" i="42"/>
  <c r="AB513" i="42" s="1"/>
  <c r="AB202" i="42"/>
  <c r="AB405" i="39"/>
  <c r="AB481" i="39"/>
  <c r="AC192" i="39"/>
  <c r="AA125" i="42"/>
  <c r="AC193" i="39"/>
  <c r="AH183" i="39"/>
  <c r="AH316" i="39"/>
  <c r="R209" i="42" l="1"/>
  <c r="Z496" i="39"/>
  <c r="Z55" i="39"/>
  <c r="Z503" i="39"/>
  <c r="Z67" i="39"/>
  <c r="Z69" i="39" s="1"/>
  <c r="Z71" i="39" s="1"/>
  <c r="AA212" i="39"/>
  <c r="Z77" i="39"/>
  <c r="Z79" i="39" s="1"/>
  <c r="Z82" i="39" s="1"/>
  <c r="R195" i="42"/>
  <c r="R196" i="42" s="1"/>
  <c r="AB62" i="39"/>
  <c r="AB46" i="39"/>
  <c r="AB43" i="39"/>
  <c r="R478" i="42"/>
  <c r="R51" i="42"/>
  <c r="AB408" i="39"/>
  <c r="AB66" i="39"/>
  <c r="AC411" i="39"/>
  <c r="AC414" i="39" s="1"/>
  <c r="U216" i="39"/>
  <c r="AB407" i="42"/>
  <c r="Q60" i="42"/>
  <c r="Q61" i="42" s="1"/>
  <c r="AC196" i="39"/>
  <c r="AB500" i="39"/>
  <c r="AB486" i="39"/>
  <c r="AB114" i="42"/>
  <c r="AB100" i="42"/>
  <c r="T63" i="39"/>
  <c r="T7" i="39" s="1"/>
  <c r="T8" i="39" s="1"/>
  <c r="T65" i="39"/>
  <c r="AB481" i="42"/>
  <c r="AB405" i="42"/>
  <c r="AH318" i="39"/>
  <c r="AA232" i="39" l="1"/>
  <c r="Z488" i="39"/>
  <c r="AA51" i="39"/>
  <c r="AA478" i="39"/>
  <c r="AB113" i="39"/>
  <c r="Q63" i="42"/>
  <c r="Q7" i="42" s="1"/>
  <c r="Q8" i="42" s="1"/>
  <c r="Q65" i="42"/>
  <c r="U42" i="39"/>
  <c r="U94" i="39"/>
  <c r="U121" i="39" s="1"/>
  <c r="U126" i="39" s="1"/>
  <c r="AB98" i="39"/>
  <c r="AB104" i="39" s="1"/>
  <c r="AB59" i="39"/>
  <c r="R499" i="42"/>
  <c r="R480" i="42"/>
  <c r="AC201" i="39"/>
  <c r="AC200" i="39"/>
  <c r="AB62" i="42"/>
  <c r="AB46" i="42"/>
  <c r="AB43" i="42"/>
  <c r="AB408" i="42"/>
  <c r="AB66" i="42"/>
  <c r="AC411" i="42"/>
  <c r="AC414" i="42" s="1"/>
  <c r="R515" i="42"/>
  <c r="R520" i="42" s="1"/>
  <c r="R53" i="42"/>
  <c r="R56" i="42"/>
  <c r="R54" i="42"/>
  <c r="AB486" i="42"/>
  <c r="AB500" i="42"/>
  <c r="AC409" i="39"/>
  <c r="AC199" i="39"/>
  <c r="R93" i="42"/>
  <c r="AB118" i="39"/>
  <c r="AB119" i="39" s="1"/>
  <c r="AB107" i="39"/>
  <c r="AB450" i="39" s="1"/>
  <c r="AH208" i="39"/>
  <c r="AH195" i="39"/>
  <c r="AA515" i="39" l="1"/>
  <c r="AA520" i="39" s="1"/>
  <c r="AA499" i="39"/>
  <c r="AA480" i="39"/>
  <c r="AA54" i="39"/>
  <c r="AA53" i="39"/>
  <c r="AA56" i="39"/>
  <c r="U49" i="39"/>
  <c r="U44" i="39"/>
  <c r="AB125" i="39"/>
  <c r="AB93" i="39"/>
  <c r="AB98" i="42"/>
  <c r="AB104" i="42" s="1"/>
  <c r="AB59" i="42"/>
  <c r="AC201" i="42"/>
  <c r="AC200" i="42"/>
  <c r="AB107" i="42"/>
  <c r="AB450" i="42" s="1"/>
  <c r="AB118" i="42"/>
  <c r="AB119" i="42" s="1"/>
  <c r="AC206" i="39"/>
  <c r="AD193" i="39" s="1"/>
  <c r="R487" i="42"/>
  <c r="R491" i="42"/>
  <c r="AC412" i="39"/>
  <c r="AC406" i="39" s="1"/>
  <c r="AC404" i="39"/>
  <c r="R214" i="42"/>
  <c r="R213" i="42"/>
  <c r="R215" i="42"/>
  <c r="AC508" i="39"/>
  <c r="AC513" i="39" s="1"/>
  <c r="AC202" i="39"/>
  <c r="AC205" i="39"/>
  <c r="AC409" i="42"/>
  <c r="AC199" i="42"/>
  <c r="AB113" i="42"/>
  <c r="AC207" i="39"/>
  <c r="R502" i="42"/>
  <c r="R75" i="42" s="1"/>
  <c r="R506" i="42"/>
  <c r="R521" i="42" s="1"/>
  <c r="U96" i="39"/>
  <c r="U97" i="39" s="1"/>
  <c r="U48" i="39" l="1"/>
  <c r="AA491" i="39"/>
  <c r="AA487" i="39"/>
  <c r="AA506" i="39"/>
  <c r="AA521" i="39" s="1"/>
  <c r="AA502" i="39"/>
  <c r="AA75" i="39" s="1"/>
  <c r="AC412" i="42"/>
  <c r="AC406" i="42" s="1"/>
  <c r="AC404" i="42"/>
  <c r="AC477" i="39"/>
  <c r="AC209" i="39"/>
  <c r="AC405" i="39"/>
  <c r="AC481" i="39"/>
  <c r="R55" i="42"/>
  <c r="R496" i="42"/>
  <c r="R67" i="42"/>
  <c r="R69" i="42" s="1"/>
  <c r="R71" i="42" s="1"/>
  <c r="R77" i="42"/>
  <c r="R79" i="42" s="1"/>
  <c r="R82" i="42" s="1"/>
  <c r="AC52" i="39"/>
  <c r="R216" i="42"/>
  <c r="AC407" i="39"/>
  <c r="U127" i="39"/>
  <c r="U112" i="39"/>
  <c r="U106" i="39"/>
  <c r="R503" i="42"/>
  <c r="AD194" i="39"/>
  <c r="AC508" i="42"/>
  <c r="AC513" i="42" s="1"/>
  <c r="AC202" i="42"/>
  <c r="AD192" i="39"/>
  <c r="AC114" i="39"/>
  <c r="AC100" i="39"/>
  <c r="AB125" i="42"/>
  <c r="S232" i="42" l="1"/>
  <c r="S304" i="42" s="1"/>
  <c r="AA77" i="39"/>
  <c r="AA79" i="39" s="1"/>
  <c r="AA82" i="39" s="1"/>
  <c r="AB212" i="39"/>
  <c r="AA67" i="39"/>
  <c r="AA69" i="39" s="1"/>
  <c r="AA71" i="39" s="1"/>
  <c r="AA496" i="39"/>
  <c r="AA55" i="39"/>
  <c r="AA503" i="39"/>
  <c r="R488" i="42"/>
  <c r="AC100" i="42"/>
  <c r="AC114" i="42"/>
  <c r="AC43" i="39"/>
  <c r="AC46" i="39"/>
  <c r="AC62" i="39"/>
  <c r="AC486" i="39"/>
  <c r="AC500" i="39"/>
  <c r="AC408" i="39"/>
  <c r="AC66" i="39"/>
  <c r="AD411" i="39"/>
  <c r="AD414" i="39" s="1"/>
  <c r="AD196" i="39"/>
  <c r="R94" i="42"/>
  <c r="R42" i="42"/>
  <c r="AC481" i="42"/>
  <c r="AC405" i="42"/>
  <c r="U108" i="39"/>
  <c r="U109" i="39" s="1"/>
  <c r="U74" i="39"/>
  <c r="AC407" i="42"/>
  <c r="S291" i="42" l="1"/>
  <c r="S292" i="42" s="1"/>
  <c r="S293" i="42" s="1"/>
  <c r="S317" i="42" s="1"/>
  <c r="S251" i="42"/>
  <c r="S308" i="42"/>
  <c r="S309" i="42" s="1"/>
  <c r="S270" i="42"/>
  <c r="S271" i="42" s="1"/>
  <c r="S272" i="42" s="1"/>
  <c r="S296" i="42"/>
  <c r="S297" i="42" s="1"/>
  <c r="S279" i="42"/>
  <c r="S280" i="42" s="1"/>
  <c r="S253" i="42"/>
  <c r="S250" i="42"/>
  <c r="S179" i="42"/>
  <c r="S180" i="42" s="1"/>
  <c r="S183" i="42" s="1"/>
  <c r="S256" i="42"/>
  <c r="S275" i="42"/>
  <c r="S276" i="42" s="1"/>
  <c r="S239" i="42"/>
  <c r="S242" i="42" s="1"/>
  <c r="S252" i="42"/>
  <c r="S300" i="42"/>
  <c r="S301" i="42" s="1"/>
  <c r="AB232" i="39"/>
  <c r="AA488" i="39"/>
  <c r="AB51" i="39"/>
  <c r="AB478" i="39"/>
  <c r="AB515" i="39" s="1"/>
  <c r="AB520" i="39" s="1"/>
  <c r="AC500" i="42"/>
  <c r="AC486" i="42"/>
  <c r="AD200" i="39"/>
  <c r="AD201" i="39"/>
  <c r="AC98" i="39"/>
  <c r="AC104" i="39" s="1"/>
  <c r="AC59" i="39"/>
  <c r="AC113" i="39"/>
  <c r="R96" i="42"/>
  <c r="R97" i="42" s="1"/>
  <c r="S305" i="42"/>
  <c r="AD409" i="39"/>
  <c r="AD199" i="39"/>
  <c r="U60" i="39"/>
  <c r="U61" i="39" s="1"/>
  <c r="V215" i="39"/>
  <c r="V214" i="39"/>
  <c r="V213" i="39"/>
  <c r="R44" i="42"/>
  <c r="R49" i="42"/>
  <c r="AC46" i="42"/>
  <c r="AC62" i="42"/>
  <c r="AC43" i="42"/>
  <c r="AC118" i="39"/>
  <c r="AC119" i="39" s="1"/>
  <c r="AC107" i="39"/>
  <c r="AC450" i="39" s="1"/>
  <c r="AC408" i="42"/>
  <c r="AC66" i="42"/>
  <c r="AD411" i="42"/>
  <c r="AD414" i="42" s="1"/>
  <c r="R121" i="42"/>
  <c r="R126" i="42" s="1"/>
  <c r="S257" i="42" l="1"/>
  <c r="S260" i="42" s="1"/>
  <c r="S192" i="42"/>
  <c r="R48" i="42"/>
  <c r="AB480" i="39"/>
  <c r="AB499" i="39"/>
  <c r="AB56" i="39"/>
  <c r="AB53" i="39"/>
  <c r="AB54" i="39"/>
  <c r="S316" i="42"/>
  <c r="AD409" i="42"/>
  <c r="AD199" i="42"/>
  <c r="AD508" i="39"/>
  <c r="AD513" i="39" s="1"/>
  <c r="AD202" i="39"/>
  <c r="AD205" i="39"/>
  <c r="AD207" i="39"/>
  <c r="AE194" i="39" s="1"/>
  <c r="S207" i="42"/>
  <c r="S194" i="42"/>
  <c r="V216" i="39"/>
  <c r="AC125" i="39"/>
  <c r="AC93" i="39"/>
  <c r="AC107" i="42"/>
  <c r="AC450" i="42" s="1"/>
  <c r="AC118" i="42"/>
  <c r="AC119" i="42" s="1"/>
  <c r="R127" i="42"/>
  <c r="AD412" i="39"/>
  <c r="AD406" i="39" s="1"/>
  <c r="AD404" i="39"/>
  <c r="R106" i="42"/>
  <c r="R112" i="42"/>
  <c r="AD206" i="39"/>
  <c r="AD201" i="42"/>
  <c r="AD200" i="42"/>
  <c r="AC113" i="42"/>
  <c r="AC98" i="42"/>
  <c r="AC104" i="42" s="1"/>
  <c r="AC59" i="42"/>
  <c r="U63" i="39"/>
  <c r="U7" i="39" s="1"/>
  <c r="U8" i="39" s="1"/>
  <c r="U65" i="39"/>
  <c r="S205" i="42" l="1"/>
  <c r="S52" i="42" s="1"/>
  <c r="AB506" i="39"/>
  <c r="AB521" i="39" s="1"/>
  <c r="AB502" i="39"/>
  <c r="AB75" i="39" s="1"/>
  <c r="AB487" i="39"/>
  <c r="AB491" i="39"/>
  <c r="AD407" i="39"/>
  <c r="AD52" i="39"/>
  <c r="AD477" i="39"/>
  <c r="AD209" i="39"/>
  <c r="R108" i="42"/>
  <c r="R109" i="42" s="1"/>
  <c r="R74" i="42"/>
  <c r="AD508" i="42"/>
  <c r="AD513" i="42" s="1"/>
  <c r="AD202" i="42"/>
  <c r="S206" i="42"/>
  <c r="S193" i="42"/>
  <c r="AD481" i="39"/>
  <c r="AD405" i="39"/>
  <c r="AE193" i="39"/>
  <c r="AC125" i="42"/>
  <c r="V42" i="39"/>
  <c r="V94" i="39"/>
  <c r="AE192" i="39"/>
  <c r="AD114" i="39"/>
  <c r="AD100" i="39"/>
  <c r="AD412" i="42"/>
  <c r="AD406" i="42" s="1"/>
  <c r="AD404" i="42"/>
  <c r="S318" i="42"/>
  <c r="AI291" i="39"/>
  <c r="AI253" i="39"/>
  <c r="AI270" i="39"/>
  <c r="AI250" i="39"/>
  <c r="AI296" i="39"/>
  <c r="AI300" i="39"/>
  <c r="AI275" i="39"/>
  <c r="AI252" i="39"/>
  <c r="AI256" i="39"/>
  <c r="AI304" i="39"/>
  <c r="AI179" i="39"/>
  <c r="AI308" i="39"/>
  <c r="AI251" i="39"/>
  <c r="AI279" i="39"/>
  <c r="S477" i="42" l="1"/>
  <c r="S212" i="42" s="1"/>
  <c r="AB503" i="39"/>
  <c r="AB496" i="39"/>
  <c r="AB55" i="39"/>
  <c r="AB77" i="39"/>
  <c r="AB79" i="39" s="1"/>
  <c r="AB82" i="39" s="1"/>
  <c r="AC212" i="39"/>
  <c r="AB67" i="39"/>
  <c r="AB69" i="39" s="1"/>
  <c r="AB71" i="39" s="1"/>
  <c r="R60" i="42"/>
  <c r="R61" i="42" s="1"/>
  <c r="AD481" i="42"/>
  <c r="AD405" i="42"/>
  <c r="V49" i="39"/>
  <c r="V44" i="39"/>
  <c r="AD62" i="39"/>
  <c r="AD46" i="39"/>
  <c r="AD43" i="39"/>
  <c r="AD486" i="39"/>
  <c r="AD500" i="39"/>
  <c r="S208" i="42"/>
  <c r="S195" i="42"/>
  <c r="V96" i="39"/>
  <c r="V97" i="39" s="1"/>
  <c r="AD100" i="42"/>
  <c r="AD114" i="42"/>
  <c r="AD407" i="42"/>
  <c r="AE196" i="39"/>
  <c r="V121" i="39"/>
  <c r="V126" i="39" s="1"/>
  <c r="AD408" i="39"/>
  <c r="AD66" i="39"/>
  <c r="AE411" i="39"/>
  <c r="AI180" i="39"/>
  <c r="AI305" i="39"/>
  <c r="AI271" i="39"/>
  <c r="AI272" i="39" s="1"/>
  <c r="AI276" i="39"/>
  <c r="AI280" i="39"/>
  <c r="AI301" i="39"/>
  <c r="AI297" i="39"/>
  <c r="AI242" i="39"/>
  <c r="AI309" i="39"/>
  <c r="AI257" i="39"/>
  <c r="AI260" i="39" s="1"/>
  <c r="AI292" i="39"/>
  <c r="AI293" i="39" s="1"/>
  <c r="AI317" i="39" s="1"/>
  <c r="V48" i="39" l="1"/>
  <c r="V127" i="39" s="1"/>
  <c r="AC232" i="39"/>
  <c r="AB488" i="39"/>
  <c r="AC478" i="39"/>
  <c r="AC51" i="39"/>
  <c r="AD98" i="39"/>
  <c r="AD104" i="39" s="1"/>
  <c r="AD59" i="39"/>
  <c r="AD408" i="42"/>
  <c r="AD66" i="42"/>
  <c r="AE411" i="42"/>
  <c r="AE414" i="42" s="1"/>
  <c r="R63" i="42"/>
  <c r="R7" i="42" s="1"/>
  <c r="R8" i="42" s="1"/>
  <c r="R65" i="42"/>
  <c r="AD62" i="42"/>
  <c r="AD43" i="42"/>
  <c r="AD46" i="42"/>
  <c r="AD486" i="42"/>
  <c r="AD500" i="42"/>
  <c r="V112" i="39"/>
  <c r="V106" i="39"/>
  <c r="AD113" i="39"/>
  <c r="S209" i="42"/>
  <c r="AD107" i="39"/>
  <c r="AD450" i="39" s="1"/>
  <c r="AD118" i="39"/>
  <c r="AD119" i="39" s="1"/>
  <c r="S478" i="42"/>
  <c r="S515" i="42" s="1"/>
  <c r="S520" i="42" s="1"/>
  <c r="S51" i="42"/>
  <c r="AE409" i="39"/>
  <c r="AE199" i="39"/>
  <c r="AE414" i="39"/>
  <c r="S196" i="42"/>
  <c r="AI183" i="39"/>
  <c r="AI316" i="39"/>
  <c r="AC56" i="39" l="1"/>
  <c r="AC54" i="39"/>
  <c r="AC53" i="39"/>
  <c r="AC515" i="39"/>
  <c r="AC520" i="39" s="1"/>
  <c r="AC499" i="39"/>
  <c r="AC480" i="39"/>
  <c r="AE412" i="39"/>
  <c r="AE406" i="39" s="1"/>
  <c r="AE404" i="39"/>
  <c r="AD98" i="42"/>
  <c r="AD104" i="42" s="1"/>
  <c r="AD59" i="42"/>
  <c r="AE200" i="39"/>
  <c r="AE201" i="39"/>
  <c r="S53" i="42"/>
  <c r="S54" i="42"/>
  <c r="S56" i="42"/>
  <c r="AD125" i="39"/>
  <c r="AD93" i="39"/>
  <c r="AD113" i="42"/>
  <c r="AE201" i="42"/>
  <c r="AE200" i="42"/>
  <c r="AE508" i="39"/>
  <c r="AE513" i="39" s="1"/>
  <c r="AE205" i="39"/>
  <c r="AF192" i="39" s="1"/>
  <c r="S499" i="42"/>
  <c r="S480" i="42"/>
  <c r="S93" i="42"/>
  <c r="V108" i="39"/>
  <c r="V109" i="39" s="1"/>
  <c r="V74" i="39"/>
  <c r="AD118" i="42"/>
  <c r="AD119" i="42" s="1"/>
  <c r="AD107" i="42"/>
  <c r="AD450" i="42" s="1"/>
  <c r="AE409" i="42"/>
  <c r="AE199" i="42"/>
  <c r="AI318" i="39"/>
  <c r="AC491" i="39" l="1"/>
  <c r="AC487" i="39"/>
  <c r="AC506" i="39"/>
  <c r="AC521" i="39" s="1"/>
  <c r="AC502" i="39"/>
  <c r="AC75" i="39" s="1"/>
  <c r="AE202" i="39"/>
  <c r="AE114" i="39" s="1"/>
  <c r="AE52" i="39"/>
  <c r="S491" i="42"/>
  <c r="S487" i="42"/>
  <c r="V60" i="39"/>
  <c r="V61" i="39" s="1"/>
  <c r="W215" i="39"/>
  <c r="W213" i="39"/>
  <c r="W214" i="39"/>
  <c r="S506" i="42"/>
  <c r="S521" i="42" s="1"/>
  <c r="S502" i="42"/>
  <c r="S75" i="42" s="1"/>
  <c r="AE206" i="39"/>
  <c r="AE477" i="39"/>
  <c r="AE481" i="39"/>
  <c r="AE405" i="39"/>
  <c r="AE412" i="42"/>
  <c r="AE406" i="42" s="1"/>
  <c r="AE404" i="42"/>
  <c r="AE207" i="39"/>
  <c r="AF194" i="39" s="1"/>
  <c r="AE508" i="42"/>
  <c r="AE513" i="42" s="1"/>
  <c r="AE202" i="42"/>
  <c r="AD125" i="42"/>
  <c r="S215" i="42"/>
  <c r="S214" i="42"/>
  <c r="S213" i="42"/>
  <c r="AE407" i="39"/>
  <c r="AI195" i="39"/>
  <c r="AI208" i="39"/>
  <c r="AD212" i="39" l="1"/>
  <c r="AC67" i="39"/>
  <c r="AC69" i="39" s="1"/>
  <c r="AC71" i="39" s="1"/>
  <c r="AC77" i="39"/>
  <c r="AC79" i="39" s="1"/>
  <c r="AC82" i="39" s="1"/>
  <c r="AC496" i="39"/>
  <c r="AC55" i="39"/>
  <c r="AC503" i="39"/>
  <c r="AE100" i="39"/>
  <c r="S503" i="42"/>
  <c r="AE407" i="42"/>
  <c r="AE408" i="39"/>
  <c r="AE66" i="39"/>
  <c r="AF411" i="39"/>
  <c r="AF414" i="39" s="1"/>
  <c r="S55" i="42"/>
  <c r="S496" i="42"/>
  <c r="AE100" i="42"/>
  <c r="AE114" i="42"/>
  <c r="AE46" i="39"/>
  <c r="AE43" i="39"/>
  <c r="AE62" i="39"/>
  <c r="S216" i="42"/>
  <c r="AE209" i="39"/>
  <c r="V63" i="39"/>
  <c r="V7" i="39" s="1"/>
  <c r="V8" i="39" s="1"/>
  <c r="V65" i="39"/>
  <c r="AE481" i="42"/>
  <c r="AE405" i="42"/>
  <c r="AE500" i="39"/>
  <c r="AE486" i="39"/>
  <c r="AF193" i="39"/>
  <c r="S77" i="42"/>
  <c r="S79" i="42" s="1"/>
  <c r="S82" i="42" s="1"/>
  <c r="S67" i="42"/>
  <c r="S69" i="42" s="1"/>
  <c r="S71" i="42" s="1"/>
  <c r="W216" i="39"/>
  <c r="AD232" i="39" l="1"/>
  <c r="T232" i="42"/>
  <c r="T300" i="42" s="1"/>
  <c r="AC488" i="39"/>
  <c r="AD51" i="39"/>
  <c r="AD478" i="39"/>
  <c r="AD515" i="39" s="1"/>
  <c r="AD520" i="39" s="1"/>
  <c r="S488" i="42"/>
  <c r="AE98" i="39"/>
  <c r="AE104" i="39" s="1"/>
  <c r="AE59" i="39"/>
  <c r="W42" i="39"/>
  <c r="W94" i="39"/>
  <c r="W121" i="39" s="1"/>
  <c r="W126" i="39" s="1"/>
  <c r="AE113" i="39"/>
  <c r="AF409" i="39"/>
  <c r="AF199" i="39"/>
  <c r="AE500" i="42"/>
  <c r="AE486" i="42"/>
  <c r="S94" i="42"/>
  <c r="S121" i="42" s="1"/>
  <c r="S126" i="42" s="1"/>
  <c r="S42" i="42"/>
  <c r="AE107" i="39"/>
  <c r="AE450" i="39" s="1"/>
  <c r="AE93" i="39" s="1"/>
  <c r="AE118" i="39"/>
  <c r="AE119" i="39" s="1"/>
  <c r="AF196" i="39"/>
  <c r="AE408" i="42"/>
  <c r="AE66" i="42"/>
  <c r="AF411" i="42"/>
  <c r="AF201" i="39"/>
  <c r="AF200" i="39"/>
  <c r="AE46" i="42"/>
  <c r="AE62" i="42"/>
  <c r="AE43" i="42"/>
  <c r="T252" i="42" l="1"/>
  <c r="T275" i="42"/>
  <c r="T276" i="42" s="1"/>
  <c r="T304" i="42"/>
  <c r="T305" i="42" s="1"/>
  <c r="T239" i="42"/>
  <c r="T242" i="42" s="1"/>
  <c r="T296" i="42"/>
  <c r="T297" i="42" s="1"/>
  <c r="T179" i="42"/>
  <c r="T180" i="42" s="1"/>
  <c r="T183" i="42" s="1"/>
  <c r="T250" i="42"/>
  <c r="T256" i="42"/>
  <c r="T291" i="42"/>
  <c r="T292" i="42" s="1"/>
  <c r="T293" i="42" s="1"/>
  <c r="T317" i="42" s="1"/>
  <c r="T279" i="42"/>
  <c r="T280" i="42" s="1"/>
  <c r="T253" i="42"/>
  <c r="T308" i="42"/>
  <c r="T309" i="42" s="1"/>
  <c r="T270" i="42"/>
  <c r="T271" i="42" s="1"/>
  <c r="T272" i="42" s="1"/>
  <c r="T251" i="42"/>
  <c r="AD499" i="39"/>
  <c r="AD480" i="39"/>
  <c r="AD56" i="39"/>
  <c r="AD54" i="39"/>
  <c r="AD53" i="39"/>
  <c r="AE118" i="42"/>
  <c r="AE119" i="42" s="1"/>
  <c r="AE107" i="42"/>
  <c r="AE450" i="42" s="1"/>
  <c r="AF409" i="42"/>
  <c r="AF199" i="42"/>
  <c r="AF414" i="42"/>
  <c r="S44" i="42"/>
  <c r="S49" i="42"/>
  <c r="AF412" i="39"/>
  <c r="AF406" i="39" s="1"/>
  <c r="AF404" i="39"/>
  <c r="S96" i="42"/>
  <c r="S97" i="42" s="1"/>
  <c r="W96" i="39"/>
  <c r="W97" i="39" s="1"/>
  <c r="AF206" i="39"/>
  <c r="AG193" i="39" s="1"/>
  <c r="AE125" i="39"/>
  <c r="AF508" i="39"/>
  <c r="AF513" i="39" s="1"/>
  <c r="AF202" i="39"/>
  <c r="AF205" i="39"/>
  <c r="AG192" i="39" s="1"/>
  <c r="AF207" i="39"/>
  <c r="AG194" i="39" s="1"/>
  <c r="T301" i="42"/>
  <c r="AE113" i="42"/>
  <c r="AE98" i="42"/>
  <c r="AE104" i="42" s="1"/>
  <c r="AE59" i="42"/>
  <c r="W49" i="39"/>
  <c r="W44" i="39"/>
  <c r="W48" i="39" l="1"/>
  <c r="S48" i="42"/>
  <c r="S127" i="42" s="1"/>
  <c r="T257" i="42"/>
  <c r="T260" i="42" s="1"/>
  <c r="T192" i="42"/>
  <c r="AD487" i="39"/>
  <c r="AD491" i="39"/>
  <c r="AD502" i="39"/>
  <c r="AD75" i="39" s="1"/>
  <c r="AD506" i="39"/>
  <c r="AD521" i="39" s="1"/>
  <c r="AF407" i="39"/>
  <c r="AE125" i="42"/>
  <c r="T316" i="42"/>
  <c r="T318" i="42" s="1"/>
  <c r="AF52" i="39"/>
  <c r="AF477" i="39"/>
  <c r="AF209" i="39"/>
  <c r="AF412" i="42"/>
  <c r="AF406" i="42" s="1"/>
  <c r="AF404" i="42"/>
  <c r="AF114" i="39"/>
  <c r="AF100" i="39"/>
  <c r="AF481" i="39"/>
  <c r="AF405" i="39"/>
  <c r="AF201" i="42"/>
  <c r="AF200" i="42"/>
  <c r="AG196" i="39"/>
  <c r="AF508" i="42"/>
  <c r="AF513" i="42" s="1"/>
  <c r="W127" i="39"/>
  <c r="T194" i="42"/>
  <c r="T207" i="42"/>
  <c r="W106" i="39"/>
  <c r="W112" i="39"/>
  <c r="S112" i="42"/>
  <c r="S106" i="42"/>
  <c r="T205" i="42" l="1"/>
  <c r="T52" i="42" s="1"/>
  <c r="AD77" i="39"/>
  <c r="AD79" i="39" s="1"/>
  <c r="AD82" i="39" s="1"/>
  <c r="AD67" i="39"/>
  <c r="AD69" i="39" s="1"/>
  <c r="AD71" i="39" s="1"/>
  <c r="AE212" i="39"/>
  <c r="AD503" i="39"/>
  <c r="AD55" i="39"/>
  <c r="AD496" i="39"/>
  <c r="T195" i="42"/>
  <c r="T208" i="42"/>
  <c r="AF408" i="39"/>
  <c r="AF66" i="39"/>
  <c r="AG411" i="39"/>
  <c r="AF62" i="39"/>
  <c r="AF43" i="39"/>
  <c r="AF46" i="39"/>
  <c r="S108" i="42"/>
  <c r="S109" i="42" s="1"/>
  <c r="S74" i="42"/>
  <c r="AF407" i="42"/>
  <c r="T193" i="42"/>
  <c r="T206" i="42"/>
  <c r="W108" i="39"/>
  <c r="W109" i="39" s="1"/>
  <c r="W74" i="39"/>
  <c r="AF202" i="42"/>
  <c r="AF500" i="39"/>
  <c r="AF486" i="39"/>
  <c r="AF481" i="42"/>
  <c r="AF405" i="42"/>
  <c r="AJ179" i="39"/>
  <c r="AJ270" i="39"/>
  <c r="AJ256" i="39"/>
  <c r="AJ308" i="39"/>
  <c r="AJ291" i="39"/>
  <c r="AJ279" i="39"/>
  <c r="AJ252" i="39"/>
  <c r="AJ304" i="39"/>
  <c r="AJ253" i="39"/>
  <c r="AJ250" i="39"/>
  <c r="AJ300" i="39"/>
  <c r="AJ296" i="39"/>
  <c r="AJ251" i="39"/>
  <c r="AJ275" i="39"/>
  <c r="T477" i="42" l="1"/>
  <c r="T212" i="42" s="1"/>
  <c r="T478" i="42" s="1"/>
  <c r="T515" i="42" s="1"/>
  <c r="T520" i="42" s="1"/>
  <c r="AE232" i="39"/>
  <c r="AD488" i="39"/>
  <c r="AE51" i="39"/>
  <c r="AE478" i="39"/>
  <c r="AE515" i="39" s="1"/>
  <c r="AE520" i="39" s="1"/>
  <c r="AF62" i="42"/>
  <c r="AF43" i="42"/>
  <c r="AF46" i="42"/>
  <c r="AF408" i="42"/>
  <c r="AF66" i="42"/>
  <c r="AG411" i="42"/>
  <c r="AG414" i="42" s="1"/>
  <c r="AF98" i="39"/>
  <c r="AF104" i="39" s="1"/>
  <c r="AF59" i="39"/>
  <c r="AF500" i="42"/>
  <c r="AF486" i="42"/>
  <c r="AF114" i="42"/>
  <c r="AF100" i="42"/>
  <c r="S60" i="42"/>
  <c r="S61" i="42" s="1"/>
  <c r="T209" i="42"/>
  <c r="AF113" i="39"/>
  <c r="T196" i="42"/>
  <c r="AF118" i="39"/>
  <c r="AF119" i="39" s="1"/>
  <c r="AF107" i="39"/>
  <c r="AF450" i="39" s="1"/>
  <c r="W60" i="39"/>
  <c r="W61" i="39" s="1"/>
  <c r="X214" i="39"/>
  <c r="X213" i="39"/>
  <c r="X215" i="39"/>
  <c r="AG409" i="39"/>
  <c r="AG199" i="39"/>
  <c r="AG414" i="39"/>
  <c r="AJ242" i="39"/>
  <c r="AJ257" i="39"/>
  <c r="AJ260" i="39" s="1"/>
  <c r="AJ280" i="39"/>
  <c r="AJ292" i="39"/>
  <c r="AJ293" i="39" s="1"/>
  <c r="AJ317" i="39" s="1"/>
  <c r="AJ271" i="39"/>
  <c r="AJ272" i="39" s="1"/>
  <c r="AJ301" i="39"/>
  <c r="AJ276" i="39"/>
  <c r="AJ297" i="39"/>
  <c r="AJ305" i="39"/>
  <c r="AJ309" i="39"/>
  <c r="AJ180" i="39"/>
  <c r="T51" i="42" l="1"/>
  <c r="T54" i="42" s="1"/>
  <c r="AE499" i="39"/>
  <c r="AE480" i="39"/>
  <c r="AE54" i="39"/>
  <c r="AE53" i="39"/>
  <c r="AE56" i="39"/>
  <c r="AF98" i="42"/>
  <c r="AF104" i="42" s="1"/>
  <c r="AF59" i="42"/>
  <c r="X216" i="39"/>
  <c r="AF125" i="39"/>
  <c r="AF93" i="39"/>
  <c r="AF113" i="42"/>
  <c r="S63" i="42"/>
  <c r="S7" i="42" s="1"/>
  <c r="S8" i="42" s="1"/>
  <c r="S65" i="42"/>
  <c r="AG409" i="42"/>
  <c r="AG199" i="42"/>
  <c r="AF118" i="42"/>
  <c r="AF107" i="42"/>
  <c r="AF450" i="42" s="1"/>
  <c r="AG508" i="39"/>
  <c r="AG513" i="39" s="1"/>
  <c r="AG205" i="39"/>
  <c r="AH192" i="39" s="1"/>
  <c r="AF119" i="42"/>
  <c r="AG201" i="42"/>
  <c r="AG200" i="42"/>
  <c r="AG412" i="39"/>
  <c r="AG406" i="39" s="1"/>
  <c r="AG407" i="39" s="1"/>
  <c r="AG404" i="39"/>
  <c r="AG201" i="39"/>
  <c r="AG200" i="39"/>
  <c r="W63" i="39"/>
  <c r="W7" i="39" s="1"/>
  <c r="W8" i="39" s="1"/>
  <c r="W65" i="39"/>
  <c r="T93" i="42"/>
  <c r="T480" i="42"/>
  <c r="T499" i="42"/>
  <c r="AJ183" i="39"/>
  <c r="AJ316" i="39"/>
  <c r="T56" i="42" l="1"/>
  <c r="T53" i="42"/>
  <c r="AE487" i="39"/>
  <c r="AE491" i="39"/>
  <c r="AE506" i="39"/>
  <c r="AE521" i="39" s="1"/>
  <c r="AE502" i="39"/>
  <c r="AE75" i="39" s="1"/>
  <c r="AG207" i="39"/>
  <c r="AH194" i="39" s="1"/>
  <c r="AG508" i="42"/>
  <c r="AG513" i="42" s="1"/>
  <c r="AG202" i="42"/>
  <c r="AG62" i="39"/>
  <c r="AG46" i="39"/>
  <c r="AG43" i="39"/>
  <c r="AF125" i="42"/>
  <c r="T502" i="42"/>
  <c r="T75" i="42" s="1"/>
  <c r="T506" i="42"/>
  <c r="T487" i="42"/>
  <c r="T491" i="42"/>
  <c r="AG481" i="39"/>
  <c r="AG405" i="39"/>
  <c r="AG412" i="42"/>
  <c r="AG406" i="42" s="1"/>
  <c r="AG404" i="42"/>
  <c r="T215" i="42"/>
  <c r="T213" i="42"/>
  <c r="T214" i="42"/>
  <c r="AG206" i="39"/>
  <c r="AH193" i="39" s="1"/>
  <c r="AG52" i="39"/>
  <c r="AG477" i="39"/>
  <c r="AG202" i="39"/>
  <c r="X42" i="39"/>
  <c r="X94" i="39"/>
  <c r="AJ318" i="39"/>
  <c r="T521" i="42" l="1"/>
  <c r="AE503" i="39"/>
  <c r="AE77" i="39"/>
  <c r="AE79" i="39" s="1"/>
  <c r="AE82" i="39" s="1"/>
  <c r="AE67" i="39"/>
  <c r="AE69" i="39" s="1"/>
  <c r="AE71" i="39" s="1"/>
  <c r="AF212" i="39"/>
  <c r="AE496" i="39"/>
  <c r="AE55" i="39"/>
  <c r="AH196" i="39"/>
  <c r="X96" i="39"/>
  <c r="X97" i="39" s="1"/>
  <c r="T77" i="42"/>
  <c r="T79" i="42" s="1"/>
  <c r="T82" i="42" s="1"/>
  <c r="T67" i="42"/>
  <c r="T69" i="42" s="1"/>
  <c r="T71" i="42" s="1"/>
  <c r="AG407" i="42"/>
  <c r="T503" i="42"/>
  <c r="AG114" i="42"/>
  <c r="AG100" i="42"/>
  <c r="AG114" i="39"/>
  <c r="AG100" i="39"/>
  <c r="AG408" i="39"/>
  <c r="AG66" i="39"/>
  <c r="AH411" i="39"/>
  <c r="AG113" i="39"/>
  <c r="X44" i="39"/>
  <c r="X49" i="39"/>
  <c r="AG481" i="42"/>
  <c r="AG405" i="42"/>
  <c r="AG500" i="39"/>
  <c r="AG486" i="39"/>
  <c r="AG209" i="39"/>
  <c r="T216" i="42"/>
  <c r="X121" i="39"/>
  <c r="X126" i="39" s="1"/>
  <c r="T55" i="42"/>
  <c r="T496" i="42"/>
  <c r="AG118" i="39"/>
  <c r="AG107" i="39"/>
  <c r="AG450" i="39" s="1"/>
  <c r="AJ195" i="39"/>
  <c r="AJ208" i="39"/>
  <c r="X48" i="39" l="1"/>
  <c r="AF232" i="39"/>
  <c r="U232" i="42"/>
  <c r="U304" i="42" s="1"/>
  <c r="T488" i="42"/>
  <c r="AF51" i="39"/>
  <c r="AF478" i="39"/>
  <c r="AF515" i="39" s="1"/>
  <c r="AF520" i="39" s="1"/>
  <c r="AE488" i="39"/>
  <c r="AG119" i="39"/>
  <c r="X127" i="39"/>
  <c r="X112" i="39"/>
  <c r="X106" i="39"/>
  <c r="AG93" i="39"/>
  <c r="AG486" i="42"/>
  <c r="AG500" i="42"/>
  <c r="AG98" i="39"/>
  <c r="AG104" i="39" s="1"/>
  <c r="AG59" i="39"/>
  <c r="AG62" i="42"/>
  <c r="AG43" i="42"/>
  <c r="AG46" i="42"/>
  <c r="T94" i="42"/>
  <c r="T121" i="42" s="1"/>
  <c r="T126" i="42" s="1"/>
  <c r="T42" i="42"/>
  <c r="AG125" i="39"/>
  <c r="AG408" i="42"/>
  <c r="AG66" i="42"/>
  <c r="AH411" i="42"/>
  <c r="AH414" i="39"/>
  <c r="AH409" i="39"/>
  <c r="AH199" i="39"/>
  <c r="U300" i="42" l="1"/>
  <c r="U301" i="42" s="1"/>
  <c r="U252" i="42"/>
  <c r="U275" i="42"/>
  <c r="U276" i="42" s="1"/>
  <c r="U291" i="42"/>
  <c r="U292" i="42" s="1"/>
  <c r="U293" i="42" s="1"/>
  <c r="U317" i="42" s="1"/>
  <c r="U179" i="42"/>
  <c r="U180" i="42" s="1"/>
  <c r="U183" i="42" s="1"/>
  <c r="U250" i="42"/>
  <c r="U270" i="42"/>
  <c r="U271" i="42" s="1"/>
  <c r="U272" i="42" s="1"/>
  <c r="U239" i="42"/>
  <c r="U242" i="42" s="1"/>
  <c r="U296" i="42"/>
  <c r="U297" i="42" s="1"/>
  <c r="U308" i="42"/>
  <c r="U309" i="42" s="1"/>
  <c r="U256" i="42"/>
  <c r="U279" i="42"/>
  <c r="U251" i="42"/>
  <c r="U253" i="42"/>
  <c r="AF499" i="39"/>
  <c r="AF480" i="39"/>
  <c r="AF56" i="39"/>
  <c r="AF53" i="39"/>
  <c r="AF54" i="39"/>
  <c r="AH508" i="39"/>
  <c r="AH513" i="39" s="1"/>
  <c r="AH205" i="39"/>
  <c r="AI192" i="39" s="1"/>
  <c r="AG118" i="42"/>
  <c r="AG119" i="42" s="1"/>
  <c r="AG107" i="42"/>
  <c r="AG450" i="42" s="1"/>
  <c r="X108" i="39"/>
  <c r="X109" i="39" s="1"/>
  <c r="X74" i="39"/>
  <c r="AH412" i="39"/>
  <c r="AH406" i="39" s="1"/>
  <c r="AH404" i="39"/>
  <c r="AH409" i="42"/>
  <c r="AH199" i="42"/>
  <c r="AH414" i="42"/>
  <c r="T44" i="42"/>
  <c r="T49" i="42"/>
  <c r="T96" i="42"/>
  <c r="T97" i="42" s="1"/>
  <c r="U305" i="42"/>
  <c r="AH201" i="39"/>
  <c r="AH200" i="39"/>
  <c r="AG98" i="42"/>
  <c r="AG104" i="42" s="1"/>
  <c r="AG59" i="42"/>
  <c r="AG113" i="42"/>
  <c r="U192" i="42" l="1"/>
  <c r="U257" i="42"/>
  <c r="U260" i="42" s="1"/>
  <c r="T48" i="42"/>
  <c r="T127" i="42" s="1"/>
  <c r="U280" i="42"/>
  <c r="U316" i="42" s="1"/>
  <c r="AF487" i="39"/>
  <c r="AF491" i="39"/>
  <c r="AF502" i="39"/>
  <c r="AF75" i="39" s="1"/>
  <c r="AF506" i="39"/>
  <c r="AF521" i="39" s="1"/>
  <c r="AH508" i="42"/>
  <c r="AH513" i="42" s="1"/>
  <c r="AH206" i="39"/>
  <c r="AH412" i="42"/>
  <c r="AH406" i="42" s="1"/>
  <c r="AH404" i="42"/>
  <c r="X60" i="39"/>
  <c r="X61" i="39" s="1"/>
  <c r="Y215" i="39"/>
  <c r="Y214" i="39"/>
  <c r="Y213" i="39"/>
  <c r="AH202" i="39"/>
  <c r="AH407" i="39"/>
  <c r="AG125" i="42"/>
  <c r="AH207" i="39"/>
  <c r="U194" i="42"/>
  <c r="U207" i="42"/>
  <c r="AH52" i="39"/>
  <c r="AH477" i="39"/>
  <c r="T112" i="42"/>
  <c r="T106" i="42"/>
  <c r="AH201" i="42"/>
  <c r="AH200" i="42"/>
  <c r="AH481" i="39"/>
  <c r="AH405" i="39"/>
  <c r="U205" i="42" l="1"/>
  <c r="U52" i="42" s="1"/>
  <c r="AF503" i="39"/>
  <c r="AF77" i="39"/>
  <c r="AF79" i="39" s="1"/>
  <c r="AF82" i="39" s="1"/>
  <c r="AF67" i="39"/>
  <c r="AF69" i="39" s="1"/>
  <c r="AF71" i="39" s="1"/>
  <c r="AG212" i="39"/>
  <c r="AF496" i="39"/>
  <c r="AF55" i="39"/>
  <c r="AH209" i="39"/>
  <c r="AH43" i="39"/>
  <c r="AH62" i="39"/>
  <c r="AH46" i="39"/>
  <c r="T108" i="42"/>
  <c r="T109" i="42" s="1"/>
  <c r="T74" i="42"/>
  <c r="U193" i="42"/>
  <c r="U206" i="42"/>
  <c r="AH481" i="42"/>
  <c r="AH405" i="42"/>
  <c r="AI193" i="39"/>
  <c r="Y216" i="39"/>
  <c r="AH202" i="42"/>
  <c r="AH408" i="39"/>
  <c r="AH66" i="39"/>
  <c r="AI411" i="39"/>
  <c r="AH500" i="39"/>
  <c r="AH486" i="39"/>
  <c r="AI194" i="39"/>
  <c r="U318" i="42"/>
  <c r="AH114" i="39"/>
  <c r="AH100" i="39"/>
  <c r="X63" i="39"/>
  <c r="X7" i="39" s="1"/>
  <c r="X8" i="39" s="1"/>
  <c r="X65" i="39"/>
  <c r="AH407" i="42"/>
  <c r="U477" i="42" l="1"/>
  <c r="U212" i="42" s="1"/>
  <c r="U478" i="42" s="1"/>
  <c r="AG232" i="39"/>
  <c r="AG51" i="39"/>
  <c r="AG478" i="39"/>
  <c r="AG515" i="39" s="1"/>
  <c r="AG520" i="39" s="1"/>
  <c r="AF488" i="39"/>
  <c r="AI196" i="39"/>
  <c r="AH113" i="39"/>
  <c r="Y42" i="39"/>
  <c r="Y94" i="39"/>
  <c r="Y121" i="39" s="1"/>
  <c r="Y126" i="39" s="1"/>
  <c r="AH98" i="39"/>
  <c r="AH104" i="39" s="1"/>
  <c r="AH59" i="39"/>
  <c r="AH408" i="42"/>
  <c r="AH66" i="42"/>
  <c r="AI411" i="42"/>
  <c r="T60" i="42"/>
  <c r="T61" i="42" s="1"/>
  <c r="AI199" i="39"/>
  <c r="AI409" i="39"/>
  <c r="AI414" i="39"/>
  <c r="U195" i="42"/>
  <c r="U208" i="42"/>
  <c r="U209" i="42" s="1"/>
  <c r="AH43" i="42"/>
  <c r="AH62" i="42"/>
  <c r="AH46" i="42"/>
  <c r="AH114" i="42"/>
  <c r="AH100" i="42"/>
  <c r="AH500" i="42"/>
  <c r="AH486" i="42"/>
  <c r="AH107" i="39"/>
  <c r="AH450" i="39" s="1"/>
  <c r="AH118" i="39"/>
  <c r="AH119" i="39" s="1"/>
  <c r="AK291" i="39"/>
  <c r="AK275" i="39"/>
  <c r="AK179" i="39"/>
  <c r="AK252" i="39"/>
  <c r="AK308" i="39"/>
  <c r="AK279" i="39"/>
  <c r="AK251" i="39"/>
  <c r="AK304" i="39"/>
  <c r="AK300" i="39"/>
  <c r="AK250" i="39"/>
  <c r="AK270" i="39"/>
  <c r="AK296" i="39"/>
  <c r="AK256" i="39"/>
  <c r="AK253" i="39"/>
  <c r="U51" i="42" l="1"/>
  <c r="AG499" i="39"/>
  <c r="AG480" i="39"/>
  <c r="AG54" i="39"/>
  <c r="AG56" i="39"/>
  <c r="AG53" i="39"/>
  <c r="AI201" i="39"/>
  <c r="AI200" i="39"/>
  <c r="T63" i="42"/>
  <c r="T7" i="42" s="1"/>
  <c r="T8" i="42" s="1"/>
  <c r="T65" i="42"/>
  <c r="AI508" i="39"/>
  <c r="AI513" i="39" s="1"/>
  <c r="AI205" i="39"/>
  <c r="AJ192" i="39" s="1"/>
  <c r="U499" i="42"/>
  <c r="U480" i="42"/>
  <c r="AH125" i="39"/>
  <c r="AH93" i="39"/>
  <c r="AH107" i="42"/>
  <c r="AH450" i="42" s="1"/>
  <c r="AH118" i="42"/>
  <c r="AH119" i="42" s="1"/>
  <c r="AI412" i="39"/>
  <c r="AI406" i="39" s="1"/>
  <c r="AI407" i="39" s="1"/>
  <c r="AI404" i="39"/>
  <c r="U196" i="42"/>
  <c r="U93" i="42" s="1"/>
  <c r="AH98" i="42"/>
  <c r="AH104" i="42" s="1"/>
  <c r="AH59" i="42"/>
  <c r="U515" i="42"/>
  <c r="U520" i="42" s="1"/>
  <c r="Y96" i="39"/>
  <c r="Y97" i="39" s="1"/>
  <c r="AH113" i="42"/>
  <c r="AI409" i="42"/>
  <c r="AI199" i="42"/>
  <c r="AI414" i="42"/>
  <c r="U54" i="42"/>
  <c r="U53" i="42"/>
  <c r="U56" i="42"/>
  <c r="Y44" i="39"/>
  <c r="Y49" i="39"/>
  <c r="AK257" i="39"/>
  <c r="AK260" i="39" s="1"/>
  <c r="AK280" i="39"/>
  <c r="AK180" i="39"/>
  <c r="AK271" i="39"/>
  <c r="AK272" i="39" s="1"/>
  <c r="AK301" i="39"/>
  <c r="AK242" i="39"/>
  <c r="AK276" i="39"/>
  <c r="AK297" i="39"/>
  <c r="AK305" i="39"/>
  <c r="AK309" i="39"/>
  <c r="AK292" i="39"/>
  <c r="AK293" i="39" s="1"/>
  <c r="AK317" i="39" s="1"/>
  <c r="Y48" i="39" l="1"/>
  <c r="AG491" i="39"/>
  <c r="AG487" i="39"/>
  <c r="AG506" i="39"/>
  <c r="AG521" i="39" s="1"/>
  <c r="AG502" i="39"/>
  <c r="AG75" i="39" s="1"/>
  <c r="U214" i="42"/>
  <c r="U215" i="42"/>
  <c r="U213" i="42"/>
  <c r="AH125" i="42"/>
  <c r="U491" i="42"/>
  <c r="U487" i="42"/>
  <c r="AI207" i="39"/>
  <c r="AI200" i="42"/>
  <c r="AI201" i="42"/>
  <c r="AI481" i="39"/>
  <c r="AI405" i="39"/>
  <c r="U502" i="42"/>
  <c r="U75" i="42" s="1"/>
  <c r="U506" i="42"/>
  <c r="U521" i="42" s="1"/>
  <c r="AI508" i="42"/>
  <c r="AI513" i="42" s="1"/>
  <c r="AI43" i="39"/>
  <c r="AI46" i="39"/>
  <c r="AI62" i="39"/>
  <c r="Y127" i="39"/>
  <c r="AI412" i="42"/>
  <c r="AI406" i="42" s="1"/>
  <c r="AI404" i="42"/>
  <c r="Y112" i="39"/>
  <c r="Y106" i="39"/>
  <c r="AI52" i="39"/>
  <c r="AI477" i="39"/>
  <c r="AI202" i="39"/>
  <c r="AI206" i="39"/>
  <c r="AK183" i="39"/>
  <c r="AK316" i="39"/>
  <c r="AG503" i="39" l="1"/>
  <c r="AG67" i="39"/>
  <c r="AG69" i="39" s="1"/>
  <c r="AG71" i="39" s="1"/>
  <c r="AG77" i="39"/>
  <c r="AG79" i="39" s="1"/>
  <c r="AG82" i="39" s="1"/>
  <c r="AH212" i="39"/>
  <c r="AG496" i="39"/>
  <c r="AG55" i="39"/>
  <c r="AI202" i="42"/>
  <c r="AI100" i="42" s="1"/>
  <c r="AI209" i="39"/>
  <c r="AJ193" i="39"/>
  <c r="U503" i="42"/>
  <c r="AI114" i="39"/>
  <c r="AI100" i="39"/>
  <c r="Y108" i="39"/>
  <c r="Y109" i="39" s="1"/>
  <c r="Y74" i="39"/>
  <c r="AI107" i="39"/>
  <c r="AI450" i="39" s="1"/>
  <c r="AI118" i="39"/>
  <c r="U77" i="42"/>
  <c r="U79" i="42" s="1"/>
  <c r="U82" i="42" s="1"/>
  <c r="U67" i="42"/>
  <c r="U69" i="42" s="1"/>
  <c r="U71" i="42" s="1"/>
  <c r="U216" i="42"/>
  <c r="AI405" i="42"/>
  <c r="AI481" i="42"/>
  <c r="AI408" i="39"/>
  <c r="AI66" i="39"/>
  <c r="AJ411" i="39"/>
  <c r="U55" i="42"/>
  <c r="U496" i="42"/>
  <c r="AI407" i="42"/>
  <c r="AI113" i="39"/>
  <c r="AI500" i="39"/>
  <c r="AI486" i="39"/>
  <c r="AJ194" i="39"/>
  <c r="AK318" i="39"/>
  <c r="AH232" i="39" l="1"/>
  <c r="V232" i="42"/>
  <c r="V253" i="42" s="1"/>
  <c r="AI93" i="39"/>
  <c r="AI114" i="42"/>
  <c r="AH478" i="39"/>
  <c r="AH51" i="39"/>
  <c r="AG488" i="39"/>
  <c r="U488" i="42"/>
  <c r="AI98" i="39"/>
  <c r="AI104" i="39" s="1"/>
  <c r="AI59" i="39"/>
  <c r="AI500" i="42"/>
  <c r="AI486" i="42"/>
  <c r="AI125" i="39"/>
  <c r="AI119" i="39"/>
  <c r="AI43" i="42"/>
  <c r="AI62" i="42"/>
  <c r="AI46" i="42"/>
  <c r="AJ414" i="39"/>
  <c r="AJ409" i="39"/>
  <c r="AJ199" i="39"/>
  <c r="AI408" i="42"/>
  <c r="AI66" i="42"/>
  <c r="AJ411" i="42"/>
  <c r="AJ414" i="42" s="1"/>
  <c r="U94" i="42"/>
  <c r="U42" i="42"/>
  <c r="Y60" i="39"/>
  <c r="Y61" i="39" s="1"/>
  <c r="Z213" i="39"/>
  <c r="Z214" i="39"/>
  <c r="Z215" i="39"/>
  <c r="AJ196" i="39"/>
  <c r="AK195" i="39"/>
  <c r="AK208" i="39"/>
  <c r="V270" i="42" l="1"/>
  <c r="V271" i="42" s="1"/>
  <c r="V272" i="42" s="1"/>
  <c r="V251" i="42"/>
  <c r="V291" i="42"/>
  <c r="V292" i="42" s="1"/>
  <c r="V293" i="42" s="1"/>
  <c r="V317" i="42" s="1"/>
  <c r="V179" i="42"/>
  <c r="V180" i="42" s="1"/>
  <c r="V183" i="42" s="1"/>
  <c r="V252" i="42"/>
  <c r="V296" i="42"/>
  <c r="V297" i="42" s="1"/>
  <c r="V308" i="42"/>
  <c r="V309" i="42" s="1"/>
  <c r="V250" i="42"/>
  <c r="V275" i="42"/>
  <c r="V276" i="42" s="1"/>
  <c r="V279" i="42"/>
  <c r="V280" i="42" s="1"/>
  <c r="V256" i="42"/>
  <c r="V300" i="42"/>
  <c r="V301" i="42" s="1"/>
  <c r="V304" i="42"/>
  <c r="V239" i="42"/>
  <c r="V242" i="42" s="1"/>
  <c r="AH54" i="39"/>
  <c r="AH53" i="39"/>
  <c r="AH56" i="39"/>
  <c r="AH515" i="39"/>
  <c r="AH520" i="39" s="1"/>
  <c r="AH499" i="39"/>
  <c r="AH480" i="39"/>
  <c r="U96" i="42"/>
  <c r="U97" i="42" s="1"/>
  <c r="Z216" i="39"/>
  <c r="AI98" i="42"/>
  <c r="AI104" i="42" s="1"/>
  <c r="AI59" i="42"/>
  <c r="AJ200" i="39"/>
  <c r="AJ201" i="39"/>
  <c r="AI113" i="42"/>
  <c r="AJ201" i="42"/>
  <c r="AJ200" i="42"/>
  <c r="Y63" i="39"/>
  <c r="Y7" i="39" s="1"/>
  <c r="Y8" i="39" s="1"/>
  <c r="Y65" i="39"/>
  <c r="U121" i="42"/>
  <c r="U126" i="42" s="1"/>
  <c r="AJ508" i="39"/>
  <c r="AJ513" i="39" s="1"/>
  <c r="AJ205" i="39"/>
  <c r="AJ52" i="39" s="1"/>
  <c r="U49" i="42"/>
  <c r="U44" i="42"/>
  <c r="AJ409" i="42"/>
  <c r="AJ199" i="42"/>
  <c r="AJ412" i="39"/>
  <c r="AJ404" i="39"/>
  <c r="AI107" i="42"/>
  <c r="AI450" i="42" s="1"/>
  <c r="AI118" i="42"/>
  <c r="AI119" i="42" s="1"/>
  <c r="U48" i="42" l="1"/>
  <c r="U127" i="42" s="1"/>
  <c r="V257" i="42"/>
  <c r="V260" i="42" s="1"/>
  <c r="V192" i="42"/>
  <c r="V305" i="42"/>
  <c r="V316" i="42" s="1"/>
  <c r="AH491" i="39"/>
  <c r="AH487" i="39"/>
  <c r="AH502" i="39"/>
  <c r="AH75" i="39" s="1"/>
  <c r="AH506" i="39"/>
  <c r="AH521" i="39" s="1"/>
  <c r="AJ202" i="39"/>
  <c r="AJ100" i="39" s="1"/>
  <c r="AJ412" i="42"/>
  <c r="AJ406" i="42" s="1"/>
  <c r="AJ404" i="42"/>
  <c r="AJ481" i="39"/>
  <c r="AJ405" i="39"/>
  <c r="V205" i="42"/>
  <c r="AJ206" i="39"/>
  <c r="AK193" i="39" s="1"/>
  <c r="Z42" i="39"/>
  <c r="Z94" i="39"/>
  <c r="Z121" i="39" s="1"/>
  <c r="Z126" i="39" s="1"/>
  <c r="AI125" i="42"/>
  <c r="AJ406" i="39"/>
  <c r="AJ477" i="39"/>
  <c r="U106" i="42"/>
  <c r="U112" i="42"/>
  <c r="AJ508" i="42"/>
  <c r="AJ513" i="42" s="1"/>
  <c r="AJ202" i="42"/>
  <c r="V207" i="42"/>
  <c r="V194" i="42"/>
  <c r="AK192" i="39"/>
  <c r="AJ207" i="39"/>
  <c r="AK194" i="39" s="1"/>
  <c r="V52" i="42" l="1"/>
  <c r="AH503" i="39"/>
  <c r="AH77" i="39"/>
  <c r="AH79" i="39" s="1"/>
  <c r="AH82" i="39" s="1"/>
  <c r="AH67" i="39"/>
  <c r="AH69" i="39" s="1"/>
  <c r="AI212" i="39"/>
  <c r="AH55" i="39"/>
  <c r="AH496" i="39"/>
  <c r="AJ114" i="39"/>
  <c r="AJ209" i="39"/>
  <c r="V477" i="42"/>
  <c r="AJ407" i="39"/>
  <c r="AJ408" i="39" s="1"/>
  <c r="Z96" i="39"/>
  <c r="Z97" i="39" s="1"/>
  <c r="V318" i="42"/>
  <c r="V193" i="42"/>
  <c r="V206" i="42"/>
  <c r="AK196" i="39"/>
  <c r="AJ100" i="42"/>
  <c r="AJ114" i="42"/>
  <c r="U108" i="42"/>
  <c r="U109" i="42" s="1"/>
  <c r="U74" i="42"/>
  <c r="Z49" i="39"/>
  <c r="Z44" i="39"/>
  <c r="AJ66" i="39"/>
  <c r="AK411" i="39"/>
  <c r="AJ405" i="42"/>
  <c r="AJ481" i="42"/>
  <c r="AJ500" i="39"/>
  <c r="AJ486" i="39"/>
  <c r="AJ407" i="42"/>
  <c r="Z48" i="39" l="1"/>
  <c r="Z127" i="39" s="1"/>
  <c r="AH71" i="39"/>
  <c r="AI232" i="39"/>
  <c r="AH488" i="39"/>
  <c r="AK414" i="39"/>
  <c r="AK200" i="39" s="1"/>
  <c r="AI478" i="39"/>
  <c r="AI51" i="39"/>
  <c r="AJ408" i="42"/>
  <c r="AJ66" i="42"/>
  <c r="AK411" i="42"/>
  <c r="U60" i="42"/>
  <c r="U61" i="42" s="1"/>
  <c r="AK409" i="39"/>
  <c r="AK199" i="39"/>
  <c r="V195" i="42"/>
  <c r="V196" i="42" s="1"/>
  <c r="V208" i="42"/>
  <c r="AJ43" i="39"/>
  <c r="AJ62" i="39"/>
  <c r="AJ46" i="39"/>
  <c r="AJ98" i="39" s="1"/>
  <c r="AJ104" i="39" s="1"/>
  <c r="V212" i="42"/>
  <c r="AJ46" i="42"/>
  <c r="AJ43" i="42"/>
  <c r="AJ62" i="42"/>
  <c r="AJ59" i="39"/>
  <c r="Z112" i="39"/>
  <c r="Z106" i="39"/>
  <c r="AJ500" i="42"/>
  <c r="AJ486" i="42"/>
  <c r="AK201" i="39" l="1"/>
  <c r="AK207" i="39" s="1"/>
  <c r="AI56" i="39"/>
  <c r="AI53" i="39"/>
  <c r="AI54" i="39"/>
  <c r="AI515" i="39"/>
  <c r="AI520" i="39" s="1"/>
  <c r="AI480" i="39"/>
  <c r="AI499" i="39"/>
  <c r="AJ113" i="42"/>
  <c r="U63" i="42"/>
  <c r="U7" i="42" s="1"/>
  <c r="U8" i="42" s="1"/>
  <c r="U65" i="42"/>
  <c r="Z108" i="39"/>
  <c r="Z109" i="39" s="1"/>
  <c r="Z74" i="39"/>
  <c r="V478" i="42"/>
  <c r="V515" i="42" s="1"/>
  <c r="V520" i="42" s="1"/>
  <c r="V51" i="42"/>
  <c r="AK409" i="42"/>
  <c r="AK199" i="42"/>
  <c r="AK414" i="42"/>
  <c r="AJ113" i="39"/>
  <c r="AJ118" i="39"/>
  <c r="AJ119" i="39" s="1"/>
  <c r="AJ107" i="39"/>
  <c r="AJ450" i="39" s="1"/>
  <c r="AK412" i="39"/>
  <c r="AK404" i="39"/>
  <c r="AJ107" i="42"/>
  <c r="AJ450" i="42" s="1"/>
  <c r="AJ118" i="42"/>
  <c r="AJ119" i="42" s="1"/>
  <c r="V209" i="42"/>
  <c r="V93" i="42" s="1"/>
  <c r="AK508" i="39"/>
  <c r="AK513" i="39" s="1"/>
  <c r="AK205" i="39"/>
  <c r="AK52" i="39" s="1"/>
  <c r="AK206" i="39"/>
  <c r="AJ98" i="42"/>
  <c r="AJ104" i="42" s="1"/>
  <c r="AJ59" i="42"/>
  <c r="AL252" i="39"/>
  <c r="AL279" i="39"/>
  <c r="AL300" i="39"/>
  <c r="AL275" i="39"/>
  <c r="AL291" i="39"/>
  <c r="AL296" i="39"/>
  <c r="AL179" i="39"/>
  <c r="AL270" i="39"/>
  <c r="AL251" i="39"/>
  <c r="AL304" i="39"/>
  <c r="AL253" i="39"/>
  <c r="AL250" i="39"/>
  <c r="AL256" i="39"/>
  <c r="AL308" i="39"/>
  <c r="AK202" i="39" l="1"/>
  <c r="AK100" i="39" s="1"/>
  <c r="AI506" i="39"/>
  <c r="AI521" i="39" s="1"/>
  <c r="AI502" i="39"/>
  <c r="AI75" i="39" s="1"/>
  <c r="AI491" i="39"/>
  <c r="AI487" i="39"/>
  <c r="AK477" i="39"/>
  <c r="AK209" i="39"/>
  <c r="V214" i="42"/>
  <c r="V215" i="42"/>
  <c r="V213" i="42"/>
  <c r="AJ125" i="42"/>
  <c r="AK201" i="42"/>
  <c r="AK200" i="42"/>
  <c r="AJ125" i="39"/>
  <c r="AJ93" i="39"/>
  <c r="AK405" i="39"/>
  <c r="AK481" i="39"/>
  <c r="AK508" i="42"/>
  <c r="AK513" i="42" s="1"/>
  <c r="V54" i="42"/>
  <c r="V56" i="42"/>
  <c r="V53" i="42"/>
  <c r="Z60" i="39"/>
  <c r="Z61" i="39" s="1"/>
  <c r="AA213" i="39"/>
  <c r="AA214" i="39"/>
  <c r="AA215" i="39"/>
  <c r="AK406" i="39"/>
  <c r="AK412" i="42"/>
  <c r="AK406" i="42" s="1"/>
  <c r="AK404" i="42"/>
  <c r="V480" i="42"/>
  <c r="V499" i="42"/>
  <c r="AL305" i="39"/>
  <c r="AL242" i="39"/>
  <c r="AL280" i="39"/>
  <c r="AL297" i="39"/>
  <c r="AL257" i="39"/>
  <c r="AL260" i="39" s="1"/>
  <c r="AL271" i="39"/>
  <c r="AL272" i="39" s="1"/>
  <c r="AL292" i="39"/>
  <c r="AL293" i="39" s="1"/>
  <c r="AL317" i="39" s="1"/>
  <c r="AL192" i="39"/>
  <c r="AL309" i="39"/>
  <c r="AL301" i="39"/>
  <c r="AL180" i="39"/>
  <c r="AL276" i="39"/>
  <c r="AK114" i="39" l="1"/>
  <c r="AI503" i="39"/>
  <c r="AI77" i="39"/>
  <c r="AI79" i="39" s="1"/>
  <c r="AI82" i="39" s="1"/>
  <c r="AI67" i="39"/>
  <c r="AI69" i="39" s="1"/>
  <c r="AI71" i="39" s="1"/>
  <c r="AJ212" i="39"/>
  <c r="AI55" i="39"/>
  <c r="AI496" i="39"/>
  <c r="AK202" i="42"/>
  <c r="AK100" i="42" s="1"/>
  <c r="V506" i="42"/>
  <c r="V521" i="42" s="1"/>
  <c r="V502" i="42"/>
  <c r="V75" i="42" s="1"/>
  <c r="AK407" i="42"/>
  <c r="AK500" i="39"/>
  <c r="AK486" i="39"/>
  <c r="AK405" i="42"/>
  <c r="AK481" i="42"/>
  <c r="V491" i="42"/>
  <c r="V487" i="42"/>
  <c r="AK407" i="39"/>
  <c r="AK408" i="39" s="1"/>
  <c r="AK66" i="39"/>
  <c r="AL411" i="39"/>
  <c r="V216" i="42"/>
  <c r="Z63" i="39"/>
  <c r="Z7" i="39" s="1"/>
  <c r="Z8" i="39" s="1"/>
  <c r="Z65" i="39"/>
  <c r="AA216" i="39"/>
  <c r="AL183" i="39"/>
  <c r="AL316" i="39"/>
  <c r="AL194" i="39"/>
  <c r="AJ232" i="39" l="1"/>
  <c r="AK114" i="42"/>
  <c r="AJ478" i="39"/>
  <c r="AJ51" i="39"/>
  <c r="AI488" i="39"/>
  <c r="AL414" i="39"/>
  <c r="AL201" i="39" s="1"/>
  <c r="V503" i="42"/>
  <c r="V55" i="42"/>
  <c r="V496" i="42"/>
  <c r="AK486" i="42"/>
  <c r="AK500" i="42"/>
  <c r="AA42" i="39"/>
  <c r="AA94" i="39"/>
  <c r="V94" i="42"/>
  <c r="V121" i="42" s="1"/>
  <c r="V126" i="42" s="1"/>
  <c r="V42" i="42"/>
  <c r="AK59" i="39"/>
  <c r="AK408" i="42"/>
  <c r="AK66" i="42"/>
  <c r="AL411" i="42"/>
  <c r="AK43" i="42"/>
  <c r="AK46" i="42"/>
  <c r="AK62" i="42"/>
  <c r="AL409" i="39"/>
  <c r="AL199" i="39"/>
  <c r="AK43" i="39"/>
  <c r="AK46" i="39"/>
  <c r="AK62" i="39"/>
  <c r="V77" i="42"/>
  <c r="V79" i="42" s="1"/>
  <c r="V82" i="42" s="1"/>
  <c r="V67" i="42"/>
  <c r="V69" i="42" s="1"/>
  <c r="V71" i="42" s="1"/>
  <c r="AL193" i="39"/>
  <c r="AL318" i="39"/>
  <c r="W232" i="42" l="1"/>
  <c r="W270" i="42" s="1"/>
  <c r="AJ54" i="39"/>
  <c r="AJ56" i="39"/>
  <c r="AJ53" i="39"/>
  <c r="AJ515" i="39"/>
  <c r="AJ520" i="39" s="1"/>
  <c r="AJ480" i="39"/>
  <c r="AJ499" i="39"/>
  <c r="AL200" i="39"/>
  <c r="AL206" i="39" s="1"/>
  <c r="AK113" i="42"/>
  <c r="AL404" i="39"/>
  <c r="AL412" i="39"/>
  <c r="AK118" i="42"/>
  <c r="AK119" i="42" s="1"/>
  <c r="AK107" i="42"/>
  <c r="AK450" i="42" s="1"/>
  <c r="AA44" i="39"/>
  <c r="AA49" i="39"/>
  <c r="AK98" i="42"/>
  <c r="AK104" i="42" s="1"/>
  <c r="AK59" i="42"/>
  <c r="AA96" i="39"/>
  <c r="AA97" i="39" s="1"/>
  <c r="AK113" i="39"/>
  <c r="AL409" i="42"/>
  <c r="AL199" i="42"/>
  <c r="AL414" i="42"/>
  <c r="AK98" i="39"/>
  <c r="AK104" i="39" s="1"/>
  <c r="AL207" i="39"/>
  <c r="AL508" i="39"/>
  <c r="AL513" i="39" s="1"/>
  <c r="AL205" i="39"/>
  <c r="V96" i="42"/>
  <c r="V97" i="42" s="1"/>
  <c r="AK118" i="39"/>
  <c r="AK119" i="39" s="1"/>
  <c r="AK107" i="39"/>
  <c r="AK450" i="39" s="1"/>
  <c r="V44" i="42"/>
  <c r="V48" i="42" s="1"/>
  <c r="V49" i="42"/>
  <c r="AA121" i="39"/>
  <c r="AA126" i="39" s="1"/>
  <c r="V488" i="42"/>
  <c r="AL195" i="39"/>
  <c r="AL208" i="39"/>
  <c r="W300" i="42" l="1"/>
  <c r="W301" i="42" s="1"/>
  <c r="W296" i="42"/>
  <c r="W297" i="42" s="1"/>
  <c r="W252" i="42"/>
  <c r="W250" i="42"/>
  <c r="W256" i="42"/>
  <c r="W275" i="42"/>
  <c r="W276" i="42" s="1"/>
  <c r="W251" i="42"/>
  <c r="W279" i="42"/>
  <c r="W280" i="42" s="1"/>
  <c r="W291" i="42"/>
  <c r="W292" i="42" s="1"/>
  <c r="W293" i="42" s="1"/>
  <c r="W317" i="42" s="1"/>
  <c r="W308" i="42"/>
  <c r="W309" i="42" s="1"/>
  <c r="W239" i="42"/>
  <c r="W242" i="42" s="1"/>
  <c r="W304" i="42"/>
  <c r="W305" i="42" s="1"/>
  <c r="W253" i="42"/>
  <c r="W179" i="42"/>
  <c r="AA48" i="39"/>
  <c r="AA127" i="39" s="1"/>
  <c r="AJ506" i="39"/>
  <c r="AJ521" i="39" s="1"/>
  <c r="AJ502" i="39"/>
  <c r="AJ75" i="39" s="1"/>
  <c r="AJ487" i="39"/>
  <c r="AJ491" i="39"/>
  <c r="AL202" i="39"/>
  <c r="AL114" i="39" s="1"/>
  <c r="AL209" i="39"/>
  <c r="AL508" i="42"/>
  <c r="AL513" i="42" s="1"/>
  <c r="AL477" i="39"/>
  <c r="AL52" i="39"/>
  <c r="AL412" i="42"/>
  <c r="AL406" i="42" s="1"/>
  <c r="AL404" i="42"/>
  <c r="AA106" i="39"/>
  <c r="AA112" i="39"/>
  <c r="W271" i="42"/>
  <c r="W272" i="42" s="1"/>
  <c r="AK125" i="42"/>
  <c r="AK125" i="39"/>
  <c r="AK93" i="39"/>
  <c r="V127" i="42"/>
  <c r="AL405" i="39"/>
  <c r="AL481" i="39"/>
  <c r="V106" i="42"/>
  <c r="V112" i="42"/>
  <c r="AL200" i="42"/>
  <c r="AL201" i="42"/>
  <c r="AL406" i="39"/>
  <c r="AL196" i="39"/>
  <c r="W257" i="42" l="1"/>
  <c r="W260" i="42" s="1"/>
  <c r="W192" i="42"/>
  <c r="W180" i="42"/>
  <c r="W183" i="42" s="1"/>
  <c r="AJ503" i="39"/>
  <c r="AJ55" i="39"/>
  <c r="AJ496" i="39"/>
  <c r="AJ77" i="39"/>
  <c r="AJ79" i="39" s="1"/>
  <c r="AJ82" i="39" s="1"/>
  <c r="AJ67" i="39"/>
  <c r="AJ69" i="39" s="1"/>
  <c r="AJ71" i="39" s="1"/>
  <c r="AK212" i="39"/>
  <c r="AL100" i="39"/>
  <c r="AL66" i="39"/>
  <c r="AM411" i="39"/>
  <c r="AL407" i="42"/>
  <c r="V108" i="42"/>
  <c r="V109" i="42" s="1"/>
  <c r="V74" i="42"/>
  <c r="AL486" i="39"/>
  <c r="AL500" i="39"/>
  <c r="W316" i="42"/>
  <c r="AL481" i="42"/>
  <c r="AL405" i="42"/>
  <c r="AL407" i="39"/>
  <c r="AL408" i="39" s="1"/>
  <c r="W207" i="42"/>
  <c r="W194" i="42"/>
  <c r="AA108" i="39"/>
  <c r="AA109" i="39" s="1"/>
  <c r="AA74" i="39"/>
  <c r="AL202" i="42"/>
  <c r="W205" i="42" l="1"/>
  <c r="AK232" i="39"/>
  <c r="AJ488" i="39"/>
  <c r="AK51" i="39"/>
  <c r="AK478" i="39"/>
  <c r="AM414" i="39"/>
  <c r="AM200" i="39" s="1"/>
  <c r="AL59" i="39"/>
  <c r="AA60" i="39"/>
  <c r="AA61" i="39" s="1"/>
  <c r="AB215" i="39"/>
  <c r="AB213" i="39"/>
  <c r="AB214" i="39"/>
  <c r="AL62" i="42"/>
  <c r="AL46" i="42"/>
  <c r="AL43" i="42"/>
  <c r="AL408" i="42"/>
  <c r="AL66" i="42"/>
  <c r="AM411" i="42"/>
  <c r="AM201" i="39"/>
  <c r="AL500" i="42"/>
  <c r="AL486" i="42"/>
  <c r="V60" i="42"/>
  <c r="V61" i="42" s="1"/>
  <c r="W477" i="42"/>
  <c r="AL114" i="42"/>
  <c r="AL100" i="42"/>
  <c r="AL46" i="39"/>
  <c r="AL98" i="39" s="1"/>
  <c r="AL104" i="39" s="1"/>
  <c r="AL62" i="39"/>
  <c r="AL43" i="39"/>
  <c r="W318" i="42"/>
  <c r="W206" i="42"/>
  <c r="W193" i="42"/>
  <c r="AM409" i="39"/>
  <c r="AM199" i="39"/>
  <c r="W52" i="42"/>
  <c r="AK515" i="39" l="1"/>
  <c r="AK520" i="39" s="1"/>
  <c r="AK499" i="39"/>
  <c r="AK480" i="39"/>
  <c r="AK56" i="39"/>
  <c r="AK54" i="39"/>
  <c r="AK53" i="39"/>
  <c r="W212" i="42"/>
  <c r="AL107" i="42"/>
  <c r="AL450" i="42" s="1"/>
  <c r="AL118" i="42"/>
  <c r="AL119" i="42" s="1"/>
  <c r="AM404" i="39"/>
  <c r="AM412" i="39"/>
  <c r="AL98" i="42"/>
  <c r="AL104" i="42" s="1"/>
  <c r="AL59" i="42"/>
  <c r="AL113" i="42"/>
  <c r="V63" i="42"/>
  <c r="V7" i="42" s="1"/>
  <c r="V8" i="42" s="1"/>
  <c r="V65" i="42"/>
  <c r="AB216" i="39"/>
  <c r="AL113" i="39"/>
  <c r="AA63" i="39"/>
  <c r="AA7" i="39" s="1"/>
  <c r="AA8" i="39" s="1"/>
  <c r="AA65" i="39"/>
  <c r="AM508" i="39"/>
  <c r="AM513" i="39" s="1"/>
  <c r="AM202" i="39"/>
  <c r="AL107" i="39"/>
  <c r="AL450" i="39" s="1"/>
  <c r="AL118" i="39"/>
  <c r="AL119" i="39" s="1"/>
  <c r="W195" i="42"/>
  <c r="W208" i="42"/>
  <c r="W209" i="42" s="1"/>
  <c r="AM409" i="42"/>
  <c r="AM199" i="42"/>
  <c r="AM414" i="42"/>
  <c r="AK487" i="39" l="1"/>
  <c r="AK491" i="39"/>
  <c r="AK502" i="39"/>
  <c r="AK75" i="39" s="1"/>
  <c r="AK506" i="39"/>
  <c r="AK521" i="39" s="1"/>
  <c r="AM481" i="39"/>
  <c r="AM405" i="39"/>
  <c r="W478" i="42"/>
  <c r="W515" i="42" s="1"/>
  <c r="W520" i="42" s="1"/>
  <c r="W51" i="42"/>
  <c r="AM508" i="42"/>
  <c r="AM513" i="42" s="1"/>
  <c r="AM406" i="39"/>
  <c r="AM412" i="42"/>
  <c r="AM406" i="42" s="1"/>
  <c r="AM404" i="42"/>
  <c r="AL125" i="39"/>
  <c r="AL93" i="39"/>
  <c r="AB42" i="39"/>
  <c r="AB94" i="39"/>
  <c r="AB121" i="39" s="1"/>
  <c r="AB126" i="39" s="1"/>
  <c r="AM114" i="39"/>
  <c r="AM100" i="39"/>
  <c r="AL125" i="42"/>
  <c r="AM201" i="42"/>
  <c r="AM200" i="42"/>
  <c r="W196" i="42"/>
  <c r="AM291" i="39"/>
  <c r="AM252" i="39"/>
  <c r="AM308" i="39"/>
  <c r="AM179" i="39"/>
  <c r="AM304" i="39"/>
  <c r="AM250" i="39"/>
  <c r="AM300" i="39"/>
  <c r="AM256" i="39"/>
  <c r="AM275" i="39"/>
  <c r="AM251" i="39"/>
  <c r="AM279" i="39"/>
  <c r="AM296" i="39"/>
  <c r="AM270" i="39"/>
  <c r="AM253" i="39"/>
  <c r="AK67" i="39" l="1"/>
  <c r="AK69" i="39" s="1"/>
  <c r="AK71" i="39" s="1"/>
  <c r="AK77" i="39"/>
  <c r="AK79" i="39" s="1"/>
  <c r="AK82" i="39" s="1"/>
  <c r="AL212" i="39"/>
  <c r="AK503" i="39"/>
  <c r="AK55" i="39"/>
  <c r="AK496" i="39"/>
  <c r="AM407" i="39"/>
  <c r="AM408" i="39" s="1"/>
  <c r="W56" i="42"/>
  <c r="W53" i="42"/>
  <c r="W54" i="42"/>
  <c r="W93" i="42"/>
  <c r="AM481" i="42"/>
  <c r="AM405" i="42"/>
  <c r="W480" i="42"/>
  <c r="W499" i="42"/>
  <c r="AM66" i="39"/>
  <c r="AN411" i="39"/>
  <c r="AB49" i="39"/>
  <c r="AB44" i="39"/>
  <c r="AB96" i="39"/>
  <c r="AB97" i="39" s="1"/>
  <c r="AM407" i="42"/>
  <c r="AM202" i="42"/>
  <c r="AM500" i="39"/>
  <c r="AM486" i="39"/>
  <c r="AM280" i="39"/>
  <c r="AM257" i="39"/>
  <c r="AM260" i="39" s="1"/>
  <c r="AM271" i="39"/>
  <c r="AM272" i="39" s="1"/>
  <c r="AM276" i="39"/>
  <c r="AM305" i="39"/>
  <c r="AM292" i="39"/>
  <c r="AM293" i="39" s="1"/>
  <c r="AM317" i="39" s="1"/>
  <c r="AM192" i="39"/>
  <c r="AM301" i="39"/>
  <c r="AM309" i="39"/>
  <c r="AM297" i="39"/>
  <c r="AM180" i="39"/>
  <c r="AM242" i="39"/>
  <c r="AB48" i="39" l="1"/>
  <c r="AB127" i="39" s="1"/>
  <c r="AL232" i="39"/>
  <c r="AK488" i="39"/>
  <c r="AL51" i="39"/>
  <c r="AL478" i="39"/>
  <c r="AN414" i="39"/>
  <c r="AN200" i="39" s="1"/>
  <c r="W491" i="42"/>
  <c r="W487" i="42"/>
  <c r="AM114" i="42"/>
  <c r="AM100" i="42"/>
  <c r="AB112" i="39"/>
  <c r="AB106" i="39"/>
  <c r="W214" i="42"/>
  <c r="W213" i="42"/>
  <c r="W215" i="42"/>
  <c r="AM46" i="39"/>
  <c r="AM62" i="39"/>
  <c r="AM43" i="39"/>
  <c r="AN409" i="39"/>
  <c r="AN199" i="39"/>
  <c r="AM486" i="42"/>
  <c r="AM500" i="42"/>
  <c r="AM59" i="39"/>
  <c r="AM62" i="42"/>
  <c r="AM43" i="42"/>
  <c r="AM46" i="42"/>
  <c r="W506" i="42"/>
  <c r="W521" i="42" s="1"/>
  <c r="W502" i="42"/>
  <c r="W75" i="42" s="1"/>
  <c r="AM408" i="42"/>
  <c r="AM66" i="42"/>
  <c r="AN411" i="42"/>
  <c r="AM183" i="39"/>
  <c r="AM205" i="39"/>
  <c r="AM52" i="39" s="1"/>
  <c r="AM194" i="39"/>
  <c r="AM207" i="39"/>
  <c r="AM316" i="39"/>
  <c r="AL515" i="39" l="1"/>
  <c r="AL520" i="39" s="1"/>
  <c r="AL499" i="39"/>
  <c r="AL480" i="39"/>
  <c r="AL53" i="39"/>
  <c r="AL54" i="39"/>
  <c r="AL56" i="39"/>
  <c r="AN201" i="39"/>
  <c r="AN202" i="39" s="1"/>
  <c r="W77" i="42"/>
  <c r="W79" i="42" s="1"/>
  <c r="W82" i="42" s="1"/>
  <c r="W488" i="42" s="1"/>
  <c r="W67" i="42"/>
  <c r="W69" i="42" s="1"/>
  <c r="W71" i="42" s="1"/>
  <c r="AM118" i="42"/>
  <c r="AM119" i="42" s="1"/>
  <c r="AM107" i="42"/>
  <c r="AM450" i="42" s="1"/>
  <c r="AN508" i="39"/>
  <c r="AN513" i="39" s="1"/>
  <c r="AN404" i="39"/>
  <c r="AN412" i="39"/>
  <c r="AM113" i="39"/>
  <c r="AN409" i="42"/>
  <c r="AN199" i="42"/>
  <c r="AM98" i="42"/>
  <c r="AM104" i="42" s="1"/>
  <c r="AM59" i="42"/>
  <c r="AB108" i="39"/>
  <c r="AB109" i="39" s="1"/>
  <c r="AB74" i="39"/>
  <c r="W55" i="42"/>
  <c r="W496" i="42"/>
  <c r="AN414" i="42"/>
  <c r="W503" i="42"/>
  <c r="AM113" i="42"/>
  <c r="AM98" i="39"/>
  <c r="AM104" i="39" s="1"/>
  <c r="AM107" i="39"/>
  <c r="AM450" i="39" s="1"/>
  <c r="AM125" i="39" s="1"/>
  <c r="AM118" i="39"/>
  <c r="AM119" i="39" s="1"/>
  <c r="W216" i="42"/>
  <c r="AM477" i="39"/>
  <c r="AM318" i="39"/>
  <c r="AM206" i="39"/>
  <c r="AM193" i="39"/>
  <c r="X232" i="42" l="1"/>
  <c r="X308" i="42" s="1"/>
  <c r="AL491" i="39"/>
  <c r="AL487" i="39"/>
  <c r="AL502" i="39"/>
  <c r="AL75" i="39" s="1"/>
  <c r="AL506" i="39"/>
  <c r="AL521" i="39" s="1"/>
  <c r="AN481" i="39"/>
  <c r="AN405" i="39"/>
  <c r="AN200" i="42"/>
  <c r="AN201" i="42"/>
  <c r="AN412" i="42"/>
  <c r="AN406" i="42" s="1"/>
  <c r="AN404" i="42"/>
  <c r="W94" i="42"/>
  <c r="W42" i="42"/>
  <c r="AN508" i="42"/>
  <c r="AN513" i="42" s="1"/>
  <c r="AN114" i="39"/>
  <c r="AN100" i="39"/>
  <c r="AB60" i="39"/>
  <c r="AB61" i="39" s="1"/>
  <c r="AC213" i="39"/>
  <c r="AC214" i="39"/>
  <c r="AC215" i="39"/>
  <c r="AN406" i="39"/>
  <c r="AM125" i="42"/>
  <c r="AM208" i="39"/>
  <c r="AM209" i="39" s="1"/>
  <c r="AM195" i="39"/>
  <c r="AM196" i="39" s="1"/>
  <c r="X279" i="42" l="1"/>
  <c r="X280" i="42" s="1"/>
  <c r="X253" i="42"/>
  <c r="X296" i="42"/>
  <c r="X297" i="42" s="1"/>
  <c r="X275" i="42"/>
  <c r="X276" i="42" s="1"/>
  <c r="X179" i="42"/>
  <c r="X300" i="42"/>
  <c r="X301" i="42" s="1"/>
  <c r="X250" i="42"/>
  <c r="X256" i="42"/>
  <c r="X252" i="42"/>
  <c r="X239" i="42"/>
  <c r="X242" i="42" s="1"/>
  <c r="X251" i="42"/>
  <c r="X270" i="42"/>
  <c r="X271" i="42" s="1"/>
  <c r="X272" i="42" s="1"/>
  <c r="X304" i="42"/>
  <c r="X305" i="42" s="1"/>
  <c r="X291" i="42"/>
  <c r="X292" i="42" s="1"/>
  <c r="X293" i="42" s="1"/>
  <c r="X317" i="42" s="1"/>
  <c r="AL77" i="39"/>
  <c r="AL79" i="39" s="1"/>
  <c r="AL82" i="39" s="1"/>
  <c r="AL488" i="39" s="1"/>
  <c r="AL67" i="39"/>
  <c r="AL69" i="39" s="1"/>
  <c r="AL71" i="39" s="1"/>
  <c r="AL496" i="39"/>
  <c r="AL55" i="39"/>
  <c r="AL503" i="39"/>
  <c r="AM212" i="39"/>
  <c r="AN202" i="42"/>
  <c r="AN114" i="42" s="1"/>
  <c r="AN405" i="42"/>
  <c r="AN481" i="42"/>
  <c r="AC216" i="39"/>
  <c r="W96" i="42"/>
  <c r="W97" i="42" s="1"/>
  <c r="AN407" i="42"/>
  <c r="W44" i="42"/>
  <c r="W49" i="42"/>
  <c r="AN407" i="39"/>
  <c r="AN408" i="39" s="1"/>
  <c r="AB63" i="39"/>
  <c r="AB7" i="39" s="1"/>
  <c r="AB8" i="39" s="1"/>
  <c r="AB65" i="39"/>
  <c r="AN66" i="39"/>
  <c r="AO411" i="39"/>
  <c r="X309" i="42"/>
  <c r="W121" i="42"/>
  <c r="W126" i="42" s="1"/>
  <c r="AN486" i="39"/>
  <c r="AN500" i="39"/>
  <c r="AM93" i="39"/>
  <c r="X192" i="42" l="1"/>
  <c r="X180" i="42"/>
  <c r="X183" i="42" s="1"/>
  <c r="X257" i="42"/>
  <c r="X260" i="42" s="1"/>
  <c r="W48" i="42"/>
  <c r="W127" i="42" s="1"/>
  <c r="AM232" i="39"/>
  <c r="AM478" i="39"/>
  <c r="AM51" i="39"/>
  <c r="AN100" i="42"/>
  <c r="X207" i="42"/>
  <c r="X194" i="42"/>
  <c r="AO409" i="39"/>
  <c r="AO199" i="39"/>
  <c r="W112" i="42"/>
  <c r="W106" i="42"/>
  <c r="AN486" i="42"/>
  <c r="AN500" i="42"/>
  <c r="AN43" i="42"/>
  <c r="AN46" i="42"/>
  <c r="AN62" i="42"/>
  <c r="AO414" i="39"/>
  <c r="X316" i="42"/>
  <c r="AN408" i="42"/>
  <c r="AN66" i="42"/>
  <c r="AO411" i="42"/>
  <c r="AN59" i="39"/>
  <c r="AN62" i="39"/>
  <c r="AN43" i="39"/>
  <c r="AN46" i="39"/>
  <c r="AC42" i="39"/>
  <c r="AC94" i="39"/>
  <c r="X205" i="42" l="1"/>
  <c r="X477" i="42" s="1"/>
  <c r="X212" i="42" s="1"/>
  <c r="AM56" i="39"/>
  <c r="AM53" i="39"/>
  <c r="AM54" i="39"/>
  <c r="AM515" i="39"/>
  <c r="AM520" i="39" s="1"/>
  <c r="AM499" i="39"/>
  <c r="AM480" i="39"/>
  <c r="AC121" i="39"/>
  <c r="AC126" i="39" s="1"/>
  <c r="AC96" i="39"/>
  <c r="AC97" i="39" s="1"/>
  <c r="X318" i="42"/>
  <c r="X206" i="42"/>
  <c r="X193" i="42"/>
  <c r="AN113" i="42"/>
  <c r="W108" i="42"/>
  <c r="W109" i="42" s="1"/>
  <c r="W74" i="42"/>
  <c r="AN98" i="42"/>
  <c r="AN104" i="42" s="1"/>
  <c r="AN59" i="42"/>
  <c r="AC49" i="39"/>
  <c r="AC44" i="39"/>
  <c r="AN118" i="39"/>
  <c r="AN119" i="39" s="1"/>
  <c r="AN107" i="39"/>
  <c r="AN450" i="39" s="1"/>
  <c r="AN125" i="39" s="1"/>
  <c r="AO409" i="42"/>
  <c r="AO199" i="42"/>
  <c r="AN107" i="42"/>
  <c r="AN450" i="42" s="1"/>
  <c r="AN118" i="42"/>
  <c r="AN119" i="42" s="1"/>
  <c r="AO508" i="39"/>
  <c r="AO513" i="39" s="1"/>
  <c r="AN113" i="39"/>
  <c r="AN98" i="39"/>
  <c r="AN104" i="39" s="1"/>
  <c r="AO201" i="39"/>
  <c r="AO200" i="39"/>
  <c r="AO414" i="42"/>
  <c r="AO404" i="39"/>
  <c r="AO412" i="39"/>
  <c r="X52" i="42" l="1"/>
  <c r="AC48" i="39"/>
  <c r="AM491" i="39"/>
  <c r="AM487" i="39"/>
  <c r="AM506" i="39"/>
  <c r="AM521" i="39" s="1"/>
  <c r="AM502" i="39"/>
  <c r="AO481" i="39"/>
  <c r="AO405" i="39"/>
  <c r="AO202" i="39"/>
  <c r="AN125" i="42"/>
  <c r="AO508" i="42"/>
  <c r="AO513" i="42" s="1"/>
  <c r="AC106" i="39"/>
  <c r="AC112" i="39"/>
  <c r="AO406" i="39"/>
  <c r="AO201" i="42"/>
  <c r="AO200" i="42"/>
  <c r="X478" i="42"/>
  <c r="X515" i="42" s="1"/>
  <c r="X520" i="42" s="1"/>
  <c r="X51" i="42"/>
  <c r="AO412" i="42"/>
  <c r="AO406" i="42" s="1"/>
  <c r="AO404" i="42"/>
  <c r="W60" i="42"/>
  <c r="W61" i="42" s="1"/>
  <c r="AC127" i="39"/>
  <c r="X208" i="42"/>
  <c r="X209" i="42" s="1"/>
  <c r="X195" i="42"/>
  <c r="X196" i="42" s="1"/>
  <c r="AM75" i="39" l="1"/>
  <c r="AM503" i="39"/>
  <c r="AM55" i="39"/>
  <c r="AM496" i="39"/>
  <c r="AO202" i="42"/>
  <c r="AO114" i="42" s="1"/>
  <c r="X93" i="42"/>
  <c r="AO407" i="42"/>
  <c r="AO481" i="42"/>
  <c r="AO405" i="42"/>
  <c r="AC108" i="39"/>
  <c r="AC109" i="39" s="1"/>
  <c r="AC74" i="39"/>
  <c r="AO114" i="39"/>
  <c r="AO100" i="39"/>
  <c r="X56" i="42"/>
  <c r="X54" i="42"/>
  <c r="X53" i="42"/>
  <c r="AO407" i="39"/>
  <c r="AO500" i="39"/>
  <c r="AO486" i="39"/>
  <c r="W63" i="42"/>
  <c r="W7" i="42" s="1"/>
  <c r="W8" i="42" s="1"/>
  <c r="W65" i="42"/>
  <c r="X499" i="42"/>
  <c r="X480" i="42"/>
  <c r="AO66" i="39"/>
  <c r="AP411" i="39"/>
  <c r="AN250" i="39"/>
  <c r="AN304" i="39"/>
  <c r="AN308" i="39"/>
  <c r="AN256" i="39"/>
  <c r="AN279" i="39"/>
  <c r="AN252" i="39"/>
  <c r="AN291" i="39"/>
  <c r="AN179" i="39"/>
  <c r="AN251" i="39"/>
  <c r="AN253" i="39"/>
  <c r="AN275" i="39"/>
  <c r="AN300" i="39"/>
  <c r="AN270" i="39"/>
  <c r="AN296" i="39"/>
  <c r="AM77" i="39" l="1"/>
  <c r="AM79" i="39" s="1"/>
  <c r="AM82" i="39" s="1"/>
  <c r="AM67" i="39"/>
  <c r="AM69" i="39" s="1"/>
  <c r="AM71" i="39" s="1"/>
  <c r="AO100" i="42"/>
  <c r="AP414" i="39"/>
  <c r="AP200" i="39" s="1"/>
  <c r="AO408" i="39"/>
  <c r="AO59" i="39" s="1"/>
  <c r="AO408" i="42"/>
  <c r="AO66" i="42"/>
  <c r="AP411" i="42"/>
  <c r="AP414" i="42" s="1"/>
  <c r="AO43" i="42"/>
  <c r="AO62" i="42"/>
  <c r="AO46" i="42"/>
  <c r="X502" i="42"/>
  <c r="X75" i="42" s="1"/>
  <c r="X506" i="42"/>
  <c r="X521" i="42" s="1"/>
  <c r="AC60" i="39"/>
  <c r="AC61" i="39" s="1"/>
  <c r="AD215" i="39"/>
  <c r="AD213" i="39"/>
  <c r="AD214" i="39"/>
  <c r="AO500" i="42"/>
  <c r="AO486" i="42"/>
  <c r="X213" i="42"/>
  <c r="X214" i="42"/>
  <c r="X215" i="42"/>
  <c r="AP409" i="39"/>
  <c r="AP199" i="39"/>
  <c r="X491" i="42"/>
  <c r="X487" i="42"/>
  <c r="AO62" i="39"/>
  <c r="AO46" i="39"/>
  <c r="AO43" i="39"/>
  <c r="AN280" i="39"/>
  <c r="AN305" i="39"/>
  <c r="AN271" i="39"/>
  <c r="AN272" i="39" s="1"/>
  <c r="AN301" i="39"/>
  <c r="AN180" i="39"/>
  <c r="AN242" i="39"/>
  <c r="AN257" i="39"/>
  <c r="AN260" i="39" s="1"/>
  <c r="AN297" i="39"/>
  <c r="AN276" i="39"/>
  <c r="AN292" i="39"/>
  <c r="AN293" i="39" s="1"/>
  <c r="AN317" i="39" s="1"/>
  <c r="AN192" i="39"/>
  <c r="AN309" i="39"/>
  <c r="AN232" i="39" l="1"/>
  <c r="AM488" i="39"/>
  <c r="AP201" i="39"/>
  <c r="AP202" i="39" s="1"/>
  <c r="X496" i="42"/>
  <c r="X55" i="42"/>
  <c r="AD216" i="39"/>
  <c r="X67" i="42"/>
  <c r="X69" i="42" s="1"/>
  <c r="X71" i="42" s="1"/>
  <c r="X77" i="42"/>
  <c r="X79" i="42" s="1"/>
  <c r="X82" i="42" s="1"/>
  <c r="AO118" i="42"/>
  <c r="AO119" i="42" s="1"/>
  <c r="AO107" i="42"/>
  <c r="AO450" i="42" s="1"/>
  <c r="AP404" i="39"/>
  <c r="AP412" i="39"/>
  <c r="AO107" i="39"/>
  <c r="AO450" i="39" s="1"/>
  <c r="AO125" i="39" s="1"/>
  <c r="AO118" i="39"/>
  <c r="AO119" i="39" s="1"/>
  <c r="AP201" i="42"/>
  <c r="AP200" i="42"/>
  <c r="AP409" i="42"/>
  <c r="AP199" i="42"/>
  <c r="X216" i="42"/>
  <c r="AO98" i="42"/>
  <c r="AO104" i="42" s="1"/>
  <c r="AO59" i="42"/>
  <c r="AO113" i="39"/>
  <c r="AP508" i="39"/>
  <c r="AP513" i="39" s="1"/>
  <c r="AC63" i="39"/>
  <c r="AC7" i="39" s="1"/>
  <c r="AC8" i="39" s="1"/>
  <c r="AC65" i="39"/>
  <c r="X503" i="42"/>
  <c r="AO113" i="42"/>
  <c r="AO98" i="39"/>
  <c r="AO104" i="39" s="1"/>
  <c r="AN183" i="39"/>
  <c r="AN205" i="39"/>
  <c r="AN52" i="39" s="1"/>
  <c r="AN194" i="39"/>
  <c r="AN207" i="39"/>
  <c r="AN316" i="39"/>
  <c r="AN318" i="39" s="1"/>
  <c r="Y232" i="42" l="1"/>
  <c r="Y256" i="42" s="1"/>
  <c r="AP412" i="42"/>
  <c r="AP406" i="42" s="1"/>
  <c r="AP404" i="42"/>
  <c r="AP406" i="39"/>
  <c r="X94" i="42"/>
  <c r="X42" i="42"/>
  <c r="AP405" i="39"/>
  <c r="AP481" i="39"/>
  <c r="AD42" i="39"/>
  <c r="AD94" i="39"/>
  <c r="AD121" i="39" s="1"/>
  <c r="AD126" i="39" s="1"/>
  <c r="AP114" i="39"/>
  <c r="AP100" i="39"/>
  <c r="AP508" i="42"/>
  <c r="AP513" i="42" s="1"/>
  <c r="AP202" i="42"/>
  <c r="AO125" i="42"/>
  <c r="X488" i="42"/>
  <c r="AN477" i="39"/>
  <c r="AN212" i="39" s="1"/>
  <c r="AN195" i="39"/>
  <c r="AN208" i="39"/>
  <c r="AN193" i="39"/>
  <c r="AN206" i="39"/>
  <c r="Y296" i="42" l="1"/>
  <c r="Y270" i="42"/>
  <c r="Y239" i="42"/>
  <c r="Y250" i="42"/>
  <c r="Y291" i="42"/>
  <c r="Y292" i="42" s="1"/>
  <c r="Y293" i="42" s="1"/>
  <c r="Y317" i="42" s="1"/>
  <c r="Y304" i="42"/>
  <c r="Y305" i="42" s="1"/>
  <c r="Y253" i="42"/>
  <c r="Y308" i="42"/>
  <c r="Y251" i="42"/>
  <c r="Y279" i="42"/>
  <c r="Y280" i="42" s="1"/>
  <c r="Y179" i="42"/>
  <c r="Y180" i="42" s="1"/>
  <c r="Y183" i="42" s="1"/>
  <c r="Y252" i="42"/>
  <c r="Y300" i="42"/>
  <c r="Y301" i="42" s="1"/>
  <c r="Y275" i="42"/>
  <c r="Y276" i="42" s="1"/>
  <c r="Y242" i="42"/>
  <c r="Y309" i="42"/>
  <c r="X49" i="42"/>
  <c r="X44" i="42"/>
  <c r="AP407" i="39"/>
  <c r="AP408" i="39" s="1"/>
  <c r="AP114" i="42"/>
  <c r="AP100" i="42"/>
  <c r="AD96" i="39"/>
  <c r="AD97" i="39" s="1"/>
  <c r="X121" i="42"/>
  <c r="X126" i="42" s="1"/>
  <c r="X96" i="42"/>
  <c r="X97" i="42" s="1"/>
  <c r="AP405" i="42"/>
  <c r="AP481" i="42"/>
  <c r="AP66" i="39"/>
  <c r="AQ411" i="39"/>
  <c r="Y297" i="42"/>
  <c r="Y271" i="42"/>
  <c r="Y272" i="42" s="1"/>
  <c r="AD44" i="39"/>
  <c r="AD49" i="39"/>
  <c r="AP500" i="39"/>
  <c r="AP486" i="39"/>
  <c r="AP407" i="42"/>
  <c r="AN196" i="39"/>
  <c r="AN209" i="39"/>
  <c r="AN478" i="39"/>
  <c r="AN51" i="39"/>
  <c r="Y192" i="42" l="1"/>
  <c r="Y257" i="42"/>
  <c r="Y260" i="42" s="1"/>
  <c r="AD48" i="39"/>
  <c r="AD127" i="39" s="1"/>
  <c r="X48" i="42"/>
  <c r="X127" i="42" s="1"/>
  <c r="AN93" i="39"/>
  <c r="AP43" i="42"/>
  <c r="AP62" i="42"/>
  <c r="AP46" i="42"/>
  <c r="AQ409" i="39"/>
  <c r="AQ199" i="39"/>
  <c r="X106" i="42"/>
  <c r="X112" i="42"/>
  <c r="Y316" i="42"/>
  <c r="Y194" i="42"/>
  <c r="Y207" i="42"/>
  <c r="AP59" i="39"/>
  <c r="AP500" i="42"/>
  <c r="AP486" i="42"/>
  <c r="AQ414" i="39"/>
  <c r="AP408" i="42"/>
  <c r="AP66" i="42"/>
  <c r="AQ411" i="42"/>
  <c r="AD112" i="39"/>
  <c r="AD106" i="39"/>
  <c r="AP62" i="39"/>
  <c r="AP43" i="39"/>
  <c r="AP46" i="39"/>
  <c r="AN54" i="39"/>
  <c r="AN56" i="39"/>
  <c r="AN53" i="39"/>
  <c r="AN515" i="39"/>
  <c r="AN520" i="39" s="1"/>
  <c r="AN480" i="39"/>
  <c r="AN499" i="39"/>
  <c r="Y205" i="42" l="1"/>
  <c r="AP113" i="39"/>
  <c r="AQ409" i="42"/>
  <c r="AQ199" i="42"/>
  <c r="AP107" i="39"/>
  <c r="AP450" i="39" s="1"/>
  <c r="AP125" i="39" s="1"/>
  <c r="AP118" i="39"/>
  <c r="AP119" i="39" s="1"/>
  <c r="AQ414" i="42"/>
  <c r="AP98" i="39"/>
  <c r="AP104" i="39" s="1"/>
  <c r="X108" i="42"/>
  <c r="X109" i="42" s="1"/>
  <c r="X74" i="42"/>
  <c r="AP113" i="42"/>
  <c r="AD108" i="39"/>
  <c r="AD109" i="39" s="1"/>
  <c r="AD74" i="39"/>
  <c r="AP98" i="42"/>
  <c r="AP104" i="42" s="1"/>
  <c r="AP59" i="42"/>
  <c r="Y193" i="42"/>
  <c r="Y206" i="42"/>
  <c r="AQ508" i="39"/>
  <c r="AQ513" i="39" s="1"/>
  <c r="AQ201" i="39"/>
  <c r="AQ200" i="39"/>
  <c r="Y318" i="42"/>
  <c r="AQ404" i="39"/>
  <c r="AQ412" i="39"/>
  <c r="AP107" i="42"/>
  <c r="AP450" i="42" s="1"/>
  <c r="AP118" i="42"/>
  <c r="AP119" i="42" s="1"/>
  <c r="AN491" i="39"/>
  <c r="AN487" i="39"/>
  <c r="AN502" i="39"/>
  <c r="AN75" i="39" s="1"/>
  <c r="AN506" i="39"/>
  <c r="AN521" i="39" s="1"/>
  <c r="Y477" i="42" l="1"/>
  <c r="Y212" i="42" s="1"/>
  <c r="Y51" i="42" s="1"/>
  <c r="Y52" i="42"/>
  <c r="AQ481" i="39"/>
  <c r="AQ405" i="39"/>
  <c r="AQ412" i="42"/>
  <c r="AQ406" i="42" s="1"/>
  <c r="AQ404" i="42"/>
  <c r="Y195" i="42"/>
  <c r="Y208" i="42"/>
  <c r="AP125" i="42"/>
  <c r="AD60" i="39"/>
  <c r="AD61" i="39" s="1"/>
  <c r="AE214" i="39"/>
  <c r="AE213" i="39"/>
  <c r="AE215" i="39"/>
  <c r="AQ406" i="39"/>
  <c r="AQ202" i="39"/>
  <c r="X60" i="42"/>
  <c r="X61" i="42" s="1"/>
  <c r="AQ201" i="42"/>
  <c r="AQ200" i="42"/>
  <c r="AQ508" i="42"/>
  <c r="AQ513" i="42" s="1"/>
  <c r="AN503" i="39"/>
  <c r="AN77" i="39"/>
  <c r="AN79" i="39" s="1"/>
  <c r="AN82" i="39" s="1"/>
  <c r="AN67" i="39"/>
  <c r="AN69" i="39" s="1"/>
  <c r="AN71" i="39" s="1"/>
  <c r="AN496" i="39"/>
  <c r="AN55" i="39"/>
  <c r="Y478" i="42" l="1"/>
  <c r="Y515" i="42" s="1"/>
  <c r="Y520" i="42" s="1"/>
  <c r="AE216" i="39"/>
  <c r="AQ407" i="42"/>
  <c r="AQ202" i="42"/>
  <c r="X63" i="42"/>
  <c r="X7" i="42" s="1"/>
  <c r="X8" i="42" s="1"/>
  <c r="X65" i="42"/>
  <c r="AQ407" i="39"/>
  <c r="AQ408" i="39" s="1"/>
  <c r="Y53" i="42"/>
  <c r="Y54" i="42"/>
  <c r="Y56" i="42"/>
  <c r="AQ114" i="39"/>
  <c r="AQ100" i="39"/>
  <c r="AD63" i="39"/>
  <c r="AD7" i="39" s="1"/>
  <c r="AD8" i="39" s="1"/>
  <c r="AD65" i="39"/>
  <c r="AQ66" i="39"/>
  <c r="AR411" i="39"/>
  <c r="Y196" i="42"/>
  <c r="Y209" i="42"/>
  <c r="AQ405" i="42"/>
  <c r="AQ481" i="42"/>
  <c r="AQ500" i="39"/>
  <c r="AQ486" i="39"/>
  <c r="AN488" i="39"/>
  <c r="AO232" i="39"/>
  <c r="Y499" i="42" l="1"/>
  <c r="Y502" i="42" s="1"/>
  <c r="Y75" i="42" s="1"/>
  <c r="Y480" i="42"/>
  <c r="Y491" i="42" s="1"/>
  <c r="Y93" i="42"/>
  <c r="Y213" i="42" s="1"/>
  <c r="AQ408" i="42"/>
  <c r="AQ66" i="42"/>
  <c r="AR411" i="42"/>
  <c r="AQ46" i="42"/>
  <c r="AQ62" i="42"/>
  <c r="AQ43" i="42"/>
  <c r="AR409" i="39"/>
  <c r="AR199" i="39"/>
  <c r="AE42" i="39"/>
  <c r="AE94" i="39"/>
  <c r="AE121" i="39" s="1"/>
  <c r="AE126" i="39" s="1"/>
  <c r="AR414" i="39"/>
  <c r="AQ114" i="42"/>
  <c r="AQ100" i="42"/>
  <c r="AQ500" i="42"/>
  <c r="AQ486" i="42"/>
  <c r="AQ59" i="39"/>
  <c r="AQ43" i="39"/>
  <c r="AQ46" i="39"/>
  <c r="AQ62" i="39"/>
  <c r="AO251" i="39"/>
  <c r="AO304" i="39"/>
  <c r="AO300" i="39"/>
  <c r="AO296" i="39"/>
  <c r="AO275" i="39"/>
  <c r="AO270" i="39"/>
  <c r="AO179" i="39"/>
  <c r="AO291" i="39"/>
  <c r="AO256" i="39"/>
  <c r="AO308" i="39"/>
  <c r="AO252" i="39"/>
  <c r="AO279" i="39"/>
  <c r="AO250" i="39"/>
  <c r="AO253" i="39"/>
  <c r="Y506" i="42" l="1"/>
  <c r="Y521" i="42" s="1"/>
  <c r="Y487" i="42"/>
  <c r="Y496" i="42" s="1"/>
  <c r="Y214" i="42"/>
  <c r="Y215" i="42"/>
  <c r="AR508" i="39"/>
  <c r="AR513" i="39" s="1"/>
  <c r="AQ118" i="42"/>
  <c r="AQ119" i="42" s="1"/>
  <c r="AQ107" i="42"/>
  <c r="AQ450" i="42" s="1"/>
  <c r="AE96" i="39"/>
  <c r="AE97" i="39" s="1"/>
  <c r="Y67" i="42"/>
  <c r="Y69" i="42" s="1"/>
  <c r="Y71" i="42" s="1"/>
  <c r="Y77" i="42"/>
  <c r="Y79" i="42" s="1"/>
  <c r="Y82" i="42" s="1"/>
  <c r="AR404" i="39"/>
  <c r="AR412" i="39"/>
  <c r="AR409" i="42"/>
  <c r="AR199" i="42"/>
  <c r="AQ113" i="39"/>
  <c r="AQ98" i="39"/>
  <c r="AQ104" i="39" s="1"/>
  <c r="AE44" i="39"/>
  <c r="AE49" i="39"/>
  <c r="AQ113" i="42"/>
  <c r="AQ107" i="39"/>
  <c r="AQ450" i="39" s="1"/>
  <c r="AQ125" i="39" s="1"/>
  <c r="AQ118" i="39"/>
  <c r="AQ119" i="39" s="1"/>
  <c r="AR201" i="39"/>
  <c r="AR200" i="39"/>
  <c r="Y503" i="42"/>
  <c r="AR414" i="42"/>
  <c r="Y55" i="42"/>
  <c r="AQ98" i="42"/>
  <c r="AQ104" i="42" s="1"/>
  <c r="AQ59" i="42"/>
  <c r="AO276" i="39"/>
  <c r="AO305" i="39"/>
  <c r="AO280" i="39"/>
  <c r="AO292" i="39"/>
  <c r="AO293" i="39" s="1"/>
  <c r="AO317" i="39" s="1"/>
  <c r="AO192" i="39"/>
  <c r="AO297" i="39"/>
  <c r="AO180" i="39"/>
  <c r="AO242" i="39"/>
  <c r="AO257" i="39"/>
  <c r="AO260" i="39" s="1"/>
  <c r="AO309" i="39"/>
  <c r="AO271" i="39"/>
  <c r="AO272" i="39" s="1"/>
  <c r="AO301" i="39"/>
  <c r="AE48" i="39" l="1"/>
  <c r="AE127" i="39" s="1"/>
  <c r="Z232" i="42"/>
  <c r="Z296" i="42" s="1"/>
  <c r="Y216" i="42"/>
  <c r="Y42" i="42" s="1"/>
  <c r="Y488" i="42"/>
  <c r="AR412" i="42"/>
  <c r="AR406" i="42" s="1"/>
  <c r="AR404" i="42"/>
  <c r="AR406" i="39"/>
  <c r="AR405" i="39"/>
  <c r="AR481" i="39"/>
  <c r="AE106" i="39"/>
  <c r="AE112" i="39"/>
  <c r="AQ125" i="42"/>
  <c r="AR202" i="39"/>
  <c r="AR201" i="42"/>
  <c r="AR200" i="42"/>
  <c r="AR508" i="42"/>
  <c r="AR513" i="42" s="1"/>
  <c r="AO183" i="39"/>
  <c r="AO316" i="39"/>
  <c r="AO318" i="39" s="1"/>
  <c r="AO205" i="39"/>
  <c r="AO207" i="39"/>
  <c r="AO194" i="39"/>
  <c r="Z250" i="42" l="1"/>
  <c r="Z270" i="42"/>
  <c r="Z271" i="42" s="1"/>
  <c r="Z272" i="42" s="1"/>
  <c r="Z300" i="42"/>
  <c r="Z301" i="42" s="1"/>
  <c r="Z179" i="42"/>
  <c r="Z180" i="42" s="1"/>
  <c r="Z183" i="42" s="1"/>
  <c r="Z253" i="42"/>
  <c r="Z252" i="42"/>
  <c r="Z239" i="42"/>
  <c r="Z242" i="42" s="1"/>
  <c r="Z256" i="42"/>
  <c r="Z275" i="42"/>
  <c r="Z276" i="42" s="1"/>
  <c r="Z291" i="42"/>
  <c r="Z292" i="42" s="1"/>
  <c r="Z293" i="42" s="1"/>
  <c r="Z317" i="42" s="1"/>
  <c r="Z308" i="42"/>
  <c r="Z309" i="42" s="1"/>
  <c r="Z279" i="42"/>
  <c r="Z280" i="42" s="1"/>
  <c r="Z304" i="42"/>
  <c r="Z305" i="42" s="1"/>
  <c r="Z251" i="42"/>
  <c r="Y94" i="42"/>
  <c r="Y121" i="42" s="1"/>
  <c r="Y126" i="42" s="1"/>
  <c r="AR202" i="42"/>
  <c r="AR114" i="42" s="1"/>
  <c r="AR66" i="39"/>
  <c r="AS411" i="39"/>
  <c r="AR114" i="39"/>
  <c r="AR100" i="39"/>
  <c r="AE108" i="39"/>
  <c r="AE109" i="39" s="1"/>
  <c r="AE74" i="39"/>
  <c r="AR407" i="39"/>
  <c r="Z297" i="42"/>
  <c r="AR405" i="42"/>
  <c r="AR481" i="42"/>
  <c r="Y49" i="42"/>
  <c r="Y44" i="42"/>
  <c r="AR486" i="39"/>
  <c r="AR500" i="39"/>
  <c r="AR407" i="42"/>
  <c r="AO208" i="39"/>
  <c r="AO195" i="39"/>
  <c r="AO477" i="39"/>
  <c r="AO52" i="39"/>
  <c r="AO193" i="39"/>
  <c r="AO206" i="39"/>
  <c r="Z257" i="42" l="1"/>
  <c r="Z260" i="42" s="1"/>
  <c r="Z192" i="42"/>
  <c r="Y48" i="42"/>
  <c r="Y96" i="42"/>
  <c r="Y97" i="42" s="1"/>
  <c r="Y106" i="42" s="1"/>
  <c r="AR100" i="42"/>
  <c r="Z205" i="42"/>
  <c r="Z52" i="42" s="1"/>
  <c r="Z316" i="42"/>
  <c r="AR408" i="42"/>
  <c r="AR66" i="42"/>
  <c r="AS411" i="42"/>
  <c r="AS414" i="42" s="1"/>
  <c r="AR46" i="39"/>
  <c r="AR62" i="39"/>
  <c r="AR43" i="39"/>
  <c r="AR46" i="42"/>
  <c r="AR62" i="42"/>
  <c r="AR43" i="42"/>
  <c r="AE60" i="39"/>
  <c r="AE61" i="39" s="1"/>
  <c r="AF215" i="39"/>
  <c r="AF213" i="39"/>
  <c r="AF214" i="39"/>
  <c r="AS409" i="39"/>
  <c r="AS199" i="39"/>
  <c r="AR500" i="42"/>
  <c r="AR486" i="42"/>
  <c r="Z207" i="42"/>
  <c r="Z194" i="42"/>
  <c r="AS414" i="39"/>
  <c r="AR408" i="39"/>
  <c r="AO212" i="39"/>
  <c r="AO196" i="39"/>
  <c r="AO209" i="39"/>
  <c r="Y127" i="42" l="1"/>
  <c r="Y112" i="42"/>
  <c r="Z477" i="42"/>
  <c r="Z212" i="42" s="1"/>
  <c r="AR98" i="39"/>
  <c r="AR104" i="39" s="1"/>
  <c r="AR59" i="39"/>
  <c r="AR113" i="42"/>
  <c r="AR118" i="39"/>
  <c r="AR119" i="39" s="1"/>
  <c r="AR107" i="39"/>
  <c r="AR450" i="39" s="1"/>
  <c r="AR125" i="39" s="1"/>
  <c r="Z206" i="42"/>
  <c r="Z193" i="42"/>
  <c r="AS404" i="39"/>
  <c r="AS412" i="39"/>
  <c r="AF216" i="39"/>
  <c r="AS201" i="42"/>
  <c r="AS200" i="42"/>
  <c r="AR98" i="42"/>
  <c r="AR104" i="42" s="1"/>
  <c r="AR59" i="42"/>
  <c r="Z318" i="42"/>
  <c r="AS508" i="39"/>
  <c r="AS513" i="39" s="1"/>
  <c r="AS201" i="39"/>
  <c r="AS200" i="39"/>
  <c r="AR118" i="42"/>
  <c r="AR119" i="42" s="1"/>
  <c r="AR107" i="42"/>
  <c r="AR450" i="42" s="1"/>
  <c r="Y108" i="42"/>
  <c r="Y109" i="42" s="1"/>
  <c r="Y74" i="42"/>
  <c r="AR113" i="39"/>
  <c r="AE63" i="39"/>
  <c r="AE7" i="39" s="1"/>
  <c r="AE8" i="39" s="1"/>
  <c r="AE65" i="39"/>
  <c r="AS409" i="42"/>
  <c r="AS199" i="42"/>
  <c r="AO93" i="39"/>
  <c r="AO478" i="39"/>
  <c r="AO51" i="39"/>
  <c r="AR125" i="42" l="1"/>
  <c r="AF42" i="39"/>
  <c r="AF94" i="39"/>
  <c r="AF121" i="39" s="1"/>
  <c r="AF126" i="39" s="1"/>
  <c r="AS508" i="42"/>
  <c r="AS513" i="42" s="1"/>
  <c r="AS202" i="42"/>
  <c r="Y60" i="42"/>
  <c r="Y61" i="42" s="1"/>
  <c r="Z195" i="42"/>
  <c r="Z196" i="42" s="1"/>
  <c r="Z208" i="42"/>
  <c r="Z209" i="42" s="1"/>
  <c r="Z478" i="42"/>
  <c r="Z515" i="42" s="1"/>
  <c r="Z520" i="42" s="1"/>
  <c r="Z51" i="42"/>
  <c r="AS406" i="39"/>
  <c r="AS412" i="42"/>
  <c r="AS406" i="42" s="1"/>
  <c r="AS404" i="42"/>
  <c r="AS202" i="39"/>
  <c r="AS481" i="39"/>
  <c r="AS405" i="39"/>
  <c r="AO56" i="39"/>
  <c r="AO53" i="39"/>
  <c r="AO54" i="39"/>
  <c r="AO515" i="39"/>
  <c r="AO520" i="39" s="1"/>
  <c r="AO499" i="39"/>
  <c r="AO480" i="39"/>
  <c r="Z93" i="42" l="1"/>
  <c r="Z215" i="42" s="1"/>
  <c r="AS66" i="39"/>
  <c r="AT411" i="39"/>
  <c r="AS481" i="42"/>
  <c r="AS405" i="42"/>
  <c r="Z56" i="42"/>
  <c r="Z53" i="42"/>
  <c r="Z54" i="42"/>
  <c r="Y63" i="42"/>
  <c r="Y7" i="42" s="1"/>
  <c r="Y8" i="42" s="1"/>
  <c r="Y65" i="42"/>
  <c r="AF96" i="39"/>
  <c r="AF97" i="39" s="1"/>
  <c r="AS486" i="39"/>
  <c r="AS500" i="39"/>
  <c r="AS407" i="42"/>
  <c r="Z480" i="42"/>
  <c r="Z499" i="42"/>
  <c r="AF44" i="39"/>
  <c r="AF49" i="39"/>
  <c r="AS114" i="39"/>
  <c r="AS100" i="39"/>
  <c r="AS407" i="39"/>
  <c r="AS408" i="39" s="1"/>
  <c r="AS114" i="42"/>
  <c r="AS100" i="42"/>
  <c r="AO506" i="39"/>
  <c r="AO521" i="39" s="1"/>
  <c r="AO502" i="39"/>
  <c r="AO75" i="39" s="1"/>
  <c r="AO487" i="39"/>
  <c r="AO491" i="39"/>
  <c r="AF48" i="39" l="1"/>
  <c r="AF127" i="39" s="1"/>
  <c r="Z214" i="42"/>
  <c r="Z213" i="42"/>
  <c r="AT414" i="39"/>
  <c r="AT200" i="39" s="1"/>
  <c r="AS59" i="39"/>
  <c r="AS408" i="42"/>
  <c r="AS66" i="42"/>
  <c r="AT411" i="42"/>
  <c r="AT414" i="42" s="1"/>
  <c r="Z502" i="42"/>
  <c r="Z75" i="42" s="1"/>
  <c r="Z506" i="42"/>
  <c r="Z521" i="42" s="1"/>
  <c r="AF106" i="39"/>
  <c r="AF112" i="39"/>
  <c r="AS500" i="42"/>
  <c r="AS486" i="42"/>
  <c r="Z487" i="42"/>
  <c r="Z491" i="42"/>
  <c r="AS46" i="42"/>
  <c r="AS43" i="42"/>
  <c r="AS62" i="42"/>
  <c r="AT409" i="39"/>
  <c r="AT199" i="39"/>
  <c r="AS46" i="39"/>
  <c r="AS43" i="39"/>
  <c r="AS62" i="39"/>
  <c r="AO503" i="39"/>
  <c r="AO77" i="39"/>
  <c r="AO79" i="39" s="1"/>
  <c r="AO82" i="39" s="1"/>
  <c r="AO67" i="39"/>
  <c r="AO69" i="39" s="1"/>
  <c r="AO71" i="39" s="1"/>
  <c r="AO496" i="39"/>
  <c r="AO55" i="39"/>
  <c r="AT201" i="39" l="1"/>
  <c r="AT202" i="39" s="1"/>
  <c r="Z216" i="42"/>
  <c r="Z94" i="42" s="1"/>
  <c r="Z121" i="42" s="1"/>
  <c r="Z126" i="42" s="1"/>
  <c r="Z503" i="42"/>
  <c r="AS118" i="42"/>
  <c r="AS119" i="42" s="1"/>
  <c r="AS107" i="42"/>
  <c r="AS450" i="42" s="1"/>
  <c r="AT412" i="39"/>
  <c r="AT404" i="39"/>
  <c r="AS113" i="42"/>
  <c r="AF108" i="39"/>
  <c r="AF109" i="39" s="1"/>
  <c r="AF74" i="39"/>
  <c r="AS98" i="42"/>
  <c r="AS104" i="42" s="1"/>
  <c r="AS59" i="42"/>
  <c r="AT200" i="42"/>
  <c r="AT201" i="42"/>
  <c r="AS113" i="39"/>
  <c r="AT508" i="39"/>
  <c r="AT513" i="39" s="1"/>
  <c r="AS118" i="39"/>
  <c r="AS119" i="39" s="1"/>
  <c r="AS107" i="39"/>
  <c r="AS450" i="39" s="1"/>
  <c r="AS125" i="39" s="1"/>
  <c r="Z496" i="42"/>
  <c r="Z55" i="42"/>
  <c r="Z77" i="42"/>
  <c r="Z79" i="42" s="1"/>
  <c r="Z82" i="42" s="1"/>
  <c r="Z67" i="42"/>
  <c r="Z69" i="42" s="1"/>
  <c r="Z71" i="42" s="1"/>
  <c r="AT409" i="42"/>
  <c r="AT199" i="42"/>
  <c r="AS98" i="39"/>
  <c r="AS104" i="39" s="1"/>
  <c r="AO488" i="39"/>
  <c r="AP232" i="39"/>
  <c r="AA232" i="42" l="1"/>
  <c r="AA252" i="42" s="1"/>
  <c r="Z42" i="42"/>
  <c r="Z44" i="42" s="1"/>
  <c r="Z48" i="42" s="1"/>
  <c r="AT508" i="42"/>
  <c r="AT513" i="42" s="1"/>
  <c r="AT202" i="42"/>
  <c r="AA250" i="42"/>
  <c r="Z96" i="42"/>
  <c r="Z97" i="42" s="1"/>
  <c r="AF60" i="39"/>
  <c r="AF61" i="39" s="1"/>
  <c r="AG215" i="39"/>
  <c r="AG214" i="39"/>
  <c r="AG213" i="39"/>
  <c r="AT405" i="39"/>
  <c r="AT481" i="39"/>
  <c r="AS125" i="42"/>
  <c r="AT412" i="42"/>
  <c r="AT406" i="42" s="1"/>
  <c r="AT404" i="42"/>
  <c r="Z488" i="42"/>
  <c r="AT114" i="39"/>
  <c r="AT100" i="39"/>
  <c r="AT406" i="39"/>
  <c r="AP256" i="39"/>
  <c r="AP304" i="39"/>
  <c r="AP296" i="39"/>
  <c r="AP300" i="39"/>
  <c r="AP251" i="39"/>
  <c r="AP308" i="39"/>
  <c r="AP275" i="39"/>
  <c r="AP279" i="39"/>
  <c r="AP252" i="39"/>
  <c r="AP250" i="39"/>
  <c r="AP270" i="39"/>
  <c r="AP291" i="39"/>
  <c r="AP179" i="39"/>
  <c r="AP253" i="39"/>
  <c r="AA300" i="42" l="1"/>
  <c r="AA291" i="42"/>
  <c r="AA292" i="42" s="1"/>
  <c r="AA293" i="42" s="1"/>
  <c r="AA317" i="42" s="1"/>
  <c r="AA256" i="42"/>
  <c r="AA179" i="42"/>
  <c r="AA180" i="42" s="1"/>
  <c r="AA183" i="42" s="1"/>
  <c r="AA239" i="42"/>
  <c r="AA242" i="42" s="1"/>
  <c r="AA270" i="42"/>
  <c r="AA271" i="42" s="1"/>
  <c r="AA272" i="42" s="1"/>
  <c r="AA253" i="42"/>
  <c r="AA275" i="42"/>
  <c r="AA276" i="42" s="1"/>
  <c r="AA304" i="42"/>
  <c r="AA305" i="42" s="1"/>
  <c r="AA279" i="42"/>
  <c r="AA280" i="42" s="1"/>
  <c r="AA251" i="42"/>
  <c r="AA257" i="42" s="1"/>
  <c r="AA260" i="42" s="1"/>
  <c r="AA296" i="42"/>
  <c r="AA297" i="42" s="1"/>
  <c r="AA308" i="42"/>
  <c r="Z49" i="42"/>
  <c r="AT407" i="39"/>
  <c r="AT408" i="39" s="1"/>
  <c r="AG216" i="39"/>
  <c r="AA301" i="42"/>
  <c r="AT481" i="42"/>
  <c r="AT405" i="42"/>
  <c r="Z106" i="42"/>
  <c r="Z112" i="42"/>
  <c r="AT407" i="42"/>
  <c r="AT500" i="39"/>
  <c r="AT486" i="39"/>
  <c r="Z127" i="42"/>
  <c r="AT66" i="39"/>
  <c r="AU411" i="39"/>
  <c r="AF63" i="39"/>
  <c r="AF7" i="39" s="1"/>
  <c r="AF8" i="39" s="1"/>
  <c r="AF65" i="39"/>
  <c r="AT114" i="42"/>
  <c r="AT100" i="42"/>
  <c r="AP271" i="39"/>
  <c r="AP272" i="39" s="1"/>
  <c r="AP276" i="39"/>
  <c r="AP301" i="39"/>
  <c r="AP257" i="39"/>
  <c r="AP260" i="39" s="1"/>
  <c r="AP309" i="39"/>
  <c r="AP297" i="39"/>
  <c r="AP180" i="39"/>
  <c r="AP242" i="39"/>
  <c r="AP305" i="39"/>
  <c r="AP292" i="39"/>
  <c r="AP293" i="39" s="1"/>
  <c r="AP317" i="39" s="1"/>
  <c r="AP192" i="39"/>
  <c r="AP205" i="39"/>
  <c r="AP280" i="39"/>
  <c r="AA192" i="42" l="1"/>
  <c r="AA309" i="42"/>
  <c r="AU414" i="39"/>
  <c r="AU200" i="39" s="1"/>
  <c r="AA205" i="42"/>
  <c r="AT59" i="39"/>
  <c r="AA316" i="42"/>
  <c r="AU409" i="39"/>
  <c r="AU199" i="39"/>
  <c r="AT408" i="42"/>
  <c r="AT66" i="42"/>
  <c r="AU411" i="42"/>
  <c r="AT62" i="42"/>
  <c r="AT43" i="42"/>
  <c r="AT46" i="42"/>
  <c r="AA194" i="42"/>
  <c r="AA207" i="42"/>
  <c r="Z108" i="42"/>
  <c r="Z109" i="42" s="1"/>
  <c r="Z74" i="42"/>
  <c r="AT486" i="42"/>
  <c r="AT500" i="42"/>
  <c r="AG42" i="39"/>
  <c r="AG94" i="39"/>
  <c r="AG121" i="39" s="1"/>
  <c r="AG126" i="39" s="1"/>
  <c r="AT46" i="39"/>
  <c r="AT43" i="39"/>
  <c r="AT62" i="39"/>
  <c r="AP183" i="39"/>
  <c r="AP207" i="39"/>
  <c r="AP194" i="39"/>
  <c r="AP316" i="39"/>
  <c r="AP477" i="39"/>
  <c r="AP52" i="39"/>
  <c r="AA52" i="42" l="1"/>
  <c r="AU201" i="39"/>
  <c r="AU202" i="39" s="1"/>
  <c r="AA477" i="42"/>
  <c r="AA212" i="42" s="1"/>
  <c r="AT113" i="39"/>
  <c r="Z60" i="42"/>
  <c r="Z61" i="42" s="1"/>
  <c r="AT113" i="42"/>
  <c r="AU508" i="39"/>
  <c r="AU513" i="39" s="1"/>
  <c r="AT98" i="39"/>
  <c r="AT104" i="39" s="1"/>
  <c r="AG49" i="39"/>
  <c r="AG44" i="39"/>
  <c r="AG96" i="39"/>
  <c r="AG97" i="39" s="1"/>
  <c r="AT107" i="42"/>
  <c r="AT450" i="42" s="1"/>
  <c r="AT118" i="42"/>
  <c r="AT119" i="42" s="1"/>
  <c r="AT98" i="42"/>
  <c r="AT104" i="42" s="1"/>
  <c r="AT59" i="42"/>
  <c r="AU412" i="39"/>
  <c r="AU404" i="39"/>
  <c r="AA193" i="42"/>
  <c r="AA206" i="42"/>
  <c r="AT107" i="39"/>
  <c r="AT450" i="39" s="1"/>
  <c r="AT125" i="39" s="1"/>
  <c r="AT118" i="39"/>
  <c r="AT119" i="39" s="1"/>
  <c r="AU409" i="42"/>
  <c r="AU199" i="42"/>
  <c r="AU414" i="42"/>
  <c r="AA318" i="42"/>
  <c r="AP193" i="39"/>
  <c r="AP206" i="39"/>
  <c r="AP318" i="39"/>
  <c r="AP212" i="39"/>
  <c r="AG48" i="39" l="1"/>
  <c r="AU412" i="42"/>
  <c r="AU406" i="42" s="1"/>
  <c r="AU404" i="42"/>
  <c r="AA208" i="42"/>
  <c r="AA209" i="42" s="1"/>
  <c r="AA195" i="42"/>
  <c r="AA196" i="42" s="1"/>
  <c r="AA478" i="42"/>
  <c r="AA515" i="42" s="1"/>
  <c r="AA520" i="42" s="1"/>
  <c r="AA51" i="42"/>
  <c r="AU405" i="39"/>
  <c r="AU481" i="39"/>
  <c r="AG112" i="39"/>
  <c r="AG106" i="39"/>
  <c r="Z63" i="42"/>
  <c r="Z7" i="42" s="1"/>
  <c r="Z8" i="42" s="1"/>
  <c r="Z65" i="42"/>
  <c r="AU201" i="42"/>
  <c r="AU200" i="42"/>
  <c r="AU406" i="39"/>
  <c r="AG127" i="39"/>
  <c r="AU114" i="39"/>
  <c r="AU100" i="39"/>
  <c r="AU508" i="42"/>
  <c r="AU513" i="42" s="1"/>
  <c r="AT125" i="42"/>
  <c r="AP195" i="39"/>
  <c r="AP196" i="39" s="1"/>
  <c r="AP208" i="39"/>
  <c r="AP209" i="39" s="1"/>
  <c r="AP478" i="39"/>
  <c r="AP51" i="39"/>
  <c r="AU202" i="42" l="1"/>
  <c r="AU100" i="42" s="1"/>
  <c r="AA93" i="42"/>
  <c r="AU500" i="39"/>
  <c r="AU486" i="39"/>
  <c r="AA56" i="42"/>
  <c r="AA53" i="42"/>
  <c r="AA54" i="42"/>
  <c r="AU481" i="42"/>
  <c r="AU405" i="42"/>
  <c r="AU407" i="39"/>
  <c r="AU408" i="39" s="1"/>
  <c r="AG108" i="39"/>
  <c r="AG109" i="39" s="1"/>
  <c r="AG74" i="39"/>
  <c r="AU66" i="39"/>
  <c r="AV411" i="39"/>
  <c r="AA480" i="42"/>
  <c r="AA499" i="42"/>
  <c r="AU407" i="42"/>
  <c r="AP93" i="39"/>
  <c r="AP56" i="39"/>
  <c r="AP54" i="39"/>
  <c r="AP53" i="39"/>
  <c r="AP515" i="39"/>
  <c r="AP520" i="39" s="1"/>
  <c r="AP499" i="39"/>
  <c r="AP480" i="39"/>
  <c r="AU114" i="42" l="1"/>
  <c r="AU62" i="42"/>
  <c r="AU43" i="42"/>
  <c r="AU46" i="42"/>
  <c r="AG60" i="39"/>
  <c r="AG61" i="39" s="1"/>
  <c r="AH215" i="39"/>
  <c r="AH213" i="39"/>
  <c r="AH214" i="39"/>
  <c r="AV414" i="39"/>
  <c r="AV409" i="39"/>
  <c r="AV199" i="39"/>
  <c r="AU408" i="42"/>
  <c r="AU66" i="42"/>
  <c r="AV411" i="42"/>
  <c r="AV414" i="42" s="1"/>
  <c r="AA502" i="42"/>
  <c r="AA75" i="42" s="1"/>
  <c r="AA506" i="42"/>
  <c r="AA521" i="42" s="1"/>
  <c r="AU500" i="42"/>
  <c r="AU486" i="42"/>
  <c r="AA214" i="42"/>
  <c r="AA215" i="42"/>
  <c r="AA213" i="42"/>
  <c r="AA491" i="42"/>
  <c r="AA487" i="42"/>
  <c r="AU59" i="39"/>
  <c r="AU62" i="39"/>
  <c r="AU46" i="39"/>
  <c r="AU98" i="39" s="1"/>
  <c r="AU104" i="39" s="1"/>
  <c r="AU43" i="39"/>
  <c r="AP487" i="39"/>
  <c r="AP491" i="39"/>
  <c r="AP506" i="39"/>
  <c r="AP521" i="39" s="1"/>
  <c r="AP502" i="39"/>
  <c r="AP75" i="39" s="1"/>
  <c r="AV200" i="42" l="1"/>
  <c r="AV201" i="42"/>
  <c r="AU118" i="39"/>
  <c r="AU119" i="39" s="1"/>
  <c r="AU107" i="39"/>
  <c r="AU450" i="39" s="1"/>
  <c r="AU125" i="39" s="1"/>
  <c r="AA216" i="42"/>
  <c r="AA77" i="42"/>
  <c r="AA79" i="42" s="1"/>
  <c r="AA82" i="42" s="1"/>
  <c r="AA67" i="42"/>
  <c r="AA69" i="42" s="1"/>
  <c r="AA71" i="42" s="1"/>
  <c r="AV508" i="39"/>
  <c r="AV513" i="39" s="1"/>
  <c r="AU113" i="39"/>
  <c r="AA55" i="42"/>
  <c r="AA496" i="42"/>
  <c r="AV409" i="42"/>
  <c r="AV199" i="42"/>
  <c r="AV404" i="39"/>
  <c r="AV412" i="39"/>
  <c r="AH216" i="39"/>
  <c r="AU113" i="42"/>
  <c r="AU118" i="42"/>
  <c r="AU119" i="42" s="1"/>
  <c r="AU107" i="42"/>
  <c r="AU450" i="42" s="1"/>
  <c r="AA503" i="42"/>
  <c r="AU98" i="42"/>
  <c r="AU104" i="42" s="1"/>
  <c r="AU59" i="42"/>
  <c r="AV200" i="39"/>
  <c r="AV201" i="39"/>
  <c r="AG63" i="39"/>
  <c r="AG7" i="39" s="1"/>
  <c r="AG8" i="39" s="1"/>
  <c r="AG65" i="39"/>
  <c r="AP67" i="39"/>
  <c r="AP69" i="39" s="1"/>
  <c r="AP71" i="39" s="1"/>
  <c r="AP77" i="39"/>
  <c r="AP79" i="39" s="1"/>
  <c r="AP82" i="39" s="1"/>
  <c r="AP503" i="39"/>
  <c r="AP496" i="39"/>
  <c r="AP55" i="39"/>
  <c r="AB232" i="42" l="1"/>
  <c r="AB256" i="42" s="1"/>
  <c r="AV202" i="39"/>
  <c r="AV114" i="39" s="1"/>
  <c r="AA488" i="42"/>
  <c r="AV508" i="42"/>
  <c r="AV513" i="42" s="1"/>
  <c r="AV202" i="42"/>
  <c r="AA94" i="42"/>
  <c r="AA42" i="42"/>
  <c r="AH42" i="39"/>
  <c r="AH94" i="39"/>
  <c r="AH121" i="39" s="1"/>
  <c r="AH126" i="39" s="1"/>
  <c r="AV412" i="42"/>
  <c r="AV406" i="42" s="1"/>
  <c r="AV404" i="42"/>
  <c r="AU125" i="42"/>
  <c r="AV406" i="39"/>
  <c r="AV481" i="39"/>
  <c r="AV405" i="39"/>
  <c r="AP488" i="39"/>
  <c r="AQ232" i="39"/>
  <c r="AB179" i="42" l="1"/>
  <c r="AB253" i="42"/>
  <c r="AB239" i="42"/>
  <c r="AB242" i="42" s="1"/>
  <c r="AB251" i="42"/>
  <c r="AB296" i="42"/>
  <c r="AB297" i="42" s="1"/>
  <c r="AB304" i="42"/>
  <c r="AB305" i="42" s="1"/>
  <c r="AB308" i="42"/>
  <c r="AB309" i="42" s="1"/>
  <c r="AB250" i="42"/>
  <c r="AB279" i="42"/>
  <c r="AB280" i="42" s="1"/>
  <c r="AB300" i="42"/>
  <c r="AB301" i="42" s="1"/>
  <c r="AB275" i="42"/>
  <c r="AB270" i="42"/>
  <c r="AB271" i="42" s="1"/>
  <c r="AB272" i="42" s="1"/>
  <c r="AB252" i="42"/>
  <c r="AB291" i="42"/>
  <c r="AB292" i="42" s="1"/>
  <c r="AB293" i="42" s="1"/>
  <c r="AB317" i="42" s="1"/>
  <c r="AV100" i="39"/>
  <c r="AH44" i="39"/>
  <c r="AH49" i="39"/>
  <c r="AA96" i="42"/>
  <c r="AA97" i="42" s="1"/>
  <c r="AV114" i="42"/>
  <c r="AV100" i="42"/>
  <c r="AB180" i="42"/>
  <c r="AB183" i="42" s="1"/>
  <c r="AV481" i="42"/>
  <c r="AV405" i="42"/>
  <c r="AV66" i="39"/>
  <c r="AW411" i="39"/>
  <c r="AV407" i="39"/>
  <c r="AV407" i="42"/>
  <c r="AA121" i="42"/>
  <c r="AA126" i="42" s="1"/>
  <c r="AV500" i="39"/>
  <c r="AV486" i="39"/>
  <c r="AH96" i="39"/>
  <c r="AH97" i="39" s="1"/>
  <c r="AA49" i="42"/>
  <c r="AA44" i="42"/>
  <c r="AQ253" i="39"/>
  <c r="AQ308" i="39"/>
  <c r="AQ251" i="39"/>
  <c r="AQ275" i="39"/>
  <c r="AQ252" i="39"/>
  <c r="AQ304" i="39"/>
  <c r="AQ256" i="39"/>
  <c r="AQ270" i="39"/>
  <c r="AQ250" i="39"/>
  <c r="AQ296" i="39"/>
  <c r="AQ291" i="39"/>
  <c r="AQ279" i="39"/>
  <c r="AQ300" i="39"/>
  <c r="AQ179" i="39"/>
  <c r="AB192" i="42" l="1"/>
  <c r="AB257" i="42"/>
  <c r="AB260" i="42" s="1"/>
  <c r="AB276" i="42"/>
  <c r="AB316" i="42" s="1"/>
  <c r="AB318" i="42" s="1"/>
  <c r="AA48" i="42"/>
  <c r="AA127" i="42" s="1"/>
  <c r="AH48" i="39"/>
  <c r="AH127" i="39" s="1"/>
  <c r="AB205" i="42"/>
  <c r="AH106" i="39"/>
  <c r="AH112" i="39"/>
  <c r="AW409" i="39"/>
  <c r="AW199" i="39"/>
  <c r="AV408" i="42"/>
  <c r="AV66" i="42"/>
  <c r="AW411" i="42"/>
  <c r="AA112" i="42"/>
  <c r="AA106" i="42"/>
  <c r="AW414" i="39"/>
  <c r="AV62" i="42"/>
  <c r="AV46" i="42"/>
  <c r="AV43" i="42"/>
  <c r="AV408" i="39"/>
  <c r="AV500" i="42"/>
  <c r="AV486" i="42"/>
  <c r="AV43" i="39"/>
  <c r="AV46" i="39"/>
  <c r="AV62" i="39"/>
  <c r="AB194" i="42"/>
  <c r="AB207" i="42"/>
  <c r="AQ292" i="39"/>
  <c r="AQ293" i="39" s="1"/>
  <c r="AQ317" i="39" s="1"/>
  <c r="AQ192" i="39"/>
  <c r="AQ271" i="39"/>
  <c r="AQ272" i="39" s="1"/>
  <c r="AQ276" i="39"/>
  <c r="AQ242" i="39"/>
  <c r="AQ180" i="39"/>
  <c r="AQ301" i="39"/>
  <c r="AQ297" i="39"/>
  <c r="AQ305" i="39"/>
  <c r="AQ309" i="39"/>
  <c r="AQ280" i="39"/>
  <c r="AQ257" i="39"/>
  <c r="AQ260" i="39" s="1"/>
  <c r="AB477" i="42" l="1"/>
  <c r="AB52" i="42"/>
  <c r="AV107" i="42"/>
  <c r="AV450" i="42" s="1"/>
  <c r="AV118" i="42"/>
  <c r="AV119" i="42" s="1"/>
  <c r="AA108" i="42"/>
  <c r="AA109" i="42" s="1"/>
  <c r="AA74" i="42"/>
  <c r="AV98" i="42"/>
  <c r="AV104" i="42" s="1"/>
  <c r="AV59" i="42"/>
  <c r="AW412" i="39"/>
  <c r="AW404" i="39"/>
  <c r="AB206" i="42"/>
  <c r="AB193" i="42"/>
  <c r="AV113" i="42"/>
  <c r="AV113" i="39"/>
  <c r="AB195" i="42"/>
  <c r="AB208" i="42"/>
  <c r="AW409" i="42"/>
  <c r="AW199" i="42"/>
  <c r="AW414" i="42"/>
  <c r="AB212" i="42"/>
  <c r="AH108" i="39"/>
  <c r="AH109" i="39" s="1"/>
  <c r="AH74" i="39"/>
  <c r="AV118" i="39"/>
  <c r="AV119" i="39" s="1"/>
  <c r="AV107" i="39"/>
  <c r="AV450" i="39" s="1"/>
  <c r="AV98" i="39"/>
  <c r="AV104" i="39" s="1"/>
  <c r="AV59" i="39"/>
  <c r="AW201" i="39"/>
  <c r="AW200" i="39"/>
  <c r="AW508" i="39"/>
  <c r="AW513" i="39" s="1"/>
  <c r="AQ183" i="39"/>
  <c r="AQ316" i="39"/>
  <c r="AQ207" i="39"/>
  <c r="AQ194" i="39"/>
  <c r="AQ205" i="39"/>
  <c r="AW202" i="39" l="1"/>
  <c r="AW114" i="39" s="1"/>
  <c r="AB478" i="42"/>
  <c r="AB515" i="42" s="1"/>
  <c r="AB520" i="42" s="1"/>
  <c r="AB51" i="42"/>
  <c r="AW508" i="42"/>
  <c r="AW513" i="42" s="1"/>
  <c r="AW200" i="42"/>
  <c r="AW201" i="42"/>
  <c r="AW412" i="42"/>
  <c r="AW406" i="42" s="1"/>
  <c r="AW407" i="42" s="1"/>
  <c r="AW404" i="42"/>
  <c r="AB196" i="42"/>
  <c r="AW405" i="39"/>
  <c r="AW66" i="39" s="1"/>
  <c r="AW481" i="39"/>
  <c r="AA60" i="42"/>
  <c r="AA61" i="42" s="1"/>
  <c r="AV125" i="42"/>
  <c r="AV125" i="39"/>
  <c r="AH60" i="39"/>
  <c r="AH61" i="39" s="1"/>
  <c r="AI214" i="39"/>
  <c r="AI213" i="39"/>
  <c r="AI215" i="39"/>
  <c r="AB209" i="42"/>
  <c r="AW406" i="39"/>
  <c r="AW407" i="39" s="1"/>
  <c r="AQ52" i="39"/>
  <c r="AQ193" i="39"/>
  <c r="AQ206" i="39"/>
  <c r="AQ477" i="39"/>
  <c r="AQ318" i="39"/>
  <c r="AW202" i="42" l="1"/>
  <c r="AW114" i="42" s="1"/>
  <c r="AW100" i="39"/>
  <c r="AB93" i="42"/>
  <c r="AB215" i="42" s="1"/>
  <c r="AW408" i="39"/>
  <c r="AW59" i="39" s="1"/>
  <c r="AW46" i="39"/>
  <c r="AW43" i="39"/>
  <c r="AW62" i="39"/>
  <c r="AH63" i="39"/>
  <c r="AH7" i="39" s="1"/>
  <c r="AH8" i="39" s="1"/>
  <c r="AH65" i="39"/>
  <c r="AA63" i="42"/>
  <c r="AA7" i="42" s="1"/>
  <c r="AA8" i="42" s="1"/>
  <c r="AA65" i="42"/>
  <c r="AB53" i="42"/>
  <c r="AB54" i="42"/>
  <c r="AB56" i="42"/>
  <c r="AW486" i="39"/>
  <c r="AW500" i="39"/>
  <c r="AW481" i="42"/>
  <c r="AW405" i="42"/>
  <c r="AB480" i="42"/>
  <c r="AB499" i="42"/>
  <c r="AI216" i="39"/>
  <c r="AW62" i="42"/>
  <c r="AW43" i="42"/>
  <c r="AW46" i="42"/>
  <c r="AW113" i="42" s="1"/>
  <c r="AQ212" i="39"/>
  <c r="AQ208" i="39"/>
  <c r="AQ195" i="39"/>
  <c r="AB213" i="42" l="1"/>
  <c r="AW100" i="42"/>
  <c r="AB214" i="42"/>
  <c r="AW107" i="42"/>
  <c r="AW450" i="42" s="1"/>
  <c r="AW125" i="42" s="1"/>
  <c r="AW118" i="42"/>
  <c r="AW119" i="42" s="1"/>
  <c r="AW408" i="42"/>
  <c r="AW66" i="42"/>
  <c r="AW98" i="39"/>
  <c r="AW104" i="39" s="1"/>
  <c r="AW113" i="39"/>
  <c r="AB502" i="42"/>
  <c r="AB75" i="42" s="1"/>
  <c r="AB506" i="42"/>
  <c r="AB521" i="42" s="1"/>
  <c r="AW500" i="42"/>
  <c r="AW486" i="42"/>
  <c r="AB491" i="42"/>
  <c r="AB487" i="42"/>
  <c r="AI42" i="39"/>
  <c r="AI94" i="39"/>
  <c r="AW118" i="39"/>
  <c r="AW119" i="39" s="1"/>
  <c r="AW107" i="39"/>
  <c r="AW450" i="39" s="1"/>
  <c r="AW125" i="39" s="1"/>
  <c r="AQ478" i="39"/>
  <c r="AQ51" i="39"/>
  <c r="AQ209" i="39"/>
  <c r="AQ196" i="39"/>
  <c r="AB216" i="42" l="1"/>
  <c r="AB94" i="42" s="1"/>
  <c r="AI96" i="39"/>
  <c r="AI97" i="39" s="1"/>
  <c r="AB496" i="42"/>
  <c r="AB55" i="42"/>
  <c r="AB77" i="42"/>
  <c r="AB79" i="42" s="1"/>
  <c r="AB82" i="42" s="1"/>
  <c r="AB67" i="42"/>
  <c r="AB69" i="42" s="1"/>
  <c r="AB71" i="42" s="1"/>
  <c r="AW98" i="42"/>
  <c r="AW104" i="42" s="1"/>
  <c r="AW59" i="42"/>
  <c r="AI121" i="39"/>
  <c r="AI126" i="39" s="1"/>
  <c r="AB503" i="42"/>
  <c r="AI44" i="39"/>
  <c r="AI49" i="39"/>
  <c r="AQ515" i="39"/>
  <c r="AQ520" i="39" s="1"/>
  <c r="AQ480" i="39"/>
  <c r="AQ499" i="39"/>
  <c r="AQ53" i="39"/>
  <c r="AQ56" i="39"/>
  <c r="AQ54" i="39"/>
  <c r="AQ93" i="39"/>
  <c r="AI48" i="39" l="1"/>
  <c r="AI127" i="39" s="1"/>
  <c r="AC232" i="42"/>
  <c r="AC251" i="42" s="1"/>
  <c r="AB42" i="42"/>
  <c r="AB44" i="42" s="1"/>
  <c r="AB48" i="42" s="1"/>
  <c r="AB96" i="42"/>
  <c r="AB97" i="42" s="1"/>
  <c r="AB121" i="42"/>
  <c r="AB126" i="42" s="1"/>
  <c r="AB488" i="42"/>
  <c r="AI106" i="39"/>
  <c r="AI112" i="39"/>
  <c r="AQ502" i="39"/>
  <c r="AQ75" i="39" s="1"/>
  <c r="AQ506" i="39"/>
  <c r="AQ521" i="39" s="1"/>
  <c r="AQ491" i="39"/>
  <c r="AQ487" i="39"/>
  <c r="AC300" i="42" l="1"/>
  <c r="AC301" i="42" s="1"/>
  <c r="AC253" i="42"/>
  <c r="AC179" i="42"/>
  <c r="AC180" i="42" s="1"/>
  <c r="AC183" i="42" s="1"/>
  <c r="AC275" i="42"/>
  <c r="AC276" i="42" s="1"/>
  <c r="AC252" i="42"/>
  <c r="AC291" i="42"/>
  <c r="AC292" i="42" s="1"/>
  <c r="AC293" i="42" s="1"/>
  <c r="AC317" i="42" s="1"/>
  <c r="AC250" i="42"/>
  <c r="AC279" i="42"/>
  <c r="AC280" i="42" s="1"/>
  <c r="AC256" i="42"/>
  <c r="AC304" i="42"/>
  <c r="AC305" i="42" s="1"/>
  <c r="AC239" i="42"/>
  <c r="AC242" i="42" s="1"/>
  <c r="AC296" i="42"/>
  <c r="AC297" i="42" s="1"/>
  <c r="AC270" i="42"/>
  <c r="AC271" i="42" s="1"/>
  <c r="AC272" i="42" s="1"/>
  <c r="AC308" i="42"/>
  <c r="AC309" i="42" s="1"/>
  <c r="AB49" i="42"/>
  <c r="AI108" i="39"/>
  <c r="AI109" i="39" s="1"/>
  <c r="AI74" i="39"/>
  <c r="AB106" i="42"/>
  <c r="AB112" i="42"/>
  <c r="AB127" i="42"/>
  <c r="AQ503" i="39"/>
  <c r="AQ55" i="39"/>
  <c r="AQ496" i="39"/>
  <c r="AQ67" i="39"/>
  <c r="AQ69" i="39" s="1"/>
  <c r="AQ71" i="39" s="1"/>
  <c r="AQ77" i="39"/>
  <c r="AQ79" i="39" s="1"/>
  <c r="AQ82" i="39" s="1"/>
  <c r="AC257" i="42" l="1"/>
  <c r="AC260" i="42" s="1"/>
  <c r="AC192" i="42"/>
  <c r="AB108" i="42"/>
  <c r="AB109" i="42" s="1"/>
  <c r="AB74" i="42"/>
  <c r="AC194" i="42"/>
  <c r="AC207" i="42"/>
  <c r="AC316" i="42"/>
  <c r="AI60" i="39"/>
  <c r="AI61" i="39" s="1"/>
  <c r="AJ215" i="39"/>
  <c r="AJ214" i="39"/>
  <c r="AJ213" i="39"/>
  <c r="AC205" i="42"/>
  <c r="AQ488" i="39"/>
  <c r="AR232" i="39"/>
  <c r="AC193" i="42" l="1"/>
  <c r="AC206" i="42"/>
  <c r="AC477" i="42"/>
  <c r="AI63" i="39"/>
  <c r="AI7" i="39" s="1"/>
  <c r="AI8" i="39" s="1"/>
  <c r="AI65" i="39"/>
  <c r="AC318" i="42"/>
  <c r="AB60" i="42"/>
  <c r="AB61" i="42" s="1"/>
  <c r="AJ216" i="39"/>
  <c r="AC52" i="42"/>
  <c r="AR256" i="39"/>
  <c r="AR250" i="39"/>
  <c r="AR253" i="39"/>
  <c r="AR275" i="39"/>
  <c r="AR251" i="39"/>
  <c r="AR296" i="39"/>
  <c r="AR308" i="39"/>
  <c r="AR252" i="39"/>
  <c r="AR270" i="39"/>
  <c r="AR179" i="39"/>
  <c r="AR279" i="39"/>
  <c r="AR291" i="39"/>
  <c r="AR300" i="39"/>
  <c r="AR304" i="39"/>
  <c r="AB63" i="42" l="1"/>
  <c r="AB7" i="42" s="1"/>
  <c r="AB8" i="42" s="1"/>
  <c r="AB65" i="42"/>
  <c r="AC195" i="42"/>
  <c r="AC196" i="42" s="1"/>
  <c r="AC208" i="42"/>
  <c r="AC212" i="42"/>
  <c r="AJ42" i="39"/>
  <c r="AJ94" i="39"/>
  <c r="AR305" i="39"/>
  <c r="AR309" i="39"/>
  <c r="AR301" i="39"/>
  <c r="AR180" i="39"/>
  <c r="AR297" i="39"/>
  <c r="AR257" i="39"/>
  <c r="AR260" i="39" s="1"/>
  <c r="AR280" i="39"/>
  <c r="AR271" i="39"/>
  <c r="AR272" i="39" s="1"/>
  <c r="AR242" i="39"/>
  <c r="AR292" i="39"/>
  <c r="AR293" i="39" s="1"/>
  <c r="AR317" i="39" s="1"/>
  <c r="AR192" i="39"/>
  <c r="AR276" i="39"/>
  <c r="AR205" i="39" l="1"/>
  <c r="AR477" i="39" s="1"/>
  <c r="AJ121" i="39"/>
  <c r="AJ126" i="39" s="1"/>
  <c r="AJ96" i="39"/>
  <c r="AJ97" i="39" s="1"/>
  <c r="AJ49" i="39"/>
  <c r="AJ44" i="39"/>
  <c r="AC209" i="42"/>
  <c r="AC93" i="42" s="1"/>
  <c r="AC478" i="42"/>
  <c r="AC51" i="42"/>
  <c r="AR183" i="39"/>
  <c r="AR316" i="39"/>
  <c r="AR318" i="39" s="1"/>
  <c r="AR194" i="39"/>
  <c r="AR207" i="39"/>
  <c r="AJ48" i="39" l="1"/>
  <c r="AJ127" i="39" s="1"/>
  <c r="AR52" i="39"/>
  <c r="AC480" i="42"/>
  <c r="AC499" i="42"/>
  <c r="AJ106" i="39"/>
  <c r="AJ112" i="39"/>
  <c r="AC515" i="42"/>
  <c r="AC520" i="42" s="1"/>
  <c r="AC54" i="42"/>
  <c r="AC56" i="42"/>
  <c r="AC53" i="42"/>
  <c r="AC214" i="42"/>
  <c r="AC213" i="42"/>
  <c r="AC215" i="42"/>
  <c r="AR195" i="39"/>
  <c r="AR208" i="39"/>
  <c r="AR193" i="39"/>
  <c r="AR206" i="39"/>
  <c r="AR212" i="39"/>
  <c r="AJ108" i="39" l="1"/>
  <c r="AJ109" i="39" s="1"/>
  <c r="AJ74" i="39"/>
  <c r="AC216" i="42"/>
  <c r="AC502" i="42"/>
  <c r="AC75" i="42" s="1"/>
  <c r="AC506" i="42"/>
  <c r="AC521" i="42" s="1"/>
  <c r="AC491" i="42"/>
  <c r="AC487" i="42"/>
  <c r="AR209" i="39"/>
  <c r="AR478" i="39"/>
  <c r="AR51" i="39"/>
  <c r="AR196" i="39"/>
  <c r="AC503" i="42" l="1"/>
  <c r="AJ60" i="39"/>
  <c r="AJ61" i="39" s="1"/>
  <c r="AK215" i="39"/>
  <c r="AK213" i="39"/>
  <c r="AK214" i="39"/>
  <c r="AC55" i="42"/>
  <c r="AC496" i="42"/>
  <c r="AC67" i="42"/>
  <c r="AC69" i="42" s="1"/>
  <c r="AC71" i="42" s="1"/>
  <c r="AC77" i="42"/>
  <c r="AC79" i="42" s="1"/>
  <c r="AC82" i="42" s="1"/>
  <c r="AC94" i="42"/>
  <c r="AC121" i="42" s="1"/>
  <c r="AC126" i="42" s="1"/>
  <c r="AC42" i="42"/>
  <c r="AR56" i="39"/>
  <c r="AR53" i="39"/>
  <c r="AR54" i="39"/>
  <c r="AR93" i="39"/>
  <c r="AR515" i="39"/>
  <c r="AR520" i="39" s="1"/>
  <c r="AR480" i="39"/>
  <c r="AR499" i="39"/>
  <c r="AD232" i="42" l="1"/>
  <c r="AD251" i="42" s="1"/>
  <c r="AC488" i="42"/>
  <c r="AK216" i="39"/>
  <c r="AC44" i="42"/>
  <c r="AC48" i="42" s="1"/>
  <c r="AC49" i="42"/>
  <c r="AC96" i="42"/>
  <c r="AC97" i="42" s="1"/>
  <c r="AJ63" i="39"/>
  <c r="AJ7" i="39" s="1"/>
  <c r="AJ8" i="39" s="1"/>
  <c r="AJ65" i="39"/>
  <c r="AR502" i="39"/>
  <c r="AR75" i="39" s="1"/>
  <c r="AR506" i="39"/>
  <c r="AR521" i="39" s="1"/>
  <c r="AR491" i="39"/>
  <c r="AR487" i="39"/>
  <c r="AD308" i="42" l="1"/>
  <c r="AD309" i="42" s="1"/>
  <c r="AD291" i="42"/>
  <c r="AD292" i="42" s="1"/>
  <c r="AD293" i="42" s="1"/>
  <c r="AD317" i="42" s="1"/>
  <c r="AD239" i="42"/>
  <c r="AD242" i="42" s="1"/>
  <c r="AD270" i="42"/>
  <c r="AD271" i="42" s="1"/>
  <c r="AD272" i="42" s="1"/>
  <c r="AD300" i="42"/>
  <c r="AD301" i="42" s="1"/>
  <c r="AD250" i="42"/>
  <c r="AD179" i="42"/>
  <c r="AD180" i="42" s="1"/>
  <c r="AD183" i="42" s="1"/>
  <c r="AD304" i="42"/>
  <c r="AD305" i="42" s="1"/>
  <c r="AD296" i="42"/>
  <c r="AD297" i="42" s="1"/>
  <c r="AD252" i="42"/>
  <c r="AD253" i="42"/>
  <c r="AD279" i="42"/>
  <c r="AD280" i="42" s="1"/>
  <c r="AD275" i="42"/>
  <c r="AD276" i="42" s="1"/>
  <c r="AD256" i="42"/>
  <c r="AC106" i="42"/>
  <c r="AC112" i="42"/>
  <c r="AC127" i="42"/>
  <c r="AK42" i="39"/>
  <c r="AK94" i="39"/>
  <c r="AR503" i="39"/>
  <c r="AR55" i="39"/>
  <c r="AR496" i="39"/>
  <c r="AR67" i="39"/>
  <c r="AR69" i="39" s="1"/>
  <c r="AR71" i="39" s="1"/>
  <c r="AR77" i="39"/>
  <c r="AR79" i="39" s="1"/>
  <c r="AR82" i="39" s="1"/>
  <c r="AR488" i="39" s="1"/>
  <c r="AD257" i="42" l="1"/>
  <c r="AD260" i="42" s="1"/>
  <c r="AD192" i="42"/>
  <c r="AK121" i="39"/>
  <c r="AK126" i="39" s="1"/>
  <c r="AK96" i="39"/>
  <c r="AK97" i="39" s="1"/>
  <c r="AD194" i="42"/>
  <c r="AD207" i="42"/>
  <c r="AD316" i="42"/>
  <c r="AK44" i="39"/>
  <c r="AK49" i="39"/>
  <c r="AC108" i="42"/>
  <c r="AC109" i="42" s="1"/>
  <c r="AC74" i="42"/>
  <c r="AS232" i="39"/>
  <c r="AD205" i="42" l="1"/>
  <c r="AD477" i="42" s="1"/>
  <c r="AK48" i="39"/>
  <c r="AK127" i="39" s="1"/>
  <c r="AC60" i="42"/>
  <c r="AC61" i="42" s="1"/>
  <c r="AD206" i="42"/>
  <c r="AD193" i="42"/>
  <c r="AD318" i="42"/>
  <c r="AK106" i="39"/>
  <c r="AK112" i="39"/>
  <c r="AS253" i="39"/>
  <c r="AS308" i="39"/>
  <c r="AS250" i="39"/>
  <c r="AS279" i="39"/>
  <c r="AS256" i="39"/>
  <c r="AS270" i="39"/>
  <c r="AS275" i="39"/>
  <c r="AS304" i="39"/>
  <c r="AS300" i="39"/>
  <c r="AS296" i="39"/>
  <c r="AS179" i="39"/>
  <c r="AS251" i="39"/>
  <c r="AS291" i="39"/>
  <c r="AS252" i="39"/>
  <c r="AD52" i="42" l="1"/>
  <c r="AK108" i="39"/>
  <c r="AK109" i="39" s="1"/>
  <c r="AK74" i="39"/>
  <c r="AD195" i="42"/>
  <c r="AD208" i="42"/>
  <c r="AD209" i="42" s="1"/>
  <c r="AC63" i="42"/>
  <c r="AC7" i="42" s="1"/>
  <c r="AC8" i="42" s="1"/>
  <c r="AC65" i="42"/>
  <c r="AD212" i="42"/>
  <c r="AS305" i="39"/>
  <c r="AS280" i="39"/>
  <c r="AS180" i="39"/>
  <c r="AS242" i="39"/>
  <c r="AS276" i="39"/>
  <c r="AS257" i="39"/>
  <c r="AS260" i="39" s="1"/>
  <c r="AS292" i="39"/>
  <c r="AS293" i="39" s="1"/>
  <c r="AS317" i="39" s="1"/>
  <c r="AS192" i="39"/>
  <c r="AS297" i="39"/>
  <c r="AS271" i="39"/>
  <c r="AS272" i="39" s="1"/>
  <c r="AS309" i="39"/>
  <c r="AS301" i="39"/>
  <c r="AK60" i="39" l="1"/>
  <c r="AK61" i="39" s="1"/>
  <c r="AL214" i="39"/>
  <c r="AL215" i="39"/>
  <c r="AL213" i="39"/>
  <c r="AD196" i="42"/>
  <c r="AD478" i="42"/>
  <c r="AD51" i="42"/>
  <c r="AS183" i="39"/>
  <c r="AS205" i="39"/>
  <c r="AS52" i="39" s="1"/>
  <c r="AS194" i="39"/>
  <c r="AS207" i="39"/>
  <c r="AS316" i="39"/>
  <c r="AS318" i="39" s="1"/>
  <c r="AD499" i="42" l="1"/>
  <c r="AD480" i="42"/>
  <c r="AD56" i="42"/>
  <c r="AD53" i="42"/>
  <c r="AD54" i="42"/>
  <c r="AK63" i="39"/>
  <c r="AK7" i="39" s="1"/>
  <c r="AK8" i="39" s="1"/>
  <c r="AK65" i="39"/>
  <c r="AD515" i="42"/>
  <c r="AD520" i="42" s="1"/>
  <c r="AL216" i="39"/>
  <c r="AD93" i="42"/>
  <c r="AS477" i="39"/>
  <c r="AS212" i="39" s="1"/>
  <c r="AS195" i="39"/>
  <c r="AS208" i="39"/>
  <c r="AS206" i="39"/>
  <c r="AS193" i="39"/>
  <c r="AD215" i="42" l="1"/>
  <c r="AD214" i="42"/>
  <c r="AD213" i="42"/>
  <c r="AD506" i="42"/>
  <c r="AD521" i="42" s="1"/>
  <c r="AD502" i="42"/>
  <c r="AD75" i="42" s="1"/>
  <c r="AL42" i="39"/>
  <c r="AL94" i="39"/>
  <c r="AL96" i="39" s="1"/>
  <c r="AL97" i="39" s="1"/>
  <c r="AD487" i="42"/>
  <c r="AD491" i="42"/>
  <c r="AS196" i="39"/>
  <c r="AS209" i="39"/>
  <c r="AS478" i="39"/>
  <c r="AS51" i="39"/>
  <c r="AD496" i="42" l="1"/>
  <c r="AD55" i="42"/>
  <c r="AL49" i="39"/>
  <c r="AL44" i="39"/>
  <c r="AD216" i="42"/>
  <c r="AL112" i="39"/>
  <c r="AL106" i="39"/>
  <c r="AL108" i="39" s="1"/>
  <c r="AL109" i="39" s="1"/>
  <c r="AD77" i="42"/>
  <c r="AD79" i="42" s="1"/>
  <c r="AD82" i="42" s="1"/>
  <c r="AD67" i="42"/>
  <c r="AD69" i="42" s="1"/>
  <c r="AD71" i="42" s="1"/>
  <c r="AD503" i="42"/>
  <c r="AL121" i="39"/>
  <c r="AL126" i="39" s="1"/>
  <c r="AS93" i="39"/>
  <c r="AS53" i="39"/>
  <c r="AS56" i="39"/>
  <c r="AS54" i="39"/>
  <c r="AS515" i="39"/>
  <c r="AS520" i="39" s="1"/>
  <c r="AS480" i="39"/>
  <c r="AS499" i="39"/>
  <c r="AL48" i="39" l="1"/>
  <c r="AL127" i="39" s="1"/>
  <c r="AE232" i="42"/>
  <c r="AE252" i="42" s="1"/>
  <c r="AL74" i="39"/>
  <c r="AM214" i="39" s="1"/>
  <c r="AD94" i="42"/>
  <c r="AD42" i="42"/>
  <c r="AD488" i="42"/>
  <c r="AS506" i="39"/>
  <c r="AS521" i="39" s="1"/>
  <c r="AS502" i="39"/>
  <c r="AS75" i="39" s="1"/>
  <c r="AS491" i="39"/>
  <c r="AS487" i="39"/>
  <c r="AE308" i="42" l="1"/>
  <c r="AE309" i="42" s="1"/>
  <c r="AE275" i="42"/>
  <c r="AE276" i="42" s="1"/>
  <c r="AE300" i="42"/>
  <c r="AE301" i="42" s="1"/>
  <c r="AE251" i="42"/>
  <c r="AE270" i="42"/>
  <c r="AE271" i="42" s="1"/>
  <c r="AE272" i="42" s="1"/>
  <c r="AE256" i="42"/>
  <c r="AE250" i="42"/>
  <c r="AE253" i="42"/>
  <c r="AE279" i="42"/>
  <c r="AE280" i="42" s="1"/>
  <c r="AE179" i="42"/>
  <c r="AE291" i="42"/>
  <c r="AE292" i="42" s="1"/>
  <c r="AE293" i="42" s="1"/>
  <c r="AE317" i="42" s="1"/>
  <c r="AE296" i="42"/>
  <c r="AE297" i="42" s="1"/>
  <c r="AE239" i="42"/>
  <c r="AE242" i="42" s="1"/>
  <c r="AE304" i="42"/>
  <c r="AE305" i="42" s="1"/>
  <c r="AM213" i="39"/>
  <c r="AM215" i="39"/>
  <c r="AL60" i="39"/>
  <c r="AL61" i="39" s="1"/>
  <c r="AD44" i="42"/>
  <c r="AD49" i="42"/>
  <c r="AD96" i="42"/>
  <c r="AD97" i="42" s="1"/>
  <c r="AD121" i="42"/>
  <c r="AD126" i="42" s="1"/>
  <c r="AS503" i="39"/>
  <c r="AS77" i="39"/>
  <c r="AS79" i="39" s="1"/>
  <c r="AS82" i="39" s="1"/>
  <c r="AS67" i="39"/>
  <c r="AS69" i="39" s="1"/>
  <c r="AS71" i="39" s="1"/>
  <c r="AS496" i="39"/>
  <c r="AS55" i="39"/>
  <c r="AL63" i="39" l="1"/>
  <c r="AL7" i="39"/>
  <c r="AL8" i="39" s="1"/>
  <c r="AE192" i="42"/>
  <c r="AE180" i="42"/>
  <c r="AE183" i="42" s="1"/>
  <c r="AE257" i="42"/>
  <c r="AE260" i="42" s="1"/>
  <c r="AD48" i="42"/>
  <c r="AD127" i="42" s="1"/>
  <c r="AM216" i="39"/>
  <c r="AM42" i="39" s="1"/>
  <c r="AL65" i="39"/>
  <c r="AE205" i="42"/>
  <c r="AD106" i="42"/>
  <c r="AD112" i="42"/>
  <c r="AE316" i="42"/>
  <c r="AE194" i="42"/>
  <c r="AE207" i="42"/>
  <c r="AS488" i="39"/>
  <c r="AT232" i="39"/>
  <c r="AE477" i="42" l="1"/>
  <c r="AE212" i="42" s="1"/>
  <c r="AM94" i="39"/>
  <c r="AM121" i="39" s="1"/>
  <c r="AM126" i="39" s="1"/>
  <c r="AE52" i="42"/>
  <c r="AD108" i="42"/>
  <c r="AD109" i="42" s="1"/>
  <c r="AD74" i="42"/>
  <c r="AE193" i="42"/>
  <c r="AE206" i="42"/>
  <c r="AM49" i="39"/>
  <c r="AM44" i="39"/>
  <c r="AE318" i="42"/>
  <c r="AT251" i="39"/>
  <c r="AT250" i="39"/>
  <c r="AT270" i="39"/>
  <c r="AT304" i="39"/>
  <c r="AT179" i="39"/>
  <c r="AT252" i="39"/>
  <c r="AT275" i="39"/>
  <c r="AT291" i="39"/>
  <c r="AT256" i="39"/>
  <c r="AT253" i="39"/>
  <c r="AT279" i="39"/>
  <c r="AT296" i="39"/>
  <c r="AT308" i="39"/>
  <c r="AT300" i="39"/>
  <c r="AM48" i="39" l="1"/>
  <c r="AM96" i="39"/>
  <c r="AM97" i="39" s="1"/>
  <c r="AE478" i="42"/>
  <c r="AE51" i="42"/>
  <c r="AD60" i="42"/>
  <c r="AD61" i="42" s="1"/>
  <c r="AE208" i="42"/>
  <c r="AE195" i="42"/>
  <c r="AT301" i="39"/>
  <c r="AT280" i="39"/>
  <c r="AT276" i="39"/>
  <c r="AT271" i="39"/>
  <c r="AT272" i="39" s="1"/>
  <c r="AT257" i="39"/>
  <c r="AT260" i="39" s="1"/>
  <c r="AT309" i="39"/>
  <c r="AT180" i="39"/>
  <c r="AT242" i="39"/>
  <c r="AT297" i="39"/>
  <c r="AT292" i="39"/>
  <c r="AT293" i="39" s="1"/>
  <c r="AT317" i="39" s="1"/>
  <c r="AT192" i="39"/>
  <c r="AT305" i="39"/>
  <c r="AM127" i="39" l="1"/>
  <c r="AM106" i="39"/>
  <c r="AM108" i="39" s="1"/>
  <c r="AM109" i="39" s="1"/>
  <c r="AM112" i="39"/>
  <c r="AE53" i="42"/>
  <c r="AE54" i="42"/>
  <c r="AE56" i="42"/>
  <c r="AE196" i="42"/>
  <c r="AD63" i="42"/>
  <c r="AD7" i="42" s="1"/>
  <c r="AD8" i="42" s="1"/>
  <c r="AD65" i="42"/>
  <c r="AE499" i="42"/>
  <c r="AE480" i="42"/>
  <c r="AE209" i="42"/>
  <c r="AE515" i="42"/>
  <c r="AE520" i="42" s="1"/>
  <c r="AT183" i="39"/>
  <c r="AT205" i="39"/>
  <c r="AT52" i="39" s="1"/>
  <c r="AT316" i="39"/>
  <c r="AT194" i="39"/>
  <c r="AT207" i="39"/>
  <c r="AM74" i="39" l="1"/>
  <c r="AN214" i="39" s="1"/>
  <c r="AE93" i="42"/>
  <c r="AE213" i="42" s="1"/>
  <c r="AE487" i="42"/>
  <c r="AE491" i="42"/>
  <c r="AE506" i="42"/>
  <c r="AE521" i="42" s="1"/>
  <c r="AE502" i="42"/>
  <c r="AE75" i="42" s="1"/>
  <c r="AT477" i="39"/>
  <c r="AT212" i="39" s="1"/>
  <c r="AT193" i="39"/>
  <c r="AT206" i="39"/>
  <c r="AT318" i="39"/>
  <c r="AM60" i="39" l="1"/>
  <c r="AM61" i="39" s="1"/>
  <c r="AM65" i="39" s="1"/>
  <c r="AN215" i="39"/>
  <c r="AN213" i="39"/>
  <c r="AE215" i="42"/>
  <c r="AE214" i="42"/>
  <c r="AE503" i="42"/>
  <c r="AE67" i="42"/>
  <c r="AE69" i="42" s="1"/>
  <c r="AE71" i="42" s="1"/>
  <c r="AE77" i="42"/>
  <c r="AE79" i="42" s="1"/>
  <c r="AE82" i="42" s="1"/>
  <c r="AE55" i="42"/>
  <c r="AE496" i="42"/>
  <c r="AT208" i="39"/>
  <c r="AT195" i="39"/>
  <c r="AT478" i="39"/>
  <c r="AT51" i="39"/>
  <c r="AM63" i="39" l="1"/>
  <c r="AM7" i="39" s="1"/>
  <c r="AM8" i="39" s="1"/>
  <c r="AF232" i="42"/>
  <c r="AF304" i="42" s="1"/>
  <c r="AN216" i="39"/>
  <c r="AN94" i="39" s="1"/>
  <c r="AE216" i="42"/>
  <c r="AE94" i="42" s="1"/>
  <c r="AE121" i="42" s="1"/>
  <c r="AE126" i="42" s="1"/>
  <c r="AE488" i="42"/>
  <c r="AT54" i="39"/>
  <c r="AT53" i="39"/>
  <c r="AT56" i="39"/>
  <c r="AT209" i="39"/>
  <c r="AT515" i="39"/>
  <c r="AT520" i="39" s="1"/>
  <c r="AT480" i="39"/>
  <c r="AT499" i="39"/>
  <c r="AT196" i="39"/>
  <c r="AF300" i="42" l="1"/>
  <c r="AF301" i="42" s="1"/>
  <c r="AF179" i="42"/>
  <c r="AF180" i="42" s="1"/>
  <c r="AF183" i="42" s="1"/>
  <c r="AF250" i="42"/>
  <c r="AF239" i="42"/>
  <c r="AF242" i="42" s="1"/>
  <c r="AF256" i="42"/>
  <c r="AF252" i="42"/>
  <c r="AF296" i="42"/>
  <c r="AF297" i="42" s="1"/>
  <c r="AF308" i="42"/>
  <c r="AF309" i="42" s="1"/>
  <c r="AF253" i="42"/>
  <c r="AF275" i="42"/>
  <c r="AF276" i="42" s="1"/>
  <c r="AF251" i="42"/>
  <c r="AF270" i="42"/>
  <c r="AF271" i="42" s="1"/>
  <c r="AF272" i="42" s="1"/>
  <c r="AF291" i="42"/>
  <c r="AF292" i="42" s="1"/>
  <c r="AF293" i="42" s="1"/>
  <c r="AF317" i="42" s="1"/>
  <c r="AF279" i="42"/>
  <c r="AF280" i="42" s="1"/>
  <c r="AN42" i="39"/>
  <c r="AN49" i="39" s="1"/>
  <c r="AE42" i="42"/>
  <c r="AE49" i="42" s="1"/>
  <c r="AN121" i="39"/>
  <c r="AN126" i="39" s="1"/>
  <c r="AN96" i="39"/>
  <c r="AN97" i="39" s="1"/>
  <c r="AF305" i="42"/>
  <c r="AE96" i="42"/>
  <c r="AE97" i="42" s="1"/>
  <c r="AT506" i="39"/>
  <c r="AT521" i="39" s="1"/>
  <c r="AT502" i="39"/>
  <c r="AT75" i="39" s="1"/>
  <c r="AT93" i="39"/>
  <c r="AT491" i="39"/>
  <c r="AT487" i="39"/>
  <c r="AF192" i="42" l="1"/>
  <c r="AF257" i="42"/>
  <c r="AF260" i="42" s="1"/>
  <c r="AN44" i="39"/>
  <c r="AN48" i="39" s="1"/>
  <c r="AN127" i="39" s="1"/>
  <c r="AE44" i="42"/>
  <c r="AN112" i="39"/>
  <c r="AN106" i="39"/>
  <c r="AF207" i="42"/>
  <c r="AF194" i="42"/>
  <c r="AE106" i="42"/>
  <c r="AE112" i="42"/>
  <c r="AF316" i="42"/>
  <c r="AT503" i="39"/>
  <c r="AT496" i="39"/>
  <c r="AT55" i="39"/>
  <c r="AT67" i="39"/>
  <c r="AT69" i="39" s="1"/>
  <c r="AT71" i="39" s="1"/>
  <c r="AT77" i="39"/>
  <c r="AT79" i="39" s="1"/>
  <c r="AT82" i="39" s="1"/>
  <c r="AF205" i="42" l="1"/>
  <c r="AF52" i="42" s="1"/>
  <c r="AE48" i="42"/>
  <c r="AE127" i="42" s="1"/>
  <c r="AN108" i="39"/>
  <c r="AN109" i="39" s="1"/>
  <c r="AN74" i="39"/>
  <c r="AF318" i="42"/>
  <c r="AF206" i="42"/>
  <c r="AF193" i="42"/>
  <c r="AE108" i="42"/>
  <c r="AE109" i="42" s="1"/>
  <c r="AE74" i="42"/>
  <c r="AT488" i="39"/>
  <c r="AU232" i="39"/>
  <c r="AF477" i="42" l="1"/>
  <c r="AF212" i="42" s="1"/>
  <c r="AF51" i="42" s="1"/>
  <c r="AE60" i="42"/>
  <c r="AE61" i="42" s="1"/>
  <c r="AF195" i="42"/>
  <c r="AF196" i="42" s="1"/>
  <c r="AF208" i="42"/>
  <c r="AF209" i="42" s="1"/>
  <c r="AN60" i="39"/>
  <c r="AN61" i="39" s="1"/>
  <c r="AO215" i="39"/>
  <c r="AO213" i="39"/>
  <c r="AO214" i="39"/>
  <c r="AU253" i="39"/>
  <c r="AU304" i="39"/>
  <c r="AU251" i="39"/>
  <c r="AU279" i="39"/>
  <c r="AU179" i="39"/>
  <c r="AU291" i="39"/>
  <c r="AU300" i="39"/>
  <c r="AU275" i="39"/>
  <c r="AU252" i="39"/>
  <c r="AU308" i="39"/>
  <c r="AU270" i="39"/>
  <c r="AU250" i="39"/>
  <c r="AU256" i="39"/>
  <c r="AU296" i="39"/>
  <c r="AF478" i="42" l="1"/>
  <c r="AF515" i="42" s="1"/>
  <c r="AF520" i="42" s="1"/>
  <c r="AF93" i="42"/>
  <c r="AF215" i="42" s="1"/>
  <c r="AO216" i="39"/>
  <c r="AF54" i="42"/>
  <c r="AF56" i="42"/>
  <c r="AF53" i="42"/>
  <c r="AN63" i="39"/>
  <c r="AN7" i="39" s="1"/>
  <c r="AN8" i="39" s="1"/>
  <c r="AN65" i="39"/>
  <c r="AF499" i="42"/>
  <c r="AE63" i="42"/>
  <c r="AE7" i="42" s="1"/>
  <c r="AE8" i="42" s="1"/>
  <c r="AE65" i="42"/>
  <c r="AU257" i="39"/>
  <c r="AU260" i="39" s="1"/>
  <c r="AU180" i="39"/>
  <c r="AU271" i="39"/>
  <c r="AU272" i="39" s="1"/>
  <c r="AU276" i="39"/>
  <c r="AU280" i="39"/>
  <c r="AU297" i="39"/>
  <c r="AU242" i="39"/>
  <c r="AU301" i="39"/>
  <c r="AU309" i="39"/>
  <c r="AU292" i="39"/>
  <c r="AU293" i="39" s="1"/>
  <c r="AU317" i="39" s="1"/>
  <c r="AU192" i="39"/>
  <c r="AU305" i="39"/>
  <c r="AF480" i="42" l="1"/>
  <c r="AF491" i="42" s="1"/>
  <c r="AF213" i="42"/>
  <c r="AF214" i="42"/>
  <c r="AF487" i="42"/>
  <c r="AF506" i="42"/>
  <c r="AF521" i="42" s="1"/>
  <c r="AF502" i="42"/>
  <c r="AF75" i="42" s="1"/>
  <c r="AO42" i="39"/>
  <c r="AO94" i="39"/>
  <c r="AU183" i="39"/>
  <c r="AU205" i="39"/>
  <c r="AU477" i="39" s="1"/>
  <c r="AU316" i="39"/>
  <c r="AU207" i="39"/>
  <c r="AU194" i="39"/>
  <c r="AF216" i="42" l="1"/>
  <c r="AF94" i="42" s="1"/>
  <c r="AF503" i="42"/>
  <c r="AO96" i="39"/>
  <c r="AO97" i="39" s="1"/>
  <c r="AF496" i="42"/>
  <c r="AF55" i="42"/>
  <c r="AO121" i="39"/>
  <c r="AO126" i="39" s="1"/>
  <c r="AO44" i="39"/>
  <c r="AO49" i="39"/>
  <c r="AF67" i="42"/>
  <c r="AF69" i="42" s="1"/>
  <c r="AF71" i="42" s="1"/>
  <c r="AF77" i="42"/>
  <c r="AF79" i="42" s="1"/>
  <c r="AF82" i="42" s="1"/>
  <c r="AU52" i="39"/>
  <c r="AU193" i="39"/>
  <c r="AU206" i="39"/>
  <c r="AU212" i="39"/>
  <c r="AU318" i="39"/>
  <c r="AO48" i="39" l="1"/>
  <c r="AO127" i="39" s="1"/>
  <c r="AG232" i="42"/>
  <c r="AG252" i="42" s="1"/>
  <c r="AF42" i="42"/>
  <c r="AF49" i="42" s="1"/>
  <c r="AF121" i="42"/>
  <c r="AF126" i="42" s="1"/>
  <c r="AF96" i="42"/>
  <c r="AF97" i="42" s="1"/>
  <c r="AF488" i="42"/>
  <c r="AO112" i="39"/>
  <c r="AO106" i="39"/>
  <c r="AU195" i="39"/>
  <c r="AU196" i="39" s="1"/>
  <c r="AU208" i="39"/>
  <c r="AU209" i="39" s="1"/>
  <c r="AU478" i="39"/>
  <c r="AU51" i="39"/>
  <c r="AG308" i="42" l="1"/>
  <c r="AG309" i="42" s="1"/>
  <c r="AG291" i="42"/>
  <c r="AG292" i="42" s="1"/>
  <c r="AG293" i="42" s="1"/>
  <c r="AG317" i="42" s="1"/>
  <c r="AG250" i="42"/>
  <c r="AG279" i="42"/>
  <c r="AG280" i="42" s="1"/>
  <c r="AG300" i="42"/>
  <c r="AG301" i="42" s="1"/>
  <c r="AF44" i="42"/>
  <c r="AF48" i="42" s="1"/>
  <c r="AF127" i="42" s="1"/>
  <c r="AG275" i="42"/>
  <c r="AG276" i="42" s="1"/>
  <c r="AG270" i="42"/>
  <c r="AG271" i="42" s="1"/>
  <c r="AG272" i="42" s="1"/>
  <c r="AG304" i="42"/>
  <c r="AG305" i="42" s="1"/>
  <c r="AG296" i="42"/>
  <c r="AG297" i="42" s="1"/>
  <c r="AG253" i="42"/>
  <c r="AG239" i="42"/>
  <c r="AG242" i="42" s="1"/>
  <c r="AG251" i="42"/>
  <c r="AG179" i="42"/>
  <c r="AG256" i="42"/>
  <c r="AF112" i="42"/>
  <c r="AF106" i="42"/>
  <c r="AO108" i="39"/>
  <c r="AO109" i="39" s="1"/>
  <c r="AO74" i="39"/>
  <c r="AU515" i="39"/>
  <c r="AU520" i="39" s="1"/>
  <c r="AU499" i="39"/>
  <c r="AU480" i="39"/>
  <c r="AU54" i="39"/>
  <c r="AU56" i="39"/>
  <c r="AU53" i="39"/>
  <c r="AU93" i="39"/>
  <c r="AG257" i="42" l="1"/>
  <c r="AG260" i="42" s="1"/>
  <c r="AG192" i="42"/>
  <c r="AG180" i="42"/>
  <c r="AG183" i="42" s="1"/>
  <c r="AG316" i="42"/>
  <c r="AF108" i="42"/>
  <c r="AF109" i="42" s="1"/>
  <c r="AF74" i="42"/>
  <c r="AG207" i="42"/>
  <c r="AG194" i="42"/>
  <c r="AO60" i="39"/>
  <c r="AO61" i="39" s="1"/>
  <c r="AP214" i="39"/>
  <c r="AP213" i="39"/>
  <c r="AP215" i="39"/>
  <c r="AU487" i="39"/>
  <c r="AU491" i="39"/>
  <c r="AU506" i="39"/>
  <c r="AU521" i="39" s="1"/>
  <c r="AU502" i="39"/>
  <c r="AU75" i="39" s="1"/>
  <c r="AG205" i="42" l="1"/>
  <c r="AG52" i="42" s="1"/>
  <c r="AP216" i="39"/>
  <c r="AF60" i="42"/>
  <c r="AF61" i="42" s="1"/>
  <c r="AO63" i="39"/>
  <c r="AO7" i="39" s="1"/>
  <c r="AO8" i="39" s="1"/>
  <c r="AO65" i="39"/>
  <c r="AG206" i="42"/>
  <c r="AG193" i="42"/>
  <c r="AG318" i="42"/>
  <c r="AU77" i="39"/>
  <c r="AU79" i="39" s="1"/>
  <c r="AU82" i="39" s="1"/>
  <c r="AU67" i="39"/>
  <c r="AU69" i="39" s="1"/>
  <c r="AU71" i="39" s="1"/>
  <c r="AU503" i="39"/>
  <c r="AU496" i="39"/>
  <c r="AU55" i="39"/>
  <c r="AG477" i="42" l="1"/>
  <c r="AG212" i="42" s="1"/>
  <c r="AG478" i="42" s="1"/>
  <c r="AG208" i="42"/>
  <c r="AG195" i="42"/>
  <c r="AF63" i="42"/>
  <c r="AF7" i="42" s="1"/>
  <c r="AF8" i="42" s="1"/>
  <c r="AF65" i="42"/>
  <c r="AP42" i="39"/>
  <c r="AP94" i="39"/>
  <c r="AU488" i="39"/>
  <c r="AV232" i="39"/>
  <c r="AG51" i="42" l="1"/>
  <c r="AG53" i="42" s="1"/>
  <c r="AG480" i="42"/>
  <c r="AG499" i="42"/>
  <c r="AP121" i="39"/>
  <c r="AP126" i="39" s="1"/>
  <c r="AP96" i="39"/>
  <c r="AP97" i="39" s="1"/>
  <c r="AG209" i="42"/>
  <c r="AG196" i="42"/>
  <c r="AP49" i="39"/>
  <c r="AP44" i="39"/>
  <c r="AG515" i="42"/>
  <c r="AG520" i="42" s="1"/>
  <c r="AV253" i="39"/>
  <c r="AV275" i="39"/>
  <c r="AV256" i="39"/>
  <c r="AV250" i="39"/>
  <c r="AV270" i="39"/>
  <c r="AV304" i="39"/>
  <c r="AV179" i="39"/>
  <c r="AW179" i="39" s="1"/>
  <c r="AV279" i="39"/>
  <c r="AV296" i="39"/>
  <c r="AV300" i="39"/>
  <c r="AV308" i="39"/>
  <c r="AV251" i="39"/>
  <c r="AV252" i="39"/>
  <c r="AV291" i="39"/>
  <c r="AG56" i="42" l="1"/>
  <c r="AG54" i="42"/>
  <c r="AP48" i="39"/>
  <c r="AG93" i="42"/>
  <c r="AG213" i="42" s="1"/>
  <c r="AG502" i="42"/>
  <c r="AG75" i="42" s="1"/>
  <c r="AG506" i="42"/>
  <c r="AG521" i="42" s="1"/>
  <c r="AP106" i="39"/>
  <c r="AP112" i="39"/>
  <c r="AG491" i="42"/>
  <c r="AG487" i="42"/>
  <c r="AP127" i="39"/>
  <c r="AV297" i="39"/>
  <c r="AV271" i="39"/>
  <c r="AV272" i="39" s="1"/>
  <c r="AV276" i="39"/>
  <c r="AV280" i="39"/>
  <c r="AV257" i="39"/>
  <c r="AV260" i="39" s="1"/>
  <c r="AV309" i="39"/>
  <c r="AV180" i="39"/>
  <c r="AV292" i="39"/>
  <c r="AV293" i="39" s="1"/>
  <c r="AV317" i="39" s="1"/>
  <c r="AV192" i="39"/>
  <c r="AV301" i="39"/>
  <c r="AV305" i="39"/>
  <c r="AV242" i="39"/>
  <c r="AG214" i="42" l="1"/>
  <c r="AG215" i="42"/>
  <c r="AG503" i="42"/>
  <c r="AG496" i="42"/>
  <c r="AG55" i="42"/>
  <c r="AP108" i="39"/>
  <c r="AP109" i="39" s="1"/>
  <c r="AP74" i="39"/>
  <c r="AG67" i="42"/>
  <c r="AG69" i="42" s="1"/>
  <c r="AG71" i="42" s="1"/>
  <c r="AG77" i="42"/>
  <c r="AG79" i="42" s="1"/>
  <c r="AG82" i="42" s="1"/>
  <c r="AV183" i="39"/>
  <c r="AV205" i="39"/>
  <c r="AV477" i="39" s="1"/>
  <c r="AV194" i="39"/>
  <c r="AV207" i="39"/>
  <c r="AV316" i="39"/>
  <c r="AH232" i="42" l="1"/>
  <c r="AH250" i="42" s="1"/>
  <c r="AG216" i="42"/>
  <c r="AG94" i="42" s="1"/>
  <c r="AG488" i="42"/>
  <c r="AP60" i="39"/>
  <c r="AP61" i="39" s="1"/>
  <c r="AQ215" i="39"/>
  <c r="AQ213" i="39"/>
  <c r="AQ214" i="39"/>
  <c r="AV52" i="39"/>
  <c r="AV193" i="39"/>
  <c r="AV206" i="39"/>
  <c r="AV318" i="39"/>
  <c r="AV212" i="39"/>
  <c r="AH308" i="42" l="1"/>
  <c r="AH309" i="42" s="1"/>
  <c r="AH291" i="42"/>
  <c r="AH292" i="42" s="1"/>
  <c r="AH293" i="42" s="1"/>
  <c r="AH317" i="42" s="1"/>
  <c r="AH253" i="42"/>
  <c r="AH304" i="42"/>
  <c r="AH305" i="42" s="1"/>
  <c r="AH252" i="42"/>
  <c r="AH296" i="42"/>
  <c r="AH297" i="42" s="1"/>
  <c r="AH239" i="42"/>
  <c r="AH242" i="42" s="1"/>
  <c r="AH179" i="42"/>
  <c r="AH180" i="42" s="1"/>
  <c r="AH183" i="42" s="1"/>
  <c r="AH270" i="42"/>
  <c r="AH271" i="42" s="1"/>
  <c r="AH272" i="42" s="1"/>
  <c r="AH279" i="42"/>
  <c r="AH280" i="42" s="1"/>
  <c r="AH251" i="42"/>
  <c r="AH300" i="42"/>
  <c r="AH301" i="42" s="1"/>
  <c r="AH256" i="42"/>
  <c r="AH275" i="42"/>
  <c r="AG42" i="42"/>
  <c r="AG44" i="42" s="1"/>
  <c r="AP63" i="39"/>
  <c r="AP7" i="39" s="1"/>
  <c r="AP8" i="39" s="1"/>
  <c r="AP65" i="39"/>
  <c r="AQ216" i="39"/>
  <c r="AG121" i="42"/>
  <c r="AG126" i="42" s="1"/>
  <c r="AG96" i="42"/>
  <c r="AG97" i="42" s="1"/>
  <c r="AV478" i="39"/>
  <c r="AV51" i="39"/>
  <c r="AV195" i="39"/>
  <c r="AV208" i="39"/>
  <c r="AV209" i="39" s="1"/>
  <c r="AH257" i="42" l="1"/>
  <c r="AH260" i="42" s="1"/>
  <c r="AH192" i="42"/>
  <c r="AH276" i="42"/>
  <c r="AH316" i="42" s="1"/>
  <c r="AG48" i="42"/>
  <c r="AG127" i="42" s="1"/>
  <c r="AG49" i="42"/>
  <c r="AH194" i="42"/>
  <c r="AH207" i="42"/>
  <c r="AG112" i="42"/>
  <c r="AG106" i="42"/>
  <c r="AQ42" i="39"/>
  <c r="AQ94" i="39"/>
  <c r="AQ121" i="39" s="1"/>
  <c r="AQ126" i="39" s="1"/>
  <c r="AV196" i="39"/>
  <c r="AV54" i="39"/>
  <c r="AV53" i="39"/>
  <c r="AV56" i="39"/>
  <c r="AV515" i="39"/>
  <c r="AV520" i="39" s="1"/>
  <c r="AV499" i="39"/>
  <c r="AV480" i="39"/>
  <c r="AH205" i="42" l="1"/>
  <c r="AH477" i="42" s="1"/>
  <c r="AH193" i="42"/>
  <c r="AH206" i="42"/>
  <c r="AH318" i="42"/>
  <c r="AQ49" i="39"/>
  <c r="AQ44" i="39"/>
  <c r="AQ96" i="39"/>
  <c r="AQ97" i="39" s="1"/>
  <c r="AG108" i="42"/>
  <c r="AG109" i="42" s="1"/>
  <c r="AG74" i="42"/>
  <c r="AV487" i="39"/>
  <c r="AV491" i="39"/>
  <c r="AV506" i="39"/>
  <c r="AV521" i="39" s="1"/>
  <c r="AV502" i="39"/>
  <c r="AV75" i="39" s="1"/>
  <c r="AV93" i="39"/>
  <c r="AH52" i="42" l="1"/>
  <c r="AQ48" i="39"/>
  <c r="AQ127" i="39" s="1"/>
  <c r="AG60" i="42"/>
  <c r="AG61" i="42" s="1"/>
  <c r="AQ112" i="39"/>
  <c r="AQ106" i="39"/>
  <c r="AH195" i="42"/>
  <c r="AH208" i="42"/>
  <c r="AH212" i="42"/>
  <c r="AV503" i="39"/>
  <c r="AV67" i="39"/>
  <c r="AV69" i="39" s="1"/>
  <c r="AV71" i="39" s="1"/>
  <c r="AV77" i="39"/>
  <c r="AV79" i="39" s="1"/>
  <c r="AV82" i="39" s="1"/>
  <c r="AV496" i="39"/>
  <c r="AV55" i="39"/>
  <c r="AH478" i="42" l="1"/>
  <c r="AH51" i="42"/>
  <c r="AQ108" i="39"/>
  <c r="AQ109" i="39" s="1"/>
  <c r="AQ74" i="39"/>
  <c r="AH209" i="42"/>
  <c r="AH196" i="42"/>
  <c r="AG63" i="42"/>
  <c r="AG7" i="42" s="1"/>
  <c r="AG8" i="42" s="1"/>
  <c r="AG65" i="42"/>
  <c r="AW232" i="39"/>
  <c r="AV488" i="39"/>
  <c r="AH93" i="42" l="1"/>
  <c r="AH215" i="42" s="1"/>
  <c r="AH480" i="42"/>
  <c r="AH499" i="42"/>
  <c r="AQ60" i="39"/>
  <c r="AQ61" i="39" s="1"/>
  <c r="AR215" i="39"/>
  <c r="AR213" i="39"/>
  <c r="AR214" i="39"/>
  <c r="AH515" i="42"/>
  <c r="AH520" i="42" s="1"/>
  <c r="AH54" i="42"/>
  <c r="AH56" i="42"/>
  <c r="AH53" i="42"/>
  <c r="AW252" i="39"/>
  <c r="AW279" i="39"/>
  <c r="AW280" i="39" s="1"/>
  <c r="AW251" i="39"/>
  <c r="AW256" i="39"/>
  <c r="AW304" i="39"/>
  <c r="AW305" i="39" s="1"/>
  <c r="AW296" i="39"/>
  <c r="AW297" i="39" s="1"/>
  <c r="AW275" i="39"/>
  <c r="AW250" i="39"/>
  <c r="AW308" i="39"/>
  <c r="AW309" i="39" s="1"/>
  <c r="AW291" i="39"/>
  <c r="AW270" i="39"/>
  <c r="AW271" i="39" s="1"/>
  <c r="AW272" i="39" s="1"/>
  <c r="AW253" i="39"/>
  <c r="AW300" i="39"/>
  <c r="AW301" i="39" s="1"/>
  <c r="AW180" i="39" l="1"/>
  <c r="AW183" i="39" s="1"/>
  <c r="AW276" i="39"/>
  <c r="AW316" i="39" s="1"/>
  <c r="AW193" i="39" s="1"/>
  <c r="AH213" i="42"/>
  <c r="AH214" i="42"/>
  <c r="AQ63" i="39"/>
  <c r="AQ7" i="39" s="1"/>
  <c r="AQ8" i="39" s="1"/>
  <c r="AQ65" i="39"/>
  <c r="AH506" i="42"/>
  <c r="AH521" i="42" s="1"/>
  <c r="AH502" i="42"/>
  <c r="AH75" i="42" s="1"/>
  <c r="AR216" i="39"/>
  <c r="AH491" i="42"/>
  <c r="AH487" i="42"/>
  <c r="AW242" i="39"/>
  <c r="AW292" i="39"/>
  <c r="AW293" i="39" s="1"/>
  <c r="AW317" i="39" s="1"/>
  <c r="AW192" i="39"/>
  <c r="AW257" i="39"/>
  <c r="AW260" i="39" l="1"/>
  <c r="AH216" i="42"/>
  <c r="AH42" i="42" s="1"/>
  <c r="AH503" i="42"/>
  <c r="AR42" i="39"/>
  <c r="AR94" i="39"/>
  <c r="AH94" i="42"/>
  <c r="AH67" i="42"/>
  <c r="AH69" i="42" s="1"/>
  <c r="AH71" i="42" s="1"/>
  <c r="AH77" i="42"/>
  <c r="AH79" i="42" s="1"/>
  <c r="AH82" i="42" s="1"/>
  <c r="AH55" i="42"/>
  <c r="AH496" i="42"/>
  <c r="AW205" i="39"/>
  <c r="AW52" i="39" s="1"/>
  <c r="AW206" i="39"/>
  <c r="AW194" i="39"/>
  <c r="AW207" i="39"/>
  <c r="AW318" i="39"/>
  <c r="AI232" i="42" l="1"/>
  <c r="AI251" i="42" s="1"/>
  <c r="AH488" i="42"/>
  <c r="AH49" i="42"/>
  <c r="AH44" i="42"/>
  <c r="AH48" i="42" s="1"/>
  <c r="AR96" i="39"/>
  <c r="AR97" i="39" s="1"/>
  <c r="AH96" i="42"/>
  <c r="AH97" i="42" s="1"/>
  <c r="AR121" i="39"/>
  <c r="AR126" i="39" s="1"/>
  <c r="AH121" i="42"/>
  <c r="AH126" i="42" s="1"/>
  <c r="AR49" i="39"/>
  <c r="AR44" i="39"/>
  <c r="AW477" i="39"/>
  <c r="AW212" i="39" s="1"/>
  <c r="AW195" i="39"/>
  <c r="AW196" i="39" s="1"/>
  <c r="AW208" i="39"/>
  <c r="AW209" i="39" s="1"/>
  <c r="AI275" i="42" l="1"/>
  <c r="AI276" i="42" s="1"/>
  <c r="AI300" i="42"/>
  <c r="AI291" i="42"/>
  <c r="AI292" i="42" s="1"/>
  <c r="AI293" i="42" s="1"/>
  <c r="AI317" i="42" s="1"/>
  <c r="AI252" i="42"/>
  <c r="AI279" i="42"/>
  <c r="AI280" i="42" s="1"/>
  <c r="AI304" i="42"/>
  <c r="AI305" i="42" s="1"/>
  <c r="AI253" i="42"/>
  <c r="AI250" i="42"/>
  <c r="AI296" i="42"/>
  <c r="AI297" i="42" s="1"/>
  <c r="AI270" i="42"/>
  <c r="AI271" i="42" s="1"/>
  <c r="AI272" i="42" s="1"/>
  <c r="AI239" i="42"/>
  <c r="AI242" i="42" s="1"/>
  <c r="AI256" i="42"/>
  <c r="AI308" i="42"/>
  <c r="AI309" i="42" s="1"/>
  <c r="AI179" i="42"/>
  <c r="AI180" i="42" s="1"/>
  <c r="AI183" i="42" s="1"/>
  <c r="AR48" i="39"/>
  <c r="AR127" i="39" s="1"/>
  <c r="AR112" i="39"/>
  <c r="AR106" i="39"/>
  <c r="AI301" i="42"/>
  <c r="AH112" i="42"/>
  <c r="AH106" i="42"/>
  <c r="AH127" i="42"/>
  <c r="AW93" i="39"/>
  <c r="AW478" i="39"/>
  <c r="AW51" i="39"/>
  <c r="AI257" i="42" l="1"/>
  <c r="AI260" i="42" s="1"/>
  <c r="AI192" i="42"/>
  <c r="AI316" i="42"/>
  <c r="AI318" i="42" s="1"/>
  <c r="AH108" i="42"/>
  <c r="AH109" i="42" s="1"/>
  <c r="AH74" i="42"/>
  <c r="AI207" i="42"/>
  <c r="AI194" i="42"/>
  <c r="AR108" i="39"/>
  <c r="AR109" i="39" s="1"/>
  <c r="AR74" i="39"/>
  <c r="AW54" i="39"/>
  <c r="AW53" i="39"/>
  <c r="AW56" i="39"/>
  <c r="AW515" i="39"/>
  <c r="AW520" i="39" s="1"/>
  <c r="AW499" i="39"/>
  <c r="AW480" i="39"/>
  <c r="AI205" i="42" l="1"/>
  <c r="AI52" i="42" s="1"/>
  <c r="AI193" i="42"/>
  <c r="AI206" i="42"/>
  <c r="AI195" i="42"/>
  <c r="AI208" i="42"/>
  <c r="AR60" i="39"/>
  <c r="AR61" i="39" s="1"/>
  <c r="AS213" i="39"/>
  <c r="AS215" i="39"/>
  <c r="AS214" i="39"/>
  <c r="AH60" i="42"/>
  <c r="AH61" i="42" s="1"/>
  <c r="AW491" i="39"/>
  <c r="AW487" i="39"/>
  <c r="AW502" i="39"/>
  <c r="AW75" i="39" s="1"/>
  <c r="AW506" i="39"/>
  <c r="AW521" i="39" s="1"/>
  <c r="AI477" i="42" l="1"/>
  <c r="AI212" i="42" s="1"/>
  <c r="AI209" i="42"/>
  <c r="AS216" i="39"/>
  <c r="AH63" i="42"/>
  <c r="AH7" i="42" s="1"/>
  <c r="AH8" i="42" s="1"/>
  <c r="AH65" i="42"/>
  <c r="AR63" i="39"/>
  <c r="AR7" i="39" s="1"/>
  <c r="AR8" i="39" s="1"/>
  <c r="AR65" i="39"/>
  <c r="AI196" i="42"/>
  <c r="AW503" i="39"/>
  <c r="AW55" i="39"/>
  <c r="AW496" i="39"/>
  <c r="AW67" i="39"/>
  <c r="AW69" i="39" s="1"/>
  <c r="AW77" i="39"/>
  <c r="AW79" i="39" s="1"/>
  <c r="AW82" i="39" s="1"/>
  <c r="AI93" i="42" l="1"/>
  <c r="AI214" i="42" s="1"/>
  <c r="AW71" i="39"/>
  <c r="AS42" i="39"/>
  <c r="AS94" i="39"/>
  <c r="AI478" i="42"/>
  <c r="AI51" i="42"/>
  <c r="AW488" i="39"/>
  <c r="AI215" i="42" l="1"/>
  <c r="AI213" i="42"/>
  <c r="AI515" i="42"/>
  <c r="AI520" i="42" s="1"/>
  <c r="AI499" i="42"/>
  <c r="AI480" i="42"/>
  <c r="AS121" i="39"/>
  <c r="AS126" i="39" s="1"/>
  <c r="AS96" i="39"/>
  <c r="AS97" i="39" s="1"/>
  <c r="AI56" i="42"/>
  <c r="AI53" i="42"/>
  <c r="AI54" i="42"/>
  <c r="AS44" i="39"/>
  <c r="AS49" i="39"/>
  <c r="AS48" i="39" l="1"/>
  <c r="AS127" i="39" s="1"/>
  <c r="AI216" i="42"/>
  <c r="AI42" i="42" s="1"/>
  <c r="AI506" i="42"/>
  <c r="AI521" i="42" s="1"/>
  <c r="AI502" i="42"/>
  <c r="AI75" i="42" s="1"/>
  <c r="AS112" i="39"/>
  <c r="AS106" i="39"/>
  <c r="AI491" i="42"/>
  <c r="AI487" i="42"/>
  <c r="AI94" i="42" l="1"/>
  <c r="AI96" i="42" s="1"/>
  <c r="AI97" i="42" s="1"/>
  <c r="AI503" i="42"/>
  <c r="AS74" i="39"/>
  <c r="AS108" i="39"/>
  <c r="AS109" i="39" s="1"/>
  <c r="AI121" i="42"/>
  <c r="AI126" i="42" s="1"/>
  <c r="AI496" i="42"/>
  <c r="AI55" i="42"/>
  <c r="AI49" i="42"/>
  <c r="AI44" i="42"/>
  <c r="AI48" i="42" s="1"/>
  <c r="AI67" i="42"/>
  <c r="AI69" i="42" s="1"/>
  <c r="AI71" i="42" s="1"/>
  <c r="AI77" i="42"/>
  <c r="AI79" i="42" s="1"/>
  <c r="AI82" i="42" s="1"/>
  <c r="AJ232" i="42" l="1"/>
  <c r="AJ275" i="42" s="1"/>
  <c r="AS60" i="39"/>
  <c r="AS61" i="39" s="1"/>
  <c r="AT213" i="39"/>
  <c r="AT215" i="39"/>
  <c r="AT214" i="39"/>
  <c r="AI127" i="42"/>
  <c r="AI106" i="42"/>
  <c r="AI112" i="42"/>
  <c r="AI488" i="42"/>
  <c r="AJ279" i="42" l="1"/>
  <c r="AJ280" i="42" s="1"/>
  <c r="AJ304" i="42"/>
  <c r="AJ305" i="42" s="1"/>
  <c r="AJ291" i="42"/>
  <c r="AJ292" i="42" s="1"/>
  <c r="AJ293" i="42" s="1"/>
  <c r="AJ317" i="42" s="1"/>
  <c r="AJ251" i="42"/>
  <c r="AJ270" i="42"/>
  <c r="AJ271" i="42" s="1"/>
  <c r="AJ272" i="42" s="1"/>
  <c r="AJ179" i="42"/>
  <c r="AJ180" i="42" s="1"/>
  <c r="AJ183" i="42" s="1"/>
  <c r="AJ256" i="42"/>
  <c r="AJ296" i="42"/>
  <c r="AJ297" i="42" s="1"/>
  <c r="AJ300" i="42"/>
  <c r="AJ301" i="42" s="1"/>
  <c r="AJ253" i="42"/>
  <c r="AJ239" i="42"/>
  <c r="AJ242" i="42" s="1"/>
  <c r="AJ250" i="42"/>
  <c r="AJ308" i="42"/>
  <c r="AJ309" i="42" s="1"/>
  <c r="AJ252" i="42"/>
  <c r="AI108" i="42"/>
  <c r="AI109" i="42" s="1"/>
  <c r="AI74" i="42"/>
  <c r="AJ276" i="42"/>
  <c r="AT216" i="39"/>
  <c r="AS63" i="39"/>
  <c r="AS7" i="39" s="1"/>
  <c r="AS8" i="39" s="1"/>
  <c r="AS65" i="39"/>
  <c r="AJ192" i="42" l="1"/>
  <c r="AJ257" i="42"/>
  <c r="AJ260" i="42" s="1"/>
  <c r="AI60" i="42"/>
  <c r="AI61" i="42" s="1"/>
  <c r="AJ194" i="42"/>
  <c r="AJ207" i="42"/>
  <c r="AJ316" i="42"/>
  <c r="AJ318" i="42" s="1"/>
  <c r="AT42" i="39"/>
  <c r="AT94" i="39"/>
  <c r="AJ205" i="42" l="1"/>
  <c r="AJ52" i="42" s="1"/>
  <c r="AJ195" i="42"/>
  <c r="AJ208" i="42"/>
  <c r="AT96" i="39"/>
  <c r="AT97" i="39" s="1"/>
  <c r="AT121" i="39"/>
  <c r="AT126" i="39" s="1"/>
  <c r="AI63" i="42"/>
  <c r="AI7" i="42" s="1"/>
  <c r="AI8" i="42" s="1"/>
  <c r="AI65" i="42"/>
  <c r="AT49" i="39"/>
  <c r="AT44" i="39"/>
  <c r="AJ206" i="42"/>
  <c r="AJ193" i="42"/>
  <c r="AJ477" i="42" l="1"/>
  <c r="AJ212" i="42" s="1"/>
  <c r="AJ51" i="42" s="1"/>
  <c r="AT48" i="39"/>
  <c r="AT127" i="39" s="1"/>
  <c r="AJ196" i="42"/>
  <c r="AJ209" i="42"/>
  <c r="AT106" i="39"/>
  <c r="AT112" i="39"/>
  <c r="AJ478" i="42" l="1"/>
  <c r="AJ515" i="42" s="1"/>
  <c r="AJ520" i="42" s="1"/>
  <c r="AJ93" i="42"/>
  <c r="AJ214" i="42" s="1"/>
  <c r="AT108" i="39"/>
  <c r="AT109" i="39" s="1"/>
  <c r="AT74" i="39"/>
  <c r="AJ54" i="42"/>
  <c r="AJ53" i="42"/>
  <c r="AJ56" i="42"/>
  <c r="AJ480" i="42" l="1"/>
  <c r="AJ491" i="42" s="1"/>
  <c r="AJ499" i="42"/>
  <c r="AJ506" i="42" s="1"/>
  <c r="AJ521" i="42" s="1"/>
  <c r="AJ215" i="42"/>
  <c r="AJ213" i="42"/>
  <c r="AJ487" i="42"/>
  <c r="AT60" i="39"/>
  <c r="AT61" i="39" s="1"/>
  <c r="AU215" i="39"/>
  <c r="AU214" i="39"/>
  <c r="AU213" i="39"/>
  <c r="AJ502" i="42" l="1"/>
  <c r="AJ75" i="42" s="1"/>
  <c r="AJ77" i="42" s="1"/>
  <c r="AJ79" i="42" s="1"/>
  <c r="AJ82" i="42" s="1"/>
  <c r="AJ216" i="42"/>
  <c r="AJ42" i="42" s="1"/>
  <c r="AT63" i="39"/>
  <c r="AT7" i="39" s="1"/>
  <c r="AT8" i="39" s="1"/>
  <c r="AT65" i="39"/>
  <c r="AJ496" i="42"/>
  <c r="AJ55" i="42"/>
  <c r="AU216" i="39"/>
  <c r="AJ503" i="42"/>
  <c r="AJ94" i="42" l="1"/>
  <c r="AJ67" i="42"/>
  <c r="AJ69" i="42" s="1"/>
  <c r="AJ71" i="42" s="1"/>
  <c r="AK232" i="42"/>
  <c r="AK304" i="42" s="1"/>
  <c r="AJ96" i="42"/>
  <c r="AJ97" i="42" s="1"/>
  <c r="AU42" i="39"/>
  <c r="AU94" i="39"/>
  <c r="AJ121" i="42"/>
  <c r="AJ126" i="42" s="1"/>
  <c r="AJ49" i="42"/>
  <c r="AJ44" i="42"/>
  <c r="AJ48" i="42" s="1"/>
  <c r="AJ488" i="42"/>
  <c r="AK300" i="42" l="1"/>
  <c r="AK179" i="42"/>
  <c r="AK180" i="42" s="1"/>
  <c r="AK183" i="42" s="1"/>
  <c r="AK275" i="42"/>
  <c r="AK276" i="42" s="1"/>
  <c r="AK270" i="42"/>
  <c r="AK271" i="42" s="1"/>
  <c r="AK272" i="42" s="1"/>
  <c r="AK253" i="42"/>
  <c r="AK279" i="42"/>
  <c r="AK280" i="42" s="1"/>
  <c r="AK256" i="42"/>
  <c r="AK252" i="42"/>
  <c r="AK291" i="42"/>
  <c r="AK292" i="42" s="1"/>
  <c r="AK293" i="42" s="1"/>
  <c r="AK317" i="42" s="1"/>
  <c r="AK250" i="42"/>
  <c r="AK296" i="42"/>
  <c r="AK297" i="42" s="1"/>
  <c r="AK239" i="42"/>
  <c r="AK242" i="42" s="1"/>
  <c r="AK308" i="42"/>
  <c r="AK309" i="42" s="1"/>
  <c r="AK251" i="42"/>
  <c r="AK301" i="42"/>
  <c r="AU44" i="39"/>
  <c r="AU49" i="39"/>
  <c r="AK305" i="42"/>
  <c r="AU96" i="39"/>
  <c r="AU97" i="39" s="1"/>
  <c r="AJ112" i="42"/>
  <c r="AJ106" i="42"/>
  <c r="AJ127" i="42"/>
  <c r="AU121" i="39"/>
  <c r="AU126" i="39" s="1"/>
  <c r="AK192" i="42" l="1"/>
  <c r="AK257" i="42"/>
  <c r="AK260" i="42" s="1"/>
  <c r="AU48" i="39"/>
  <c r="AU127" i="39" s="1"/>
  <c r="AU112" i="39"/>
  <c r="AU106" i="39"/>
  <c r="AJ108" i="42"/>
  <c r="AJ109" i="42" s="1"/>
  <c r="AJ74" i="42"/>
  <c r="AK194" i="42"/>
  <c r="AK207" i="42"/>
  <c r="AK316" i="42"/>
  <c r="AK205" i="42" l="1"/>
  <c r="AK52" i="42" s="1"/>
  <c r="AK206" i="42"/>
  <c r="AK193" i="42"/>
  <c r="AJ60" i="42"/>
  <c r="AJ61" i="42" s="1"/>
  <c r="AK318" i="42"/>
  <c r="AU108" i="39"/>
  <c r="AU109" i="39" s="1"/>
  <c r="AU74" i="39"/>
  <c r="AK477" i="42" l="1"/>
  <c r="AK212" i="42" s="1"/>
  <c r="AK478" i="42" s="1"/>
  <c r="AU60" i="39"/>
  <c r="AU61" i="39" s="1"/>
  <c r="AV214" i="39"/>
  <c r="AV215" i="39"/>
  <c r="AV213" i="39"/>
  <c r="AK195" i="42"/>
  <c r="AK208" i="42"/>
  <c r="AK209" i="42" s="1"/>
  <c r="AJ63" i="42"/>
  <c r="AJ7" i="42" s="1"/>
  <c r="AJ8" i="42" s="1"/>
  <c r="AJ65" i="42"/>
  <c r="AK51" i="42" l="1"/>
  <c r="AK56" i="42" s="1"/>
  <c r="AK499" i="42"/>
  <c r="AK480" i="42"/>
  <c r="AV216" i="39"/>
  <c r="AK196" i="42"/>
  <c r="AK515" i="42"/>
  <c r="AK520" i="42" s="1"/>
  <c r="AK54" i="42"/>
  <c r="AU63" i="39"/>
  <c r="AU7" i="39" s="1"/>
  <c r="AU8" i="39" s="1"/>
  <c r="AU65" i="39"/>
  <c r="AK53" i="42" l="1"/>
  <c r="AV42" i="39"/>
  <c r="AV94" i="39"/>
  <c r="AV121" i="39" s="1"/>
  <c r="AV126" i="39" s="1"/>
  <c r="AK487" i="42"/>
  <c r="AK491" i="42"/>
  <c r="AK93" i="42"/>
  <c r="AK506" i="42"/>
  <c r="AK502" i="42"/>
  <c r="AK75" i="42" s="1"/>
  <c r="AK521" i="42" l="1"/>
  <c r="AK215" i="42"/>
  <c r="AK214" i="42"/>
  <c r="AK213" i="42"/>
  <c r="AV49" i="39"/>
  <c r="AV44" i="39"/>
  <c r="AK77" i="42"/>
  <c r="AK79" i="42" s="1"/>
  <c r="AK82" i="42" s="1"/>
  <c r="AK67" i="42"/>
  <c r="AK69" i="42" s="1"/>
  <c r="AK71" i="42" s="1"/>
  <c r="AK55" i="42"/>
  <c r="AK496" i="42"/>
  <c r="AK503" i="42"/>
  <c r="AV96" i="39"/>
  <c r="AV97" i="39" s="1"/>
  <c r="AV48" i="39" l="1"/>
  <c r="AV127" i="39" s="1"/>
  <c r="AL232" i="42"/>
  <c r="AL253" i="42" s="1"/>
  <c r="AK488" i="42"/>
  <c r="AK216" i="42"/>
  <c r="AV112" i="39"/>
  <c r="AV106" i="39"/>
  <c r="AL308" i="42" l="1"/>
  <c r="AL239" i="42"/>
  <c r="AL242" i="42" s="1"/>
  <c r="AL304" i="42"/>
  <c r="AL305" i="42" s="1"/>
  <c r="AL179" i="42"/>
  <c r="AL180" i="42" s="1"/>
  <c r="AL183" i="42" s="1"/>
  <c r="AL300" i="42"/>
  <c r="AL301" i="42" s="1"/>
  <c r="AL251" i="42"/>
  <c r="AL256" i="42"/>
  <c r="AL296" i="42"/>
  <c r="AL297" i="42" s="1"/>
  <c r="AL270" i="42"/>
  <c r="AL271" i="42" s="1"/>
  <c r="AL272" i="42" s="1"/>
  <c r="AL279" i="42"/>
  <c r="AL280" i="42" s="1"/>
  <c r="AL250" i="42"/>
  <c r="AL291" i="42"/>
  <c r="AL292" i="42" s="1"/>
  <c r="AL293" i="42" s="1"/>
  <c r="AL317" i="42" s="1"/>
  <c r="AL252" i="42"/>
  <c r="AL275" i="42"/>
  <c r="AL276" i="42" s="1"/>
  <c r="AV108" i="39"/>
  <c r="AV109" i="39" s="1"/>
  <c r="AV74" i="39"/>
  <c r="AL309" i="42"/>
  <c r="AK94" i="42"/>
  <c r="AK121" i="42" s="1"/>
  <c r="AK126" i="42" s="1"/>
  <c r="AK42" i="42"/>
  <c r="AL257" i="42" l="1"/>
  <c r="AL260" i="42" s="1"/>
  <c r="AL192" i="42"/>
  <c r="AV60" i="39"/>
  <c r="AV61" i="39" s="1"/>
  <c r="AW213" i="39"/>
  <c r="AW215" i="39"/>
  <c r="AW214" i="39"/>
  <c r="AK49" i="42"/>
  <c r="AK44" i="42"/>
  <c r="AL316" i="42"/>
  <c r="AK96" i="42"/>
  <c r="AK97" i="42" s="1"/>
  <c r="AL194" i="42"/>
  <c r="AL207" i="42"/>
  <c r="AL205" i="42" l="1"/>
  <c r="AL52" i="42" s="1"/>
  <c r="AK48" i="42"/>
  <c r="AK127" i="42" s="1"/>
  <c r="AV63" i="39"/>
  <c r="AV7" i="39" s="1"/>
  <c r="AV8" i="39" s="1"/>
  <c r="AV65" i="39"/>
  <c r="AL193" i="42"/>
  <c r="AL206" i="42"/>
  <c r="AW216" i="39"/>
  <c r="AK112" i="42"/>
  <c r="AK106" i="42"/>
  <c r="AL318" i="42"/>
  <c r="AL477" i="42" l="1"/>
  <c r="AL212" i="42" s="1"/>
  <c r="AK108" i="42"/>
  <c r="AK109" i="42" s="1"/>
  <c r="AK74" i="42"/>
  <c r="AL195" i="42"/>
  <c r="AL196" i="42" s="1"/>
  <c r="AL208" i="42"/>
  <c r="AL209" i="42" s="1"/>
  <c r="AW42" i="39"/>
  <c r="AW94" i="39"/>
  <c r="AW96" i="39" s="1"/>
  <c r="AW97" i="39" s="1"/>
  <c r="AW121" i="39" l="1"/>
  <c r="AW126" i="39" s="1"/>
  <c r="AL93" i="42"/>
  <c r="AL213" i="42" s="1"/>
  <c r="AW49" i="39"/>
  <c r="AW44" i="39"/>
  <c r="AK60" i="42"/>
  <c r="AK61" i="42" s="1"/>
  <c r="AL478" i="42"/>
  <c r="AL51" i="42"/>
  <c r="AW112" i="39"/>
  <c r="AW106" i="39"/>
  <c r="AW108" i="39" s="1"/>
  <c r="AW109" i="39" s="1"/>
  <c r="AW48" i="39" l="1"/>
  <c r="AL215" i="42"/>
  <c r="AW74" i="39"/>
  <c r="AW60" i="39" s="1"/>
  <c r="AW61" i="39" s="1"/>
  <c r="AW63" i="39" s="1"/>
  <c r="AK63" i="42"/>
  <c r="AK7" i="42" s="1"/>
  <c r="AK8" i="42" s="1"/>
  <c r="AK65" i="42"/>
  <c r="AL214" i="42"/>
  <c r="AL53" i="42"/>
  <c r="AL56" i="42"/>
  <c r="AL54" i="42"/>
  <c r="AL480" i="42"/>
  <c r="AL499" i="42"/>
  <c r="AL515" i="42"/>
  <c r="AL520" i="42" s="1"/>
  <c r="AW127" i="39"/>
  <c r="AW7" i="39" l="1"/>
  <c r="AW8" i="39" s="1"/>
  <c r="AW65" i="39"/>
  <c r="AL216" i="42"/>
  <c r="AL506" i="42"/>
  <c r="AL521" i="42" s="1"/>
  <c r="AL502" i="42"/>
  <c r="AL75" i="42" s="1"/>
  <c r="AL491" i="42"/>
  <c r="AL487" i="42"/>
  <c r="AL67" i="42" l="1"/>
  <c r="AL69" i="42" s="1"/>
  <c r="AL71" i="42" s="1"/>
  <c r="AL77" i="42"/>
  <c r="AL79" i="42" s="1"/>
  <c r="AL82" i="42" s="1"/>
  <c r="AL42" i="42"/>
  <c r="AL94" i="42"/>
  <c r="AL496" i="42"/>
  <c r="AL55" i="42"/>
  <c r="AL503" i="42"/>
  <c r="AM232" i="42" l="1"/>
  <c r="AM256" i="42" s="1"/>
  <c r="AL488" i="42"/>
  <c r="AL44" i="42"/>
  <c r="AL48" i="42" s="1"/>
  <c r="AL49" i="42"/>
  <c r="AL96" i="42"/>
  <c r="AL97" i="42" s="1"/>
  <c r="AL121" i="42"/>
  <c r="AL126" i="42" s="1"/>
  <c r="AM250" i="42" l="1"/>
  <c r="AM279" i="42"/>
  <c r="AM280" i="42" s="1"/>
  <c r="AM304" i="42"/>
  <c r="AM305" i="42" s="1"/>
  <c r="AM253" i="42"/>
  <c r="AM296" i="42"/>
  <c r="AM297" i="42" s="1"/>
  <c r="AM239" i="42"/>
  <c r="AM242" i="42" s="1"/>
  <c r="AM179" i="42"/>
  <c r="AM180" i="42" s="1"/>
  <c r="AM183" i="42" s="1"/>
  <c r="AM251" i="42"/>
  <c r="AM300" i="42"/>
  <c r="AM301" i="42" s="1"/>
  <c r="AM308" i="42"/>
  <c r="AM309" i="42" s="1"/>
  <c r="AM270" i="42"/>
  <c r="AM271" i="42" s="1"/>
  <c r="AM272" i="42" s="1"/>
  <c r="AM291" i="42"/>
  <c r="AM292" i="42" s="1"/>
  <c r="AM293" i="42" s="1"/>
  <c r="AM317" i="42" s="1"/>
  <c r="AM252" i="42"/>
  <c r="AM275" i="42"/>
  <c r="AM276" i="42" s="1"/>
  <c r="AL106" i="42"/>
  <c r="AL112" i="42"/>
  <c r="AL127" i="42"/>
  <c r="AM257" i="42" l="1"/>
  <c r="AM260" i="42" s="1"/>
  <c r="AM192" i="42"/>
  <c r="AM205" i="42"/>
  <c r="AM316" i="42"/>
  <c r="AM207" i="42"/>
  <c r="AM194" i="42"/>
  <c r="AL108" i="42"/>
  <c r="AL109" i="42" s="1"/>
  <c r="AL74" i="42"/>
  <c r="AM52" i="42" l="1"/>
  <c r="AM477" i="42"/>
  <c r="AM212" i="42" s="1"/>
  <c r="AL60" i="42"/>
  <c r="AL61" i="42" s="1"/>
  <c r="AM206" i="42"/>
  <c r="AM193" i="42"/>
  <c r="AM318" i="42"/>
  <c r="AM478" i="42" l="1"/>
  <c r="AM51" i="42"/>
  <c r="AM208" i="42"/>
  <c r="AM209" i="42" s="1"/>
  <c r="AM195" i="42"/>
  <c r="AM196" i="42" s="1"/>
  <c r="AL63" i="42"/>
  <c r="AL7" i="42" s="1"/>
  <c r="AL8" i="42" s="1"/>
  <c r="AL65" i="42"/>
  <c r="AM93" i="42" l="1"/>
  <c r="AM213" i="42" s="1"/>
  <c r="AM54" i="42"/>
  <c r="AM53" i="42"/>
  <c r="AM56" i="42"/>
  <c r="AM499" i="42"/>
  <c r="AM480" i="42"/>
  <c r="AM515" i="42"/>
  <c r="AM520" i="42" s="1"/>
  <c r="AM215" i="42" l="1"/>
  <c r="AM214" i="42"/>
  <c r="AM491" i="42"/>
  <c r="AM487" i="42"/>
  <c r="AM506" i="42"/>
  <c r="AM521" i="42" s="1"/>
  <c r="AM502" i="42"/>
  <c r="AM75" i="42" s="1"/>
  <c r="AM216" i="42" l="1"/>
  <c r="AM94" i="42" s="1"/>
  <c r="AM121" i="42" s="1"/>
  <c r="AM126" i="42" s="1"/>
  <c r="AM67" i="42"/>
  <c r="AM69" i="42" s="1"/>
  <c r="AM71" i="42" s="1"/>
  <c r="AM77" i="42"/>
  <c r="AM79" i="42" s="1"/>
  <c r="AM82" i="42" s="1"/>
  <c r="AM496" i="42"/>
  <c r="AM55" i="42"/>
  <c r="AM503" i="42"/>
  <c r="AN232" i="42" l="1"/>
  <c r="AN296" i="42" s="1"/>
  <c r="AM42" i="42"/>
  <c r="AM49" i="42" s="1"/>
  <c r="AM488" i="42"/>
  <c r="AM96" i="42"/>
  <c r="AM97" i="42" s="1"/>
  <c r="AN304" i="42" l="1"/>
  <c r="AN305" i="42" s="1"/>
  <c r="AN250" i="42"/>
  <c r="AN279" i="42"/>
  <c r="AN280" i="42" s="1"/>
  <c r="AN256" i="42"/>
  <c r="AN300" i="42"/>
  <c r="AN301" i="42" s="1"/>
  <c r="AN179" i="42"/>
  <c r="AN180" i="42" s="1"/>
  <c r="AN183" i="42" s="1"/>
  <c r="AN239" i="42"/>
  <c r="AN242" i="42" s="1"/>
  <c r="AN291" i="42"/>
  <c r="AN292" i="42" s="1"/>
  <c r="AN293" i="42" s="1"/>
  <c r="AN317" i="42" s="1"/>
  <c r="AN251" i="42"/>
  <c r="AN252" i="42"/>
  <c r="AN308" i="42"/>
  <c r="AN309" i="42" s="1"/>
  <c r="AN275" i="42"/>
  <c r="AN270" i="42"/>
  <c r="AN271" i="42" s="1"/>
  <c r="AN272" i="42" s="1"/>
  <c r="AN253" i="42"/>
  <c r="AM44" i="42"/>
  <c r="AN297" i="42"/>
  <c r="AM106" i="42"/>
  <c r="AM112" i="42"/>
  <c r="AN192" i="42" l="1"/>
  <c r="AN257" i="42"/>
  <c r="AN260" i="42" s="1"/>
  <c r="AN276" i="42"/>
  <c r="AN316" i="42" s="1"/>
  <c r="AN318" i="42" s="1"/>
  <c r="AM48" i="42"/>
  <c r="AM127" i="42" s="1"/>
  <c r="AN194" i="42"/>
  <c r="AN207" i="42"/>
  <c r="AM108" i="42"/>
  <c r="AM109" i="42" s="1"/>
  <c r="AM74" i="42"/>
  <c r="AN205" i="42" l="1"/>
  <c r="AN477" i="42" s="1"/>
  <c r="AN212" i="42" s="1"/>
  <c r="AN208" i="42"/>
  <c r="AN195" i="42"/>
  <c r="AM60" i="42"/>
  <c r="AM61" i="42" s="1"/>
  <c r="AN206" i="42"/>
  <c r="AN193" i="42"/>
  <c r="AN52" i="42" l="1"/>
  <c r="AM63" i="42"/>
  <c r="AM7" i="42" s="1"/>
  <c r="AM8" i="42" s="1"/>
  <c r="AM65" i="42"/>
  <c r="AN478" i="42"/>
  <c r="AN51" i="42"/>
  <c r="AN196" i="42"/>
  <c r="AN209" i="42"/>
  <c r="AN93" i="42" l="1"/>
  <c r="AN213" i="42" s="1"/>
  <c r="AN499" i="42"/>
  <c r="AN480" i="42"/>
  <c r="AN515" i="42"/>
  <c r="AN520" i="42" s="1"/>
  <c r="AN54" i="42"/>
  <c r="AN53" i="42"/>
  <c r="AN56" i="42"/>
  <c r="AN215" i="42" l="1"/>
  <c r="AN214" i="42"/>
  <c r="AN491" i="42"/>
  <c r="AN487" i="42"/>
  <c r="AN502" i="42"/>
  <c r="AN75" i="42" s="1"/>
  <c r="AN506" i="42"/>
  <c r="AN521" i="42" s="1"/>
  <c r="AN216" i="42" l="1"/>
  <c r="AN42" i="42" s="1"/>
  <c r="AN503" i="42"/>
  <c r="AN77" i="42"/>
  <c r="AN79" i="42" s="1"/>
  <c r="AN82" i="42" s="1"/>
  <c r="AN67" i="42"/>
  <c r="AN69" i="42" s="1"/>
  <c r="AN71" i="42" s="1"/>
  <c r="AN94" i="42"/>
  <c r="AN121" i="42" s="1"/>
  <c r="AN126" i="42" s="1"/>
  <c r="AN55" i="42"/>
  <c r="AN496" i="42"/>
  <c r="AO232" i="42" l="1"/>
  <c r="AO300" i="42" s="1"/>
  <c r="AN488" i="42"/>
  <c r="AN49" i="42"/>
  <c r="AN44" i="42"/>
  <c r="AN48" i="42" s="1"/>
  <c r="AN96" i="42"/>
  <c r="AN97" i="42" s="1"/>
  <c r="AO179" i="42" l="1"/>
  <c r="AO275" i="42"/>
  <c r="AO270" i="42"/>
  <c r="AO291" i="42"/>
  <c r="AO292" i="42" s="1"/>
  <c r="AO293" i="42" s="1"/>
  <c r="AO317" i="42" s="1"/>
  <c r="AO279" i="42"/>
  <c r="AO280" i="42" s="1"/>
  <c r="AO250" i="42"/>
  <c r="AO239" i="42"/>
  <c r="AO242" i="42" s="1"/>
  <c r="AO296" i="42"/>
  <c r="AO297" i="42" s="1"/>
  <c r="AO308" i="42"/>
  <c r="AO309" i="42" s="1"/>
  <c r="AO251" i="42"/>
  <c r="AO253" i="42"/>
  <c r="AO304" i="42"/>
  <c r="AO305" i="42" s="1"/>
  <c r="AO256" i="42"/>
  <c r="AO252" i="42"/>
  <c r="AO271" i="42"/>
  <c r="AO272" i="42" s="1"/>
  <c r="AO276" i="42"/>
  <c r="AN106" i="42"/>
  <c r="AN112" i="42"/>
  <c r="AN127" i="42"/>
  <c r="AO180" i="42"/>
  <c r="AO183" i="42" s="1"/>
  <c r="AO301" i="42"/>
  <c r="AO192" i="42" l="1"/>
  <c r="AO257" i="42"/>
  <c r="AO260" i="42" s="1"/>
  <c r="AN108" i="42"/>
  <c r="AN109" i="42" s="1"/>
  <c r="AN74" i="42"/>
  <c r="AO207" i="42"/>
  <c r="AO194" i="42"/>
  <c r="AO316" i="42"/>
  <c r="AO205" i="42" l="1"/>
  <c r="AO52" i="42" s="1"/>
  <c r="AN60" i="42"/>
  <c r="AN61" i="42" s="1"/>
  <c r="AO206" i="42"/>
  <c r="AO193" i="42"/>
  <c r="AO318" i="42"/>
  <c r="AO477" i="42" l="1"/>
  <c r="AO212" i="42" s="1"/>
  <c r="AO478" i="42" s="1"/>
  <c r="AN63" i="42"/>
  <c r="AN7" i="42" s="1"/>
  <c r="AN8" i="42" s="1"/>
  <c r="AN65" i="42"/>
  <c r="AO208" i="42"/>
  <c r="AO195" i="42"/>
  <c r="AO51" i="42" l="1"/>
  <c r="AO56" i="42" s="1"/>
  <c r="AO515" i="42"/>
  <c r="AO520" i="42" s="1"/>
  <c r="AO499" i="42"/>
  <c r="AO480" i="42"/>
  <c r="AO196" i="42"/>
  <c r="AO209" i="42"/>
  <c r="AO54" i="42" l="1"/>
  <c r="AO53" i="42"/>
  <c r="AO93" i="42"/>
  <c r="AO215" i="42" s="1"/>
  <c r="AO506" i="42"/>
  <c r="AO502" i="42"/>
  <c r="AO75" i="42" s="1"/>
  <c r="AO491" i="42"/>
  <c r="AO487" i="42"/>
  <c r="AO521" i="42" l="1"/>
  <c r="AO214" i="42"/>
  <c r="AO213" i="42"/>
  <c r="AO503" i="42"/>
  <c r="AO55" i="42"/>
  <c r="AO496" i="42"/>
  <c r="AO67" i="42"/>
  <c r="AO69" i="42" s="1"/>
  <c r="AO71" i="42" s="1"/>
  <c r="AO77" i="42"/>
  <c r="AO79" i="42" s="1"/>
  <c r="AO82" i="42" s="1"/>
  <c r="AP232" i="42" l="1"/>
  <c r="AP179" i="42" s="1"/>
  <c r="AO216" i="42"/>
  <c r="AO94" i="42" s="1"/>
  <c r="AO488" i="42"/>
  <c r="AP252" i="42" l="1"/>
  <c r="AP250" i="42"/>
  <c r="AP304" i="42"/>
  <c r="AP305" i="42" s="1"/>
  <c r="AP308" i="42"/>
  <c r="AP256" i="42"/>
  <c r="AP239" i="42"/>
  <c r="AP242" i="42" s="1"/>
  <c r="AP300" i="42"/>
  <c r="AP301" i="42" s="1"/>
  <c r="AP275" i="42"/>
  <c r="AP276" i="42" s="1"/>
  <c r="AP253" i="42"/>
  <c r="AP251" i="42"/>
  <c r="AP270" i="42"/>
  <c r="AP271" i="42" s="1"/>
  <c r="AP272" i="42" s="1"/>
  <c r="AP296" i="42"/>
  <c r="AP297" i="42" s="1"/>
  <c r="AP279" i="42"/>
  <c r="AP280" i="42" s="1"/>
  <c r="AP291" i="42"/>
  <c r="AP292" i="42" s="1"/>
  <c r="AP293" i="42" s="1"/>
  <c r="AP317" i="42" s="1"/>
  <c r="AO42" i="42"/>
  <c r="AO49" i="42" s="1"/>
  <c r="AP309" i="42"/>
  <c r="AO96" i="42"/>
  <c r="AO97" i="42" s="1"/>
  <c r="AP180" i="42"/>
  <c r="AP183" i="42" s="1"/>
  <c r="AO121" i="42"/>
  <c r="AO126" i="42" s="1"/>
  <c r="AP257" i="42" l="1"/>
  <c r="AP260" i="42" s="1"/>
  <c r="AP192" i="42"/>
  <c r="AO44" i="42"/>
  <c r="AP316" i="42"/>
  <c r="AO106" i="42"/>
  <c r="AO112" i="42"/>
  <c r="AP194" i="42"/>
  <c r="AP207" i="42"/>
  <c r="AP205" i="42" l="1"/>
  <c r="AP52" i="42" s="1"/>
  <c r="AO48" i="42"/>
  <c r="AO127" i="42" s="1"/>
  <c r="AO108" i="42"/>
  <c r="AO109" i="42" s="1"/>
  <c r="AO74" i="42"/>
  <c r="AP193" i="42"/>
  <c r="AP206" i="42"/>
  <c r="AP318" i="42"/>
  <c r="AP477" i="42" l="1"/>
  <c r="AP212" i="42" s="1"/>
  <c r="AP208" i="42"/>
  <c r="AP195" i="42"/>
  <c r="AO60" i="42"/>
  <c r="AO61" i="42" s="1"/>
  <c r="AP478" i="42" l="1"/>
  <c r="AP51" i="42"/>
  <c r="AO63" i="42"/>
  <c r="AO7" i="42" s="1"/>
  <c r="AO8" i="42" s="1"/>
  <c r="AO65" i="42"/>
  <c r="AP196" i="42"/>
  <c r="AP209" i="42"/>
  <c r="AP56" i="42" l="1"/>
  <c r="AP54" i="42"/>
  <c r="AP53" i="42"/>
  <c r="AP480" i="42"/>
  <c r="AP499" i="42"/>
  <c r="AP93" i="42"/>
  <c r="AP515" i="42"/>
  <c r="AP520" i="42" s="1"/>
  <c r="AP506" i="42" l="1"/>
  <c r="AP521" i="42" s="1"/>
  <c r="AP502" i="42"/>
  <c r="AP75" i="42" s="1"/>
  <c r="AP491" i="42"/>
  <c r="AP487" i="42"/>
  <c r="AP213" i="42"/>
  <c r="AP215" i="42"/>
  <c r="AP214" i="42"/>
  <c r="AP77" i="42" l="1"/>
  <c r="AP79" i="42" s="1"/>
  <c r="AP82" i="42" s="1"/>
  <c r="AP67" i="42"/>
  <c r="AP69" i="42" s="1"/>
  <c r="AP71" i="42" s="1"/>
  <c r="AP216" i="42"/>
  <c r="AP496" i="42"/>
  <c r="AP55" i="42"/>
  <c r="AP503" i="42"/>
  <c r="AQ232" i="42" l="1"/>
  <c r="AQ308" i="42" s="1"/>
  <c r="AP488" i="42"/>
  <c r="AP94" i="42"/>
  <c r="AP42" i="42"/>
  <c r="AQ270" i="42" l="1"/>
  <c r="AQ300" i="42"/>
  <c r="AQ304" i="42"/>
  <c r="AQ239" i="42"/>
  <c r="AQ242" i="42" s="1"/>
  <c r="AQ291" i="42"/>
  <c r="AQ292" i="42" s="1"/>
  <c r="AQ293" i="42" s="1"/>
  <c r="AQ317" i="42" s="1"/>
  <c r="AQ250" i="42"/>
  <c r="AQ251" i="42"/>
  <c r="AQ279" i="42"/>
  <c r="AQ280" i="42" s="1"/>
  <c r="AQ256" i="42"/>
  <c r="AQ296" i="42"/>
  <c r="AQ297" i="42" s="1"/>
  <c r="AQ179" i="42"/>
  <c r="AQ275" i="42"/>
  <c r="AQ276" i="42" s="1"/>
  <c r="AQ252" i="42"/>
  <c r="AQ253" i="42"/>
  <c r="AP44" i="42"/>
  <c r="AP49" i="42"/>
  <c r="AQ271" i="42"/>
  <c r="AQ272" i="42" s="1"/>
  <c r="AQ301" i="42"/>
  <c r="AP96" i="42"/>
  <c r="AP97" i="42" s="1"/>
  <c r="AQ305" i="42"/>
  <c r="AQ309" i="42"/>
  <c r="AP121" i="42"/>
  <c r="AP126" i="42" s="1"/>
  <c r="AQ257" i="42" l="1"/>
  <c r="AQ260" i="42" s="1"/>
  <c r="AQ192" i="42"/>
  <c r="AQ180" i="42"/>
  <c r="AQ183" i="42" s="1"/>
  <c r="AP48" i="42"/>
  <c r="AP127" i="42" s="1"/>
  <c r="AQ205" i="42"/>
  <c r="AP106" i="42"/>
  <c r="AP112" i="42"/>
  <c r="AQ207" i="42"/>
  <c r="AQ194" i="42"/>
  <c r="AQ316" i="42"/>
  <c r="AQ318" i="42" s="1"/>
  <c r="AQ477" i="42" l="1"/>
  <c r="AQ212" i="42" s="1"/>
  <c r="AQ52" i="42"/>
  <c r="AQ208" i="42"/>
  <c r="AQ195" i="42"/>
  <c r="AP108" i="42"/>
  <c r="AP109" i="42" s="1"/>
  <c r="AP74" i="42"/>
  <c r="AQ206" i="42"/>
  <c r="AQ193" i="42"/>
  <c r="AP60" i="42" l="1"/>
  <c r="AP61" i="42" s="1"/>
  <c r="AQ196" i="42"/>
  <c r="AQ478" i="42"/>
  <c r="AQ515" i="42" s="1"/>
  <c r="AQ520" i="42" s="1"/>
  <c r="AQ51" i="42"/>
  <c r="AQ209" i="42"/>
  <c r="AQ93" i="42" l="1"/>
  <c r="AQ213" i="42" s="1"/>
  <c r="AQ56" i="42"/>
  <c r="AQ54" i="42"/>
  <c r="AQ53" i="42"/>
  <c r="AQ480" i="42"/>
  <c r="AQ499" i="42"/>
  <c r="AP63" i="42"/>
  <c r="AP7" i="42" s="1"/>
  <c r="AP8" i="42" s="1"/>
  <c r="AP65" i="42"/>
  <c r="AQ214" i="42" l="1"/>
  <c r="AQ215" i="42"/>
  <c r="AQ491" i="42"/>
  <c r="AQ487" i="42"/>
  <c r="AQ506" i="42"/>
  <c r="AQ521" i="42" s="1"/>
  <c r="AQ502" i="42"/>
  <c r="AQ75" i="42" s="1"/>
  <c r="AQ216" i="42" l="1"/>
  <c r="AQ94" i="42" s="1"/>
  <c r="AQ121" i="42" s="1"/>
  <c r="AQ126" i="42" s="1"/>
  <c r="AQ55" i="42"/>
  <c r="AQ496" i="42"/>
  <c r="AQ67" i="42"/>
  <c r="AQ69" i="42" s="1"/>
  <c r="AQ71" i="42" s="1"/>
  <c r="AQ77" i="42"/>
  <c r="AQ79" i="42" s="1"/>
  <c r="AQ82" i="42" s="1"/>
  <c r="AQ503" i="42"/>
  <c r="AR232" i="42" l="1"/>
  <c r="AR251" i="42" s="1"/>
  <c r="AQ42" i="42"/>
  <c r="AQ49" i="42" s="1"/>
  <c r="AQ96" i="42"/>
  <c r="AQ97" i="42" s="1"/>
  <c r="AQ488" i="42"/>
  <c r="AR291" i="42" l="1"/>
  <c r="AR292" i="42" s="1"/>
  <c r="AR293" i="42" s="1"/>
  <c r="AR317" i="42" s="1"/>
  <c r="AR179" i="42"/>
  <c r="AR308" i="42"/>
  <c r="AR309" i="42" s="1"/>
  <c r="AR253" i="42"/>
  <c r="AR239" i="42"/>
  <c r="AR242" i="42" s="1"/>
  <c r="AR275" i="42"/>
  <c r="AR276" i="42" s="1"/>
  <c r="AR304" i="42"/>
  <c r="AR305" i="42" s="1"/>
  <c r="AR252" i="42"/>
  <c r="AR279" i="42"/>
  <c r="AR280" i="42" s="1"/>
  <c r="AR296" i="42"/>
  <c r="AR297" i="42" s="1"/>
  <c r="AR270" i="42"/>
  <c r="AR250" i="42"/>
  <c r="AR300" i="42"/>
  <c r="AR301" i="42" s="1"/>
  <c r="AR256" i="42"/>
  <c r="AQ44" i="42"/>
  <c r="AR180" i="42"/>
  <c r="AR183" i="42" s="1"/>
  <c r="AQ106" i="42"/>
  <c r="AQ112" i="42"/>
  <c r="AR192" i="42" l="1"/>
  <c r="AR271" i="42"/>
  <c r="AR272" i="42" s="1"/>
  <c r="AR316" i="42" s="1"/>
  <c r="AQ48" i="42"/>
  <c r="AQ127" i="42" s="1"/>
  <c r="AR257" i="42"/>
  <c r="AR260" i="42" s="1"/>
  <c r="AR194" i="42"/>
  <c r="AR207" i="42"/>
  <c r="AQ108" i="42"/>
  <c r="AQ109" i="42" s="1"/>
  <c r="AQ74" i="42"/>
  <c r="AR205" i="42" l="1"/>
  <c r="AR477" i="42" s="1"/>
  <c r="AR193" i="42"/>
  <c r="AR206" i="42"/>
  <c r="AQ60" i="42"/>
  <c r="AQ61" i="42" s="1"/>
  <c r="AR318" i="42"/>
  <c r="AR52" i="42" l="1"/>
  <c r="AR212" i="42"/>
  <c r="AR208" i="42"/>
  <c r="AR195" i="42"/>
  <c r="AQ63" i="42"/>
  <c r="AQ7" i="42" s="1"/>
  <c r="AQ8" i="42" s="1"/>
  <c r="AQ65" i="42"/>
  <c r="AR196" i="42" l="1"/>
  <c r="AR209" i="42"/>
  <c r="AR478" i="42"/>
  <c r="AR51" i="42"/>
  <c r="AR93" i="42" l="1"/>
  <c r="AR213" i="42" s="1"/>
  <c r="AR480" i="42"/>
  <c r="AR499" i="42"/>
  <c r="AR515" i="42"/>
  <c r="AR520" i="42" s="1"/>
  <c r="AR53" i="42"/>
  <c r="AR54" i="42"/>
  <c r="AR56" i="42"/>
  <c r="AR214" i="42" l="1"/>
  <c r="AR215" i="42"/>
  <c r="AR506" i="42"/>
  <c r="AR521" i="42" s="1"/>
  <c r="AR502" i="42"/>
  <c r="AR75" i="42" s="1"/>
  <c r="AR487" i="42"/>
  <c r="AR491" i="42"/>
  <c r="AR503" i="42" l="1"/>
  <c r="AR216" i="42"/>
  <c r="AR94" i="42" s="1"/>
  <c r="AR121" i="42" s="1"/>
  <c r="AR126" i="42" s="1"/>
  <c r="AR55" i="42"/>
  <c r="AR496" i="42"/>
  <c r="AR67" i="42"/>
  <c r="AR69" i="42" s="1"/>
  <c r="AR71" i="42" s="1"/>
  <c r="AR77" i="42"/>
  <c r="AR79" i="42" s="1"/>
  <c r="AR82" i="42" s="1"/>
  <c r="AS232" i="42" l="1"/>
  <c r="AS256" i="42" s="1"/>
  <c r="AR42" i="42"/>
  <c r="AR49" i="42" s="1"/>
  <c r="AR488" i="42"/>
  <c r="AR96" i="42"/>
  <c r="AR97" i="42" s="1"/>
  <c r="AS179" i="42" l="1"/>
  <c r="AS308" i="42"/>
  <c r="AS309" i="42" s="1"/>
  <c r="AS275" i="42"/>
  <c r="AS276" i="42" s="1"/>
  <c r="AS270" i="42"/>
  <c r="AS271" i="42" s="1"/>
  <c r="AS272" i="42" s="1"/>
  <c r="AS279" i="42"/>
  <c r="AS280" i="42" s="1"/>
  <c r="AS304" i="42"/>
  <c r="AS305" i="42" s="1"/>
  <c r="AS296" i="42"/>
  <c r="AS297" i="42" s="1"/>
  <c r="AS251" i="42"/>
  <c r="AS253" i="42"/>
  <c r="AS250" i="42"/>
  <c r="AS252" i="42"/>
  <c r="AS291" i="42"/>
  <c r="AS300" i="42"/>
  <c r="AS301" i="42" s="1"/>
  <c r="AS239" i="42"/>
  <c r="AS242" i="42" s="1"/>
  <c r="AR44" i="42"/>
  <c r="AR106" i="42"/>
  <c r="AR112" i="42"/>
  <c r="AS180" i="42"/>
  <c r="AS183" i="42" s="1"/>
  <c r="AS192" i="42" l="1"/>
  <c r="AS257" i="42"/>
  <c r="AS260" i="42" s="1"/>
  <c r="AS292" i="42"/>
  <c r="AS293" i="42" s="1"/>
  <c r="AS317" i="42" s="1"/>
  <c r="AS194" i="42" s="1"/>
  <c r="AR48" i="42"/>
  <c r="AR127" i="42" s="1"/>
  <c r="AR108" i="42"/>
  <c r="AR109" i="42" s="1"/>
  <c r="AR74" i="42"/>
  <c r="AS316" i="42"/>
  <c r="AS207" i="42" l="1"/>
  <c r="AS205" i="42"/>
  <c r="AS52" i="42" s="1"/>
  <c r="AR60" i="42"/>
  <c r="AR61" i="42" s="1"/>
  <c r="AS206" i="42"/>
  <c r="AS193" i="42"/>
  <c r="AS318" i="42"/>
  <c r="AS477" i="42" l="1"/>
  <c r="AS212" i="42" s="1"/>
  <c r="AS478" i="42" s="1"/>
  <c r="AR63" i="42"/>
  <c r="AR7" i="42" s="1"/>
  <c r="AR8" i="42" s="1"/>
  <c r="AR65" i="42"/>
  <c r="AS195" i="42"/>
  <c r="AS208" i="42"/>
  <c r="AS51" i="42" l="1"/>
  <c r="AS54" i="42" s="1"/>
  <c r="AS196" i="42"/>
  <c r="AS209" i="42"/>
  <c r="AS499" i="42"/>
  <c r="AS480" i="42"/>
  <c r="AS515" i="42"/>
  <c r="AS520" i="42" s="1"/>
  <c r="AS53" i="42" l="1"/>
  <c r="AS56" i="42"/>
  <c r="AS93" i="42"/>
  <c r="AS215" i="42" s="1"/>
  <c r="AS506" i="42"/>
  <c r="AS502" i="42"/>
  <c r="AS75" i="42" s="1"/>
  <c r="AS491" i="42"/>
  <c r="AS487" i="42"/>
  <c r="AS521" i="42" l="1"/>
  <c r="AS214" i="42"/>
  <c r="AS213" i="42"/>
  <c r="AS77" i="42"/>
  <c r="AS79" i="42" s="1"/>
  <c r="AS82" i="42" s="1"/>
  <c r="AS67" i="42"/>
  <c r="AS69" i="42" s="1"/>
  <c r="AS71" i="42" s="1"/>
  <c r="AS55" i="42"/>
  <c r="AS496" i="42"/>
  <c r="AS503" i="42"/>
  <c r="AT232" i="42" l="1"/>
  <c r="AT300" i="42" s="1"/>
  <c r="AS216" i="42"/>
  <c r="AS42" i="42" s="1"/>
  <c r="AS488" i="42"/>
  <c r="AT253" i="42" l="1"/>
  <c r="AT251" i="42"/>
  <c r="AT270" i="42"/>
  <c r="AT271" i="42" s="1"/>
  <c r="AT272" i="42" s="1"/>
  <c r="AT239" i="42"/>
  <c r="AT242" i="42" s="1"/>
  <c r="AT250" i="42"/>
  <c r="AT304" i="42"/>
  <c r="AT305" i="42" s="1"/>
  <c r="AT291" i="42"/>
  <c r="AT292" i="42" s="1"/>
  <c r="AT293" i="42" s="1"/>
  <c r="AT317" i="42" s="1"/>
  <c r="AT279" i="42"/>
  <c r="AT280" i="42" s="1"/>
  <c r="AT256" i="42"/>
  <c r="AT296" i="42"/>
  <c r="AT297" i="42" s="1"/>
  <c r="AT275" i="42"/>
  <c r="AT276" i="42" s="1"/>
  <c r="AT308" i="42"/>
  <c r="AT309" i="42" s="1"/>
  <c r="AT252" i="42"/>
  <c r="AT179" i="42"/>
  <c r="AS94" i="42"/>
  <c r="AS121" i="42" s="1"/>
  <c r="AS126" i="42" s="1"/>
  <c r="AS49" i="42"/>
  <c r="AS44" i="42"/>
  <c r="AT301" i="42"/>
  <c r="AT257" i="42" l="1"/>
  <c r="AT260" i="42" s="1"/>
  <c r="AT192" i="42"/>
  <c r="AT180" i="42"/>
  <c r="AT183" i="42" s="1"/>
  <c r="AS48" i="42"/>
  <c r="AS96" i="42"/>
  <c r="AS97" i="42" s="1"/>
  <c r="AS106" i="42" s="1"/>
  <c r="AT194" i="42"/>
  <c r="AT207" i="42"/>
  <c r="AT316" i="42"/>
  <c r="AT205" i="42" l="1"/>
  <c r="AT52" i="42" s="1"/>
  <c r="AS112" i="42"/>
  <c r="AS127" i="42"/>
  <c r="AT318" i="42"/>
  <c r="AT193" i="42"/>
  <c r="AT206" i="42"/>
  <c r="AS108" i="42"/>
  <c r="AS109" i="42" s="1"/>
  <c r="AS74" i="42"/>
  <c r="AT477" i="42" l="1"/>
  <c r="AT212" i="42" s="1"/>
  <c r="AT478" i="42" s="1"/>
  <c r="AT515" i="42" s="1"/>
  <c r="AT520" i="42" s="1"/>
  <c r="AT195" i="42"/>
  <c r="AT196" i="42" s="1"/>
  <c r="AT208" i="42"/>
  <c r="AT209" i="42" s="1"/>
  <c r="AS60" i="42"/>
  <c r="AS61" i="42" s="1"/>
  <c r="AT51" i="42" l="1"/>
  <c r="AT53" i="42" s="1"/>
  <c r="AT93" i="42"/>
  <c r="AT213" i="42" s="1"/>
  <c r="AS63" i="42"/>
  <c r="AS7" i="42" s="1"/>
  <c r="AS8" i="42" s="1"/>
  <c r="AS65" i="42"/>
  <c r="AT54" i="42"/>
  <c r="AT56" i="42"/>
  <c r="AT480" i="42"/>
  <c r="AT499" i="42"/>
  <c r="AT215" i="42" l="1"/>
  <c r="AT214" i="42"/>
  <c r="AT506" i="42"/>
  <c r="AT521" i="42" s="1"/>
  <c r="AT502" i="42"/>
  <c r="AT75" i="42" s="1"/>
  <c r="AT487" i="42"/>
  <c r="AT491" i="42"/>
  <c r="AT503" i="42" l="1"/>
  <c r="AT216" i="42"/>
  <c r="AT94" i="42" s="1"/>
  <c r="AT121" i="42" s="1"/>
  <c r="AT126" i="42" s="1"/>
  <c r="AT496" i="42"/>
  <c r="AT55" i="42"/>
  <c r="AT67" i="42"/>
  <c r="AT69" i="42" s="1"/>
  <c r="AT71" i="42" s="1"/>
  <c r="AT77" i="42"/>
  <c r="AT79" i="42" s="1"/>
  <c r="AT82" i="42" s="1"/>
  <c r="AU232" i="42" l="1"/>
  <c r="AU179" i="42" s="1"/>
  <c r="AT42" i="42"/>
  <c r="AT49" i="42" s="1"/>
  <c r="AT488" i="42"/>
  <c r="AT96" i="42"/>
  <c r="AT97" i="42" s="1"/>
  <c r="AU308" i="42" l="1"/>
  <c r="AU270" i="42"/>
  <c r="AU291" i="42"/>
  <c r="AU292" i="42" s="1"/>
  <c r="AU293" i="42" s="1"/>
  <c r="AU317" i="42" s="1"/>
  <c r="AU239" i="42"/>
  <c r="AU242" i="42" s="1"/>
  <c r="AU296" i="42"/>
  <c r="AU297" i="42" s="1"/>
  <c r="AU252" i="42"/>
  <c r="AU304" i="42"/>
  <c r="AU305" i="42" s="1"/>
  <c r="AU275" i="42"/>
  <c r="AU276" i="42" s="1"/>
  <c r="AU253" i="42"/>
  <c r="AU256" i="42"/>
  <c r="AU300" i="42"/>
  <c r="AU301" i="42" s="1"/>
  <c r="AU251" i="42"/>
  <c r="AU279" i="42"/>
  <c r="AU280" i="42" s="1"/>
  <c r="AU250" i="42"/>
  <c r="AT44" i="42"/>
  <c r="AT112" i="42"/>
  <c r="AT106" i="42"/>
  <c r="AU271" i="42"/>
  <c r="AU272" i="42" s="1"/>
  <c r="AU309" i="42"/>
  <c r="AU180" i="42"/>
  <c r="AU183" i="42" s="1"/>
  <c r="AU192" i="42" l="1"/>
  <c r="AU257" i="42"/>
  <c r="AU260" i="42" s="1"/>
  <c r="AT48" i="42"/>
  <c r="AT127" i="42" s="1"/>
  <c r="AU207" i="42"/>
  <c r="AU194" i="42"/>
  <c r="AU316" i="42"/>
  <c r="AT108" i="42"/>
  <c r="AT109" i="42" s="1"/>
  <c r="AT74" i="42"/>
  <c r="AU205" i="42" l="1"/>
  <c r="AU52" i="42" s="1"/>
  <c r="AT60" i="42"/>
  <c r="AT61" i="42" s="1"/>
  <c r="AU206" i="42"/>
  <c r="AU193" i="42"/>
  <c r="AU318" i="42"/>
  <c r="AU477" i="42" l="1"/>
  <c r="AU212" i="42" s="1"/>
  <c r="AU478" i="42" s="1"/>
  <c r="AU195" i="42"/>
  <c r="AU196" i="42" s="1"/>
  <c r="AU208" i="42"/>
  <c r="AU209" i="42" s="1"/>
  <c r="AT63" i="42"/>
  <c r="AT7" i="42" s="1"/>
  <c r="AT8" i="42" s="1"/>
  <c r="AT65" i="42"/>
  <c r="AU51" i="42" l="1"/>
  <c r="AU54" i="42" s="1"/>
  <c r="AU93" i="42"/>
  <c r="AU480" i="42"/>
  <c r="AU499" i="42"/>
  <c r="AU515" i="42"/>
  <c r="AU520" i="42" s="1"/>
  <c r="AU53" i="42" l="1"/>
  <c r="AU56" i="42"/>
  <c r="AU214" i="42"/>
  <c r="AU213" i="42"/>
  <c r="AU215" i="42"/>
  <c r="AU491" i="42"/>
  <c r="AU487" i="42"/>
  <c r="AU502" i="42"/>
  <c r="AU75" i="42" s="1"/>
  <c r="AU506" i="42"/>
  <c r="AU521" i="42" s="1"/>
  <c r="AU67" i="42" l="1"/>
  <c r="AU69" i="42" s="1"/>
  <c r="AU71" i="42" s="1"/>
  <c r="AU77" i="42"/>
  <c r="AU79" i="42" s="1"/>
  <c r="AU82" i="42" s="1"/>
  <c r="AU503" i="42"/>
  <c r="AU216" i="42"/>
  <c r="AU55" i="42"/>
  <c r="AU496" i="42"/>
  <c r="AV232" i="42" l="1"/>
  <c r="AV252" i="42" s="1"/>
  <c r="AU94" i="42"/>
  <c r="AU121" i="42" s="1"/>
  <c r="AU126" i="42" s="1"/>
  <c r="AU42" i="42"/>
  <c r="AU488" i="42"/>
  <c r="AV179" i="42" l="1"/>
  <c r="AV180" i="42" s="1"/>
  <c r="AV183" i="42" s="1"/>
  <c r="AV270" i="42"/>
  <c r="AV256" i="42"/>
  <c r="AV308" i="42"/>
  <c r="AV309" i="42" s="1"/>
  <c r="AV275" i="42"/>
  <c r="AV276" i="42" s="1"/>
  <c r="AV253" i="42"/>
  <c r="AV300" i="42"/>
  <c r="AV301" i="42" s="1"/>
  <c r="AV250" i="42"/>
  <c r="AV279" i="42"/>
  <c r="AV280" i="42" s="1"/>
  <c r="AV304" i="42"/>
  <c r="AV305" i="42" s="1"/>
  <c r="AV296" i="42"/>
  <c r="AV297" i="42" s="1"/>
  <c r="AV239" i="42"/>
  <c r="AV242" i="42" s="1"/>
  <c r="AV251" i="42"/>
  <c r="AV291" i="42"/>
  <c r="AV292" i="42" s="1"/>
  <c r="AV293" i="42" s="1"/>
  <c r="AV317" i="42" s="1"/>
  <c r="AU44" i="42"/>
  <c r="AU49" i="42"/>
  <c r="AU96" i="42"/>
  <c r="AU97" i="42" s="1"/>
  <c r="AV271" i="42"/>
  <c r="AV272" i="42" s="1"/>
  <c r="AV257" i="42" l="1"/>
  <c r="AV260" i="42" s="1"/>
  <c r="AV192" i="42"/>
  <c r="AU48" i="42"/>
  <c r="AU127" i="42" s="1"/>
  <c r="AV316" i="42"/>
  <c r="AV193" i="42" s="1"/>
  <c r="AV194" i="42"/>
  <c r="AV207" i="42"/>
  <c r="AU112" i="42"/>
  <c r="AU106" i="42"/>
  <c r="AV205" i="42" l="1"/>
  <c r="AV477" i="42" s="1"/>
  <c r="AV212" i="42" s="1"/>
  <c r="AV206" i="42"/>
  <c r="AV318" i="42"/>
  <c r="AV195" i="42" s="1"/>
  <c r="AU108" i="42"/>
  <c r="AU109" i="42" s="1"/>
  <c r="AU74" i="42"/>
  <c r="AV52" i="42" l="1"/>
  <c r="AV208" i="42"/>
  <c r="AV209" i="42" s="1"/>
  <c r="AU60" i="42"/>
  <c r="AU61" i="42" s="1"/>
  <c r="AV478" i="42"/>
  <c r="AV515" i="42" s="1"/>
  <c r="AV520" i="42" s="1"/>
  <c r="AV51" i="42"/>
  <c r="AV196" i="42"/>
  <c r="AV53" i="42" l="1"/>
  <c r="AV54" i="42"/>
  <c r="AV56" i="42"/>
  <c r="AU63" i="42"/>
  <c r="AU7" i="42" s="1"/>
  <c r="AU8" i="42" s="1"/>
  <c r="AU65" i="42"/>
  <c r="AV499" i="42"/>
  <c r="AV480" i="42"/>
  <c r="AV93" i="42"/>
  <c r="AV213" i="42" l="1"/>
  <c r="AV215" i="42"/>
  <c r="AV214" i="42"/>
  <c r="AV487" i="42"/>
  <c r="AV491" i="42"/>
  <c r="AV506" i="42"/>
  <c r="AV521" i="42" s="1"/>
  <c r="AV502" i="42"/>
  <c r="AV75" i="42" s="1"/>
  <c r="AV67" i="42" l="1"/>
  <c r="AV69" i="42" s="1"/>
  <c r="AV71" i="42" s="1"/>
  <c r="AV77" i="42"/>
  <c r="AV79" i="42" s="1"/>
  <c r="AV82" i="42" s="1"/>
  <c r="AV216" i="42"/>
  <c r="AV503" i="42"/>
  <c r="AV55" i="42"/>
  <c r="AV496" i="42"/>
  <c r="AW232" i="42" l="1"/>
  <c r="AW251" i="42" s="1"/>
  <c r="AV488" i="42"/>
  <c r="AV94" i="42"/>
  <c r="AV121" i="42" s="1"/>
  <c r="AV126" i="42" s="1"/>
  <c r="AV42" i="42"/>
  <c r="AW250" i="42" l="1"/>
  <c r="AW252" i="42"/>
  <c r="AW291" i="42"/>
  <c r="AW292" i="42" s="1"/>
  <c r="AW293" i="42" s="1"/>
  <c r="AW317" i="42" s="1"/>
  <c r="AW253" i="42"/>
  <c r="AW304" i="42"/>
  <c r="AW305" i="42" s="1"/>
  <c r="AW275" i="42"/>
  <c r="AW276" i="42" s="1"/>
  <c r="AW296" i="42"/>
  <c r="AW297" i="42" s="1"/>
  <c r="AW300" i="42"/>
  <c r="AW301" i="42" s="1"/>
  <c r="AW308" i="42"/>
  <c r="AW309" i="42" s="1"/>
  <c r="AW179" i="42"/>
  <c r="AW180" i="42" s="1"/>
  <c r="AW183" i="42" s="1"/>
  <c r="AW256" i="42"/>
  <c r="AW270" i="42"/>
  <c r="AW271" i="42" s="1"/>
  <c r="AW272" i="42" s="1"/>
  <c r="AW279" i="42"/>
  <c r="AW280" i="42" s="1"/>
  <c r="AW239" i="42"/>
  <c r="AW242" i="42" s="1"/>
  <c r="AV49" i="42"/>
  <c r="AV44" i="42"/>
  <c r="AV96" i="42"/>
  <c r="AV97" i="42" s="1"/>
  <c r="AV48" i="42" l="1"/>
  <c r="AW316" i="42"/>
  <c r="AW206" i="42" s="1"/>
  <c r="AW257" i="42"/>
  <c r="AW260" i="42" s="1"/>
  <c r="AW192" i="42"/>
  <c r="AV106" i="42"/>
  <c r="AV112" i="42"/>
  <c r="AW194" i="42"/>
  <c r="AW207" i="42"/>
  <c r="AV127" i="42" l="1"/>
  <c r="AW205" i="42"/>
  <c r="AW52" i="42" s="1"/>
  <c r="AW193" i="42"/>
  <c r="AW318" i="42"/>
  <c r="AW208" i="42" s="1"/>
  <c r="AV108" i="42"/>
  <c r="AV109" i="42" s="1"/>
  <c r="AV74" i="42"/>
  <c r="AW209" i="42" l="1"/>
  <c r="AW477" i="42"/>
  <c r="AW212" i="42" s="1"/>
  <c r="AW478" i="42" s="1"/>
  <c r="AW515" i="42" s="1"/>
  <c r="AW520" i="42" s="1"/>
  <c r="AW195" i="42"/>
  <c r="AW196" i="42" s="1"/>
  <c r="AW93" i="42" s="1"/>
  <c r="AV60" i="42"/>
  <c r="AV61" i="42" s="1"/>
  <c r="AW214" i="42" l="1"/>
  <c r="AW51" i="42"/>
  <c r="AW56" i="42" s="1"/>
  <c r="AW213" i="42"/>
  <c r="AW215" i="42"/>
  <c r="AV63" i="42"/>
  <c r="AV7" i="42" s="1"/>
  <c r="AV8" i="42" s="1"/>
  <c r="AV65" i="42"/>
  <c r="AW480" i="42"/>
  <c r="AW499" i="42"/>
  <c r="AW53" i="42" l="1"/>
  <c r="AW54" i="42"/>
  <c r="AW216" i="42"/>
  <c r="AW94" i="42" s="1"/>
  <c r="AW96" i="42" s="1"/>
  <c r="AW97" i="42" s="1"/>
  <c r="AW487" i="42"/>
  <c r="AW491" i="42"/>
  <c r="AW502" i="42"/>
  <c r="AW75" i="42" s="1"/>
  <c r="AW506" i="42"/>
  <c r="AW521" i="42" s="1"/>
  <c r="AW42" i="42" l="1"/>
  <c r="AW44" i="42" s="1"/>
  <c r="AW48" i="42" s="1"/>
  <c r="AW67" i="42"/>
  <c r="AW69" i="42" s="1"/>
  <c r="AW71" i="42" s="1"/>
  <c r="AW77" i="42"/>
  <c r="AW79" i="42" s="1"/>
  <c r="AW82" i="42" s="1"/>
  <c r="AW112" i="42"/>
  <c r="AW106" i="42"/>
  <c r="AW108" i="42" s="1"/>
  <c r="AW109" i="42" s="1"/>
  <c r="AW121" i="42"/>
  <c r="AW126" i="42" s="1"/>
  <c r="AW503" i="42"/>
  <c r="AW55" i="42"/>
  <c r="AW496" i="42"/>
  <c r="AW488" i="42" l="1"/>
  <c r="AW49" i="42"/>
  <c r="AW127" i="42"/>
  <c r="AW74" i="42"/>
  <c r="AW60" i="42" s="1"/>
  <c r="AW61" i="42" s="1"/>
  <c r="AW63" i="42" s="1"/>
  <c r="AW7" i="42" s="1"/>
  <c r="AW8" i="42" s="1"/>
  <c r="AW65" i="42" l="1"/>
</calcChain>
</file>

<file path=xl/comments1.xml><?xml version="1.0" encoding="utf-8"?>
<comments xmlns="http://schemas.openxmlformats.org/spreadsheetml/2006/main">
  <authors>
    <author>Matthew Bell [TSY]</author>
  </authors>
  <commentList>
    <comment ref="A24" authorId="0" shapeId="0">
      <text>
        <r>
          <rPr>
            <sz val="9"/>
            <color indexed="81"/>
            <rFont val="Tahoma"/>
            <family val="2"/>
          </rPr>
          <t xml:space="preserve">Non-Earners' Account and non-earners' share of the Treatment Injury Account is paid by the government. Hence those shares of the levy income are removed in the preparation of consolidated accounts. 
</t>
        </r>
      </text>
    </comment>
    <comment ref="A26" authorId="0" shapeId="0">
      <text>
        <r>
          <rPr>
            <sz val="9"/>
            <color indexed="81"/>
            <rFont val="Tahoma"/>
            <family val="2"/>
          </rPr>
          <t xml:space="preserve">Non-Earners' Account and non-earners' share of the Treatment Injury Account is paid by the government. Hence those shares of the claims and other expenses are removed in the preparation of consolidated accounts. 
</t>
        </r>
      </text>
    </comment>
  </commentList>
</comments>
</file>

<file path=xl/comments2.xml><?xml version="1.0" encoding="utf-8"?>
<comments xmlns="http://schemas.openxmlformats.org/spreadsheetml/2006/main">
  <authors>
    <author>Matthew Bell</author>
  </authors>
  <commentList>
    <comment ref="A61" authorId="0" shapeId="0">
      <text>
        <r>
          <rPr>
            <sz val="9"/>
            <color indexed="81"/>
            <rFont val="Tahoma"/>
            <family val="2"/>
          </rPr>
          <t xml:space="preserve">These expenses were included in Heritage, culture and recreation expenses until 2010/11
</t>
        </r>
      </text>
    </comment>
  </commentList>
</comments>
</file>

<file path=xl/comments3.xml><?xml version="1.0" encoding="utf-8"?>
<comments xmlns="http://schemas.openxmlformats.org/spreadsheetml/2006/main">
  <authors>
    <author>Matthew Bell</author>
    <author>Matthew Bell [TSY]</author>
  </authors>
  <commentList>
    <comment ref="A3" authorId="0" shapeId="0">
      <text>
        <r>
          <rPr>
            <sz val="9"/>
            <color indexed="81"/>
            <rFont val="Tahoma"/>
            <family val="2"/>
          </rPr>
          <t xml:space="preserve">Any given historical year will be the data recorded at the time of the following Budget e.g. 2006/07 was the last historical year for Budget 2008. It is possible that, in some cases, historical data gets revised after its Budget publication. However, this method maintains a consistency over Budgets.
</t>
        </r>
      </text>
    </comment>
    <comment ref="B9" authorId="1" shapeId="0">
      <text>
        <r>
          <rPr>
            <sz val="9"/>
            <color indexed="81"/>
            <rFont val="Tahoma"/>
            <family val="2"/>
          </rPr>
          <t xml:space="preserve">NAC stands for Needed As Check. The data in this row is not actually picked up in the model itself, but is used as a check on other data in this worksheet.
</t>
        </r>
      </text>
    </comment>
    <comment ref="B11" authorId="1" shapeId="0">
      <text>
        <r>
          <rPr>
            <sz val="9"/>
            <color indexed="81"/>
            <rFont val="Tahoma"/>
            <family val="2"/>
          </rPr>
          <t xml:space="preserve">UIM stands for Used In Model. The data in this row is directly referenced in the main modelling worksheets of the model.
</t>
        </r>
      </text>
    </comment>
    <comment ref="A85" authorId="0" shapeId="0">
      <text>
        <r>
          <rPr>
            <sz val="9"/>
            <color indexed="81"/>
            <rFont val="Tahoma"/>
            <family val="2"/>
          </rPr>
          <t>In 2014/15 the figure includes $579 million proceeds from Government share offer programme.</t>
        </r>
      </text>
    </comment>
    <comment ref="B124" authorId="0" shapeId="0">
      <text>
        <r>
          <rPr>
            <sz val="9"/>
            <color indexed="81"/>
            <rFont val="Tahoma"/>
            <family val="2"/>
          </rPr>
          <t>These are Used In Modelling worksheets, so are UIM, but some formulae in this worksheet need this cell to be empty.</t>
        </r>
      </text>
    </comment>
    <comment ref="B125" authorId="0" shapeId="0">
      <text>
        <r>
          <rPr>
            <sz val="9"/>
            <color indexed="81"/>
            <rFont val="Tahoma"/>
            <family val="2"/>
          </rPr>
          <t>These are Used In Modelling worksheets, so are UIM, but some formulae in this worksheet need this cell to be empty.</t>
        </r>
      </text>
    </comment>
    <comment ref="A139" authorId="0" shapeId="0">
      <text>
        <r>
          <rPr>
            <sz val="9"/>
            <color indexed="81"/>
            <rFont val="Tahoma"/>
            <family val="2"/>
          </rPr>
          <t>Includes unsettled purchases of securities, which are classified as accounts payable in the Statement of Financial Position.</t>
        </r>
      </text>
    </comment>
    <comment ref="A156" authorId="0" shapeId="0">
      <text>
        <r>
          <rPr>
            <sz val="9"/>
            <color indexed="81"/>
            <rFont val="Tahoma"/>
            <family val="2"/>
          </rPr>
          <t>In the Statement of Segments this variable is labelled Social assistance and development assistance, but it is exactly the same variable which is labelled Transfer payments and subsidies in the Statement of Financial Performance.</t>
        </r>
      </text>
    </comment>
    <comment ref="A190" authorId="0" shapeId="0">
      <text>
        <r>
          <rPr>
            <sz val="9"/>
            <color indexed="81"/>
            <rFont val="Tahoma"/>
            <family val="2"/>
          </rPr>
          <t xml:space="preserve">Often there are no inter-segment eliminations for Insurance expenses and this is what is assumed in projected years. However, occasionally they occur in historical years. In such cases they are included with State-owned enterprises numbers in the main modelling worksheets. </t>
        </r>
      </text>
    </comment>
    <comment ref="A245" authorId="0" shapeId="0">
      <text>
        <r>
          <rPr>
            <sz val="9"/>
            <color indexed="81"/>
            <rFont val="Tahoma"/>
            <family val="2"/>
          </rPr>
          <t xml:space="preserve">Normally there are no inter-segment eliminations for Depreciation and Amortisation expenses. However, occasionally they occur in historical years. In such cases they are included with State-owned enterprises numbers in the main modelling worksheets. </t>
        </r>
      </text>
    </comment>
    <comment ref="A261" authorId="0" shapeId="0">
      <text>
        <r>
          <rPr>
            <sz val="9"/>
            <color indexed="81"/>
            <rFont val="Tahoma"/>
            <family val="2"/>
          </rPr>
          <t xml:space="preserve">Until 2018/19 Other insurance expenses include expenses and, in some years, refunds for Southern Response, the insurance company which was set up by the Government to settle claims of the former insurance company AMI. </t>
        </r>
      </text>
    </comment>
    <comment ref="A354" authorId="0" shapeId="0">
      <text>
        <r>
          <rPr>
            <sz val="9"/>
            <color indexed="81"/>
            <rFont val="Tahoma"/>
            <family val="2"/>
          </rPr>
          <t xml:space="preserve">Until 2017/18 Other insurance liabilities include liabilities for Southern Response, the insurance company which was set up by the Government to settle claims of the former insurance company AMI. </t>
        </r>
      </text>
    </comment>
  </commentList>
</comments>
</file>

<file path=xl/sharedStrings.xml><?xml version="1.0" encoding="utf-8"?>
<sst xmlns="http://schemas.openxmlformats.org/spreadsheetml/2006/main" count="2433" uniqueCount="1243">
  <si>
    <t>RESIDENT POPULATION OF NEW ZEALAND, BY SINGLE YEAR OF AGE AND GENDER, AS AT 30 JUNE</t>
  </si>
  <si>
    <t>Estimated resident population by age and sex (as at 30 June)</t>
  </si>
  <si>
    <t>FEMALES</t>
  </si>
  <si>
    <t>90 &amp; over</t>
  </si>
  <si>
    <t>Female total</t>
  </si>
  <si>
    <r>
      <t xml:space="preserve">Age in years </t>
    </r>
    <r>
      <rPr>
        <b/>
        <sz val="11"/>
        <color theme="1"/>
        <rFont val="Calibri"/>
        <family val="2"/>
      </rPr>
      <t>↓</t>
    </r>
  </si>
  <si>
    <t>National population projections: 2014 (base) - 2068</t>
  </si>
  <si>
    <t>Population projections</t>
  </si>
  <si>
    <t>Projections from Statistics New Zealand</t>
  </si>
  <si>
    <t>Historical data from Statistics New Zealand</t>
  </si>
  <si>
    <t>Infoshare: Population - Population Estimates</t>
  </si>
  <si>
    <t>MALES</t>
  </si>
  <si>
    <t>Male total</t>
  </si>
  <si>
    <t>Year ended 30 June</t>
  </si>
  <si>
    <t>2005/06</t>
  </si>
  <si>
    <t>2006/07</t>
  </si>
  <si>
    <t>2007/08</t>
  </si>
  <si>
    <t>2008/09</t>
  </si>
  <si>
    <t>2010/11</t>
  </si>
  <si>
    <t>2009/10</t>
  </si>
  <si>
    <t>2011/12</t>
  </si>
  <si>
    <t>2012/13</t>
  </si>
  <si>
    <t>2013/14</t>
  </si>
  <si>
    <t>2014/15</t>
  </si>
  <si>
    <t>50th percentile (median) projection</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</si>
  <si>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</si>
  <si>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</si>
  <si>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</si>
  <si>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</si>
  <si>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</si>
  <si>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</si>
  <si>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</si>
  <si>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</si>
  <si>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</si>
  <si>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</si>
  <si>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</si>
  <si>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</si>
  <si>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</si>
  <si>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</si>
  <si>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</si>
  <si>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</si>
  <si>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</si>
  <si>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</si>
  <si>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</si>
  <si>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</si>
  <si>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</si>
  <si>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</si>
  <si>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</si>
  <si>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</si>
  <si>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</si>
  <si>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</si>
  <si>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</si>
  <si>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</si>
  <si>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</si>
  <si>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</si>
  <si>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</si>
  <si>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</si>
  <si>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</si>
  <si>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</si>
  <si>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</si>
  <si>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</si>
  <si>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</si>
  <si>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</si>
  <si>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</si>
  <si>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</si>
  <si>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</si>
  <si>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</si>
  <si>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</si>
  <si>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</si>
  <si>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</si>
  <si>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Population (millions)</t>
  </si>
  <si>
    <t>Annual growth (%)</t>
  </si>
  <si>
    <t>Life expectancy at birth (years)</t>
  </si>
  <si>
    <t>Life expectancy at age 65 (years)</t>
  </si>
  <si>
    <t>NATIONAL LABOUR FORCE PROJECTIONS, BY SINGLE YEAR OF AGE AND GENDER, AS AT 30 JUNE</t>
  </si>
  <si>
    <t>National labour force projections: 2015 (base) - 2068</t>
  </si>
  <si>
    <t>National labour force projections</t>
  </si>
  <si>
    <t>80 &amp; over</t>
  </si>
  <si>
    <t>Labour Force (millions)</t>
  </si>
  <si>
    <t>Participation rate (%)</t>
  </si>
  <si>
    <t>INPUT PROJECTIONS AND DATA, EXOGENOUS TO LONG-TERM FISCAL MODEL OUTPUTS</t>
  </si>
  <si>
    <t>NEW ZEALAND SUPERANNUATION FUND (NZSF)</t>
  </si>
  <si>
    <t>(billions of $NZ)</t>
  </si>
  <si>
    <t>Revenue and gains/(losses) less non-tax expenses</t>
  </si>
  <si>
    <r>
      <t xml:space="preserve">less </t>
    </r>
    <r>
      <rPr>
        <sz val="11"/>
        <color theme="1"/>
        <rFont val="Arial"/>
        <family val="2"/>
      </rPr>
      <t>Tax on earnings</t>
    </r>
  </si>
  <si>
    <t>Capital contribution/(withdrawal) from Government</t>
  </si>
  <si>
    <t>Other movements in reserves</t>
  </si>
  <si>
    <t>Closing Balance</t>
  </si>
  <si>
    <t>STUDENT LOANS</t>
  </si>
  <si>
    <t>Amount borrowed in current year</t>
  </si>
  <si>
    <r>
      <t xml:space="preserve">less </t>
    </r>
    <r>
      <rPr>
        <sz val="11"/>
        <color theme="1"/>
        <rFont val="Arial"/>
        <family val="2"/>
      </rPr>
      <t>Initial write-down to fair value</t>
    </r>
  </si>
  <si>
    <r>
      <t xml:space="preserve">less </t>
    </r>
    <r>
      <rPr>
        <sz val="11"/>
        <color theme="1"/>
        <rFont val="Arial"/>
        <family val="2"/>
      </rPr>
      <t>Repayments made during the year</t>
    </r>
  </si>
  <si>
    <t>Interest unwind</t>
  </si>
  <si>
    <r>
      <t xml:space="preserve">less </t>
    </r>
    <r>
      <rPr>
        <sz val="11"/>
        <color theme="1"/>
        <rFont val="Arial"/>
        <family val="2"/>
      </rPr>
      <t>Impairment</t>
    </r>
  </si>
  <si>
    <t>Other movements</t>
  </si>
  <si>
    <t>ACCIDENT COMPENSATION CORPORATION (ACC)</t>
  </si>
  <si>
    <t>Levy income</t>
  </si>
  <si>
    <t>Claims and other expenses</t>
  </si>
  <si>
    <t>Non-Earners (NE) &amp; NE share of Treatment Injury levy income</t>
  </si>
  <si>
    <t>Non-Earners &amp; NE share of Treatment Injury claims &amp; expenses</t>
  </si>
  <si>
    <t>Investment income</t>
  </si>
  <si>
    <t>Closing assets</t>
  </si>
  <si>
    <t>Closing liabilities</t>
  </si>
  <si>
    <t>GOVERNMENT SUPERANNUATION FUND (GSF)</t>
  </si>
  <si>
    <t>Pension expenses</t>
  </si>
  <si>
    <t>KIWI SAVER EXPENSE TRACK</t>
  </si>
  <si>
    <t>ECONOMIC HISTORICAL AND FORECAST DATA</t>
  </si>
  <si>
    <t>The projections and/or data in this worksheet are either produced by other Treasury models or obtained from other public sector agencies. They are used in the main modelling worksheets of the Long-Term Fiscal Model.</t>
  </si>
  <si>
    <t>Historical and forecast data in this worksheet are produced by the Treasury. They are used in the main modelling worksheets of the Long-Term Fiscal Model.</t>
  </si>
  <si>
    <t>Total Population (thousands)</t>
  </si>
  <si>
    <t>Labour productivity annual growth (percentage) (hours worked measure)</t>
  </si>
  <si>
    <t>Consumers Price Index (CPI)</t>
  </si>
  <si>
    <t>Average hourly wage growth (percentage) (ordinary time measure)</t>
  </si>
  <si>
    <t>Government 10-year bond annual rate of return (percentage) (average of 4 quarters)</t>
  </si>
  <si>
    <t xml:space="preserve">Real Gross Domestic Product (GDP) ($09/10 billion) (production, base is 2009/10) </t>
  </si>
  <si>
    <t>Unemployment Rate (percentage of labour force)</t>
  </si>
  <si>
    <t>Average weekly hours paid (hours per week)</t>
  </si>
  <si>
    <t>Budget 2016 forecast from 2015/16 onwards</t>
  </si>
  <si>
    <r>
      <t xml:space="preserve">Average weekly hours worked (Total hours worked </t>
    </r>
    <r>
      <rPr>
        <b/>
        <sz val="11"/>
        <color theme="1"/>
        <rFont val="Calibri"/>
        <family val="2"/>
      </rPr>
      <t>÷</t>
    </r>
    <r>
      <rPr>
        <b/>
        <sz val="11"/>
        <color theme="1"/>
        <rFont val="Arial"/>
        <family val="2"/>
      </rPr>
      <t xml:space="preserve"> total employed labour force)</t>
    </r>
  </si>
  <si>
    <t>ECONOMIC AND FISCAL PROJECTION ASSUMPTIONS</t>
  </si>
  <si>
    <t>This worksheet is where the economic and fiscal modelling assumptions are entered. They are used in the main modelling worksheets of the Long-Term Fiscal Model.</t>
  </si>
  <si>
    <t>Unless specifically stated otherwise, all references in this worksheet to GDP should be taken to mean the current price variable Nominal Gross Domestic Product (GDP).</t>
  </si>
  <si>
    <t>Assumptions are picked up in a modelling worksheet by formulae connected to the scenario name used at the top of the "set of assumptions" column in this worksheet.</t>
  </si>
  <si>
    <t>SCENARIO NAME</t>
  </si>
  <si>
    <t>ECONOMIC ASSUMPTIONS</t>
  </si>
  <si>
    <t>The following are the economic variables most often altered in scenarios. The values used are the desired long-run stable levels or annual growth rates.</t>
  </si>
  <si>
    <r>
      <t xml:space="preserve">SCENARIO NAME SELECTED IN </t>
    </r>
    <r>
      <rPr>
        <b/>
        <i/>
        <sz val="11"/>
        <color theme="1"/>
        <rFont val="Arial"/>
        <family val="2"/>
      </rPr>
      <t>ASSUMPTIONS</t>
    </r>
    <r>
      <rPr>
        <b/>
        <sz val="11"/>
        <color theme="1"/>
        <rFont val="Arial"/>
        <family val="2"/>
      </rPr>
      <t xml:space="preserve"> WORKSHEET WRITTEN HERE </t>
    </r>
    <r>
      <rPr>
        <b/>
        <sz val="11"/>
        <color theme="1"/>
        <rFont val="Calibri"/>
        <family val="2"/>
      </rPr>
      <t>→</t>
    </r>
  </si>
  <si>
    <r>
      <rPr>
        <i/>
        <sz val="11"/>
        <color theme="1"/>
        <rFont val="Calibri"/>
        <family val="2"/>
      </rPr>
      <t>←</t>
    </r>
    <r>
      <rPr>
        <i/>
        <sz val="11"/>
        <color theme="1"/>
        <rFont val="Arial"/>
        <family val="2"/>
      </rPr>
      <t xml:space="preserve"> This number is calculated from Scenario name entry and used in formulae throughout model</t>
    </r>
  </si>
  <si>
    <t>All monetary values, unless otherwise stated, are in units of billions of New Zealand dollars</t>
  </si>
  <si>
    <t>Fiscal Year (year from 1 July to the following 30 June)</t>
  </si>
  <si>
    <t>ECONOMIC HISTORICAL, FORECAST AND PROJECTED VARIABLES</t>
  </si>
  <si>
    <t>From Economic</t>
  </si>
  <si>
    <t>Annual percentage growth</t>
  </si>
  <si>
    <t>Nominal GDP ($ billion) (expenditure measure)</t>
  </si>
  <si>
    <t>Nominal GDP (expenditure measure)</t>
  </si>
  <si>
    <t>Annual transition rates to long-run stable assumptions</t>
  </si>
  <si>
    <t>Select annual rates at which various economic variables move towards their long-run stable values from their end-of-forecast values.</t>
  </si>
  <si>
    <t>Unemployment Rate (percentage points per year)</t>
  </si>
  <si>
    <t>Average weekly hours paid (hours per week per year)</t>
  </si>
  <si>
    <r>
      <t xml:space="preserve">Labour Force growth (targets projected growth in </t>
    </r>
    <r>
      <rPr>
        <i/>
        <sz val="11"/>
        <color theme="1"/>
        <rFont val="Arial"/>
        <family val="2"/>
      </rPr>
      <t>LabourForce</t>
    </r>
    <r>
      <rPr>
        <sz val="11"/>
        <color theme="1"/>
        <rFont val="Arial"/>
        <family val="2"/>
      </rPr>
      <t>) (percentage points per year)</t>
    </r>
  </si>
  <si>
    <r>
      <t>Labour productivity growth</t>
    </r>
    <r>
      <rPr>
        <sz val="11"/>
        <color theme="1"/>
        <rFont val="Arial"/>
        <family val="2"/>
      </rPr>
      <t xml:space="preserve"> (percentage points per year)</t>
    </r>
  </si>
  <si>
    <t>Labour productivity annual growth (percentage)</t>
  </si>
  <si>
    <t>Consumers Price Index (CPI) annual growth (percentage)</t>
  </si>
  <si>
    <t>Consumers Price Index growth (percentage points per year)</t>
  </si>
  <si>
    <t>Government 10-year bond annual rate of return (percentage)</t>
  </si>
  <si>
    <t>Government 10-year bond annual rate of return (percentage points per year)</t>
  </si>
  <si>
    <t>Forecast years are shaded red</t>
  </si>
  <si>
    <t>Projected years are shaded black</t>
  </si>
  <si>
    <t>FISCAL HISTORICAL AND FORECAST DATA</t>
  </si>
  <si>
    <t>STATEMENT OF FINANCIAL PERFORMANCE</t>
  </si>
  <si>
    <t>Historical data sourced from Treasury past Budget publications</t>
  </si>
  <si>
    <t xml:space="preserve">Forecast data sourced from Treasury publication of latest Economic &amp; Fiscal Update </t>
  </si>
  <si>
    <t>Taxation revenue</t>
  </si>
  <si>
    <t>Other sovereign revenue</t>
  </si>
  <si>
    <t>Sales of goods and services</t>
  </si>
  <si>
    <t>Interest revenue and dividends</t>
  </si>
  <si>
    <t>Other revenue</t>
  </si>
  <si>
    <t>Total revenue (excluding gains)</t>
  </si>
  <si>
    <t>Transfer payments and subsidies</t>
  </si>
  <si>
    <t>Personnel expenses</t>
  </si>
  <si>
    <t>Depreciation and amortisation</t>
  </si>
  <si>
    <t>Other operating expenses</t>
  </si>
  <si>
    <t>Interest expenses</t>
  </si>
  <si>
    <t>Insurance expenses</t>
  </si>
  <si>
    <t>Forecast new operating spending</t>
  </si>
  <si>
    <t>Top-down expense adjustment</t>
  </si>
  <si>
    <t>Total expenses (excluding losses)</t>
  </si>
  <si>
    <t>Minority share of operating balance before gains/losses</t>
  </si>
  <si>
    <t>Net gains/(losses) on financial instruments</t>
  </si>
  <si>
    <t>Net gains/(losses) on non-financial instruments</t>
  </si>
  <si>
    <t>Minority interest share of net gains/(losses)</t>
  </si>
  <si>
    <t>Total gains/(losses)</t>
  </si>
  <si>
    <t>Total Crown Expenses - By functional classification</t>
  </si>
  <si>
    <t>Social security and welfare</t>
  </si>
  <si>
    <t>Government Superannuation Fund (GSF) pension expense</t>
  </si>
  <si>
    <t>Health</t>
  </si>
  <si>
    <t>Education</t>
  </si>
  <si>
    <t>Core government services</t>
  </si>
  <si>
    <t>Law and order</t>
  </si>
  <si>
    <t>Defence</t>
  </si>
  <si>
    <t>Transport and communication</t>
  </si>
  <si>
    <t>Economic and industrial services</t>
  </si>
  <si>
    <t>Primary services</t>
  </si>
  <si>
    <t>Heritage, culture and recreation</t>
  </si>
  <si>
    <t>Housing and community development</t>
  </si>
  <si>
    <t>Environmental protection</t>
  </si>
  <si>
    <t>Other</t>
  </si>
  <si>
    <t>Finance costs</t>
  </si>
  <si>
    <t>Core Crown Expenses - By functional classification</t>
  </si>
  <si>
    <t>Total Crown expenses (incl Forecast new operating spend &amp; Top-down adjustment)</t>
  </si>
  <si>
    <t>Core Crown expenses (incl Forecast new operating spend &amp; Top-down adjustment)</t>
  </si>
  <si>
    <t>STATEMENT OF CASH FLOWS</t>
  </si>
  <si>
    <t>Taxation receipts</t>
  </si>
  <si>
    <t>Other sovereign receipts</t>
  </si>
  <si>
    <t>Interest and dividend receipts</t>
  </si>
  <si>
    <t>Other operating receipts</t>
  </si>
  <si>
    <t>Total cash provided from operations</t>
  </si>
  <si>
    <t>Personnel and operating payments</t>
  </si>
  <si>
    <t>Interest payments</t>
  </si>
  <si>
    <t>Net cash flows from operations</t>
  </si>
  <si>
    <t>Net sales/(purchase) of physical assets</t>
  </si>
  <si>
    <t>Net sales/(purchase) of shares and other securities</t>
  </si>
  <si>
    <t>Net sales/(purchase) of intangible assets</t>
  </si>
  <si>
    <t xml:space="preserve">Net repayment/(issue) of advances </t>
  </si>
  <si>
    <t>Net divestment/(acquisition) of investments in associates</t>
  </si>
  <si>
    <t>Net cash flows from operating and investing activities</t>
  </si>
  <si>
    <t>Issues of circulating currency</t>
  </si>
  <si>
    <t xml:space="preserve">Net issue/(repayment) of government stock </t>
  </si>
  <si>
    <t xml:space="preserve">Net issue/(repayment) of foreign-currency borrowings </t>
  </si>
  <si>
    <t xml:space="preserve">Net issue/(repayment) of other New Zealand dollar borrowings </t>
  </si>
  <si>
    <t>Dividends received from/(paid to) minority interests</t>
  </si>
  <si>
    <t>Net cash flows from financing activities</t>
  </si>
  <si>
    <t>Net movement in cash</t>
  </si>
  <si>
    <t>Foreign exchange gains/(losses) on opening cash balance</t>
  </si>
  <si>
    <t>Cash disbursed to ops (incl Forecast new operating spend &amp; Top-down adjustment)</t>
  </si>
  <si>
    <t>Net cash flow from investing (incl annual Forecast new capital spend &amp; Top-down adjust)</t>
  </si>
  <si>
    <t>Net cash flows from operations plus Total gains/(losses)</t>
  </si>
  <si>
    <t>Impairment on financial assets (excludes receivables)</t>
  </si>
  <si>
    <t>Decrease/(increase) in defined benefit retirement plan liabilities</t>
  </si>
  <si>
    <t>Decrease/(increase) in insurance liabilities</t>
  </si>
  <si>
    <t>Increase/(decrease) in receivables</t>
  </si>
  <si>
    <t>Increase/(decrease) in accrued interest</t>
  </si>
  <si>
    <t>Increase/(decrease) in inventories</t>
  </si>
  <si>
    <t>Increase/(decrease) in prepayments</t>
  </si>
  <si>
    <t>Decrease/(increase) in deferred revenue</t>
  </si>
  <si>
    <t>Decrease/(increase) in payables/provisions</t>
  </si>
  <si>
    <t>Total movements in working capital</t>
  </si>
  <si>
    <t>Reconciliation: Between Net cash flows from operations and the Operating balance</t>
  </si>
  <si>
    <t>Total other non-cash items (incl Depreciation &amp; amortisation)</t>
  </si>
  <si>
    <t>CHECK: Annual change in Cash asset =Net movement in cash +Forex gains/(losses)</t>
  </si>
  <si>
    <t>CHECK: Op Bal (excl Min Ints) = Op cash +Gains +Non-cash items +Movements in WC</t>
  </si>
  <si>
    <t>STATEMENT OF FINANCIAL POSITION</t>
  </si>
  <si>
    <t>Cash and cash equivalents</t>
  </si>
  <si>
    <t>Receivables</t>
  </si>
  <si>
    <t>Marketable securities, deposits and derivatives in gain</t>
  </si>
  <si>
    <t>Share investments</t>
  </si>
  <si>
    <t>Advances</t>
  </si>
  <si>
    <t>Inventory</t>
  </si>
  <si>
    <t>Other assets</t>
  </si>
  <si>
    <t xml:space="preserve">Property, plant and equipment </t>
  </si>
  <si>
    <t>Equity accounted investments</t>
  </si>
  <si>
    <t>Intangible assets and goodwill</t>
  </si>
  <si>
    <t>Forecast for new capital spending</t>
  </si>
  <si>
    <t>Top-down capital adjustment</t>
  </si>
  <si>
    <t>Total assets</t>
  </si>
  <si>
    <t>Issued currency</t>
  </si>
  <si>
    <t>Payables</t>
  </si>
  <si>
    <t>Deferred revenue</t>
  </si>
  <si>
    <t>Borrowings</t>
  </si>
  <si>
    <t>Insurance liabilities</t>
  </si>
  <si>
    <t>Retirement plan liabilities</t>
  </si>
  <si>
    <t>Provisions</t>
  </si>
  <si>
    <t>Total liabilities</t>
  </si>
  <si>
    <t>Total net worth</t>
  </si>
  <si>
    <t>CHECK: Net worth =Total assets - Total liabilities</t>
  </si>
  <si>
    <t>Net worth attributable to minority interest</t>
  </si>
  <si>
    <t>STATEMENT OF BORROWINGS</t>
  </si>
  <si>
    <t>Core crown borrowings</t>
  </si>
  <si>
    <t>Less New Zealand Superannuation Fund (NZSF) borrowings</t>
  </si>
  <si>
    <t>Gross sovereign-issued debt (GSID)</t>
  </si>
  <si>
    <t>Less core Crown financial assets (excluding receivables)</t>
  </si>
  <si>
    <t>Net core Crown debt</t>
  </si>
  <si>
    <t>Add back core Crown advances (excl. NZSF advances)</t>
  </si>
  <si>
    <t>Add back NZSF financial assets (excl. receivables)</t>
  </si>
  <si>
    <t>CHECK: Net Debt excl NZSF &amp; advances =GSID -CCFA +advs +NZSF FA</t>
  </si>
  <si>
    <t>Net core Crown debt (excluding NZSF and advances)</t>
  </si>
  <si>
    <t>Core Crown revenue</t>
  </si>
  <si>
    <t>Social assistance and official development assistance</t>
  </si>
  <si>
    <t>Core Crown expenses</t>
  </si>
  <si>
    <t>CHECK: CC exps =SA&amp;ODA +Persnl +Other op +Int +Insur +Fcst new op spend&amp;T-d adj</t>
  </si>
  <si>
    <t>NOTES TO THE FINANCIAL STATEMENTS</t>
  </si>
  <si>
    <t>Taxation revenue (accrual)</t>
  </si>
  <si>
    <t>Source deductions</t>
  </si>
  <si>
    <t>Corporate tax</t>
  </si>
  <si>
    <t>Total goods and services tax (GST)</t>
  </si>
  <si>
    <t>Hypothecated transport taxes</t>
  </si>
  <si>
    <t>Remaining tax types</t>
  </si>
  <si>
    <t>CHECK: Tax revenue in Statement of Financial Performance =Sum of tax types</t>
  </si>
  <si>
    <t>Accident Compensation Corporation (ACC) levies</t>
  </si>
  <si>
    <t>STATEMENT OF SEGMENTS - CORE CROWN SECTION</t>
  </si>
  <si>
    <t>CHECK: CC revenue =Tax +Other sovereign +Sales of g&amp;s +Interest +Other revenue</t>
  </si>
  <si>
    <t xml:space="preserve">Personnel expenses </t>
  </si>
  <si>
    <t xml:space="preserve">Other operating expenses </t>
  </si>
  <si>
    <t>Net surplus/(deficit) from associates and joint ventures</t>
  </si>
  <si>
    <t>Core Crown operating balance</t>
  </si>
  <si>
    <t>CHECK: CC op balance =Revenue -Expenses +Total gains/(losses) +Net surp/(def) A&amp;JV</t>
  </si>
  <si>
    <t>Inventory and other assets</t>
  </si>
  <si>
    <t>Core Crown assets</t>
  </si>
  <si>
    <t>Core Crown liabilities</t>
  </si>
  <si>
    <t>CHECK: CC assets =Cash+Rec+MSD+SI+Adv+PPE+EAI+IG+IO+Fcst new cap sp&amp;T-d adj</t>
  </si>
  <si>
    <t>CHECK: CC liabilities =Issued currency +Borrowings +Paybls +Def rev +IL +RPL +Provs</t>
  </si>
  <si>
    <t>Core Crown net worth</t>
  </si>
  <si>
    <t>Other sovereign revenue (accrual)</t>
  </si>
  <si>
    <t>CHECK: Other sovereign rev in Statement of Financial Performance =Sum of OSR types</t>
  </si>
  <si>
    <t>Remaining other sovereign revenue types</t>
  </si>
  <si>
    <t>Crown entities</t>
  </si>
  <si>
    <t>State-owned Enterprises</t>
  </si>
  <si>
    <t>Inter-segment eliminations</t>
  </si>
  <si>
    <t>CHECK: Interest rev in Statement of Financial Performance =Sum of segments</t>
  </si>
  <si>
    <t>FISCAL HISTORICAL, FORECAST AND PROJECTED VARIABLES</t>
  </si>
  <si>
    <t>Gross Domestic Product (GDP) measures</t>
  </si>
  <si>
    <t xml:space="preserve">Real GDP (production measure, in 2009/10 dollars) </t>
  </si>
  <si>
    <t>Labour Force and Demographic measures</t>
  </si>
  <si>
    <t>Inverse of nominal GDP (used in several projection formulae)</t>
  </si>
  <si>
    <t>Price measures</t>
  </si>
  <si>
    <t xml:space="preserve">Labour Force (LF) (thousands) (aggregate) </t>
  </si>
  <si>
    <t>Working-Age Population (WAP) (thousands) (aged 15 years &amp; over)</t>
  </si>
  <si>
    <t>Aggregate Labour Force Participation Rate (LFPR) (LF as percentage of WAP)</t>
  </si>
  <si>
    <t>Consumers Price Index (CPI) (June quarter index number)</t>
  </si>
  <si>
    <t>Budget 2016 projection from 2020/21 onwards</t>
  </si>
  <si>
    <t>From Fiscal</t>
  </si>
  <si>
    <t>Total Crown Borrowings</t>
  </si>
  <si>
    <t>Net worth attributable to minority interests</t>
  </si>
  <si>
    <t>Projected Years only</t>
  </si>
  <si>
    <t>New Zealand Superannuation</t>
  </si>
  <si>
    <t>Jobseeker support and Emergency benefit</t>
  </si>
  <si>
    <t>Supported living payment</t>
  </si>
  <si>
    <t>Sole parent support</t>
  </si>
  <si>
    <t>Student allowances</t>
  </si>
  <si>
    <t>CHECK: Transfer pmts &amp; subsidies in Statement of Financial Performance =Sum of types</t>
  </si>
  <si>
    <t>KiwiSaver</t>
  </si>
  <si>
    <t>Official development assistance</t>
  </si>
  <si>
    <t>CHECK: Personnel expenses in Statement of Financial Performance =Sum of segments</t>
  </si>
  <si>
    <t>Depreciation and Amortisation</t>
  </si>
  <si>
    <t>Core Crown</t>
  </si>
  <si>
    <t>CHECK: Deprecn &amp; Amortsn in Statement of Financial Performance =Sum of segments</t>
  </si>
  <si>
    <t>CHECK: Other Oper expenses in Statement of Financial Performance =Sum of segments</t>
  </si>
  <si>
    <t>Finance costs (Interest expenses)</t>
  </si>
  <si>
    <t>CHECK: Interest expenses in Statement of Financial Performance =Sum of segments</t>
  </si>
  <si>
    <t>Accident Compensation Corporation (ACC)</t>
  </si>
  <si>
    <t>Earthquake Commission (EQC)</t>
  </si>
  <si>
    <t>CHECK: Insurance expenses in Statement of Financial Performance =Sum of types</t>
  </si>
  <si>
    <t>SOE insurance expenses</t>
  </si>
  <si>
    <t>STATEMENT OF SEGMENTS -CROWN ENTITY (CE) STATE-OWNED ENTERPRISE (SOE)</t>
  </si>
  <si>
    <t>CE social security and welfare</t>
  </si>
  <si>
    <t>CE insurance expenses</t>
  </si>
  <si>
    <t>SOE education expenses</t>
  </si>
  <si>
    <t>SOE transport and communications expenses</t>
  </si>
  <si>
    <t>CE health expenses</t>
  </si>
  <si>
    <t>CE education expenses</t>
  </si>
  <si>
    <t>CE transport and communications expenses</t>
  </si>
  <si>
    <t>CE other non-finance expenses (excl welfare, health, education &amp; transport)</t>
  </si>
  <si>
    <t>SOE other non-finance expenses (excl welfare, health, education &amp; transport)</t>
  </si>
  <si>
    <t>Inter-segment elimination for other non-finance exps (excl welfare, health, education &amp; transport)</t>
  </si>
  <si>
    <t>Inter-segment elimination for insurance expenses</t>
  </si>
  <si>
    <t>CHECK: Insurance expenses in Statement of Financial Performance =Sum of segments</t>
  </si>
  <si>
    <t>Other (includes inter-segment eliminations)</t>
  </si>
  <si>
    <t>Operating Balance (including minority interest)</t>
  </si>
  <si>
    <t>Operating balance before gains/(losses) [OBEGAL] (excludes minority interests)</t>
  </si>
  <si>
    <t>Gains/(losses) (excluding minority interests)</t>
  </si>
  <si>
    <t>Operating balance (excludes minority interests)</t>
  </si>
  <si>
    <t>CHECK: Oper Bal (ex min ints) = OBEGAL (ex min ints) +Gains (ex min ints) +Net Surplus</t>
  </si>
  <si>
    <t>Other Operating expenses (excl. Depreciation &amp; Amortisation)</t>
  </si>
  <si>
    <t>Unallocated contingencies</t>
  </si>
  <si>
    <t>Forecast new operating spending for second forecast year</t>
  </si>
  <si>
    <t>Forecast new operating spending for third forecast year</t>
  </si>
  <si>
    <t>Forecast new operating spending for fourth forecast year</t>
  </si>
  <si>
    <t>Forecast new operating spending for fifth forecast year</t>
  </si>
  <si>
    <t>Forecast new capital spending</t>
  </si>
  <si>
    <t>Forecast new capital spending for first forecast year</t>
  </si>
  <si>
    <t>Forecast new capital spending for second forecast year</t>
  </si>
  <si>
    <t>Forecast new capital spending for third forecast year</t>
  </si>
  <si>
    <t>Forecast new capital spending for fourth forecast year</t>
  </si>
  <si>
    <t>Forecast new capital spending for fifth forecast year</t>
  </si>
  <si>
    <t>Total forecast new capital spending for forecast year</t>
  </si>
  <si>
    <t>CHECK: Forecast new oper spend in Statement of Financial Performance =Sum of years</t>
  </si>
  <si>
    <t>CHECK: Forecast new capital spending in Statement of Financial Position =Sum of years</t>
  </si>
  <si>
    <t>Core Crown Net Worth (Assets - Liabilities)</t>
  </si>
  <si>
    <r>
      <t xml:space="preserve">CHECK: Core Crown Net Worth in </t>
    </r>
    <r>
      <rPr>
        <b/>
        <i/>
        <sz val="11"/>
        <rFont val="Arial"/>
        <family val="2"/>
      </rPr>
      <t>Fiscal</t>
    </r>
    <r>
      <rPr>
        <b/>
        <sz val="11"/>
        <rFont val="Arial"/>
        <family val="2"/>
      </rPr>
      <t xml:space="preserve"> worksheet = Calculated value</t>
    </r>
  </si>
  <si>
    <t>CHECK: Annual change in Core Crown Net Worth = Operating Balance</t>
  </si>
  <si>
    <t>Core Crown borrowings (includes unsettled purchases of securities)</t>
  </si>
  <si>
    <t>Gross sovereign-issued debt (GSID) (a core Crown debt measure)</t>
  </si>
  <si>
    <t>Less core Crown financial assets (excludes receivables)</t>
  </si>
  <si>
    <t>Add back core Crown advances (excluding advances held by NZS Fund)</t>
  </si>
  <si>
    <t>Add back NZS Fund holdings of core Crown financial assets &amp; NZS Fund financial assets</t>
  </si>
  <si>
    <t>Net core Crown debt excluding NZS Fund and advances</t>
  </si>
  <si>
    <r>
      <t xml:space="preserve">CHECK: Net core Crown debt (ex NZS Fund &amp;advs) in </t>
    </r>
    <r>
      <rPr>
        <b/>
        <i/>
        <sz val="11"/>
        <rFont val="Arial"/>
        <family val="2"/>
      </rPr>
      <t>Fiscal</t>
    </r>
    <r>
      <rPr>
        <b/>
        <sz val="11"/>
        <rFont val="Arial"/>
        <family val="2"/>
      </rPr>
      <t xml:space="preserve"> worksheet = Calc value</t>
    </r>
  </si>
  <si>
    <t>Net cash flow from operations</t>
  </si>
  <si>
    <t>Net sale/(purchase) of physical assets</t>
  </si>
  <si>
    <t>Net issue/(repayment) of borrowings</t>
  </si>
  <si>
    <t>Reconciliation between net cash flows from operations and operating balance</t>
  </si>
  <si>
    <t>Net cash flow from financing</t>
  </si>
  <si>
    <t>CHECK: Oper Balance (ex min int) = Net cash from oper+Gains+Non-cash+Mvmt WC</t>
  </si>
  <si>
    <t>UIM</t>
  </si>
  <si>
    <t>Gains and losses on financial instruments</t>
  </si>
  <si>
    <t>State-owned enterprises</t>
  </si>
  <si>
    <t>Gains and losses on non-financial instruments</t>
  </si>
  <si>
    <t>Tax receivables</t>
  </si>
  <si>
    <t>Trade and other receivables</t>
  </si>
  <si>
    <t>Kiwibank mortgages</t>
  </si>
  <si>
    <t>Student Loans</t>
  </si>
  <si>
    <t>Less initial write-down to fair value</t>
  </si>
  <si>
    <t>Repayments made during the year</t>
  </si>
  <si>
    <t>(Impairment)/reversal of impairment</t>
  </si>
  <si>
    <t>Schedule of movements</t>
  </si>
  <si>
    <t>Additions</t>
  </si>
  <si>
    <t>Disposals</t>
  </si>
  <si>
    <t>Net revaluations</t>
  </si>
  <si>
    <t>Other (mainly transfers to/from other asset categories)</t>
  </si>
  <si>
    <t>Closing balance of cost or valuation</t>
  </si>
  <si>
    <t>Eliminated on disposal</t>
  </si>
  <si>
    <t>Eliminated on revaluation</t>
  </si>
  <si>
    <t>Impairment losses charged to operating balance</t>
  </si>
  <si>
    <t>Depreciation expense</t>
  </si>
  <si>
    <t>Total accumulated depreciation and impairment</t>
  </si>
  <si>
    <t>Revenue</t>
  </si>
  <si>
    <t>Less current tax expense</t>
  </si>
  <si>
    <t>Less other expenses</t>
  </si>
  <si>
    <t>Add gains/(losses)</t>
  </si>
  <si>
    <t>Gross capital contribution from the Crown</t>
  </si>
  <si>
    <t>Closing net worth</t>
  </si>
  <si>
    <t>Financial assets</t>
  </si>
  <si>
    <t>Financial liabilities</t>
  </si>
  <si>
    <t>Net other assets</t>
  </si>
  <si>
    <t>Accounts payable</t>
  </si>
  <si>
    <t>Taxes repayable</t>
  </si>
  <si>
    <t>Other (includes inter-segment elimination)</t>
  </si>
  <si>
    <t>Gains/(losses)</t>
  </si>
  <si>
    <t>Tax receipts</t>
  </si>
  <si>
    <t>Interest, profits and dividends</t>
  </si>
  <si>
    <t>Sales of goods and services and other receipts</t>
  </si>
  <si>
    <t>Personnel and operating costs</t>
  </si>
  <si>
    <t>Net repayment/(issue) of advances</t>
  </si>
  <si>
    <t>Net sale/(purchase) of investments</t>
  </si>
  <si>
    <t>Core Crown Residual cash surplus/(deficit)</t>
  </si>
  <si>
    <t>Total borrowing cash flows</t>
  </si>
  <si>
    <t>Net sale/(purchase) of marketable securities and deposits</t>
  </si>
  <si>
    <t>Decrease/(increase) in cash</t>
  </si>
  <si>
    <t>Residual cash deficit/(surplus) funding or investing</t>
  </si>
  <si>
    <t>CHECK: Gain/(loss) on fncl ins in Statement of Financial Performance =Sum of segments</t>
  </si>
  <si>
    <t>CHECK: Gain/(loss) on n-f ins in Statement of Financial Performance =Sum of segments</t>
  </si>
  <si>
    <t>CHECK: Receivables in Statement of Financial Position =Sum of Tax &amp; Trade versions</t>
  </si>
  <si>
    <t>Receivables from Financial assets note</t>
  </si>
  <si>
    <t>Student Loans and Kiwibank mortgages from Financial assets note</t>
  </si>
  <si>
    <t>CHECK: Student Loans in Financial assets note =Closing book value</t>
  </si>
  <si>
    <t>CHECK: Property, plant &amp; equipmt in Statement of Financial Position =Sum of segments</t>
  </si>
  <si>
    <t>Property, plant and equipment (P,P&amp;E)</t>
  </si>
  <si>
    <t>CHECK: P,P&amp;E in Statement of Financial Position =Closing balance - Accum deprc &amp; impt</t>
  </si>
  <si>
    <t>CHECK: Intangible assets &amp;goodwill in Statement of Financial Position =Sum of segments</t>
  </si>
  <si>
    <t>CHECK: Closing net worth =Sum of financial assets less liabilities and net other assets</t>
  </si>
  <si>
    <t>CHECK: Payables in Statement of Financial Position =Sum of types</t>
  </si>
  <si>
    <t>CHECK: Insurance liabilities in Statement of Financial Position =Sum of types</t>
  </si>
  <si>
    <t>Core Crown (excluding NZS Fund) residual cash</t>
  </si>
  <si>
    <t>New Zealand Superannuation Fund (NZS Fund)</t>
  </si>
  <si>
    <t>Net core Crown operating cash flows  (incl Forecast new oper spend &amp; Top-down adjust)</t>
  </si>
  <si>
    <t>Net CC capital cash flows (incl NZS Fund contrb, ann. Fcast new cap spend &amp; T-d adjust)</t>
  </si>
  <si>
    <t>CHECK: Residual cash =Sum of Core Crown operating and capital cash flows</t>
  </si>
  <si>
    <t>Total investing cash flows (incl issues of circulat currency from Statement of Cash Flows)</t>
  </si>
  <si>
    <t>Source deductions (mainly PAYE on wages and salaries)</t>
  </si>
  <si>
    <t>Total corporate tax (mainly company tax)</t>
  </si>
  <si>
    <t>Total goods and services tax (consolidated GST)</t>
  </si>
  <si>
    <t>Total taxation revenue</t>
  </si>
  <si>
    <t>Inter-segment elimination of tax revenue</t>
  </si>
  <si>
    <t>Core Crown taxation revenue</t>
  </si>
  <si>
    <t>Hypothecated transport taxes (petrol duties, road user charges &amp; vehicle registration fees)</t>
  </si>
  <si>
    <t>Stable percentage of nominal GDP for source deductions tax revenue</t>
  </si>
  <si>
    <t>Transition rate from end-of-forecast to stable percentages for all tax types (pctge points per year)</t>
  </si>
  <si>
    <t>Stable percentage of nominal GDP for corporate tax revenue</t>
  </si>
  <si>
    <t>Stable percentage of nominal GDP for goods and services tax (GST) revenue</t>
  </si>
  <si>
    <t>Stable percentage of nominal GDP for hypothecated transport taxes revenue</t>
  </si>
  <si>
    <t>Stable percentage of nominal GDP for remaining tax types revenue</t>
  </si>
  <si>
    <t>Stable percentage of nominal GDP for tax inter-segment elimination</t>
  </si>
  <si>
    <t>Core Crown other sovereign revenue</t>
  </si>
  <si>
    <t>Other non-core Crown other sovereign revenue</t>
  </si>
  <si>
    <t>Total other sovereign revenue</t>
  </si>
  <si>
    <t>Core Crown sales of goods and services</t>
  </si>
  <si>
    <t>Total sales of goods and services (dominated by SOE sales)</t>
  </si>
  <si>
    <t>NAC</t>
  </si>
  <si>
    <t>Core Crown other revenue</t>
  </si>
  <si>
    <t>Total other revenue</t>
  </si>
  <si>
    <t>WORKING-AGE MAIN BENEFIT AGE &amp; GENDER SHARES</t>
  </si>
  <si>
    <t>Jobseeker Support aged 18 &amp; 19 years</t>
  </si>
  <si>
    <t>Jobseeker Support aged 20 to 29 years</t>
  </si>
  <si>
    <t>Jobseeker Support aged 30 to 44 years</t>
  </si>
  <si>
    <t>Jobseeker Support aged 65 years and above</t>
  </si>
  <si>
    <t>Jobseeker Support aged 55 to 64 years</t>
  </si>
  <si>
    <t>Jobseeker Support aged 45 to 54 years</t>
  </si>
  <si>
    <t>New Zealand Superannuation (NZS), main public pension</t>
  </si>
  <si>
    <t>Annual growth rates of selected age and gender groups</t>
  </si>
  <si>
    <t>Aged 65 years and over</t>
  </si>
  <si>
    <t>Supported Living Payment aged 18 &amp; 19 years</t>
  </si>
  <si>
    <t>Supported Living Payment aged 65 years and above</t>
  </si>
  <si>
    <t>Supported Living Payment aged 20 to 39 years</t>
  </si>
  <si>
    <t>Supported Living Payment aged 40 to 49 years</t>
  </si>
  <si>
    <t>Supported Living Payment aged 50 to 59 years</t>
  </si>
  <si>
    <t>Supported Living Payment aged 60 to 64 years</t>
  </si>
  <si>
    <t>Sole Parent Support Females aged 18 &amp; 19 years</t>
  </si>
  <si>
    <t>Sole Parent Support Females aged 20 to 29 years</t>
  </si>
  <si>
    <t>Sole Parent Support Females aged 30 to 44 years</t>
  </si>
  <si>
    <t>Sole Parent Support Females aged 45 to 59 years</t>
  </si>
  <si>
    <t>Sole Parent Support Males aged 20 to 59 years</t>
  </si>
  <si>
    <t>Sole Parent Support aged 60 years and above</t>
  </si>
  <si>
    <t xml:space="preserve">Aged 18 &amp; 19 years </t>
  </si>
  <si>
    <t xml:space="preserve">Females, Aged 18 &amp; 19 years </t>
  </si>
  <si>
    <t xml:space="preserve">Aged 20 to 29 years </t>
  </si>
  <si>
    <t xml:space="preserve">Females, Aged 20 to 29 years </t>
  </si>
  <si>
    <t xml:space="preserve">Aged 20 to 39 years </t>
  </si>
  <si>
    <t xml:space="preserve">Aged 30 to 44 years </t>
  </si>
  <si>
    <t xml:space="preserve">Females, Aged 30 to 44 years </t>
  </si>
  <si>
    <t xml:space="preserve">Aged 40 to 49 years </t>
  </si>
  <si>
    <t xml:space="preserve">Aged 45 to 54 years </t>
  </si>
  <si>
    <t xml:space="preserve">Females, Aged 45 to 59 years </t>
  </si>
  <si>
    <t xml:space="preserve">Males, Aged 20 to 59 years </t>
  </si>
  <si>
    <t xml:space="preserve">Aged 50 to 59 years </t>
  </si>
  <si>
    <t xml:space="preserve">Aged 55 to 64 years </t>
  </si>
  <si>
    <t xml:space="preserve">Aged 60 to 64 years </t>
  </si>
  <si>
    <t>Jobseeker support and emergency benefit</t>
  </si>
  <si>
    <t>Net of tax &amp; ACC Earner levy average ordinary time weekly earnings ($ per week)</t>
  </si>
  <si>
    <t>Gross per person weekly couple rate of New Zealand Superannuation ($ per week)</t>
  </si>
  <si>
    <t>New Zealand Superannuation projection parameters</t>
  </si>
  <si>
    <t>Percentage of net ordinary time weekly earnings that serves as NZS wage floor</t>
  </si>
  <si>
    <t>Net per person weekly couple rate of New Zealand Superannuation ($ per week)</t>
  </si>
  <si>
    <t>Working for Families tax credits</t>
  </si>
  <si>
    <t>Aged 15 years and above (WAP)</t>
  </si>
  <si>
    <t>Supplementary benefits</t>
  </si>
  <si>
    <t>Total social assistance</t>
  </si>
  <si>
    <t xml:space="preserve">CHECK: Total social assistance =Sum of types </t>
  </si>
  <si>
    <t>Stable percentage of nominal GDP for supplementary benefits</t>
  </si>
  <si>
    <t>Welfare benefits (approx. as Total social asstnce grants minus Student allowances)</t>
  </si>
  <si>
    <t>Total social assistance grants</t>
  </si>
  <si>
    <t>KiwiSaver subsidies</t>
  </si>
  <si>
    <t>Total transfer payments and subsidies</t>
  </si>
  <si>
    <t>Stable percentage of nominal GDP for official development assistance (ODA)</t>
  </si>
  <si>
    <t>Core Crown transfer payments and subsidies</t>
  </si>
  <si>
    <t>Departmental and non-departmental social security and welfare expenses</t>
  </si>
  <si>
    <t>Core Crown social security and welfare expenses</t>
  </si>
  <si>
    <t>Crown entities social security and welfare expenses (dominated by ACC payments)</t>
  </si>
  <si>
    <t>Inter-segment elimination for social security &amp; welfare exps (Crown share of ACC paymts)</t>
  </si>
  <si>
    <t>Total social security and welfare expenses</t>
  </si>
  <si>
    <t>State-owned enterprises (SOE's)</t>
  </si>
  <si>
    <t>Inter-segment elimination</t>
  </si>
  <si>
    <t>Total personnel expenses</t>
  </si>
  <si>
    <t>Total depreciation and amortisation</t>
  </si>
  <si>
    <t>Total other operating expenses</t>
  </si>
  <si>
    <t>Interest expenses (also called Finance costs)</t>
  </si>
  <si>
    <t>Total interest expenses</t>
  </si>
  <si>
    <t>Effective interest rate on core Crown gross debt</t>
  </si>
  <si>
    <t>Effective interest rate on total borrowings</t>
  </si>
  <si>
    <t>Total insurance expenses</t>
  </si>
  <si>
    <t>ACC</t>
  </si>
  <si>
    <t>EQC &amp; other insurance expenses</t>
  </si>
  <si>
    <t>Forecasting new operating spending</t>
  </si>
  <si>
    <t>Annual increment to forecast new operating spending</t>
  </si>
  <si>
    <t>Annual growth rate of annual increment to new operating spending in later projected years</t>
  </si>
  <si>
    <t>Health expenses</t>
  </si>
  <si>
    <t>Total health expenses</t>
  </si>
  <si>
    <t>Education expenses</t>
  </si>
  <si>
    <t>Student loans - initial write-down to fair value and impairment</t>
  </si>
  <si>
    <t>Student loans</t>
  </si>
  <si>
    <t>Closing book value</t>
  </si>
  <si>
    <t>Core Crown education expenses</t>
  </si>
  <si>
    <t>Total education expenses</t>
  </si>
  <si>
    <t>Core government services expenses</t>
  </si>
  <si>
    <t>Operating balance of NZS Fund</t>
  </si>
  <si>
    <t>Capital contribution from/(withdrawal to) the Crown</t>
  </si>
  <si>
    <t>Less repayments made during the year</t>
  </si>
  <si>
    <t>Less impairment</t>
  </si>
  <si>
    <t>Comprising:</t>
  </si>
  <si>
    <t>Less Financial liabilities</t>
  </si>
  <si>
    <t>Tax receivable write-down and impairments</t>
  </si>
  <si>
    <t>From Exogenous</t>
  </si>
  <si>
    <t>TAX RECEIVABLE WRITE-DOWN AND IMPAIRMENTS</t>
  </si>
  <si>
    <t>($ billions)</t>
  </si>
  <si>
    <t>Other core Crown core government services expenses</t>
  </si>
  <si>
    <t>Core Crown core government services expenses</t>
  </si>
  <si>
    <t>Total core government services expenses</t>
  </si>
  <si>
    <t>Core Crown law and order expenses</t>
  </si>
  <si>
    <t>Total law and order expenses</t>
  </si>
  <si>
    <t>Core Crown defence expenses</t>
  </si>
  <si>
    <t>Total defence expenses</t>
  </si>
  <si>
    <t>Transport and communications expenses</t>
  </si>
  <si>
    <t>Total transport and communications expenses</t>
  </si>
  <si>
    <t>Economic and industrial services expenses</t>
  </si>
  <si>
    <t>Other core Crown economic and industrial services expenses</t>
  </si>
  <si>
    <t>Core Crown economic and industrial services expenses</t>
  </si>
  <si>
    <t>Total economic and industrial services expenses</t>
  </si>
  <si>
    <t>Core Crown heritage, culture and recreation expenses</t>
  </si>
  <si>
    <t>Total heritage, culture and recreation expenses</t>
  </si>
  <si>
    <t>Core Crown primary services expenses</t>
  </si>
  <si>
    <t>Total primary services expenses</t>
  </si>
  <si>
    <t>Core Crown housing and community development expenses</t>
  </si>
  <si>
    <t>Total housing and community development expenses</t>
  </si>
  <si>
    <t>Core Crown environmental protection expenses</t>
  </si>
  <si>
    <t>Total environmental protection expenses</t>
  </si>
  <si>
    <t>Core Crown other expenses</t>
  </si>
  <si>
    <t>Total other expenses</t>
  </si>
  <si>
    <t>Projected year in which "Other" expenses are set to zero</t>
  </si>
  <si>
    <t>Non-core Crown expenses excluding welfare, health, education, transport &amp; interest</t>
  </si>
  <si>
    <t>State-owned enterprises (projected as ratio of Economic &amp; industrial services)</t>
  </si>
  <si>
    <t>Inter-segment elimination (projected as Total less core Crown less CE &amp; SOE terms)</t>
  </si>
  <si>
    <t>Gains and losses on financial and non-financial instruments</t>
  </si>
  <si>
    <t>Total gains and losses</t>
  </si>
  <si>
    <t>Core Crown net surplus/(deficit) from associates and joint ventures</t>
  </si>
  <si>
    <t>Total net surplus/(deficit) from associates and joint ventures</t>
  </si>
  <si>
    <t>NZS Fund cash and cash equivalents</t>
  </si>
  <si>
    <t>Other core Crown cash and cash equivalents</t>
  </si>
  <si>
    <t>Core Crown cash and cash equivalents</t>
  </si>
  <si>
    <t>Total cash and cash equivalents</t>
  </si>
  <si>
    <t>NZS Fund receivables</t>
  </si>
  <si>
    <t>Other core Crown receivables</t>
  </si>
  <si>
    <t>Core Crown receivables</t>
  </si>
  <si>
    <t>Total receivables</t>
  </si>
  <si>
    <t>CE marketable securities, deposits and derivatives in gain</t>
  </si>
  <si>
    <t>SOE marketable securities, deposits and derivatives in gain</t>
  </si>
  <si>
    <t>CE share investments</t>
  </si>
  <si>
    <t>SOE share investments</t>
  </si>
  <si>
    <t>NZS Fund marketable securities, deposits and derivatives in gain</t>
  </si>
  <si>
    <t>Other core Crown marketable securities, deposits and derivatives in gain</t>
  </si>
  <si>
    <t>Core Crown marketable securities, deposits and derivatives in gain</t>
  </si>
  <si>
    <t>CORE CROWN RESIDUAL CASH (EXCLUDES NZS FUND)</t>
  </si>
  <si>
    <t>Interest, profit and dividends</t>
  </si>
  <si>
    <t>Net core Crown operating cash flows</t>
  </si>
  <si>
    <t>Net core Crown capital cash flows</t>
  </si>
  <si>
    <t>Residual cash surplus/(deficit)</t>
  </si>
  <si>
    <t>Total investing cash flows</t>
  </si>
  <si>
    <t>Less Transfer payments and subsidies</t>
  </si>
  <si>
    <t>Less Personnel and operating costs</t>
  </si>
  <si>
    <t>Less Interest payments</t>
  </si>
  <si>
    <t>Less Capital contribution/(withdrawal) to the NZS Fund</t>
  </si>
  <si>
    <t>Total marketable securities, deposits and derivatives in gain</t>
  </si>
  <si>
    <t>Operating allowances</t>
  </si>
  <si>
    <t>Government Superannuation Fund (GSF) pension expenses</t>
  </si>
  <si>
    <t>Core Crown GSF pension expenses</t>
  </si>
  <si>
    <t>Total GSF pension expenses</t>
  </si>
  <si>
    <t>Law and order expenses</t>
  </si>
  <si>
    <t>Defence expenses</t>
  </si>
  <si>
    <t>Heritage, culture and recreation expenses</t>
  </si>
  <si>
    <t>Primary services expenses</t>
  </si>
  <si>
    <t>Housing and community development expenses</t>
  </si>
  <si>
    <t>Environmental protection expenses</t>
  </si>
  <si>
    <t>Other expenses</t>
  </si>
  <si>
    <t>NZS Fund share investments</t>
  </si>
  <si>
    <t>Other core Crown share investments</t>
  </si>
  <si>
    <t>Core Crown share investments</t>
  </si>
  <si>
    <t>Total share investments</t>
  </si>
  <si>
    <t>NZS Fund advances</t>
  </si>
  <si>
    <t>Other core Crown advances</t>
  </si>
  <si>
    <t>Core Crown advances</t>
  </si>
  <si>
    <t>Total advances</t>
  </si>
  <si>
    <t>Kiwibank mortgages (SOE)</t>
  </si>
  <si>
    <t>Other non-core Crown advances, mainly inter-segment eliminations</t>
  </si>
  <si>
    <t>Core Crown inventory (approximated)</t>
  </si>
  <si>
    <t>Total inventory</t>
  </si>
  <si>
    <t>Core Crown other assets (approximated)</t>
  </si>
  <si>
    <t>Total other assets</t>
  </si>
  <si>
    <t>Property, plant and equipment</t>
  </si>
  <si>
    <t>Total property, plant and equipment</t>
  </si>
  <si>
    <t>Core Crown net additions less disposals plus net revaluations plus other additions</t>
  </si>
  <si>
    <t>Core Crown depreciation</t>
  </si>
  <si>
    <t>Total depreciation</t>
  </si>
  <si>
    <t>Total net additions less disposals plus net revaluations plus other transfers</t>
  </si>
  <si>
    <t>Core Crown property, plant and equipment</t>
  </si>
  <si>
    <t>NZS Fund property, plant and equipment</t>
  </si>
  <si>
    <t>Other core Crown property, plant and equipment</t>
  </si>
  <si>
    <t>NZS Fund equity accounted investments</t>
  </si>
  <si>
    <t>Other core Crown equity accounted investments</t>
  </si>
  <si>
    <t>Core Crown equity accounted investments</t>
  </si>
  <si>
    <t>Total equity accounted investments</t>
  </si>
  <si>
    <t>Total intangible assets and goodwill</t>
  </si>
  <si>
    <t>Forecast new spending for Budget in first forecast year</t>
  </si>
  <si>
    <t>Forecast new spending for Budget in second forecast year</t>
  </si>
  <si>
    <t>Forecast new spending for Budget in third forecast year</t>
  </si>
  <si>
    <t>Forecast new spending for Budget in fourth forecast year</t>
  </si>
  <si>
    <t>Forecast new spending for Budget in fifth forecast year</t>
  </si>
  <si>
    <t>Forecast new spending for Budget in projected years</t>
  </si>
  <si>
    <t>Total addition to forecast new capital spending in year</t>
  </si>
  <si>
    <t>Annual forecast new capital spending for year</t>
  </si>
  <si>
    <t>Total forecast new capital spending (cumulative)</t>
  </si>
  <si>
    <t>Top-down capital adjustment (cumulative)</t>
  </si>
  <si>
    <t>Annual growth rate of annual increment to new capital spending in later projected years</t>
  </si>
  <si>
    <t>Core Crown (there are no Crown entity or SOE issued currency liabilities)</t>
  </si>
  <si>
    <t>NZS Fund payables</t>
  </si>
  <si>
    <t>Other core Crown payables</t>
  </si>
  <si>
    <t>Core Crown payables</t>
  </si>
  <si>
    <t>Total payables</t>
  </si>
  <si>
    <t>Core Crown deferred revenue</t>
  </si>
  <si>
    <t>Total deferred revenue</t>
  </si>
  <si>
    <t>Accident Compensation Corporation (ACC, a Crown entity)</t>
  </si>
  <si>
    <t>Other non-core Crown insurance liabilities, including inter-segment eliminations</t>
  </si>
  <si>
    <t>Total insurance liabilities</t>
  </si>
  <si>
    <t>Core Crown insurance liabilities</t>
  </si>
  <si>
    <t>Retirement plan liabilities (dominated by Government Superannuation Fund)</t>
  </si>
  <si>
    <t>Core Crown retirement plan liabilities</t>
  </si>
  <si>
    <t>Non-core Crown retirement plan liabilities</t>
  </si>
  <si>
    <t>Total retirement plan liabilities</t>
  </si>
  <si>
    <t>Core Crown provisions</t>
  </si>
  <si>
    <t>Total provisions</t>
  </si>
  <si>
    <t>Student loans (interest unwind)</t>
  </si>
  <si>
    <t>New Zealand Superannuation (NZS) Fund revenue</t>
  </si>
  <si>
    <t>Other core Crown interest revenue and dividends</t>
  </si>
  <si>
    <t>Core Crown interest revenue and dividends</t>
  </si>
  <si>
    <t>Total interest revenue and dividends</t>
  </si>
  <si>
    <t>Total Crown revenue (excluding Gains)</t>
  </si>
  <si>
    <t>Less Total Crown expenses (excluding Losses)</t>
  </si>
  <si>
    <t>Total Crown total gains/(losses)</t>
  </si>
  <si>
    <t>Less Minority interest share of operating balance before gains/(losses)</t>
  </si>
  <si>
    <t>Less Minority interest share of net gains/(losses)</t>
  </si>
  <si>
    <t>Operating balance (excluding Minority interests)</t>
  </si>
  <si>
    <t>CHECK: Oper bal (excl Min ints) in Statement of Financial Performance =Sum of segments</t>
  </si>
  <si>
    <t>Core Crown revenue (excluding Gains)</t>
  </si>
  <si>
    <t>Core Crown expenses (excluding Losses)</t>
  </si>
  <si>
    <t>Total Crown operating balance before gains and losses (OBEGAL)</t>
  </si>
  <si>
    <t>Total Crown operating balance (excluding minority interests)</t>
  </si>
  <si>
    <t>CHECK: Total Crown expenses: Functional classes sum = Operational classes sum</t>
  </si>
  <si>
    <t>Core Crown primary balance</t>
  </si>
  <si>
    <t>Core Crown residual cash</t>
  </si>
  <si>
    <t>CHECK: Core Crown expenses: Functional classes sum = Operational classes sum</t>
  </si>
  <si>
    <t>Total Crown assets</t>
  </si>
  <si>
    <t>Total net worth attributable to the Crown</t>
  </si>
  <si>
    <r>
      <t xml:space="preserve">CHECK: Total Crown net worth in </t>
    </r>
    <r>
      <rPr>
        <b/>
        <i/>
        <sz val="11"/>
        <rFont val="Arial"/>
        <family val="2"/>
      </rPr>
      <t>Fiscal</t>
    </r>
    <r>
      <rPr>
        <b/>
        <sz val="11"/>
        <rFont val="Arial"/>
        <family val="2"/>
      </rPr>
      <t xml:space="preserve"> worksheet = Calculated value</t>
    </r>
  </si>
  <si>
    <t>CHECK: Annual change in Total Crown net worth = Operating balance (ex min int)</t>
  </si>
  <si>
    <t>Less Total Crown liabilities</t>
  </si>
  <si>
    <t>Total Crown net worth</t>
  </si>
  <si>
    <t>Less Core Crown liabilities</t>
  </si>
  <si>
    <t>Less Core Crown borrowings (excludes unsettled purchases of securities)</t>
  </si>
  <si>
    <t xml:space="preserve">Final projected year for KiwiSaver subsidies exogenous track (switches to GDP growth after this) </t>
  </si>
  <si>
    <t>Small asset &amp; liability class transition parameters to reach stable % of GDP in projections</t>
  </si>
  <si>
    <t>For several small asset and liability classes the projection moves towards an average percentage of nominal GDP. This average is</t>
  </si>
  <si>
    <t>last forecast year and cannot be more than 5 years. The number of projected years to achieve the full transition is also selected here.</t>
  </si>
  <si>
    <t>Number of forecast years, beginning with the last, used to calculate average percentage of GDP</t>
  </si>
  <si>
    <t>Number of projected years used to transition from the end of forecast to the stable % of GDP</t>
  </si>
  <si>
    <t>Transition increments for small asset &amp; liability classes</t>
  </si>
  <si>
    <t>Cost of concessionary lending</t>
  </si>
  <si>
    <t>CHECK: Residual cash s/(d) = Negative of sum of borrowing + investing cash flows</t>
  </si>
  <si>
    <t>CHECK: Res. cash = Neg. of ann. chg. in core Crown net debt &amp; currency &amp; factors*</t>
  </si>
  <si>
    <t>CORE CROWN STATEMENT OF CASH FLOWS (FROM RESIDUAL CASH)</t>
  </si>
  <si>
    <t>Net cash flow from operations (add back NZS Fund variables, subtract NZS Fund tax)</t>
  </si>
  <si>
    <t>Net cash flow from investing (capital cash + cash from MSDs &amp; shares &amp; NZS Fund cash)</t>
  </si>
  <si>
    <t>Net movement in core Crown cash and cash equivalents</t>
  </si>
  <si>
    <t>CHECK: Core Crown Oper Bal = Net cash from oper+Gains+Non-cash+Mvmt WC</t>
  </si>
  <si>
    <t>CC financial assets from Statement of Borrowings =Cash +MSDs +Shares +Advances</t>
  </si>
  <si>
    <t>Less Forecast for future new capital spending and Top-down capital expense adjustment</t>
  </si>
  <si>
    <t>Less Forecast for future new operating spending and Top-down expense adjustment</t>
  </si>
  <si>
    <t>Forecast for future new operating spending and Top-down expense adjustment</t>
  </si>
  <si>
    <t>Less Depreciation and amortisation</t>
  </si>
  <si>
    <t>Total cash disbursed to operations</t>
  </si>
  <si>
    <t>Net cash flow from investing</t>
  </si>
  <si>
    <t>Less Cost of concessionary lending and impairment on financial assets (excl. receivables)</t>
  </si>
  <si>
    <t>Less Cost of concessionary lending and impairment on financial assets (excluding receivables)</t>
  </si>
  <si>
    <t>Total other non-cash items</t>
  </si>
  <si>
    <t>Percentage of NZS Fund holdings of securities, deposits, derivatives and shares that are shares</t>
  </si>
  <si>
    <t>Total gains/(losses) less minority interest share of gains/(losses)</t>
  </si>
  <si>
    <t>Net issue/(repayment) of borrowings = Ann. change in cash - Sum of components above</t>
  </si>
  <si>
    <t>Less increase in cash</t>
  </si>
  <si>
    <t>Crown entities (projected as ratio of all category exps. except Econ &amp; ind services)</t>
  </si>
  <si>
    <t>Less NZS Fund borrowings minus any holdings of sovereign-issued debt by the NZS Fund</t>
  </si>
  <si>
    <t>Less Net purchase/(sale) of physical assets</t>
  </si>
  <si>
    <t>Less Net purchase/(sale) of shares and other securities</t>
  </si>
  <si>
    <t>Less Net purchase/(sale) of intangible assets</t>
  </si>
  <si>
    <t>Less Net issues/(repayment) of advances</t>
  </si>
  <si>
    <t>Less Net acquisition/(divestment) of investments in associates</t>
  </si>
  <si>
    <t>Less Dividends received from/(paid to) minority interests</t>
  </si>
  <si>
    <t>Less Increase/(decrease) in defined benefit retirement plan liabilities</t>
  </si>
  <si>
    <t>Less Increase/(decrease) in insurance liabilities</t>
  </si>
  <si>
    <t>Less Other</t>
  </si>
  <si>
    <t>Less Increase/(decrease) in deferred revenue</t>
  </si>
  <si>
    <t>Less Increase/(decrease) in payables/provisions</t>
  </si>
  <si>
    <t>Less Core Crown elimination, impairment and transfers to other assets</t>
  </si>
  <si>
    <t>Less Total elimination, impairment and transfers to other assets</t>
  </si>
  <si>
    <t>Less Net issue/(repayment) of advances</t>
  </si>
  <si>
    <t>Less Net purchase/(sale) of investments</t>
  </si>
  <si>
    <r>
      <t xml:space="preserve">Select key fiscal variable, in nominal dollars, from drop-down box </t>
    </r>
    <r>
      <rPr>
        <b/>
        <sz val="11"/>
        <color theme="1"/>
        <rFont val="Calibri"/>
        <family val="2"/>
      </rPr>
      <t>↓</t>
    </r>
  </si>
  <si>
    <t>Total Crown OBEGAL</t>
  </si>
  <si>
    <t>Gross sovereign-issued debt</t>
  </si>
  <si>
    <t>Net core Crown debt (excl. NZS Fund financial assets &amp; advances)</t>
  </si>
  <si>
    <t>Total Crown revenue</t>
  </si>
  <si>
    <t>Total Crown expenses</t>
  </si>
  <si>
    <t>Total Crown net worth attributable to the Crown</t>
  </si>
  <si>
    <t>Total Crown borrowings</t>
  </si>
  <si>
    <t>Total Crown tax revenue</t>
  </si>
  <si>
    <t>Core Crown tax revenue</t>
  </si>
  <si>
    <t>Key fiscal indicator displayed as percentage of nominal GDP</t>
  </si>
  <si>
    <r>
      <t xml:space="preserve">Key fiscal variable selected from drop-down list box </t>
    </r>
    <r>
      <rPr>
        <b/>
        <sz val="12"/>
        <color theme="1"/>
        <rFont val="Calibri"/>
        <family val="2"/>
      </rPr>
      <t>↓</t>
    </r>
  </si>
  <si>
    <t>Less Net purchase/(sale) of marketable securities and deposits (MSDs) and shares</t>
  </si>
  <si>
    <t>2004/05</t>
  </si>
  <si>
    <t>The Financial Statements of the Government of New Zealand are now prepared under the Public Sector Public Benefit Entities (PBE) accounting standard.</t>
  </si>
  <si>
    <t>However prior to the fiscal year (year ended 30 June) 2014/15  these accounts were prepared using an International Financial Reporting Standards (IFRS) standard.</t>
  </si>
  <si>
    <t>MAIN FISCAL INDICATOR  ACTUAL OUTTURNS</t>
  </si>
  <si>
    <t>As percentage of nominal GDP</t>
  </si>
  <si>
    <t>CORE CROWN EXPENSES</t>
  </si>
  <si>
    <t>Total core Crown expenses</t>
  </si>
  <si>
    <t>Zero marker (set to zero to avoid using any pasted in numbers in modelling worksheets)</t>
  </si>
  <si>
    <t>Percentage of core Crown cash to assign to the NZS Fund in 2013/14</t>
  </si>
  <si>
    <t>Historical</t>
  </si>
  <si>
    <r>
      <t xml:space="preserve">Year </t>
    </r>
    <r>
      <rPr>
        <b/>
        <sz val="11"/>
        <color rgb="FF0000FF"/>
        <rFont val="Calibri"/>
        <family val="2"/>
      </rPr>
      <t>↓</t>
    </r>
  </si>
  <si>
    <t>History &amp; Forecast only</t>
  </si>
  <si>
    <t>First Projected Year (key variable, must set to year immediately after last forecast year)</t>
  </si>
  <si>
    <t>Any year variable used in this worksheet should be a number variable but will refer to a June-end year e.g. enter the number 2021 for the year ended 30 June 2021 or fiscal year 2020/21.</t>
  </si>
  <si>
    <t>ACTUAL FISCAL OUTTURNS FROM 2004/05 UNTIL 2014/15</t>
  </si>
  <si>
    <t>The nominal GDP divisor used in the main modelling worksheet has also been provided in this worksheet for these historical years.</t>
  </si>
  <si>
    <t>NOMINAL GDP (expenditure measure)</t>
  </si>
  <si>
    <t xml:space="preserve">*Non-cash core Crown interest rev less exps &amp; Non-NZS Fund core Crown gains </t>
  </si>
  <si>
    <t>EXTRA DATA FROM CORE CROWN EXPENSE TABLES ON EDUCATION</t>
  </si>
  <si>
    <t>Early childhood education</t>
  </si>
  <si>
    <t>Primary education</t>
  </si>
  <si>
    <t>Secondary education</t>
  </si>
  <si>
    <t>Tertiary funding excluding student allowances and student loans</t>
  </si>
  <si>
    <t>Departmental and non-departmental expenses</t>
  </si>
  <si>
    <t>Total core Crown education expenses (includes student allowances &amp; loans in tertiary)</t>
  </si>
  <si>
    <t>GENERAL FISCAL ASSUMPTIONS</t>
  </si>
  <si>
    <t>BU</t>
  </si>
  <si>
    <t>ALLOCATION OF FORECAST NEW OPERATING SPENDING TO EXPENDITURE CATEGORIES</t>
  </si>
  <si>
    <t>Forecast Fiscal Year (year from 1 July to the following 30 June)</t>
  </si>
  <si>
    <t>Forecast New Operating Spending ($ billions)</t>
  </si>
  <si>
    <t>Top-down expense adjustment ($ billions)</t>
  </si>
  <si>
    <t>Total unallocated new operating spending ($ billions)</t>
  </si>
  <si>
    <t>CORE CROWN EXPENDITURE CLASS</t>
  </si>
  <si>
    <t>Social security and welfare departmental and non-departmental</t>
  </si>
  <si>
    <t>Total Core Crown expenditure allocation</t>
  </si>
  <si>
    <t>AVERAGE</t>
  </si>
  <si>
    <t>In order to accurately project core Crown expenditure classes in a bottom-up manner the combination of the Forecast New Operating Spending (often referred</t>
  </si>
  <si>
    <t>to as the Operating Allowances) and the Top-down expense adjustment need to be allocated to the various expenditure classes that derive their growth from them.</t>
  </si>
  <si>
    <t>The allocations are normally based on historical expense shares although different amounts can be used if spending plans are actually known.</t>
  </si>
  <si>
    <t>Core Crown Education expenditure allocation into sub-groups</t>
  </si>
  <si>
    <t>Core Crown education expenditure allocation</t>
  </si>
  <si>
    <t>Tertiary education (excluding student allowances and student loans components)</t>
  </si>
  <si>
    <t>Enter BU to apply bottom-up growth in projections of most core Crown expenditure classes</t>
  </si>
  <si>
    <t>Enter BU to apply bottom-up growth in projections of core Crown property, plant &amp; equipmt asset</t>
  </si>
  <si>
    <t>New operating spending annual increment (Operating Allowance) in first projected year ($ billion)</t>
  </si>
  <si>
    <t>New capital spending annual increment (Capital Allowance) in first projected year ($ billion)</t>
  </si>
  <si>
    <t>If bottom-up expense growth is chosen for expenses then Operating Allowances and Top-down expense adjustments in forecast years will be</t>
  </si>
  <si>
    <t>allocated to various expense classes via classes the amounts in the Allocate worksheet. This is necessary for accurate bottom-up projection.</t>
  </si>
  <si>
    <t>If bottom-up growth is chosen for physical assets then they will be allocated the Capital Allowances and Top-down capital adjustments in forecast years.</t>
  </si>
  <si>
    <t>Forecast New Capital Spending ($ billions)</t>
  </si>
  <si>
    <t>Top-down capital adjustment ($ billions)</t>
  </si>
  <si>
    <t>Total unallocated new capital spending ($ billions)</t>
  </si>
  <si>
    <t>Bottom-up core Crown property, plant and equipment asset projected growth</t>
  </si>
  <si>
    <t>With bottom-up expense growth a number of expense classes move towards and then stabilise at a percentage of nominal GDP. This approach is</t>
  </si>
  <si>
    <t>Percentage of NZS Fund holdings of net other assets that are property, plant &amp; equipment</t>
  </si>
  <si>
    <t>similar to the one used to project major tax revenue categories. As with those, the targeted percentages of GDP are based on historical outturns.</t>
  </si>
  <si>
    <t xml:space="preserve">Stable percentage of GDP for social welfare departmental and non-departmental expenses </t>
  </si>
  <si>
    <t>Number of projected years before effective interest rate reaches stable Government bond rate</t>
  </si>
  <si>
    <t>Stable percentage of nominal GDP for Working for Families (WFF) tax credits</t>
  </si>
  <si>
    <t xml:space="preserve">Stable percentage of GDP for departmental and non-departmental education expenses </t>
  </si>
  <si>
    <t>Departmental and non-departmental education expenses</t>
  </si>
  <si>
    <t xml:space="preserve">Stable percentage of GDP for core government services expenses (excl tax write-downs &amp; ODA) </t>
  </si>
  <si>
    <t xml:space="preserve">Stable percentage of GDP for law and order expenses </t>
  </si>
  <si>
    <t xml:space="preserve">Stable percentage of GDP for defence expenses </t>
  </si>
  <si>
    <t xml:space="preserve">Stable percentage of GDP for economic &amp; industrial services expenses (excl KiwiSaver) </t>
  </si>
  <si>
    <t xml:space="preserve">Stable percentage of GDP for primary services expenses </t>
  </si>
  <si>
    <t xml:space="preserve">Stable percentage of GDP for heritage, culture and recreation expenses </t>
  </si>
  <si>
    <t xml:space="preserve">Stable percentage of GDP for housing and community development expenses </t>
  </si>
  <si>
    <t xml:space="preserve">Stable percentage of GDP for environmental protection expenses </t>
  </si>
  <si>
    <t>Early Childhood Education aged under 1 year</t>
  </si>
  <si>
    <t>Early Childhood Education aged 1 year</t>
  </si>
  <si>
    <t>Early Childhood Education aged 2 years</t>
  </si>
  <si>
    <t>Early Childhood Education aged 3 years</t>
  </si>
  <si>
    <t>Female</t>
  </si>
  <si>
    <t>Male</t>
  </si>
  <si>
    <t>Early Childhood Education aged 4 years</t>
  </si>
  <si>
    <t>Early Childhood Education aged 5 years</t>
  </si>
  <si>
    <t>Early childhood education (ECE)</t>
  </si>
  <si>
    <t>Bottom-up non-demographic projected growth for ECE, Primary, Secondary &amp; Tertiary</t>
  </si>
  <si>
    <t>Initial stable percentage of GDP for tertiary ed exps (excl student allowances &amp;loans components)</t>
  </si>
  <si>
    <t>With education expenses each category is initially returned to a stable percentage of nominal GDP, in order to reduce dependence on the forecast</t>
  </si>
  <si>
    <t>base. Once that is either attained or the projected year limit to attain it has been reached, overall education-specific inflation, real labour cost growth</t>
  </si>
  <si>
    <t>and productivity growth assumptions are applied, plus demographic growth specific to the education category, to project the education class expense.</t>
  </si>
  <si>
    <t>Projected year by which bottom-up growth applied even if stable percentage of GDP unattained</t>
  </si>
  <si>
    <t>Elasticity of education subgroup of CPI inflation measure to general CPI inflation measure</t>
  </si>
  <si>
    <t>Elasticity of education real labour cost measure to general labour productivity growth measure</t>
  </si>
  <si>
    <t>Productivity growth assumption that reduces education expenditure growth</t>
  </si>
  <si>
    <t>Demographic growth driver for early childhood education</t>
  </si>
  <si>
    <t>Demographic growth driver for primary education</t>
  </si>
  <si>
    <t>Demographic growth driver for secondary education</t>
  </si>
  <si>
    <t>Demographic growth driver for tertiary education (excl student allowances &amp; loans comps)</t>
  </si>
  <si>
    <t>Primary Education aged 5 years</t>
  </si>
  <si>
    <t>Primary Education aged 6 years</t>
  </si>
  <si>
    <t>Primary Education aged 7 years</t>
  </si>
  <si>
    <t>Primary Education aged 8 years</t>
  </si>
  <si>
    <t>Primary Education aged 9 years</t>
  </si>
  <si>
    <t>Primary Education aged 10 years</t>
  </si>
  <si>
    <t>Primary Education aged 11 years</t>
  </si>
  <si>
    <t>Primary Education aged 12 years</t>
  </si>
  <si>
    <t>Primary Education aged 13 years</t>
  </si>
  <si>
    <t>Secondary Education aged 13 years</t>
  </si>
  <si>
    <t>Secondary Education aged 14 years</t>
  </si>
  <si>
    <t>Secondary Education aged 15 years</t>
  </si>
  <si>
    <t>Secondary Education aged 16 years</t>
  </si>
  <si>
    <t>Secondary Education aged 17 years</t>
  </si>
  <si>
    <t>Secondary Education aged 18 years</t>
  </si>
  <si>
    <t>Secondary Education aged 19 &amp; 20 years</t>
  </si>
  <si>
    <t>Tertiary Education aged 17 years</t>
  </si>
  <si>
    <t>Tertiary Education aged 18 &amp; 19 years</t>
  </si>
  <si>
    <t>Tertiary Education aged 20 to 24 years</t>
  </si>
  <si>
    <t>Tertiary Education aged 25 to 39 years</t>
  </si>
  <si>
    <t>Bottom-up non-demographic projected growth for Health expenditure</t>
  </si>
  <si>
    <t>Health expenditure is initially returned to a stable percentage of nominal GDP, in order to reduce dependence on the forecast base. Once that is</t>
  </si>
  <si>
    <t>either attained or the projected year limit to attain it has been reached, overall health-specific inflation, real labour cost growth and productivity</t>
  </si>
  <si>
    <t>growth assumptions are applied, plus demographic growth and a healthy ageing growth reducer, to project health expenditure.</t>
  </si>
  <si>
    <t>Initial stable percentage of GDP for health expenditure</t>
  </si>
  <si>
    <t>Initial stable percentage of GDP for early childhood education expenses</t>
  </si>
  <si>
    <t>Initial stable percentage of GDP for primary education expenses</t>
  </si>
  <si>
    <t>Initial stable percentage of GDP for secondary education expenses</t>
  </si>
  <si>
    <t>Elasticity of health subgroup of CPI inflation measure to general CPI inflation measure</t>
  </si>
  <si>
    <t>Elasticity of health real labour cost measure to general labour productivity growth measure</t>
  </si>
  <si>
    <t>Productivity growth assumption that reduces health expenditure growth</t>
  </si>
  <si>
    <t>Percentage of "Healthy Ageing" via life expectancy growth to apply to demographic growth</t>
  </si>
  <si>
    <t>One marker (set to one to avoid using any pasted in numbers in modelling worksheets)</t>
  </si>
  <si>
    <t>EDUCATION EXPENSE CLASSES AGE &amp; GENDER SHARES</t>
  </si>
  <si>
    <t>HEALTH EXPENSE CLASSES AGE &amp; GENDER SHARES</t>
  </si>
  <si>
    <t>Health expenditure allocated to those aged under 15 years</t>
  </si>
  <si>
    <t>Health expenditure allocated to those aged 15 to 24 years</t>
  </si>
  <si>
    <t>Health expenditure allocated to those aged 25 to 44 years</t>
  </si>
  <si>
    <t>Health expenditure allocated to those aged 45 to 64 years</t>
  </si>
  <si>
    <t>Health expenditure allocated to those aged 65 to 84 years</t>
  </si>
  <si>
    <t>Health expenditure allocated to those aged over 84 years</t>
  </si>
  <si>
    <t>Transition rate from end-of-forecast to stable pctg for these expense types (pctg points per year)</t>
  </si>
  <si>
    <t>Transition rate from end-of-forecast to stable pctg for health expenditure (pctg points per year)</t>
  </si>
  <si>
    <t>Transition rate from end-of-forecast to stable pctg for education expenditure (pctg points per year)</t>
  </si>
  <si>
    <t>Core Crown education sub-categories</t>
  </si>
  <si>
    <t>Core Crown core government service sub-categories</t>
  </si>
  <si>
    <t>Core Crown education expenditure</t>
  </si>
  <si>
    <t>Core Crown core government service</t>
  </si>
  <si>
    <t>Core Crown economic and industrial services sub-categories</t>
  </si>
  <si>
    <t>Core Crown economic and industrial services</t>
  </si>
  <si>
    <t>Core Crown social security and welfare sub-categories</t>
  </si>
  <si>
    <t>New Zealand Superannuation (NZS)</t>
  </si>
  <si>
    <t>Other welfare benefits</t>
  </si>
  <si>
    <t>Departmental &amp; non-departmental expenses</t>
  </si>
  <si>
    <t>Core Crown social security and welfare</t>
  </si>
  <si>
    <t>SND</t>
  </si>
  <si>
    <t>No</t>
  </si>
  <si>
    <t>SPECIFIC FISCAL ASSUMPTIONS RELATED TO BOTTOM-UP EXPENSE GROWTH</t>
  </si>
  <si>
    <t>SPECIFIC FISCAL ASSUMPTIONS RELATED TO STABILISING NET DEBT</t>
  </si>
  <si>
    <t>Enter SND to select a track of annual Operating Allowance increments that stabilises net debt</t>
  </si>
  <si>
    <t>Desired percentage of GDP that net debt stabilises around</t>
  </si>
  <si>
    <t>Maximum annual increment for any projected Operating Allowance, as a percentage of GDP</t>
  </si>
  <si>
    <t>Width of band around target percentage, to stay within, as a percentage of GDP</t>
  </si>
  <si>
    <t>Minimum annual increment for any projected Operating Allowance, as a percentage of GDP</t>
  </si>
  <si>
    <t>Allocation</t>
  </si>
  <si>
    <t>Percentage</t>
  </si>
  <si>
    <t>Operating allowance annual increments to maintain net debt as percentage of GDP</t>
  </si>
  <si>
    <t>Mid-range annual increment for any projected Operating Allowance, as a percentage of GDP</t>
  </si>
  <si>
    <t>Core Crown expenses excluding debt-financing costs</t>
  </si>
  <si>
    <t>EXPLANATION OF THE WORKSHEETS IN THE LONG-TERM FISCAL MODEL AND HOW THEY INTERCONNECT</t>
  </si>
  <si>
    <t>Purpose</t>
  </si>
  <si>
    <t>Provides inputs to these worksheets</t>
  </si>
  <si>
    <t>Uses outputs from these worksheets</t>
  </si>
  <si>
    <t>Display</t>
  </si>
  <si>
    <t>This is a hidden worksheet. It provides</t>
  </si>
  <si>
    <t>offsets to allow the chosen fiscal variable</t>
  </si>
  <si>
    <t>track to be displayed at the top of each</t>
  </si>
  <si>
    <t>Each of the main modelling worksheets.</t>
  </si>
  <si>
    <t>Other modelling worksheets can be copied</t>
  </si>
  <si>
    <t>from these and run from a different set of</t>
  </si>
  <si>
    <r>
      <t xml:space="preserve">parameters in the </t>
    </r>
    <r>
      <rPr>
        <i/>
        <sz val="11"/>
        <color indexed="8"/>
        <rFont val="Arial"/>
        <family val="2"/>
      </rPr>
      <t xml:space="preserve">Assumptions </t>
    </r>
    <r>
      <rPr>
        <sz val="11"/>
        <color indexed="8"/>
        <rFont val="Arial"/>
        <family val="2"/>
      </rPr>
      <t>worksheet.</t>
    </r>
  </si>
  <si>
    <t>None.</t>
  </si>
  <si>
    <t>That is this worksheet. It provides some</t>
  </si>
  <si>
    <t>information to help users know how the</t>
  </si>
  <si>
    <t>various worksheets in the model interact.</t>
  </si>
  <si>
    <t>None. Purely for information purposes</t>
  </si>
  <si>
    <t>and to help users of the model.</t>
  </si>
  <si>
    <t>Guide</t>
  </si>
  <si>
    <t>Name</t>
  </si>
  <si>
    <t>This is also an information worksheet. It</t>
  </si>
  <si>
    <t>provides lists of data and input tracks</t>
  </si>
  <si>
    <t>used in the model, as well as what base</t>
  </si>
  <si>
    <t>they use and from where they are sourced.</t>
  </si>
  <si>
    <t>Popn</t>
  </si>
  <si>
    <t>Used in numerous places in the main</t>
  </si>
  <si>
    <t>modelling worksheets, wherever</t>
  </si>
  <si>
    <t>demographic drivers are required. Used</t>
  </si>
  <si>
    <t>These are the most recent NZ resident</t>
  </si>
  <si>
    <t>population projections, by gender and</t>
  </si>
  <si>
    <t>single year of age. They are produced by</t>
  </si>
  <si>
    <t>Statistics New Zealand. This worksheet</t>
  </si>
  <si>
    <t>also contains the accompanying male and</t>
  </si>
  <si>
    <t>female life expectancy projections used in</t>
  </si>
  <si>
    <t>"healthy ageing" modelling. At the bottom of</t>
  </si>
  <si>
    <t xml:space="preserve">the worksheet are calculated annual growth </t>
  </si>
  <si>
    <t>are used in the main modelling worksheets.</t>
  </si>
  <si>
    <t>rates for various age and gender groups that</t>
  </si>
  <si>
    <t>in projecting some economic variables.</t>
  </si>
  <si>
    <t>Used as a driver of recipient numbers for</t>
  </si>
  <si>
    <t>LabourForce</t>
  </si>
  <si>
    <t>These are the most recent NZ labour force</t>
  </si>
  <si>
    <t>projections, by gender and single year of</t>
  </si>
  <si>
    <t>age. They are produced by Statistics New</t>
  </si>
  <si>
    <t>Zealand. This worksheet also contains</t>
  </si>
  <si>
    <t>aggregate population, total male and total</t>
  </si>
  <si>
    <t>female participation rates (labour force as a</t>
  </si>
  <si>
    <t>percentage of the working-age population).</t>
  </si>
  <si>
    <t>some expense types, especially New</t>
  </si>
  <si>
    <t>Zealand Superannuation (NZS) and other</t>
  </si>
  <si>
    <t>health and education expenditure.</t>
  </si>
  <si>
    <t>welfare expenses and, in bottom-up mode,</t>
  </si>
  <si>
    <t>Used in the economic projections of the</t>
  </si>
  <si>
    <t>main modelling worksheets to project the</t>
  </si>
  <si>
    <t>aggregate labour force. This variable is</t>
  </si>
  <si>
    <t>a key driver in the projections of both</t>
  </si>
  <si>
    <t>real and nominal GDP.</t>
  </si>
  <si>
    <t>Exogenous</t>
  </si>
  <si>
    <t>This worksheet contains a number of</t>
  </si>
  <si>
    <t>Used in many places throughout the main</t>
  </si>
  <si>
    <t xml:space="preserve">projected tracks and demographic </t>
  </si>
  <si>
    <t>modelling worksheets, often in regard to</t>
  </si>
  <si>
    <t>distributions. Some of these are produced</t>
  </si>
  <si>
    <t>a particular asset, liability or expense type.</t>
  </si>
  <si>
    <t>by Treasury, while others are sourced from</t>
  </si>
  <si>
    <t>The demographic distributions are used as</t>
  </si>
  <si>
    <t>outside agencies. They all share the</t>
  </si>
  <si>
    <t>inputs to the projected growth of recipient</t>
  </si>
  <si>
    <t>characteristic of being produced outside</t>
  </si>
  <si>
    <t>the model itself i.e. are exogenous inputs.</t>
  </si>
  <si>
    <t>health and education sub-category expenses.</t>
  </si>
  <si>
    <t>numbers in various welfare categories,</t>
  </si>
  <si>
    <t>Economic</t>
  </si>
  <si>
    <t>Actuals</t>
  </si>
  <si>
    <t>Historical fiscal data back to the fiscal year</t>
  </si>
  <si>
    <t>ended 30 June 2005 (2004/05) is contained</t>
  </si>
  <si>
    <t>in this worksheet. There is more explanation</t>
  </si>
  <si>
    <t>including why these historical years are not</t>
  </si>
  <si>
    <t>at the top of this worksheet about this,</t>
  </si>
  <si>
    <t>Used as the base of economic projections</t>
  </si>
  <si>
    <t>in the main modelling worksheets.</t>
  </si>
  <si>
    <t>Also used as the base of various inputs</t>
  </si>
  <si>
    <t>into the projection of NZ Superannuation</t>
  </si>
  <si>
    <t>in these main modelling worksheets.</t>
  </si>
  <si>
    <t>The most recent set of forecast economic</t>
  </si>
  <si>
    <t>data, can be found in this worksheet.</t>
  </si>
  <si>
    <t>variables, as well as historical economic</t>
  </si>
  <si>
    <t>It also contains variables, derived from the</t>
  </si>
  <si>
    <t>in the the main modelling worksheets.</t>
  </si>
  <si>
    <t>economic forecasts by another Treasury</t>
  </si>
  <si>
    <t>model, that are used in projecting NZS.</t>
  </si>
  <si>
    <t>Fiscal</t>
  </si>
  <si>
    <t>worksheet, although for reasons explained</t>
  </si>
  <si>
    <r>
      <t xml:space="preserve">The fiscal equivalent of the </t>
    </r>
    <r>
      <rPr>
        <i/>
        <sz val="11"/>
        <color theme="1"/>
        <rFont val="Arial"/>
        <family val="2"/>
      </rPr>
      <t>Economic</t>
    </r>
  </si>
  <si>
    <r>
      <t xml:space="preserve">in </t>
    </r>
    <r>
      <rPr>
        <i/>
        <sz val="11"/>
        <color theme="1"/>
        <rFont val="Arial"/>
        <family val="2"/>
      </rPr>
      <t>Actuals</t>
    </r>
    <r>
      <rPr>
        <sz val="11"/>
        <color theme="1"/>
        <rFont val="Arial"/>
        <family val="2"/>
      </rPr>
      <t xml:space="preserve"> there is little historical fiscal data</t>
    </r>
  </si>
  <si>
    <t>in this worksheet. Because there is so</t>
  </si>
  <si>
    <t>much input data in this worksheet it uses a</t>
  </si>
  <si>
    <t>number of checking calculations to ensure</t>
  </si>
  <si>
    <t>various sections tally with each other.</t>
  </si>
  <si>
    <t>Used as the base of projections of asset,</t>
  </si>
  <si>
    <t>liability, revenue and expense categories</t>
  </si>
  <si>
    <t>in the main modelling worksheets. Covers</t>
  </si>
  <si>
    <t>core Crown and total Crown variables, and</t>
  </si>
  <si>
    <t>in some cases extends to Crown entity and</t>
  </si>
  <si>
    <t>State-owned enterprise (SOE) variables.</t>
  </si>
  <si>
    <t>Allocate</t>
  </si>
  <si>
    <t>In bottom-up expense projections it is</t>
  </si>
  <si>
    <t>necessary to allocate the Forecast New</t>
  </si>
  <si>
    <t>Operating Spending amounts (or Operating</t>
  </si>
  <si>
    <t>categories. There is more explanation</t>
  </si>
  <si>
    <t>at the top of this worksheet about this.</t>
  </si>
  <si>
    <t xml:space="preserve">Allowances) and the Top-down Expense </t>
  </si>
  <si>
    <t>Adjustments among core Crown expense</t>
  </si>
  <si>
    <t>Forecast New Capital Spending (or Capital</t>
  </si>
  <si>
    <t>Allowances) and the Top-down Capital</t>
  </si>
  <si>
    <t>Adjustments are shown too, although in</t>
  </si>
  <si>
    <t>a bottom-up mode they are all allocated</t>
  </si>
  <si>
    <t>to the core Crown Property, plant and</t>
  </si>
  <si>
    <t>equipment (PP&amp;E) physical asset type.</t>
  </si>
  <si>
    <t>Allowances are distributed among the various</t>
  </si>
  <si>
    <t>modelling worksheets, where the Operating</t>
  </si>
  <si>
    <t>their growth from them in forecast years.</t>
  </si>
  <si>
    <t>Vital to allocate when running bottom-up</t>
  </si>
  <si>
    <t>expense growth scenarios, but can also be</t>
  </si>
  <si>
    <t>expense categories assumed to derive</t>
  </si>
  <si>
    <t>running net debt stabilisation scenarios.</t>
  </si>
  <si>
    <t>used for comparative purposes when</t>
  </si>
  <si>
    <t>Assumptions</t>
  </si>
  <si>
    <t xml:space="preserve">All of the assumptions and parameters </t>
  </si>
  <si>
    <t>Any modelling worksheet that is set up.</t>
  </si>
  <si>
    <t>needed to run a scenario are entered by</t>
  </si>
  <si>
    <t>Again, the easiest way to produce a whole</t>
  </si>
  <si>
    <t>the model user in this worksheet. Most</t>
  </si>
  <si>
    <t>new modelled scenario is to copy one of</t>
  </si>
  <si>
    <t>the main modelling worksheets by right</t>
  </si>
  <si>
    <t>or parameters, but there are some that</t>
  </si>
  <si>
    <t>change the name of the worksheet tab.</t>
  </si>
  <si>
    <t>choices relate to projection assumptions</t>
  </si>
  <si>
    <t>impact on the forecast base. There are</t>
  </si>
  <si>
    <t>notes in the worksheet to provide guidance.</t>
  </si>
  <si>
    <t>There are standard sets of assumptions</t>
  </si>
  <si>
    <t>and parameters used in the main modelling</t>
  </si>
  <si>
    <t>worksheet scenarios. As most options will</t>
  </si>
  <si>
    <t>not be altered in setting up a scenario, the</t>
  </si>
  <si>
    <t>easiest way to produce a new scenario is</t>
  </si>
  <si>
    <t>to copy one of these columns and paste it</t>
  </si>
  <si>
    <t>into a new column in this worksheet,</t>
  </si>
  <si>
    <t>changing its name at the top of the column</t>
  </si>
  <si>
    <r>
      <rPr>
        <sz val="11"/>
        <color theme="1"/>
        <rFont val="Arial"/>
        <family val="2"/>
      </rPr>
      <t xml:space="preserve">in the row </t>
    </r>
    <r>
      <rPr>
        <sz val="11"/>
        <color indexed="8"/>
        <rFont val="Arial"/>
        <family val="2"/>
      </rPr>
      <t xml:space="preserve">labelled </t>
    </r>
    <r>
      <rPr>
        <i/>
        <sz val="11"/>
        <color indexed="8"/>
        <rFont val="Arial"/>
        <family val="2"/>
      </rPr>
      <t>SCENARIO NAME</t>
    </r>
    <r>
      <rPr>
        <sz val="11"/>
        <color indexed="8"/>
        <rFont val="Arial"/>
        <family val="2"/>
      </rPr>
      <t>.</t>
    </r>
  </si>
  <si>
    <t>clicking the worksheet tab, ensuring to tick</t>
  </si>
  <si>
    <r>
      <t xml:space="preserve">the </t>
    </r>
    <r>
      <rPr>
        <i/>
        <sz val="11"/>
        <color indexed="8"/>
        <rFont val="Arial"/>
        <family val="2"/>
      </rPr>
      <t xml:space="preserve">Create a Copy </t>
    </r>
    <r>
      <rPr>
        <sz val="11"/>
        <color indexed="8"/>
        <rFont val="Arial"/>
        <family val="2"/>
      </rPr>
      <t>box (otherwise the</t>
    </r>
  </si>
  <si>
    <t>worksheet will just be moved) and</t>
  </si>
  <si>
    <t>worksheet, enter the name used at the top</t>
  </si>
  <si>
    <t>of the column set up with the desired set</t>
  </si>
  <si>
    <t>of assumptions and parameters in the</t>
  </si>
  <si>
    <t>In cell B1 at the top of the new modelling</t>
  </si>
  <si>
    <r>
      <rPr>
        <i/>
        <sz val="11"/>
        <color indexed="8"/>
        <rFont val="Arial"/>
        <family val="2"/>
      </rPr>
      <t>Assumptions</t>
    </r>
    <r>
      <rPr>
        <sz val="11"/>
        <color indexed="8"/>
        <rFont val="Arial"/>
        <family val="2"/>
      </rPr>
      <t xml:space="preserve"> worksheet. In numerous</t>
    </r>
  </si>
  <si>
    <t>places in the new modelling worksheet the</t>
  </si>
  <si>
    <t>be used to produce the desired scenario.</t>
  </si>
  <si>
    <t>assumptions and parameters chosen will</t>
  </si>
  <si>
    <t>Main modelling</t>
  </si>
  <si>
    <t>worksheets</t>
  </si>
  <si>
    <t>These worksheets provide the fundamental</t>
  </si>
  <si>
    <t>of net core Crown debt as a percentage of</t>
  </si>
  <si>
    <t>nominal GDP for a given scenario.</t>
  </si>
  <si>
    <t>outputs of the LTFM, such as projections</t>
  </si>
  <si>
    <t>Sources</t>
  </si>
  <si>
    <t>SOURCES OF DATA AND EXOGENOUS TRACKS USED IN THE LONG-TERM FISCAL MODEL</t>
  </si>
  <si>
    <t>Unless otherwise stated, all post-forecast projections are produced by the Long-Term Fiscal Model (LTFM)</t>
  </si>
  <si>
    <t>This version of the LTFM uses:</t>
  </si>
  <si>
    <t>2016 Budget Economic and Fiscal Update (BEFU) data and forecasts</t>
  </si>
  <si>
    <t>Input</t>
  </si>
  <si>
    <t>History</t>
  </si>
  <si>
    <t>Historic data from Treasury databases</t>
  </si>
  <si>
    <t>Forecasts</t>
  </si>
  <si>
    <t>Forecasts from Treasury</t>
  </si>
  <si>
    <t>2016 BEFU version</t>
  </si>
  <si>
    <t>Historic data from Treasury publications</t>
  </si>
  <si>
    <t>Mainly from Financial Statements published in past Budget EFU reports</t>
  </si>
  <si>
    <t>Type</t>
  </si>
  <si>
    <t>Mainly Statistics New Zealand measures</t>
  </si>
  <si>
    <t>Source</t>
  </si>
  <si>
    <t>Description</t>
  </si>
  <si>
    <t>(by gender and</t>
  </si>
  <si>
    <t>Aggregate population forecast by Treasury</t>
  </si>
  <si>
    <t>single year of age)</t>
  </si>
  <si>
    <t>Projections</t>
  </si>
  <si>
    <t>Statistics New Zealand website</t>
  </si>
  <si>
    <t>Source:</t>
  </si>
  <si>
    <t>Census 2013 basis, produced in 2014</t>
  </si>
  <si>
    <t>Historic data from Statistics New Zealand</t>
  </si>
  <si>
    <t>Labour Force</t>
  </si>
  <si>
    <t>Aggregate labour force forecast by Treasury</t>
  </si>
  <si>
    <t xml:space="preserve">Projections from Statistics NZ </t>
  </si>
  <si>
    <t>Census 2013 basis, produced in 2015</t>
  </si>
  <si>
    <t>Based on Household Labour Force Survey (HLFS)</t>
  </si>
  <si>
    <t>Social welfare</t>
  </si>
  <si>
    <t>transfers</t>
  </si>
  <si>
    <t>Forecasts from Ministry of Social</t>
  </si>
  <si>
    <t>Development and Inland Revenue</t>
  </si>
  <si>
    <t>Department (for Working for Families tax credits)</t>
  </si>
  <si>
    <t>New Zealand</t>
  </si>
  <si>
    <t>Superannuation</t>
  </si>
  <si>
    <t>Projection produced by Treasury</t>
  </si>
  <si>
    <t>Fund (NZS Fund)</t>
  </si>
  <si>
    <t>Forecasts provided to Treasury by NZS Fund</t>
  </si>
  <si>
    <t>NZS Fund model website</t>
  </si>
  <si>
    <t>Forecasts provided to Treasury by ACC</t>
  </si>
  <si>
    <t>Projection produced by ACC</t>
  </si>
  <si>
    <t>Economic data</t>
  </si>
  <si>
    <t>Fiscal data</t>
  </si>
  <si>
    <t>Demographic data</t>
  </si>
  <si>
    <t>Ministry of Education</t>
  </si>
  <si>
    <t>2016 BEFU version of projected Student Loans track</t>
  </si>
  <si>
    <t>KiwiSaver expenses</t>
  </si>
  <si>
    <t xml:space="preserve">Inland Revenue </t>
  </si>
  <si>
    <t>Forecasts provided to Treasury by IRD</t>
  </si>
  <si>
    <t>Department (IRD)</t>
  </si>
  <si>
    <t>Projection to 2021/22 by IRD</t>
  </si>
  <si>
    <t>Government</t>
  </si>
  <si>
    <t>Fund (GSF)</t>
  </si>
  <si>
    <t>Projection produced by actuaries for GSF</t>
  </si>
  <si>
    <t>2012 version</t>
  </si>
  <si>
    <t>Forecasts provided to Treasury by MoE</t>
  </si>
  <si>
    <t>Projection produced by MoE</t>
  </si>
  <si>
    <t>Accident Compensation</t>
  </si>
  <si>
    <t>Corporation (ACC) data</t>
  </si>
  <si>
    <t>(MoE) track</t>
  </si>
  <si>
    <t>2015 update of ACC asset and liability track</t>
  </si>
  <si>
    <t>2016 BEFU version of post-forecast values out to 2021/22</t>
  </si>
  <si>
    <t>Tax Receivable write-</t>
  </si>
  <si>
    <t>downs &amp; impairments</t>
  </si>
  <si>
    <t>Forecasts provided to Treasury by GSF</t>
  </si>
  <si>
    <t>Forecasts by IRD</t>
  </si>
  <si>
    <t>Working-age benefit</t>
  </si>
  <si>
    <t>age and gender distributions</t>
  </si>
  <si>
    <t>Ministry of Social Development</t>
  </si>
  <si>
    <t>administrative data</t>
  </si>
  <si>
    <t>Based on averages of recent historical distributions</t>
  </si>
  <si>
    <t>Health expenditure</t>
  </si>
  <si>
    <t>Ministry of Health</t>
  </si>
  <si>
    <t>Education sub-category expenditure</t>
  </si>
  <si>
    <t>Education counts website</t>
  </si>
  <si>
    <t>Stable percentage of nominal GDP for main working-age benefits</t>
  </si>
  <si>
    <t>Transition rate from end-of-forecast to stable pctg for non-NZS benefits &amp; ODA (pctg pts per year)</t>
  </si>
  <si>
    <t>Type of non-NZS benefit modelling to apply</t>
  </si>
  <si>
    <t>AllGDP</t>
  </si>
  <si>
    <t>Use inflation indexation no matter which benefit modelling is chosen until this year</t>
  </si>
  <si>
    <t>Stable percentage of nominal GDP for Student Allowances</t>
  </si>
  <si>
    <t>Use NoGDP to model all non-NZS benefit types growing with recipient numbers and inflation indexation; PartGDP to model WFF and Supplementary</t>
  </si>
  <si>
    <t>benefits moving to and then stabilising at chosen % of GDP; and AllGDP to also model Main working-age benefits and Student allowances in this way.</t>
  </si>
  <si>
    <t>Female demographic growth driver for health expenditure</t>
  </si>
  <si>
    <t>Male demographic growth driver for health expenditure</t>
  </si>
  <si>
    <t>Female demographic growth retardant due to longevity improvement linked "Healthy Ageing"</t>
  </si>
  <si>
    <t>Male demographic growth retardant due to longevity improvement linked "Healthy Ageing"</t>
  </si>
  <si>
    <t xml:space="preserve">Enter FFD for full fiscal drag in source deductions, PFD if income growth from inflation addressed </t>
  </si>
  <si>
    <t>Gross ordinary time weekly earnings ($ per week)</t>
  </si>
  <si>
    <t>Income limits</t>
  </si>
  <si>
    <t>TAX PARAMETERS</t>
  </si>
  <si>
    <t>Tax rate</t>
  </si>
  <si>
    <t>Gross</t>
  </si>
  <si>
    <t>ACC Earner levy</t>
  </si>
  <si>
    <t>Inflation-indexed gross taxable income first threshold</t>
  </si>
  <si>
    <t>Inflation-indexed gross taxable income second threshold</t>
  </si>
  <si>
    <t>Inflation-indexed gross taxable income third threshold</t>
  </si>
  <si>
    <t>Net of tax first threshold</t>
  </si>
  <si>
    <t>Net of tax second threshold</t>
  </si>
  <si>
    <t>Net of tax third threshold</t>
  </si>
  <si>
    <t>Tax on first threshold</t>
  </si>
  <si>
    <t>Tax on second threshold</t>
  </si>
  <si>
    <t>Tax on third threshold</t>
  </si>
  <si>
    <t>Net-to-gross tax wedge on first threshold</t>
  </si>
  <si>
    <t>Net-to-gross tax wedge on second threshold</t>
  </si>
  <si>
    <t>Net-to-gross tax wedge on third threshold</t>
  </si>
  <si>
    <t>Tertiary Education aged 40 to 75 years</t>
  </si>
  <si>
    <t>HSP</t>
  </si>
  <si>
    <t>of the main modelling worksheets. It can</t>
  </si>
  <si>
    <t>be displayed by right clicking on any</t>
  </si>
  <si>
    <t>worksheet tab, selecting Unhide and</t>
  </si>
  <si>
    <t>pressing on the OK button when the</t>
  </si>
  <si>
    <t>Unhide box displays.</t>
  </si>
  <si>
    <t>These are labelled with the name of the</t>
  </si>
  <si>
    <t>scenario modelled in the worksheet</t>
  </si>
  <si>
    <r>
      <t xml:space="preserve">e.g. </t>
    </r>
    <r>
      <rPr>
        <i/>
        <sz val="11"/>
        <color theme="1"/>
        <rFont val="Arial"/>
        <family val="2"/>
      </rPr>
      <t>Historical Spending Patterns</t>
    </r>
  </si>
  <si>
    <t>The two main scenarios of the 2016 Long-</t>
  </si>
  <si>
    <r>
      <t xml:space="preserve">Term Fiscal Statement, namely </t>
    </r>
    <r>
      <rPr>
        <i/>
        <sz val="11"/>
        <color theme="1"/>
        <rFont val="Arial"/>
        <family val="2"/>
      </rPr>
      <t>Historical</t>
    </r>
  </si>
  <si>
    <r>
      <t xml:space="preserve">Spending Patterns </t>
    </r>
    <r>
      <rPr>
        <sz val="11"/>
        <color theme="1"/>
        <rFont val="Arial"/>
        <family val="2"/>
      </rPr>
      <t>and</t>
    </r>
    <r>
      <rPr>
        <i/>
        <sz val="11"/>
        <color theme="1"/>
        <rFont val="Arial"/>
        <family val="2"/>
      </rPr>
      <t xml:space="preserve"> Stabilise Net Debt</t>
    </r>
    <r>
      <rPr>
        <sz val="11"/>
        <color theme="1"/>
        <rFont val="Arial"/>
        <family val="2"/>
      </rPr>
      <t>,</t>
    </r>
  </si>
  <si>
    <t>are both included in this Internet version of</t>
  </si>
  <si>
    <t>the 2016 Long-Term Fiscal Model.</t>
  </si>
  <si>
    <t>As all fiscal data has not been backdated to the PBE standard only the main fiscal indicators reported in the drop-down box at the top of the main modelling worksheets are given in this worksheet.</t>
  </si>
  <si>
    <t xml:space="preserve">Labour Force (millions) (aggregate) </t>
  </si>
  <si>
    <t>Working-Age Population (millions) (aged 15 years &amp; over)</t>
  </si>
  <si>
    <t>Total Population (millions)</t>
  </si>
  <si>
    <t>Gross average ordinary time weekly earnings ($ per week, December quarter value)</t>
  </si>
  <si>
    <t>stabilise at the stable percentage of GDP shown below. If fiscal drag is chosen, this is applied in modelling indexation of NZS payments too.</t>
  </si>
  <si>
    <t>Fiscal drag modelling can be applied to source deductions tax revenue. If this selected, by choosing FFD or PFD, then source deductions will not</t>
  </si>
  <si>
    <t>Fiscal drag elasticity on nominal wage growth (FFD) or labour productivity growth only (PFD)</t>
  </si>
  <si>
    <t>calculated over forecast years and the number of forecast years is chosen here. The averaging period moves backward from the</t>
  </si>
  <si>
    <t>If bottom-up expense growth is chosen for expenses in row 72 this will override any selection made here. Hence if it is desired to run a scenario</t>
  </si>
  <si>
    <t>where net core Crown debt is stabilised around some chosen percentage of GDP, ensure that BU is not written in row 72 of the scenario column.</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</si>
  <si>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</si>
  <si>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</si>
  <si>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</si>
  <si>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Long-Term Fiscal Model</t>
  </si>
  <si>
    <t>Published by the New Zealand Treasury at http://www.treasury.govt.nz/government/longterm/fiscalmodel</t>
  </si>
  <si>
    <t>Published 22 Nov 2016</t>
  </si>
  <si>
    <t>2016 Statement on the Long-Term Fiscal Position</t>
  </si>
  <si>
    <t>This model is a special purpose document and cannot be provided in HTML format or CSV format.</t>
  </si>
  <si>
    <t>The Long-Term Fiscal Model (LTFM) is an Excel spreadsheet-based model created by the New Zealand Treasury. Its primary purpose is to produce the 40-year projections of economic and fiscal variables, such as nominal GDP and core Crown net debt, used in the Statements on the Long-Term Fiscal Position.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</si>
</sst>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
    <numFmt numFmtId="165" formatCode="0.0"/>
    <numFmt numFmtId="166" formatCode="#,##0.0"/>
    <numFmt numFmtId="167" formatCode="0.0%"/>
    <numFmt numFmtId="168" formatCode="&quot;$&quot;#,##0.00"/>
    <numFmt numFmtId="169" formatCode="#,##0.00000"/>
    <numFmt numFmtId="170" formatCode="0.00000"/>
    <numFmt numFmtId="171" formatCode="&quot;$&quot;#,##0"/>
  </numFmts>
  <fonts count="32" x14ac:knownFonts="1">
    <font>
      <sz val="11"/>
      <color theme="1"/>
      <name val="Calibri"/>
      <family val="2"/>
      <scheme val="minor"/>
    </font>
    <font>
      <sz val="11"/>
      <color theme="1"/>
      <name val="Arial"/>
      <family val="2"/>
    </font>
    <font>
      <b/>
      <sz val="11"/>
      <color theme="1"/>
      <name val="Arial"/>
      <family val="2"/>
    </font>
    <font>
      <sz val="11"/>
      <color theme="1"/>
      <name val="Calibri"/>
      <family val="2"/>
      <scheme val="minor"/>
    </font>
    <font>
      <i/>
      <sz val="11"/>
      <color theme="1"/>
      <name val="Arial"/>
      <family val="2"/>
    </font>
    <font>
      <b/>
      <sz val="11"/>
      <color theme="1"/>
      <name val="Calibri"/>
      <family val="2"/>
    </font>
    <font>
      <u/>
      <sz val="11"/>
      <color theme="10"/>
      <name val="Calibri"/>
      <family val="2"/>
      <scheme val="minor"/>
    </font>
    <font>
      <sz val="9"/>
      <color indexed="81"/>
      <name val="Tahoma"/>
      <family val="2"/>
    </font>
    <font>
      <sz val="10"/>
      <color theme="1"/>
      <name val="Verdana"/>
      <family val="2"/>
    </font>
    <font>
      <b/>
      <i/>
      <sz val="11"/>
      <color theme="1"/>
      <name val="Arial"/>
      <family val="2"/>
    </font>
    <font>
      <i/>
      <sz val="11"/>
      <color theme="1"/>
      <name val="Calibri"/>
      <family val="2"/>
    </font>
    <font>
      <sz val="11"/>
      <color rgb="FF0000FF"/>
      <name val="Arial"/>
      <family val="2"/>
    </font>
    <font>
      <sz val="11"/>
      <color rgb="FFFF0000"/>
      <name val="Arial"/>
      <family val="2"/>
    </font>
    <font>
      <b/>
      <sz val="11"/>
      <name val="Arial"/>
      <family val="2"/>
    </font>
    <font>
      <sz val="10"/>
      <color theme="1"/>
      <name val="Arial"/>
      <family val="2"/>
    </font>
    <font>
      <b/>
      <sz val="11"/>
      <color rgb="FF0000FF"/>
      <name val="Arial"/>
      <family val="2"/>
    </font>
    <font>
      <b/>
      <sz val="11"/>
      <color rgb="FFFF0000"/>
      <name val="Arial"/>
      <family val="2"/>
    </font>
    <font>
      <b/>
      <i/>
      <sz val="11"/>
      <name val="Arial"/>
      <family val="2"/>
    </font>
    <font>
      <b/>
      <sz val="13"/>
      <color theme="1"/>
      <name val="Arial"/>
      <family val="2"/>
    </font>
    <font>
      <b/>
      <i/>
      <sz val="12"/>
      <color theme="1"/>
      <name val="Arial"/>
      <family val="2"/>
    </font>
    <font>
      <b/>
      <sz val="12"/>
      <color theme="1"/>
      <name val="Calibri"/>
      <family val="2"/>
    </font>
    <font>
      <b/>
      <sz val="12"/>
      <color theme="1"/>
      <name val="Arial"/>
      <family val="2"/>
    </font>
    <font>
      <b/>
      <sz val="11"/>
      <color rgb="FF0000FF"/>
      <name val="Calibri"/>
      <family val="2"/>
    </font>
    <font>
      <i/>
      <sz val="11"/>
      <color indexed="8"/>
      <name val="Arial"/>
      <family val="2"/>
    </font>
    <font>
      <sz val="11"/>
      <color indexed="8"/>
      <name val="Arial"/>
      <family val="2"/>
    </font>
    <font>
      <u/>
      <sz val="11"/>
      <color theme="10"/>
      <name val="Arial"/>
      <family val="2"/>
    </font>
    <font>
      <b/>
      <sz val="14"/>
      <name val="Arial Narrow"/>
      <family val="2"/>
    </font>
    <font>
      <b/>
      <sz val="12"/>
      <name val="Arial Narrow"/>
      <family val="2"/>
    </font>
    <font>
      <sz val="10"/>
      <name val="Arial Narrow"/>
      <family val="2"/>
    </font>
    <font>
      <u/>
      <sz val="10"/>
      <color theme="10"/>
      <name val="Arial Narrow"/>
      <family val="2"/>
    </font>
    <font>
      <sz val="10"/>
      <color theme="1"/>
      <name val="Arial Narrow"/>
      <family val="2"/>
    </font>
    <font>
      <b/>
      <sz val="10"/>
      <color theme="1"/>
      <name val="Arial Narrow"/>
      <family val="2"/>
    </font>
  </fonts>
  <fills count="3">
    <fill>
      <patternFill patternType="none"/>
    </fill>
    <fill>
      <patternFill patternType="gray125"/>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thin">
        <color indexed="64"/>
      </top>
      <bottom/>
      <diagonal/>
    </border>
  </borders>
  <cellStyleXfs count="7">
    <xf numFmtId="0" fontId="0" fillId="0" borderId="0"/>
    <xf numFmtId="9" fontId="3" fillId="0" borderId="0" applyFont="0" applyFill="0" applyBorder="0" applyAlignment="0" applyProtection="0"/>
    <xf numFmtId="0" fontId="6" fillId="0" borderId="0" applyNumberFormat="0" applyFill="0" applyBorder="0" applyAlignment="0" applyProtection="0"/>
    <xf numFmtId="0" fontId="8" fillId="0" borderId="0"/>
    <xf numFmtId="9" fontId="8" fillId="0" borderId="0" applyFont="0" applyFill="0" applyBorder="0" applyAlignment="0" applyProtection="0"/>
    <xf numFmtId="0" fontId="3" fillId="0" borderId="0"/>
    <xf numFmtId="0" fontId="3" fillId="0" borderId="0"/>
  </cellStyleXfs>
  <cellXfs count="98">
    <xf numFmtId="0" fontId="0" fillId="0" borderId="0" xfId="0"/>
    <xf numFmtId="0" fontId="1" fillId="0" borderId="0" xfId="0" applyFont="1"/>
    <xf numFmtId="0" fontId="2" fillId="0" borderId="0" xfId="0" applyFont="1"/>
    <xf numFmtId="3" fontId="1" fillId="0" borderId="0" xfId="0" applyNumberFormat="1" applyFont="1"/>
    <xf numFmtId="0" fontId="4" fillId="0" borderId="0" xfId="0" applyFont="1"/>
    <xf numFmtId="0" fontId="6" fillId="0" borderId="0" xfId="2"/>
    <xf numFmtId="0" fontId="2" fillId="0" borderId="0" xfId="0" applyFont="1" applyAlignment="1">
      <alignment horizontal="center"/>
    </xf>
    <xf numFmtId="164" fontId="1" fillId="0" borderId="0" xfId="0" applyNumberFormat="1" applyFont="1"/>
    <xf numFmtId="164" fontId="2" fillId="0" borderId="0" xfId="0" applyNumberFormat="1" applyFont="1"/>
    <xf numFmtId="10" fontId="1" fillId="0" borderId="0" xfId="1" applyNumberFormat="1" applyFont="1"/>
    <xf numFmtId="165" fontId="1" fillId="0" borderId="0" xfId="0" applyNumberFormat="1" applyFont="1"/>
    <xf numFmtId="166" fontId="1" fillId="0" borderId="0" xfId="0" applyNumberFormat="1" applyFont="1"/>
    <xf numFmtId="165" fontId="1" fillId="0" borderId="0" xfId="1" applyNumberFormat="1" applyFont="1"/>
    <xf numFmtId="2" fontId="1" fillId="0" borderId="0" xfId="0" applyNumberFormat="1" applyFont="1"/>
    <xf numFmtId="10" fontId="1" fillId="0" borderId="0" xfId="0" applyNumberFormat="1" applyFont="1"/>
    <xf numFmtId="1" fontId="1" fillId="0" borderId="0" xfId="0" applyNumberFormat="1" applyFont="1"/>
    <xf numFmtId="0" fontId="4" fillId="0" borderId="0" xfId="0" applyFont="1" applyAlignment="1">
      <alignment horizontal="left"/>
    </xf>
    <xf numFmtId="0" fontId="2" fillId="0" borderId="0" xfId="0" applyFont="1" applyAlignment="1">
      <alignment horizontal="right"/>
    </xf>
    <xf numFmtId="164" fontId="11" fillId="0" borderId="0" xfId="0" applyNumberFormat="1" applyFont="1"/>
    <xf numFmtId="164" fontId="12" fillId="0" borderId="0" xfId="0" applyNumberFormat="1" applyFont="1"/>
    <xf numFmtId="10" fontId="12" fillId="0" borderId="0" xfId="0" applyNumberFormat="1" applyFont="1"/>
    <xf numFmtId="10" fontId="11" fillId="0" borderId="0" xfId="0" applyNumberFormat="1" applyFont="1"/>
    <xf numFmtId="0" fontId="9" fillId="0" borderId="0" xfId="0" applyFont="1"/>
    <xf numFmtId="167" fontId="1" fillId="0" borderId="0" xfId="0" applyNumberFormat="1" applyFont="1"/>
    <xf numFmtId="2" fontId="11" fillId="0" borderId="0" xfId="0" applyNumberFormat="1" applyFont="1"/>
    <xf numFmtId="2" fontId="12" fillId="0" borderId="0" xfId="0" applyNumberFormat="1" applyFont="1"/>
    <xf numFmtId="3" fontId="11" fillId="0" borderId="0" xfId="0" applyNumberFormat="1" applyFont="1"/>
    <xf numFmtId="3" fontId="12" fillId="0" borderId="0" xfId="0" applyNumberFormat="1" applyFont="1"/>
    <xf numFmtId="0" fontId="11" fillId="0" borderId="0" xfId="0" applyFont="1"/>
    <xf numFmtId="0" fontId="12" fillId="0" borderId="0" xfId="0" applyFont="1"/>
    <xf numFmtId="0" fontId="13" fillId="0" borderId="0" xfId="0" applyFont="1"/>
    <xf numFmtId="164" fontId="2" fillId="0" borderId="1" xfId="0" applyNumberFormat="1" applyFont="1" applyBorder="1"/>
    <xf numFmtId="0" fontId="14" fillId="0" borderId="0" xfId="0" applyFont="1"/>
    <xf numFmtId="164" fontId="2" fillId="0" borderId="1" xfId="0" applyNumberFormat="1" applyFont="1" applyBorder="1" applyAlignment="1">
      <alignment horizontal="center"/>
    </xf>
    <xf numFmtId="164" fontId="2" fillId="0" borderId="0" xfId="0" applyNumberFormat="1" applyFont="1" applyBorder="1" applyAlignment="1">
      <alignment horizontal="center"/>
    </xf>
    <xf numFmtId="0" fontId="15" fillId="0" borderId="0" xfId="0" applyFont="1" applyAlignment="1">
      <alignment horizontal="center"/>
    </xf>
    <xf numFmtId="0" fontId="15" fillId="0" borderId="0" xfId="0" applyFont="1"/>
    <xf numFmtId="0" fontId="16" fillId="0" borderId="0" xfId="0" applyFont="1" applyAlignment="1">
      <alignment horizontal="center"/>
    </xf>
    <xf numFmtId="0" fontId="16" fillId="0" borderId="0" xfId="0" applyFont="1"/>
    <xf numFmtId="164" fontId="16" fillId="0" borderId="2" xfId="0" applyNumberFormat="1" applyFont="1" applyBorder="1"/>
    <xf numFmtId="164" fontId="15" fillId="0" borderId="2" xfId="0" applyNumberFormat="1" applyFont="1" applyBorder="1"/>
    <xf numFmtId="164" fontId="15" fillId="0" borderId="1" xfId="0" applyNumberFormat="1" applyFont="1" applyBorder="1"/>
    <xf numFmtId="164" fontId="16" fillId="0" borderId="1" xfId="0" applyNumberFormat="1" applyFont="1" applyBorder="1"/>
    <xf numFmtId="164" fontId="2" fillId="0" borderId="2" xfId="0" applyNumberFormat="1" applyFont="1" applyBorder="1"/>
    <xf numFmtId="164" fontId="16" fillId="0" borderId="0" xfId="0" applyNumberFormat="1" applyFont="1"/>
    <xf numFmtId="164" fontId="16" fillId="0" borderId="1" xfId="0" applyNumberFormat="1" applyFont="1" applyBorder="1" applyAlignment="1">
      <alignment horizontal="center"/>
    </xf>
    <xf numFmtId="164" fontId="16" fillId="0" borderId="0" xfId="0" applyNumberFormat="1" applyFont="1" applyBorder="1" applyAlignment="1">
      <alignment horizontal="center"/>
    </xf>
    <xf numFmtId="164" fontId="15" fillId="0" borderId="0" xfId="0" applyNumberFormat="1" applyFont="1"/>
    <xf numFmtId="9" fontId="1" fillId="0" borderId="0" xfId="0" applyNumberFormat="1" applyFont="1"/>
    <xf numFmtId="9" fontId="2" fillId="0" borderId="0" xfId="0" applyNumberFormat="1" applyFont="1"/>
    <xf numFmtId="168" fontId="1" fillId="0" borderId="0" xfId="0" applyNumberFormat="1" applyFont="1"/>
    <xf numFmtId="168" fontId="12" fillId="0" borderId="0" xfId="0" applyNumberFormat="1" applyFont="1"/>
    <xf numFmtId="164" fontId="12" fillId="0" borderId="0" xfId="0" applyNumberFormat="1" applyFont="1" applyBorder="1"/>
    <xf numFmtId="164" fontId="1" fillId="0" borderId="0" xfId="0" applyNumberFormat="1" applyFont="1" applyBorder="1"/>
    <xf numFmtId="169" fontId="1" fillId="0" borderId="0" xfId="0" applyNumberFormat="1" applyFont="1"/>
    <xf numFmtId="164" fontId="15" fillId="0" borderId="0" xfId="0" applyNumberFormat="1" applyFont="1" applyBorder="1"/>
    <xf numFmtId="164" fontId="16" fillId="0" borderId="0" xfId="0" applyNumberFormat="1" applyFont="1" applyBorder="1"/>
    <xf numFmtId="164" fontId="2" fillId="0" borderId="0" xfId="0" applyNumberFormat="1" applyFont="1" applyBorder="1"/>
    <xf numFmtId="164" fontId="11" fillId="0" borderId="0" xfId="0" applyNumberFormat="1" applyFont="1" applyFill="1"/>
    <xf numFmtId="10" fontId="11" fillId="0" borderId="0" xfId="1" applyNumberFormat="1" applyFont="1"/>
    <xf numFmtId="10" fontId="12" fillId="0" borderId="0" xfId="1" applyNumberFormat="1" applyFont="1"/>
    <xf numFmtId="164" fontId="2" fillId="0" borderId="0" xfId="0" applyNumberFormat="1" applyFont="1" applyAlignment="1">
      <alignment horizontal="center"/>
    </xf>
    <xf numFmtId="164" fontId="11" fillId="0" borderId="0" xfId="0" applyNumberFormat="1" applyFont="1" applyBorder="1"/>
    <xf numFmtId="0" fontId="18" fillId="0" borderId="0" xfId="0" applyFont="1"/>
    <xf numFmtId="167" fontId="15" fillId="0" borderId="0" xfId="1" applyNumberFormat="1" applyFont="1"/>
    <xf numFmtId="167" fontId="2" fillId="0" borderId="0" xfId="1" applyNumberFormat="1" applyFont="1"/>
    <xf numFmtId="167" fontId="16" fillId="0" borderId="0" xfId="1" applyNumberFormat="1" applyFont="1"/>
    <xf numFmtId="0" fontId="19" fillId="0" borderId="0" xfId="0" applyFont="1"/>
    <xf numFmtId="0" fontId="21" fillId="0" borderId="0" xfId="0" applyFont="1"/>
    <xf numFmtId="164" fontId="2" fillId="2" borderId="0" xfId="0" applyNumberFormat="1" applyFont="1" applyFill="1"/>
    <xf numFmtId="0" fontId="1" fillId="0" borderId="0" xfId="0" applyFont="1" applyAlignment="1">
      <alignment horizontal="center"/>
    </xf>
    <xf numFmtId="167" fontId="1" fillId="0" borderId="0" xfId="1" applyNumberFormat="1" applyFont="1"/>
    <xf numFmtId="10" fontId="1" fillId="0" borderId="0" xfId="1" applyNumberFormat="1" applyFont="1" applyBorder="1"/>
    <xf numFmtId="10" fontId="11" fillId="0" borderId="0" xfId="1" applyNumberFormat="1" applyFont="1" applyBorder="1"/>
    <xf numFmtId="10" fontId="12" fillId="0" borderId="0" xfId="1" applyNumberFormat="1" applyFont="1" applyBorder="1"/>
    <xf numFmtId="167" fontId="2" fillId="0" borderId="0" xfId="0" applyNumberFormat="1" applyFont="1"/>
    <xf numFmtId="10" fontId="2" fillId="0" borderId="0" xfId="0" applyNumberFormat="1" applyFont="1"/>
    <xf numFmtId="10" fontId="16" fillId="0" borderId="0" xfId="1" applyNumberFormat="1" applyFont="1"/>
    <xf numFmtId="10" fontId="15" fillId="0" borderId="0" xfId="1" applyNumberFormat="1" applyFont="1"/>
    <xf numFmtId="167" fontId="2" fillId="0" borderId="1" xfId="1" applyNumberFormat="1" applyFont="1" applyBorder="1"/>
    <xf numFmtId="10" fontId="2" fillId="0" borderId="0" xfId="1" applyNumberFormat="1" applyFont="1"/>
    <xf numFmtId="0" fontId="1" fillId="0" borderId="0" xfId="0" applyFont="1" applyAlignment="1">
      <alignment horizontal="right"/>
    </xf>
    <xf numFmtId="0" fontId="24" fillId="0" borderId="0" xfId="0" applyFont="1"/>
    <xf numFmtId="0" fontId="23" fillId="0" borderId="0" xfId="0" applyFont="1"/>
    <xf numFmtId="0" fontId="25" fillId="0" borderId="0" xfId="2" applyFont="1" applyAlignment="1" applyProtection="1"/>
    <xf numFmtId="0" fontId="1" fillId="0" borderId="0" xfId="0" applyNumberFormat="1" applyFont="1" applyAlignment="1">
      <alignment horizontal="center"/>
    </xf>
    <xf numFmtId="170" fontId="1" fillId="0" borderId="0" xfId="0" applyNumberFormat="1" applyFont="1"/>
    <xf numFmtId="171" fontId="1" fillId="0" borderId="0" xfId="0" applyNumberFormat="1" applyFont="1"/>
    <xf numFmtId="9" fontId="1" fillId="0" borderId="0" xfId="1" applyFont="1"/>
    <xf numFmtId="0" fontId="26" fillId="0" borderId="0" xfId="6" applyFont="1"/>
    <xf numFmtId="0" fontId="27" fillId="0" borderId="0" xfId="6" applyFont="1"/>
    <xf numFmtId="0" fontId="28" fillId="0" borderId="0" xfId="6" applyFont="1"/>
    <xf numFmtId="0" fontId="29" fillId="0" borderId="0" xfId="2" applyFont="1" applyAlignment="1" applyProtection="1"/>
    <xf numFmtId="0" fontId="28" fillId="0" borderId="0" xfId="6" applyFont="1" applyAlignment="1">
      <alignment wrapText="1"/>
    </xf>
    <xf numFmtId="0" fontId="28" fillId="0" borderId="0" xfId="6" applyFont="1" applyFill="1"/>
    <xf numFmtId="0" fontId="30" fillId="0" borderId="0" xfId="0" applyFont="1"/>
    <xf numFmtId="0" fontId="31" fillId="0" borderId="0" xfId="0" applyFont="1"/>
    <xf numFmtId="0" fontId="30" fillId="0" borderId="0" xfId="0" applyFont="1" applyAlignment="1">
      <alignment wrapText="1"/>
    </xf>
  </cellXfs>
  <cellStyles count="7">
    <cellStyle name="Hyperlink" xfId="2" builtinId="8"/>
    <cellStyle name="Normal" xfId="0" builtinId="0"/>
    <cellStyle name="Normal 11 2" xfId="5"/>
    <cellStyle name="Normal 2" xfId="3"/>
    <cellStyle name="Normal 32" xfId="6"/>
    <cellStyle name="Percent" xfId="1" builtinId="5"/>
    <cellStyle name="Percent 2" xfId="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8" dropStyle="combo" dx="25" fmlaLink="Display!$B$1" fmlaRange="Display!$A$2:$A$19" noThreeD="1" sel="2" val="0"/>
</file>

<file path=xl/ctrlProps/ctrlProp2.xml><?xml version="1.0" encoding="utf-8"?>
<formControlPr xmlns="http://schemas.microsoft.com/office/spreadsheetml/2009/9/main" objectType="Drop" dropLines="18" dropStyle="combo" dx="25" fmlaLink="Display!$B$1" fmlaRange="Display!$A$2:$A$19"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10</xdr:row>
      <xdr:rowOff>19050</xdr:rowOff>
    </xdr:from>
    <xdr:to>
      <xdr:col>0</xdr:col>
      <xdr:colOff>1038225</xdr:colOff>
      <xdr:row>12</xdr:row>
      <xdr:rowOff>0</xdr:rowOff>
    </xdr:to>
    <xdr:pic>
      <xdr:nvPicPr>
        <xdr:cNvPr id="2" name="Picture 1" descr="cc-b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62150"/>
          <a:ext cx="1019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22881" name="Drop Down 1" hidden="1">
              <a:extLst>
                <a:ext uri="{63B3BB69-23CF-44E3-9099-C40C66FF867C}">
                  <a14:compatExt spid="_x0000_s12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34145" name="Drop Down 1" hidden="1">
              <a:extLst>
                <a:ext uri="{63B3BB69-23CF-44E3-9099-C40C66FF867C}">
                  <a14:compatExt spid="_x0000_s134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ducationcounts.govt.nz/statistics" TargetMode="External"/><Relationship Id="rId2" Type="http://schemas.openxmlformats.org/officeDocument/2006/relationships/hyperlink" Target="http://www.treasury.govt.nz/government/assets/nzsf/contributionratemodel" TargetMode="External"/><Relationship Id="rId1" Type="http://schemas.openxmlformats.org/officeDocument/2006/relationships/hyperlink" Target="http://www.stats.govt.nz/"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tats.govt.nz/infoshare/" TargetMode="External"/><Relationship Id="rId1" Type="http://schemas.openxmlformats.org/officeDocument/2006/relationships/hyperlink" Target="http://www.stats.govt.nz/browse_for_stats/population/estimates_and_projections/national-population-projections-info-releases.aspx"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stats.govt.nz/browse_for_stats/population/estimates_and_projections/national-labour-force-projections-info-releases.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B20" sqref="B20"/>
    </sheetView>
  </sheetViews>
  <sheetFormatPr defaultRowHeight="15" x14ac:dyDescent="0.25"/>
  <cols>
    <col min="1" max="1" width="80.7109375" customWidth="1"/>
  </cols>
  <sheetData>
    <row r="1" spans="1:3" ht="15.75" x14ac:dyDescent="0.25">
      <c r="A1" s="67" t="s">
        <v>772</v>
      </c>
      <c r="B1">
        <v>2</v>
      </c>
      <c r="C1">
        <f ca="1">OFFSET($A$1,$B$1,1)</f>
        <v>82</v>
      </c>
    </row>
    <row r="2" spans="1:3" ht="15.75" x14ac:dyDescent="0.25">
      <c r="A2" s="68" t="s">
        <v>762</v>
      </c>
      <c r="B2" s="3">
        <v>44</v>
      </c>
    </row>
    <row r="3" spans="1:3" ht="15.75" x14ac:dyDescent="0.25">
      <c r="A3" s="68" t="s">
        <v>764</v>
      </c>
      <c r="B3" s="3">
        <v>82</v>
      </c>
    </row>
    <row r="4" spans="1:3" ht="15.75" x14ac:dyDescent="0.25">
      <c r="A4" s="68" t="s">
        <v>705</v>
      </c>
      <c r="B4" s="3">
        <v>55</v>
      </c>
    </row>
    <row r="5" spans="1:3" ht="15.75" x14ac:dyDescent="0.25">
      <c r="A5" s="68" t="s">
        <v>763</v>
      </c>
      <c r="B5" s="3">
        <v>77</v>
      </c>
    </row>
    <row r="6" spans="1:3" ht="15.75" x14ac:dyDescent="0.25">
      <c r="A6" s="68" t="s">
        <v>266</v>
      </c>
      <c r="B6" s="3">
        <v>50</v>
      </c>
    </row>
    <row r="7" spans="1:3" ht="15.75" x14ac:dyDescent="0.25">
      <c r="A7" s="68" t="s">
        <v>268</v>
      </c>
      <c r="B7" s="3">
        <v>51</v>
      </c>
    </row>
    <row r="8" spans="1:3" ht="15.75" x14ac:dyDescent="0.25">
      <c r="A8" s="68" t="s">
        <v>933</v>
      </c>
      <c r="B8" s="3">
        <v>52</v>
      </c>
    </row>
    <row r="9" spans="1:3" ht="15.75" x14ac:dyDescent="0.25">
      <c r="A9" s="68" t="s">
        <v>284</v>
      </c>
      <c r="B9" s="3">
        <v>53</v>
      </c>
    </row>
    <row r="10" spans="1:3" ht="15.75" x14ac:dyDescent="0.25">
      <c r="A10" s="68" t="s">
        <v>704</v>
      </c>
      <c r="B10" s="3">
        <v>54</v>
      </c>
    </row>
    <row r="11" spans="1:3" ht="15.75" x14ac:dyDescent="0.25">
      <c r="A11" s="68" t="s">
        <v>765</v>
      </c>
      <c r="B11" s="3">
        <v>41</v>
      </c>
    </row>
    <row r="12" spans="1:3" ht="15.75" x14ac:dyDescent="0.25">
      <c r="A12" s="68" t="s">
        <v>766</v>
      </c>
      <c r="B12" s="3">
        <v>42</v>
      </c>
    </row>
    <row r="13" spans="1:3" ht="15.75" x14ac:dyDescent="0.25">
      <c r="A13" s="68" t="s">
        <v>702</v>
      </c>
      <c r="B13" s="3">
        <v>48</v>
      </c>
    </row>
    <row r="14" spans="1:3" ht="15.75" x14ac:dyDescent="0.25">
      <c r="A14" s="68" t="s">
        <v>770</v>
      </c>
      <c r="B14" s="3">
        <v>139</v>
      </c>
    </row>
    <row r="15" spans="1:3" ht="15.75" x14ac:dyDescent="0.25">
      <c r="A15" s="68" t="s">
        <v>769</v>
      </c>
      <c r="B15" s="3">
        <v>137</v>
      </c>
    </row>
    <row r="16" spans="1:3" ht="15.75" x14ac:dyDescent="0.25">
      <c r="A16" s="68" t="s">
        <v>712</v>
      </c>
      <c r="B16" s="3">
        <v>61</v>
      </c>
    </row>
    <row r="17" spans="1:2" ht="15.75" x14ac:dyDescent="0.25">
      <c r="A17" s="68" t="s">
        <v>767</v>
      </c>
      <c r="B17" s="3">
        <v>63</v>
      </c>
    </row>
    <row r="18" spans="1:2" ht="15.75" x14ac:dyDescent="0.25">
      <c r="A18" s="68" t="s">
        <v>291</v>
      </c>
      <c r="B18" s="3">
        <v>69</v>
      </c>
    </row>
    <row r="19" spans="1:2" ht="15.75" x14ac:dyDescent="0.25">
      <c r="A19" s="68" t="s">
        <v>768</v>
      </c>
      <c r="B19" s="3">
        <v>74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27"/>
  <sheetViews>
    <sheetView zoomScaleNormal="100" workbookViewId="0">
      <pane xSplit="2" ySplit="7" topLeftCell="C56" activePane="bottomRight" state="frozen"/>
      <selection pane="topRight" activeCell="C1" sqref="C1"/>
      <selection pane="bottomLeft" activeCell="A8" sqref="A8"/>
      <selection pane="bottomRight" activeCell="J72" sqref="J72"/>
    </sheetView>
  </sheetViews>
  <sheetFormatPr defaultRowHeight="14.25" x14ac:dyDescent="0.2"/>
  <cols>
    <col min="1" max="1" width="90.7109375" style="1" customWidth="1"/>
    <col min="2" max="2" width="7.7109375" style="1" customWidth="1"/>
    <col min="3" max="9" width="10.7109375" style="1" customWidth="1"/>
    <col min="10" max="16384" width="9.140625" style="1"/>
  </cols>
  <sheetData>
    <row r="1" spans="1:9" ht="15" x14ac:dyDescent="0.25">
      <c r="A1" s="2" t="s">
        <v>148</v>
      </c>
      <c r="B1" s="2"/>
    </row>
    <row r="2" spans="1:9" x14ac:dyDescent="0.2">
      <c r="A2" s="1" t="s">
        <v>108</v>
      </c>
    </row>
    <row r="3" spans="1:9" x14ac:dyDescent="0.2">
      <c r="A3" s="1" t="s">
        <v>150</v>
      </c>
    </row>
    <row r="4" spans="1:9" x14ac:dyDescent="0.2">
      <c r="A4" s="1" t="s">
        <v>151</v>
      </c>
    </row>
    <row r="5" spans="1:9" ht="15" x14ac:dyDescent="0.25">
      <c r="A5" s="1" t="s">
        <v>128</v>
      </c>
      <c r="E5" s="38" t="s">
        <v>117</v>
      </c>
    </row>
    <row r="6" spans="1:9" ht="15" x14ac:dyDescent="0.25">
      <c r="A6" s="2" t="s">
        <v>13</v>
      </c>
      <c r="B6" s="2"/>
      <c r="D6" s="6" t="s">
        <v>23</v>
      </c>
      <c r="E6" s="37" t="s">
        <v>25</v>
      </c>
      <c r="F6" s="37" t="s">
        <v>26</v>
      </c>
      <c r="G6" s="37" t="s">
        <v>27</v>
      </c>
      <c r="H6" s="37" t="s">
        <v>28</v>
      </c>
      <c r="I6" s="37" t="s">
        <v>29</v>
      </c>
    </row>
    <row r="7" spans="1:9" ht="15" x14ac:dyDescent="0.25">
      <c r="D7" s="2">
        <v>2015</v>
      </c>
      <c r="E7" s="38">
        <v>2016</v>
      </c>
      <c r="F7" s="38">
        <v>2017</v>
      </c>
      <c r="G7" s="38">
        <v>2018</v>
      </c>
      <c r="H7" s="38">
        <v>2019</v>
      </c>
      <c r="I7" s="38">
        <v>2020</v>
      </c>
    </row>
    <row r="8" spans="1:9" ht="15" x14ac:dyDescent="0.25">
      <c r="A8" s="2" t="s">
        <v>149</v>
      </c>
      <c r="B8" s="2"/>
      <c r="C8" s="2"/>
      <c r="D8" s="2"/>
      <c r="E8" s="38"/>
      <c r="F8" s="38"/>
      <c r="G8" s="38"/>
      <c r="H8" s="38"/>
      <c r="I8" s="38"/>
    </row>
    <row r="9" spans="1:9" x14ac:dyDescent="0.2">
      <c r="A9" s="1" t="s">
        <v>152</v>
      </c>
      <c r="B9" s="1" t="s">
        <v>467</v>
      </c>
      <c r="C9" s="7"/>
      <c r="D9" s="7">
        <v>66.055000000000007</v>
      </c>
      <c r="E9" s="19">
        <v>68.930999999999997</v>
      </c>
      <c r="F9" s="19">
        <v>71.221000000000004</v>
      </c>
      <c r="G9" s="19">
        <v>74.911000000000001</v>
      </c>
      <c r="H9" s="19">
        <v>79.427999999999997</v>
      </c>
      <c r="I9" s="19">
        <v>83.5</v>
      </c>
    </row>
    <row r="10" spans="1:9" x14ac:dyDescent="0.2">
      <c r="A10" s="1" t="s">
        <v>153</v>
      </c>
      <c r="B10" s="1" t="str">
        <f>$B$9</f>
        <v>NAC</v>
      </c>
      <c r="C10" s="7"/>
      <c r="D10" s="7">
        <v>4.9530000000000003</v>
      </c>
      <c r="E10" s="19">
        <v>4.6369999999999996</v>
      </c>
      <c r="F10" s="19">
        <v>4.593</v>
      </c>
      <c r="G10" s="19">
        <v>4.7830000000000004</v>
      </c>
      <c r="H10" s="19">
        <v>5.0149999999999997</v>
      </c>
      <c r="I10" s="19">
        <v>5.1509999999999998</v>
      </c>
    </row>
    <row r="11" spans="1:9" x14ac:dyDescent="0.2">
      <c r="A11" s="1" t="s">
        <v>154</v>
      </c>
      <c r="B11" s="1" t="s">
        <v>383</v>
      </c>
      <c r="C11" s="7"/>
      <c r="D11" s="7">
        <v>16.866</v>
      </c>
      <c r="E11" s="19">
        <v>16.866</v>
      </c>
      <c r="F11" s="19">
        <v>17.259</v>
      </c>
      <c r="G11" s="19">
        <v>17.87</v>
      </c>
      <c r="H11" s="19">
        <v>18.207999999999998</v>
      </c>
      <c r="I11" s="19">
        <v>18.509</v>
      </c>
    </row>
    <row r="12" spans="1:9" x14ac:dyDescent="0.2">
      <c r="A12" s="1" t="s">
        <v>155</v>
      </c>
      <c r="B12" s="1" t="str">
        <f>$B$9</f>
        <v>NAC</v>
      </c>
      <c r="C12" s="7"/>
      <c r="D12" s="7">
        <v>3.524</v>
      </c>
      <c r="E12" s="19">
        <v>3.7210000000000001</v>
      </c>
      <c r="F12" s="19">
        <v>4.2670000000000003</v>
      </c>
      <c r="G12" s="19">
        <v>4.4969999999999999</v>
      </c>
      <c r="H12" s="19">
        <v>4.8250000000000002</v>
      </c>
      <c r="I12" s="19">
        <v>5.173</v>
      </c>
    </row>
    <row r="13" spans="1:9" x14ac:dyDescent="0.2">
      <c r="A13" s="1" t="s">
        <v>156</v>
      </c>
      <c r="B13" s="1" t="str">
        <f>$B$11</f>
        <v>UIM</v>
      </c>
      <c r="C13" s="7"/>
      <c r="D13" s="7">
        <v>3.6150000000000002</v>
      </c>
      <c r="E13" s="19">
        <v>3.6070000000000002</v>
      </c>
      <c r="F13" s="19">
        <v>3.6150000000000002</v>
      </c>
      <c r="G13" s="19">
        <v>3.6880000000000002</v>
      </c>
      <c r="H13" s="19">
        <v>3.746</v>
      </c>
      <c r="I13" s="19">
        <v>3.8780000000000001</v>
      </c>
    </row>
    <row r="14" spans="1:9" ht="15" x14ac:dyDescent="0.25">
      <c r="A14" s="30" t="s">
        <v>157</v>
      </c>
      <c r="B14" s="2"/>
      <c r="C14" s="7"/>
      <c r="D14" s="31">
        <f t="shared" ref="D14:I14" si="0">SUM(D$9:D$13)</f>
        <v>95.013000000000005</v>
      </c>
      <c r="E14" s="42">
        <f t="shared" si="0"/>
        <v>97.762</v>
      </c>
      <c r="F14" s="42">
        <f t="shared" si="0"/>
        <v>100.955</v>
      </c>
      <c r="G14" s="42">
        <f t="shared" si="0"/>
        <v>105.74900000000001</v>
      </c>
      <c r="H14" s="42">
        <f t="shared" si="0"/>
        <v>111.22199999999999</v>
      </c>
      <c r="I14" s="42">
        <f t="shared" si="0"/>
        <v>116.211</v>
      </c>
    </row>
    <row r="15" spans="1:9" x14ac:dyDescent="0.2">
      <c r="A15" s="1" t="s">
        <v>158</v>
      </c>
      <c r="B15" s="1" t="str">
        <f t="shared" ref="B15:B20" si="1">$B$9</f>
        <v>NAC</v>
      </c>
      <c r="C15" s="7"/>
      <c r="D15" s="7">
        <v>23.722999999999999</v>
      </c>
      <c r="E15" s="19">
        <v>24.420999999999999</v>
      </c>
      <c r="F15" s="19">
        <v>25.395</v>
      </c>
      <c r="G15" s="19">
        <v>26.039000000000001</v>
      </c>
      <c r="H15" s="19">
        <v>26.815999999999999</v>
      </c>
      <c r="I15" s="19">
        <v>27.789000000000001</v>
      </c>
    </row>
    <row r="16" spans="1:9" x14ac:dyDescent="0.2">
      <c r="A16" s="1" t="s">
        <v>159</v>
      </c>
      <c r="B16" s="1" t="str">
        <f t="shared" si="1"/>
        <v>NAC</v>
      </c>
      <c r="C16" s="7"/>
      <c r="D16" s="7">
        <v>21.123999999999999</v>
      </c>
      <c r="E16" s="19">
        <v>21.783000000000001</v>
      </c>
      <c r="F16" s="19">
        <v>22.143999999999998</v>
      </c>
      <c r="G16" s="19">
        <v>22.324000000000002</v>
      </c>
      <c r="H16" s="19">
        <v>22.367999999999999</v>
      </c>
      <c r="I16" s="19">
        <v>22.472000000000001</v>
      </c>
    </row>
    <row r="17" spans="1:9" x14ac:dyDescent="0.2">
      <c r="A17" s="1" t="s">
        <v>160</v>
      </c>
      <c r="B17" s="1" t="str">
        <f t="shared" si="1"/>
        <v>NAC</v>
      </c>
      <c r="C17" s="7"/>
      <c r="D17" s="7">
        <v>4.8419999999999996</v>
      </c>
      <c r="E17" s="19">
        <v>4.875</v>
      </c>
      <c r="F17" s="19">
        <v>5.2</v>
      </c>
      <c r="G17" s="19">
        <v>5.3520000000000003</v>
      </c>
      <c r="H17" s="19">
        <v>5.5049999999999999</v>
      </c>
      <c r="I17" s="19">
        <v>5.6020000000000003</v>
      </c>
    </row>
    <row r="18" spans="1:9" x14ac:dyDescent="0.2">
      <c r="A18" s="1" t="s">
        <v>161</v>
      </c>
      <c r="B18" s="1" t="str">
        <f t="shared" si="1"/>
        <v>NAC</v>
      </c>
      <c r="C18" s="7"/>
      <c r="D18" s="7">
        <v>35.909999999999997</v>
      </c>
      <c r="E18" s="19">
        <v>37.302999999999997</v>
      </c>
      <c r="F18" s="19">
        <v>38.665999999999997</v>
      </c>
      <c r="G18" s="19">
        <v>38.633000000000003</v>
      </c>
      <c r="H18" s="19">
        <v>38.473999999999997</v>
      </c>
      <c r="I18" s="19">
        <v>38.648000000000003</v>
      </c>
    </row>
    <row r="19" spans="1:9" x14ac:dyDescent="0.2">
      <c r="A19" s="1" t="s">
        <v>162</v>
      </c>
      <c r="B19" s="1" t="str">
        <f t="shared" si="1"/>
        <v>NAC</v>
      </c>
      <c r="C19" s="7"/>
      <c r="D19" s="7">
        <v>4.5629999999999997</v>
      </c>
      <c r="E19" s="19">
        <v>4.4720000000000004</v>
      </c>
      <c r="F19" s="19">
        <v>4.5659999999999998</v>
      </c>
      <c r="G19" s="19">
        <v>4.8120000000000003</v>
      </c>
      <c r="H19" s="19">
        <v>4.806</v>
      </c>
      <c r="I19" s="19">
        <v>4.8630000000000004</v>
      </c>
    </row>
    <row r="20" spans="1:9" x14ac:dyDescent="0.2">
      <c r="A20" s="1" t="s">
        <v>163</v>
      </c>
      <c r="B20" s="1" t="str">
        <f t="shared" si="1"/>
        <v>NAC</v>
      </c>
      <c r="C20" s="7"/>
      <c r="D20" s="7">
        <v>4.1100000000000003</v>
      </c>
      <c r="E20" s="19">
        <v>4.335</v>
      </c>
      <c r="F20" s="19">
        <v>4.2389999999999999</v>
      </c>
      <c r="G20" s="19">
        <v>4.4119999999999999</v>
      </c>
      <c r="H20" s="19">
        <v>4.8179999999999996</v>
      </c>
      <c r="I20" s="19">
        <v>5.0979999999999999</v>
      </c>
    </row>
    <row r="21" spans="1:9" x14ac:dyDescent="0.2">
      <c r="A21" s="1" t="s">
        <v>164</v>
      </c>
      <c r="B21" s="1" t="str">
        <f t="shared" ref="B21:B24" si="2">$B$11</f>
        <v>UIM</v>
      </c>
      <c r="C21" s="7"/>
      <c r="D21" s="7">
        <v>0</v>
      </c>
      <c r="E21" s="19">
        <v>2E-3</v>
      </c>
      <c r="F21" s="19">
        <v>0.53400000000000003</v>
      </c>
      <c r="G21" s="19">
        <v>1.847</v>
      </c>
      <c r="H21" s="19">
        <v>3.3820000000000001</v>
      </c>
      <c r="I21" s="19">
        <v>4.8760000000000003</v>
      </c>
    </row>
    <row r="22" spans="1:9" x14ac:dyDescent="0.2">
      <c r="A22" s="1" t="s">
        <v>165</v>
      </c>
      <c r="B22" s="1" t="str">
        <f t="shared" si="2"/>
        <v>UIM</v>
      </c>
      <c r="C22" s="7"/>
      <c r="D22" s="7">
        <v>0</v>
      </c>
      <c r="E22" s="19">
        <v>-0.6</v>
      </c>
      <c r="F22" s="19">
        <v>-1.0249999999999999</v>
      </c>
      <c r="G22" s="19">
        <v>-0.68500000000000005</v>
      </c>
      <c r="H22" s="19">
        <v>-0.51</v>
      </c>
      <c r="I22" s="19">
        <v>-0.46</v>
      </c>
    </row>
    <row r="23" spans="1:9" ht="15" x14ac:dyDescent="0.25">
      <c r="A23" s="30" t="s">
        <v>166</v>
      </c>
      <c r="C23" s="7"/>
      <c r="D23" s="31">
        <f t="shared" ref="D23:I23" si="3">SUM(D$15:D$22)</f>
        <v>94.271999999999991</v>
      </c>
      <c r="E23" s="42">
        <f t="shared" si="3"/>
        <v>96.590999999999994</v>
      </c>
      <c r="F23" s="42">
        <f t="shared" si="3"/>
        <v>99.719000000000008</v>
      </c>
      <c r="G23" s="42">
        <f t="shared" si="3"/>
        <v>102.73400000000001</v>
      </c>
      <c r="H23" s="42">
        <f t="shared" si="3"/>
        <v>105.65899999999999</v>
      </c>
      <c r="I23" s="42">
        <f t="shared" si="3"/>
        <v>108.88800000000001</v>
      </c>
    </row>
    <row r="24" spans="1:9" x14ac:dyDescent="0.2">
      <c r="A24" s="1" t="s">
        <v>167</v>
      </c>
      <c r="B24" s="1" t="str">
        <f t="shared" si="2"/>
        <v>UIM</v>
      </c>
      <c r="C24" s="7"/>
      <c r="D24" s="7">
        <v>0.32700000000000001</v>
      </c>
      <c r="E24" s="19">
        <v>0.503</v>
      </c>
      <c r="F24" s="19">
        <v>0.51700000000000002</v>
      </c>
      <c r="G24" s="19">
        <v>0.56000000000000005</v>
      </c>
      <c r="H24" s="19">
        <v>0.59099999999999997</v>
      </c>
      <c r="I24" s="19">
        <v>0.64200000000000002</v>
      </c>
    </row>
    <row r="25" spans="1:9" ht="15" x14ac:dyDescent="0.25">
      <c r="A25" s="30" t="s">
        <v>348</v>
      </c>
      <c r="C25" s="7"/>
      <c r="D25" s="31">
        <f t="shared" ref="D25:I25" si="4">D$14-D$23-D$24</f>
        <v>0.41400000000001386</v>
      </c>
      <c r="E25" s="42">
        <f t="shared" si="4"/>
        <v>0.66800000000000648</v>
      </c>
      <c r="F25" s="42">
        <f t="shared" si="4"/>
        <v>0.71899999999998998</v>
      </c>
      <c r="G25" s="42">
        <f t="shared" si="4"/>
        <v>2.4550000000000005</v>
      </c>
      <c r="H25" s="42">
        <f t="shared" si="4"/>
        <v>4.9720000000000022</v>
      </c>
      <c r="I25" s="42">
        <f t="shared" si="4"/>
        <v>6.6809999999999929</v>
      </c>
    </row>
    <row r="26" spans="1:9" x14ac:dyDescent="0.2">
      <c r="A26" s="1" t="s">
        <v>168</v>
      </c>
      <c r="B26" s="1" t="str">
        <f t="shared" ref="B26:B27" si="5">$B$11</f>
        <v>UIM</v>
      </c>
      <c r="C26" s="7"/>
      <c r="D26" s="7">
        <v>6.1959999999999997</v>
      </c>
      <c r="E26" s="19">
        <v>1.0409999999999999</v>
      </c>
      <c r="F26" s="19">
        <v>2.1110000000000002</v>
      </c>
      <c r="G26" s="19">
        <v>2.2730000000000001</v>
      </c>
      <c r="H26" s="19">
        <v>2.4340000000000002</v>
      </c>
      <c r="I26" s="19">
        <v>2.64</v>
      </c>
    </row>
    <row r="27" spans="1:9" x14ac:dyDescent="0.2">
      <c r="A27" s="1" t="s">
        <v>169</v>
      </c>
      <c r="B27" s="1" t="str">
        <f t="shared" si="5"/>
        <v>UIM</v>
      </c>
      <c r="C27" s="7"/>
      <c r="D27" s="7">
        <v>-1.649</v>
      </c>
      <c r="E27" s="19">
        <v>-4.4960000000000004</v>
      </c>
      <c r="F27" s="19">
        <v>-5.3999999999999999E-2</v>
      </c>
      <c r="G27" s="19">
        <v>-4.4999999999999998E-2</v>
      </c>
      <c r="H27" s="19">
        <v>-8.3000000000000004E-2</v>
      </c>
      <c r="I27" s="19">
        <v>-7.0000000000000001E-3</v>
      </c>
    </row>
    <row r="28" spans="1:9" ht="15" x14ac:dyDescent="0.25">
      <c r="A28" s="30" t="s">
        <v>171</v>
      </c>
      <c r="C28" s="7"/>
      <c r="D28" s="31">
        <f t="shared" ref="D28:I28" si="6">SUM(D$26:D$27)</f>
        <v>4.5469999999999997</v>
      </c>
      <c r="E28" s="42">
        <f t="shared" si="6"/>
        <v>-3.4550000000000005</v>
      </c>
      <c r="F28" s="42">
        <f t="shared" si="6"/>
        <v>2.0570000000000004</v>
      </c>
      <c r="G28" s="42">
        <f t="shared" si="6"/>
        <v>2.2280000000000002</v>
      </c>
      <c r="H28" s="42">
        <f t="shared" si="6"/>
        <v>2.351</v>
      </c>
      <c r="I28" s="42">
        <f t="shared" si="6"/>
        <v>2.633</v>
      </c>
    </row>
    <row r="29" spans="1:9" x14ac:dyDescent="0.2">
      <c r="A29" s="1" t="s">
        <v>170</v>
      </c>
      <c r="B29" s="1" t="str">
        <f t="shared" ref="B29" si="7">$B$11</f>
        <v>UIM</v>
      </c>
      <c r="C29" s="7"/>
      <c r="D29" s="7">
        <v>0.218</v>
      </c>
      <c r="E29" s="19">
        <v>6.2E-2</v>
      </c>
      <c r="F29" s="19">
        <v>4.0000000000000001E-3</v>
      </c>
      <c r="G29" s="19">
        <v>1.0999999999999999E-2</v>
      </c>
      <c r="H29" s="19">
        <v>4.0000000000000001E-3</v>
      </c>
      <c r="I29" s="19">
        <v>4.0000000000000001E-3</v>
      </c>
    </row>
    <row r="30" spans="1:9" ht="15" x14ac:dyDescent="0.25">
      <c r="A30" s="30" t="s">
        <v>349</v>
      </c>
      <c r="C30" s="7"/>
      <c r="D30" s="31">
        <f t="shared" ref="D30:H30" si="8">D$28-D$29</f>
        <v>4.3289999999999997</v>
      </c>
      <c r="E30" s="42">
        <f t="shared" si="8"/>
        <v>-3.5170000000000003</v>
      </c>
      <c r="F30" s="42">
        <f t="shared" si="8"/>
        <v>2.0530000000000004</v>
      </c>
      <c r="G30" s="42">
        <f t="shared" si="8"/>
        <v>2.2170000000000001</v>
      </c>
      <c r="H30" s="42">
        <f t="shared" si="8"/>
        <v>2.347</v>
      </c>
      <c r="I30" s="42">
        <f t="shared" ref="I30" si="9">I$28-I$29</f>
        <v>2.629</v>
      </c>
    </row>
    <row r="31" spans="1:9" x14ac:dyDescent="0.2">
      <c r="A31" s="1" t="s">
        <v>283</v>
      </c>
      <c r="B31" s="1" t="str">
        <f t="shared" ref="B31" si="10">$B$11</f>
        <v>UIM</v>
      </c>
      <c r="C31" s="7"/>
      <c r="D31" s="7">
        <v>1.028</v>
      </c>
      <c r="E31" s="19">
        <v>0.28399999999999997</v>
      </c>
      <c r="F31" s="19">
        <v>0.28599999999999998</v>
      </c>
      <c r="G31" s="19">
        <v>0.28499999999999998</v>
      </c>
      <c r="H31" s="19">
        <v>0.28699999999999998</v>
      </c>
      <c r="I31" s="19">
        <v>0.28899999999999998</v>
      </c>
    </row>
    <row r="32" spans="1:9" ht="15" x14ac:dyDescent="0.25">
      <c r="A32" s="30" t="s">
        <v>350</v>
      </c>
      <c r="B32" s="1" t="str">
        <f>$B$9</f>
        <v>NAC</v>
      </c>
      <c r="C32" s="7"/>
      <c r="D32" s="8">
        <v>5.7709999999999999</v>
      </c>
      <c r="E32" s="44">
        <v>-2.5649999999999999</v>
      </c>
      <c r="F32" s="44">
        <v>3.0579999999999998</v>
      </c>
      <c r="G32" s="44">
        <v>4.9569999999999999</v>
      </c>
      <c r="H32" s="44">
        <v>7.6059999999999999</v>
      </c>
      <c r="I32" s="44">
        <v>9.5990000000000002</v>
      </c>
    </row>
    <row r="33" spans="1:9" ht="15" x14ac:dyDescent="0.25">
      <c r="A33" s="30" t="s">
        <v>351</v>
      </c>
      <c r="B33" s="32"/>
      <c r="C33" s="7"/>
      <c r="D33" s="33" t="str">
        <f t="shared" ref="D33:H33" si="11">IF(ROUND(D$32-(D$25+D$30+D$31),3)=0,"OK","ERROR")</f>
        <v>OK</v>
      </c>
      <c r="E33" s="45" t="str">
        <f t="shared" si="11"/>
        <v>OK</v>
      </c>
      <c r="F33" s="45" t="str">
        <f t="shared" si="11"/>
        <v>OK</v>
      </c>
      <c r="G33" s="45" t="str">
        <f t="shared" si="11"/>
        <v>OK</v>
      </c>
      <c r="H33" s="45" t="str">
        <f t="shared" si="11"/>
        <v>OK</v>
      </c>
      <c r="I33" s="45" t="str">
        <f>IF(ROUND(I$32-(I$25+I$30+I$31),3)=0,"OK","ERROR")</f>
        <v>OK</v>
      </c>
    </row>
    <row r="34" spans="1:9" ht="15" x14ac:dyDescent="0.25">
      <c r="A34" s="30" t="s">
        <v>347</v>
      </c>
      <c r="B34" s="32"/>
      <c r="C34" s="7"/>
      <c r="D34" s="31">
        <f t="shared" ref="D34:G34" si="12">SUM(D$24,D$29,D$32)</f>
        <v>6.3159999999999998</v>
      </c>
      <c r="E34" s="42">
        <f t="shared" si="12"/>
        <v>-2</v>
      </c>
      <c r="F34" s="42">
        <f t="shared" si="12"/>
        <v>3.5789999999999997</v>
      </c>
      <c r="G34" s="42">
        <f t="shared" si="12"/>
        <v>5.5279999999999996</v>
      </c>
      <c r="H34" s="42">
        <f>SUM(H$24,H$29,H$32)</f>
        <v>8.2010000000000005</v>
      </c>
      <c r="I34" s="42">
        <f>SUM(I$24,I$29,I$32)</f>
        <v>10.245000000000001</v>
      </c>
    </row>
    <row r="35" spans="1:9" ht="15" x14ac:dyDescent="0.25">
      <c r="A35" s="30" t="s">
        <v>172</v>
      </c>
      <c r="C35" s="7"/>
      <c r="D35" s="7"/>
      <c r="E35" s="19"/>
      <c r="F35" s="19"/>
      <c r="G35" s="19"/>
      <c r="H35" s="19"/>
      <c r="I35" s="19"/>
    </row>
    <row r="36" spans="1:9" x14ac:dyDescent="0.2">
      <c r="A36" s="1" t="s">
        <v>173</v>
      </c>
      <c r="B36" s="1" t="str">
        <f t="shared" ref="B36:B49" si="13">$B$11</f>
        <v>UIM</v>
      </c>
      <c r="C36" s="7"/>
      <c r="D36" s="7">
        <v>28.231000000000002</v>
      </c>
      <c r="E36" s="19">
        <v>29.036000000000001</v>
      </c>
      <c r="F36" s="19">
        <v>30.12</v>
      </c>
      <c r="G36" s="19">
        <v>30.632999999999999</v>
      </c>
      <c r="H36" s="19">
        <v>31.718</v>
      </c>
      <c r="I36" s="19">
        <v>32.911000000000001</v>
      </c>
    </row>
    <row r="37" spans="1:9" x14ac:dyDescent="0.2">
      <c r="A37" s="1" t="s">
        <v>174</v>
      </c>
      <c r="B37" s="1" t="str">
        <f t="shared" si="13"/>
        <v>UIM</v>
      </c>
      <c r="C37" s="7"/>
      <c r="D37" s="7">
        <v>0.373</v>
      </c>
      <c r="E37" s="19">
        <v>0.28999999999999998</v>
      </c>
      <c r="F37" s="19">
        <v>0.23100000000000001</v>
      </c>
      <c r="G37" s="19">
        <v>0.23899999999999999</v>
      </c>
      <c r="H37" s="19">
        <v>0.251</v>
      </c>
      <c r="I37" s="19">
        <v>0.26300000000000001</v>
      </c>
    </row>
    <row r="38" spans="1:9" x14ac:dyDescent="0.2">
      <c r="A38" s="1" t="s">
        <v>175</v>
      </c>
      <c r="B38" s="1" t="str">
        <f t="shared" si="13"/>
        <v>UIM</v>
      </c>
      <c r="C38" s="7"/>
      <c r="D38" s="7">
        <v>14.696</v>
      </c>
      <c r="E38" s="19">
        <v>15.156000000000001</v>
      </c>
      <c r="F38" s="19">
        <v>15.567</v>
      </c>
      <c r="G38" s="19">
        <v>15.585000000000001</v>
      </c>
      <c r="H38" s="19">
        <v>15.587999999999999</v>
      </c>
      <c r="I38" s="19">
        <v>15.625999999999999</v>
      </c>
    </row>
    <row r="39" spans="1:9" x14ac:dyDescent="0.2">
      <c r="A39" s="1" t="s">
        <v>176</v>
      </c>
      <c r="B39" s="1" t="str">
        <f t="shared" si="13"/>
        <v>UIM</v>
      </c>
      <c r="C39" s="7"/>
      <c r="D39" s="7">
        <v>13.537000000000001</v>
      </c>
      <c r="E39" s="19">
        <v>13.968</v>
      </c>
      <c r="F39" s="19">
        <v>14.234999999999999</v>
      </c>
      <c r="G39" s="19">
        <v>14.420999999999999</v>
      </c>
      <c r="H39" s="19">
        <v>14.47</v>
      </c>
      <c r="I39" s="19">
        <v>14.625</v>
      </c>
    </row>
    <row r="40" spans="1:9" x14ac:dyDescent="0.2">
      <c r="A40" s="1" t="s">
        <v>177</v>
      </c>
      <c r="B40" s="1" t="str">
        <f t="shared" si="13"/>
        <v>UIM</v>
      </c>
      <c r="C40" s="7"/>
      <c r="D40" s="7">
        <v>3.8980000000000001</v>
      </c>
      <c r="E40" s="19">
        <v>4.2359999999999998</v>
      </c>
      <c r="F40" s="19">
        <v>4.8739999999999997</v>
      </c>
      <c r="G40" s="19">
        <v>4.7510000000000003</v>
      </c>
      <c r="H40" s="19">
        <v>4.5339999999999998</v>
      </c>
      <c r="I40" s="19">
        <v>4.51</v>
      </c>
    </row>
    <row r="41" spans="1:9" x14ac:dyDescent="0.2">
      <c r="A41" s="1" t="s">
        <v>178</v>
      </c>
      <c r="B41" s="1" t="str">
        <f t="shared" si="13"/>
        <v>UIM</v>
      </c>
      <c r="C41" s="7"/>
      <c r="D41" s="7">
        <v>3.73</v>
      </c>
      <c r="E41" s="19">
        <v>3.9260000000000002</v>
      </c>
      <c r="F41" s="19">
        <v>4.0620000000000003</v>
      </c>
      <c r="G41" s="19">
        <v>4.0789999999999997</v>
      </c>
      <c r="H41" s="19">
        <v>4.0869999999999997</v>
      </c>
      <c r="I41" s="19">
        <v>4.101</v>
      </c>
    </row>
    <row r="42" spans="1:9" x14ac:dyDescent="0.2">
      <c r="A42" s="1" t="s">
        <v>179</v>
      </c>
      <c r="B42" s="1" t="str">
        <f t="shared" si="13"/>
        <v>UIM</v>
      </c>
      <c r="C42" s="7"/>
      <c r="D42" s="7">
        <v>1.917</v>
      </c>
      <c r="E42" s="19">
        <v>2.0329999999999999</v>
      </c>
      <c r="F42" s="19">
        <v>2.149</v>
      </c>
      <c r="G42" s="19">
        <v>2.1869999999999998</v>
      </c>
      <c r="H42" s="19">
        <v>2.1949999999999998</v>
      </c>
      <c r="I42" s="19">
        <v>2.2029999999999998</v>
      </c>
    </row>
    <row r="43" spans="1:9" x14ac:dyDescent="0.2">
      <c r="A43" s="1" t="s">
        <v>180</v>
      </c>
      <c r="B43" s="1" t="str">
        <f t="shared" si="13"/>
        <v>UIM</v>
      </c>
      <c r="C43" s="7"/>
      <c r="D43" s="7">
        <v>9.2789999999999999</v>
      </c>
      <c r="E43" s="19">
        <v>9.4350000000000005</v>
      </c>
      <c r="F43" s="19">
        <v>9.641</v>
      </c>
      <c r="G43" s="19">
        <v>9.8000000000000007</v>
      </c>
      <c r="H43" s="19">
        <v>9.9779999999999998</v>
      </c>
      <c r="I43" s="19">
        <v>10.063000000000001</v>
      </c>
    </row>
    <row r="44" spans="1:9" x14ac:dyDescent="0.2">
      <c r="A44" s="1" t="s">
        <v>181</v>
      </c>
      <c r="B44" s="1" t="str">
        <f t="shared" si="13"/>
        <v>UIM</v>
      </c>
      <c r="C44" s="7"/>
      <c r="D44" s="7">
        <v>8.2349999999999994</v>
      </c>
      <c r="E44" s="19">
        <v>7.7290000000000001</v>
      </c>
      <c r="F44" s="19">
        <v>7.5510000000000002</v>
      </c>
      <c r="G44" s="19">
        <v>7.8689999999999998</v>
      </c>
      <c r="H44" s="19">
        <v>7.8920000000000003</v>
      </c>
      <c r="I44" s="19">
        <v>7.9580000000000002</v>
      </c>
    </row>
    <row r="45" spans="1:9" x14ac:dyDescent="0.2">
      <c r="A45" s="1" t="s">
        <v>183</v>
      </c>
      <c r="B45" s="1" t="str">
        <f t="shared" si="13"/>
        <v>UIM</v>
      </c>
      <c r="C45" s="7"/>
      <c r="D45" s="7">
        <v>2.198</v>
      </c>
      <c r="E45" s="19">
        <v>2.2080000000000002</v>
      </c>
      <c r="F45" s="19">
        <v>2.4009999999999998</v>
      </c>
      <c r="G45" s="19">
        <v>2.4279999999999999</v>
      </c>
      <c r="H45" s="19">
        <v>2.4550000000000001</v>
      </c>
      <c r="I45" s="19">
        <v>2.5</v>
      </c>
    </row>
    <row r="46" spans="1:9" x14ac:dyDescent="0.2">
      <c r="A46" s="1" t="s">
        <v>182</v>
      </c>
      <c r="B46" s="1" t="str">
        <f t="shared" si="13"/>
        <v>UIM</v>
      </c>
      <c r="C46" s="7"/>
      <c r="D46" s="7">
        <v>1.74</v>
      </c>
      <c r="E46" s="19">
        <v>1.9079999999999999</v>
      </c>
      <c r="F46" s="19">
        <v>1.9610000000000001</v>
      </c>
      <c r="G46" s="19">
        <v>1.8859999999999999</v>
      </c>
      <c r="H46" s="19">
        <v>1.9259999999999999</v>
      </c>
      <c r="I46" s="19">
        <v>1.9279999999999999</v>
      </c>
    </row>
    <row r="47" spans="1:9" x14ac:dyDescent="0.2">
      <c r="A47" s="1" t="s">
        <v>184</v>
      </c>
      <c r="B47" s="1" t="str">
        <f t="shared" si="13"/>
        <v>UIM</v>
      </c>
      <c r="C47" s="7"/>
      <c r="D47" s="7">
        <v>1.1140000000000001</v>
      </c>
      <c r="E47" s="19">
        <v>1.593</v>
      </c>
      <c r="F47" s="19">
        <v>1.694</v>
      </c>
      <c r="G47" s="19">
        <v>1.6439999999999999</v>
      </c>
      <c r="H47" s="19">
        <v>1.653</v>
      </c>
      <c r="I47" s="19">
        <v>1.667</v>
      </c>
    </row>
    <row r="48" spans="1:9" x14ac:dyDescent="0.2">
      <c r="A48" s="1" t="s">
        <v>185</v>
      </c>
      <c r="B48" s="1" t="str">
        <f t="shared" si="13"/>
        <v>UIM</v>
      </c>
      <c r="C48" s="7"/>
      <c r="D48" s="7">
        <v>0.61599999999999999</v>
      </c>
      <c r="E48" s="19">
        <v>0.68700000000000006</v>
      </c>
      <c r="F48" s="19">
        <v>0.71899999999999997</v>
      </c>
      <c r="G48" s="19">
        <v>0.77200000000000002</v>
      </c>
      <c r="H48" s="19">
        <v>0.77200000000000002</v>
      </c>
      <c r="I48" s="19">
        <v>0.79200000000000004</v>
      </c>
    </row>
    <row r="49" spans="1:9" x14ac:dyDescent="0.2">
      <c r="A49" s="1" t="s">
        <v>186</v>
      </c>
      <c r="B49" s="1" t="str">
        <f t="shared" si="13"/>
        <v>UIM</v>
      </c>
      <c r="C49" s="7"/>
      <c r="D49" s="7">
        <v>0.14499999999999999</v>
      </c>
      <c r="E49" s="19">
        <v>0.51200000000000001</v>
      </c>
      <c r="F49" s="19">
        <v>0.439</v>
      </c>
      <c r="G49" s="19">
        <v>0.46600000000000003</v>
      </c>
      <c r="H49" s="19">
        <v>0.46200000000000002</v>
      </c>
      <c r="I49" s="19">
        <v>0.46200000000000002</v>
      </c>
    </row>
    <row r="50" spans="1:9" x14ac:dyDescent="0.2">
      <c r="A50" s="1" t="s">
        <v>187</v>
      </c>
      <c r="B50" s="1" t="str">
        <f>$B$9</f>
        <v>NAC</v>
      </c>
      <c r="C50" s="7"/>
      <c r="D50" s="7">
        <v>4.5629999999999997</v>
      </c>
      <c r="E50" s="19">
        <v>4.4720000000000004</v>
      </c>
      <c r="F50" s="19">
        <v>4.5659999999999998</v>
      </c>
      <c r="G50" s="19">
        <v>4.8120000000000003</v>
      </c>
      <c r="H50" s="19">
        <v>4.806</v>
      </c>
      <c r="I50" s="19">
        <v>4.8630000000000004</v>
      </c>
    </row>
    <row r="51" spans="1:9" ht="15" x14ac:dyDescent="0.25">
      <c r="A51" s="30" t="s">
        <v>189</v>
      </c>
      <c r="C51" s="7"/>
      <c r="D51" s="31">
        <f t="shared" ref="D51:I51" si="14">SUM(D$21:D$22,D$36:D$50)</f>
        <v>94.271999999999991</v>
      </c>
      <c r="E51" s="42">
        <f t="shared" si="14"/>
        <v>96.590999999999994</v>
      </c>
      <c r="F51" s="42">
        <f t="shared" si="14"/>
        <v>99.718999999999994</v>
      </c>
      <c r="G51" s="42">
        <f t="shared" si="14"/>
        <v>102.73399999999998</v>
      </c>
      <c r="H51" s="42">
        <f t="shared" si="14"/>
        <v>105.65900000000001</v>
      </c>
      <c r="I51" s="42">
        <f t="shared" si="14"/>
        <v>108.88800000000001</v>
      </c>
    </row>
    <row r="52" spans="1:9" ht="15" x14ac:dyDescent="0.25">
      <c r="A52" s="30" t="s">
        <v>188</v>
      </c>
      <c r="C52" s="7"/>
      <c r="D52" s="7"/>
      <c r="E52" s="19"/>
      <c r="F52" s="19"/>
      <c r="G52" s="19"/>
      <c r="H52" s="19"/>
      <c r="I52" s="19"/>
    </row>
    <row r="53" spans="1:9" x14ac:dyDescent="0.2">
      <c r="A53" s="1" t="s">
        <v>173</v>
      </c>
      <c r="B53" s="1" t="str">
        <f t="shared" ref="B53:B66" si="15">$B$11</f>
        <v>UIM</v>
      </c>
      <c r="C53" s="7"/>
      <c r="D53" s="7">
        <v>23.523</v>
      </c>
      <c r="E53" s="19">
        <v>24.295999999999999</v>
      </c>
      <c r="F53" s="19">
        <v>25.224</v>
      </c>
      <c r="G53" s="19">
        <v>25.702999999999999</v>
      </c>
      <c r="H53" s="19">
        <v>26.433</v>
      </c>
      <c r="I53" s="19">
        <v>27.367000000000001</v>
      </c>
    </row>
    <row r="54" spans="1:9" x14ac:dyDescent="0.2">
      <c r="A54" s="1" t="s">
        <v>174</v>
      </c>
      <c r="B54" s="1" t="str">
        <f t="shared" si="15"/>
        <v>UIM</v>
      </c>
      <c r="C54" s="7"/>
      <c r="D54" s="7">
        <v>0.35799999999999998</v>
      </c>
      <c r="E54" s="19">
        <v>0.27200000000000002</v>
      </c>
      <c r="F54" s="19">
        <v>0.21199999999999999</v>
      </c>
      <c r="G54" s="19">
        <v>0.22</v>
      </c>
      <c r="H54" s="19">
        <v>0.23200000000000001</v>
      </c>
      <c r="I54" s="19">
        <v>0.24299999999999999</v>
      </c>
    </row>
    <row r="55" spans="1:9" x14ac:dyDescent="0.2">
      <c r="A55" s="1" t="s">
        <v>175</v>
      </c>
      <c r="B55" s="1" t="str">
        <f t="shared" si="15"/>
        <v>UIM</v>
      </c>
      <c r="C55" s="7"/>
      <c r="D55" s="7">
        <v>15.058</v>
      </c>
      <c r="E55" s="19">
        <v>15.635</v>
      </c>
      <c r="F55" s="19">
        <v>16.213999999999999</v>
      </c>
      <c r="G55" s="19">
        <v>16.27</v>
      </c>
      <c r="H55" s="19">
        <v>16.344000000000001</v>
      </c>
      <c r="I55" s="19">
        <v>16.332999999999998</v>
      </c>
    </row>
    <row r="56" spans="1:9" x14ac:dyDescent="0.2">
      <c r="A56" s="1" t="s">
        <v>176</v>
      </c>
      <c r="B56" s="1" t="str">
        <f t="shared" si="15"/>
        <v>UIM</v>
      </c>
      <c r="C56" s="7"/>
      <c r="D56" s="7">
        <v>12.879</v>
      </c>
      <c r="E56" s="19">
        <v>13.215</v>
      </c>
      <c r="F56" s="19">
        <v>13.478</v>
      </c>
      <c r="G56" s="19">
        <v>13.661</v>
      </c>
      <c r="H56" s="19">
        <v>13.705</v>
      </c>
      <c r="I56" s="19">
        <v>13.861000000000001</v>
      </c>
    </row>
    <row r="57" spans="1:9" x14ac:dyDescent="0.2">
      <c r="A57" s="1" t="s">
        <v>177</v>
      </c>
      <c r="B57" s="1" t="str">
        <f t="shared" si="15"/>
        <v>UIM</v>
      </c>
      <c r="C57" s="7"/>
      <c r="D57" s="7">
        <v>4.1340000000000003</v>
      </c>
      <c r="E57" s="19">
        <v>4.4459999999999997</v>
      </c>
      <c r="F57" s="19">
        <v>4.9429999999999996</v>
      </c>
      <c r="G57" s="19">
        <v>4.7969999999999997</v>
      </c>
      <c r="H57" s="19">
        <v>4.6260000000000003</v>
      </c>
      <c r="I57" s="19">
        <v>4.5940000000000003</v>
      </c>
    </row>
    <row r="58" spans="1:9" x14ac:dyDescent="0.2">
      <c r="A58" s="1" t="s">
        <v>178</v>
      </c>
      <c r="B58" s="1" t="str">
        <f t="shared" si="15"/>
        <v>UIM</v>
      </c>
      <c r="C58" s="7"/>
      <c r="D58" s="7">
        <v>3.5150000000000001</v>
      </c>
      <c r="E58" s="19">
        <v>3.6909999999999998</v>
      </c>
      <c r="F58" s="19">
        <v>3.8109999999999999</v>
      </c>
      <c r="G58" s="19">
        <v>3.84</v>
      </c>
      <c r="H58" s="19">
        <v>3.7959999999999998</v>
      </c>
      <c r="I58" s="19">
        <v>3.8079999999999998</v>
      </c>
    </row>
    <row r="59" spans="1:9" x14ac:dyDescent="0.2">
      <c r="A59" s="1" t="s">
        <v>179</v>
      </c>
      <c r="B59" s="1" t="str">
        <f t="shared" si="15"/>
        <v>UIM</v>
      </c>
      <c r="C59" s="7"/>
      <c r="D59" s="7">
        <v>1.9610000000000001</v>
      </c>
      <c r="E59" s="19">
        <v>2.0470000000000002</v>
      </c>
      <c r="F59" s="19">
        <v>2.177</v>
      </c>
      <c r="G59" s="19">
        <v>2.2149999999999999</v>
      </c>
      <c r="H59" s="19">
        <v>2.2229999999999999</v>
      </c>
      <c r="I59" s="19">
        <v>2.2309999999999999</v>
      </c>
    </row>
    <row r="60" spans="1:9" x14ac:dyDescent="0.2">
      <c r="A60" s="1" t="s">
        <v>180</v>
      </c>
      <c r="B60" s="1" t="str">
        <f t="shared" si="15"/>
        <v>UIM</v>
      </c>
      <c r="C60" s="7"/>
      <c r="D60" s="7">
        <v>2.2909999999999999</v>
      </c>
      <c r="E60" s="19">
        <v>2.246</v>
      </c>
      <c r="F60" s="19">
        <v>2.3580000000000001</v>
      </c>
      <c r="G60" s="19">
        <v>2.3820000000000001</v>
      </c>
      <c r="H60" s="19">
        <v>2.407</v>
      </c>
      <c r="I60" s="19">
        <v>2.4550000000000001</v>
      </c>
    </row>
    <row r="61" spans="1:9" x14ac:dyDescent="0.2">
      <c r="A61" s="1" t="s">
        <v>181</v>
      </c>
      <c r="B61" s="1" t="str">
        <f t="shared" si="15"/>
        <v>UIM</v>
      </c>
      <c r="C61" s="7"/>
      <c r="D61" s="7">
        <v>2.2280000000000002</v>
      </c>
      <c r="E61" s="19">
        <v>2.1339999999999999</v>
      </c>
      <c r="F61" s="19">
        <v>2.4929999999999999</v>
      </c>
      <c r="G61" s="19">
        <v>2.4609999999999999</v>
      </c>
      <c r="H61" s="19">
        <v>2.4609999999999999</v>
      </c>
      <c r="I61" s="19">
        <v>2.504</v>
      </c>
    </row>
    <row r="62" spans="1:9" x14ac:dyDescent="0.2">
      <c r="A62" s="1" t="s">
        <v>183</v>
      </c>
      <c r="B62" s="1" t="str">
        <f t="shared" si="15"/>
        <v>UIM</v>
      </c>
      <c r="C62" s="7"/>
      <c r="D62" s="7">
        <v>0.77800000000000002</v>
      </c>
      <c r="E62" s="19">
        <v>0.79400000000000004</v>
      </c>
      <c r="F62" s="19">
        <v>0.85499999999999998</v>
      </c>
      <c r="G62" s="19">
        <v>0.84899999999999998</v>
      </c>
      <c r="H62" s="19">
        <v>0.83799999999999997</v>
      </c>
      <c r="I62" s="19">
        <v>0.88400000000000001</v>
      </c>
    </row>
    <row r="63" spans="1:9" x14ac:dyDescent="0.2">
      <c r="A63" s="1" t="s">
        <v>182</v>
      </c>
      <c r="B63" s="1" t="str">
        <f t="shared" si="15"/>
        <v>UIM</v>
      </c>
      <c r="C63" s="7"/>
      <c r="D63" s="7">
        <v>0.66700000000000004</v>
      </c>
      <c r="E63" s="19">
        <v>0.77700000000000002</v>
      </c>
      <c r="F63" s="19">
        <v>0.70899999999999996</v>
      </c>
      <c r="G63" s="19">
        <v>0.61599999999999999</v>
      </c>
      <c r="H63" s="19">
        <v>0.62</v>
      </c>
      <c r="I63" s="19">
        <v>0.62</v>
      </c>
    </row>
    <row r="64" spans="1:9" x14ac:dyDescent="0.2">
      <c r="A64" s="1" t="s">
        <v>184</v>
      </c>
      <c r="B64" s="1" t="str">
        <f t="shared" si="15"/>
        <v>UIM</v>
      </c>
      <c r="C64" s="7"/>
      <c r="D64" s="7">
        <v>0.32</v>
      </c>
      <c r="E64" s="19">
        <v>0.58299999999999996</v>
      </c>
      <c r="F64" s="19">
        <v>0.56799999999999995</v>
      </c>
      <c r="G64" s="19">
        <v>0.52600000000000002</v>
      </c>
      <c r="H64" s="19">
        <v>0.52</v>
      </c>
      <c r="I64" s="19">
        <v>0.50800000000000001</v>
      </c>
    </row>
    <row r="65" spans="1:11" x14ac:dyDescent="0.2">
      <c r="A65" s="1" t="s">
        <v>185</v>
      </c>
      <c r="B65" s="1" t="str">
        <f t="shared" si="15"/>
        <v>UIM</v>
      </c>
      <c r="C65" s="7"/>
      <c r="D65" s="7">
        <v>0.72299999999999998</v>
      </c>
      <c r="E65" s="19">
        <v>0.68500000000000005</v>
      </c>
      <c r="F65" s="19">
        <v>0.71599999999999997</v>
      </c>
      <c r="G65" s="19">
        <v>0.77</v>
      </c>
      <c r="H65" s="19">
        <v>0.77</v>
      </c>
      <c r="I65" s="19">
        <v>0.78900000000000003</v>
      </c>
    </row>
    <row r="66" spans="1:11" x14ac:dyDescent="0.2">
      <c r="A66" s="1" t="s">
        <v>186</v>
      </c>
      <c r="B66" s="1" t="str">
        <f t="shared" si="15"/>
        <v>UIM</v>
      </c>
      <c r="C66" s="7"/>
      <c r="D66" s="7">
        <v>0.14499999999999999</v>
      </c>
      <c r="E66" s="19">
        <v>0.51200000000000001</v>
      </c>
      <c r="F66" s="19">
        <v>0.439</v>
      </c>
      <c r="G66" s="19">
        <v>0.46600000000000003</v>
      </c>
      <c r="H66" s="19">
        <v>0.46200000000000002</v>
      </c>
      <c r="I66" s="19">
        <v>0.46200000000000002</v>
      </c>
    </row>
    <row r="67" spans="1:11" x14ac:dyDescent="0.2">
      <c r="A67" s="1" t="s">
        <v>187</v>
      </c>
      <c r="B67" s="1" t="str">
        <f>$B$9</f>
        <v>NAC</v>
      </c>
      <c r="C67" s="7"/>
      <c r="D67" s="7">
        <v>3.7829999999999999</v>
      </c>
      <c r="E67" s="19">
        <v>3.6469999999999998</v>
      </c>
      <c r="F67" s="19">
        <v>3.6819999999999999</v>
      </c>
      <c r="G67" s="19">
        <v>3.7810000000000001</v>
      </c>
      <c r="H67" s="19">
        <v>3.738</v>
      </c>
      <c r="I67" s="19">
        <v>3.7429999999999999</v>
      </c>
    </row>
    <row r="68" spans="1:11" ht="15" x14ac:dyDescent="0.25">
      <c r="A68" s="30" t="s">
        <v>190</v>
      </c>
      <c r="C68" s="7"/>
      <c r="D68" s="31">
        <f t="shared" ref="D68:I68" si="16">SUM(D$21:D$22,D$53:D$67)</f>
        <v>72.362999999999985</v>
      </c>
      <c r="E68" s="42">
        <f t="shared" si="16"/>
        <v>74.381999999999991</v>
      </c>
      <c r="F68" s="42">
        <f t="shared" si="16"/>
        <v>77.387999999999991</v>
      </c>
      <c r="G68" s="42">
        <f t="shared" si="16"/>
        <v>79.718999999999994</v>
      </c>
      <c r="H68" s="42">
        <f t="shared" si="16"/>
        <v>82.046999999999997</v>
      </c>
      <c r="I68" s="42">
        <f t="shared" si="16"/>
        <v>84.817999999999984</v>
      </c>
    </row>
    <row r="69" spans="1:11" ht="15" x14ac:dyDescent="0.25">
      <c r="A69" s="2" t="s">
        <v>191</v>
      </c>
      <c r="C69" s="7"/>
      <c r="D69" s="15"/>
      <c r="E69" s="19"/>
      <c r="F69" s="19"/>
      <c r="G69" s="19"/>
      <c r="H69" s="19"/>
      <c r="I69" s="19"/>
    </row>
    <row r="70" spans="1:11" x14ac:dyDescent="0.2">
      <c r="A70" s="1" t="s">
        <v>192</v>
      </c>
      <c r="B70" s="1" t="str">
        <f>$B$11</f>
        <v>UIM</v>
      </c>
      <c r="C70" s="7"/>
      <c r="D70" s="7">
        <v>64.944999999999993</v>
      </c>
      <c r="E70" s="19">
        <v>68.400999999999996</v>
      </c>
      <c r="F70" s="19">
        <v>70.058000000000007</v>
      </c>
      <c r="G70" s="19">
        <v>73.436999999999998</v>
      </c>
      <c r="H70" s="19">
        <v>78.221000000000004</v>
      </c>
      <c r="I70" s="19">
        <v>82.203000000000003</v>
      </c>
    </row>
    <row r="71" spans="1:11" x14ac:dyDescent="0.2">
      <c r="A71" s="1" t="s">
        <v>193</v>
      </c>
      <c r="B71" s="1" t="str">
        <f t="shared" ref="B71:B78" si="17">$B$11</f>
        <v>UIM</v>
      </c>
      <c r="C71" s="7"/>
      <c r="D71" s="7">
        <v>4.7309999999999999</v>
      </c>
      <c r="E71" s="19">
        <v>4.5659999999999998</v>
      </c>
      <c r="F71" s="19">
        <v>4.1539999999999999</v>
      </c>
      <c r="G71" s="19">
        <v>4.2859999999999996</v>
      </c>
      <c r="H71" s="19">
        <v>4.4740000000000002</v>
      </c>
      <c r="I71" s="19">
        <v>4.5679999999999996</v>
      </c>
    </row>
    <row r="72" spans="1:11" x14ac:dyDescent="0.2">
      <c r="A72" s="1" t="s">
        <v>154</v>
      </c>
      <c r="B72" s="1" t="str">
        <f t="shared" si="17"/>
        <v>UIM</v>
      </c>
      <c r="C72" s="7"/>
      <c r="D72" s="7">
        <v>17.231999999999999</v>
      </c>
      <c r="E72" s="19">
        <v>17.13</v>
      </c>
      <c r="F72" s="19">
        <v>17.327000000000002</v>
      </c>
      <c r="G72" s="19">
        <v>17.920999999999999</v>
      </c>
      <c r="H72" s="19">
        <v>18.297999999999998</v>
      </c>
      <c r="I72" s="19">
        <v>18.59</v>
      </c>
    </row>
    <row r="73" spans="1:11" x14ac:dyDescent="0.2">
      <c r="A73" s="1" t="s">
        <v>194</v>
      </c>
      <c r="B73" s="1" t="str">
        <f t="shared" si="17"/>
        <v>UIM</v>
      </c>
      <c r="C73" s="7"/>
      <c r="D73" s="7">
        <v>3.3639999999999999</v>
      </c>
      <c r="E73" s="19">
        <v>3.4009999999999998</v>
      </c>
      <c r="F73" s="19">
        <v>3.504</v>
      </c>
      <c r="G73" s="19">
        <v>3.8250000000000002</v>
      </c>
      <c r="H73" s="19">
        <v>4.1310000000000002</v>
      </c>
      <c r="I73" s="19">
        <v>4.4630000000000001</v>
      </c>
    </row>
    <row r="74" spans="1:11" x14ac:dyDescent="0.2">
      <c r="A74" s="1" t="s">
        <v>195</v>
      </c>
      <c r="B74" s="1" t="str">
        <f t="shared" si="17"/>
        <v>UIM</v>
      </c>
      <c r="C74" s="7"/>
      <c r="D74" s="7">
        <v>3.823</v>
      </c>
      <c r="E74" s="19">
        <v>4.0439999999999996</v>
      </c>
      <c r="F74" s="19">
        <v>3.59</v>
      </c>
      <c r="G74" s="19">
        <v>3.605</v>
      </c>
      <c r="H74" s="19">
        <v>3.512</v>
      </c>
      <c r="I74" s="19">
        <v>3.61</v>
      </c>
    </row>
    <row r="75" spans="1:11" ht="15" x14ac:dyDescent="0.25">
      <c r="A75" s="30" t="s">
        <v>196</v>
      </c>
      <c r="C75" s="7"/>
      <c r="D75" s="31">
        <f t="shared" ref="D75:I75" si="18">SUM(D$70:D$74)</f>
        <v>94.094999999999985</v>
      </c>
      <c r="E75" s="42">
        <f t="shared" si="18"/>
        <v>97.541999999999987</v>
      </c>
      <c r="F75" s="42">
        <f t="shared" si="18"/>
        <v>98.63300000000001</v>
      </c>
      <c r="G75" s="42">
        <f t="shared" si="18"/>
        <v>103.07400000000001</v>
      </c>
      <c r="H75" s="42">
        <f t="shared" si="18"/>
        <v>108.63600000000001</v>
      </c>
      <c r="I75" s="42">
        <f t="shared" si="18"/>
        <v>113.434</v>
      </c>
    </row>
    <row r="76" spans="1:11" x14ac:dyDescent="0.2">
      <c r="A76" s="1" t="s">
        <v>158</v>
      </c>
      <c r="B76" s="1" t="str">
        <f t="shared" si="17"/>
        <v>UIM</v>
      </c>
      <c r="C76" s="7"/>
      <c r="D76" s="7">
        <v>23.896000000000001</v>
      </c>
      <c r="E76" s="19">
        <v>24.449000000000002</v>
      </c>
      <c r="F76" s="19">
        <v>25.384</v>
      </c>
      <c r="G76" s="19">
        <v>26.039000000000001</v>
      </c>
      <c r="H76" s="19">
        <v>26.815000000000001</v>
      </c>
      <c r="I76" s="19">
        <v>27.83</v>
      </c>
    </row>
    <row r="77" spans="1:11" x14ac:dyDescent="0.2">
      <c r="A77" s="1" t="s">
        <v>197</v>
      </c>
      <c r="B77" s="1" t="str">
        <f t="shared" si="17"/>
        <v>UIM</v>
      </c>
      <c r="C77" s="7"/>
      <c r="D77" s="7">
        <v>60.009</v>
      </c>
      <c r="E77" s="19">
        <v>62.11</v>
      </c>
      <c r="F77" s="19">
        <v>63.750999999999998</v>
      </c>
      <c r="G77" s="19">
        <v>63.466000000000001</v>
      </c>
      <c r="H77" s="19">
        <v>62.444000000000003</v>
      </c>
      <c r="I77" s="19">
        <v>62.927</v>
      </c>
    </row>
    <row r="78" spans="1:11" x14ac:dyDescent="0.2">
      <c r="A78" s="1" t="s">
        <v>198</v>
      </c>
      <c r="B78" s="1" t="str">
        <f t="shared" si="17"/>
        <v>UIM</v>
      </c>
      <c r="C78" s="7"/>
      <c r="D78" s="7">
        <v>4.5979999999999999</v>
      </c>
      <c r="E78" s="19">
        <v>4.4379999999999997</v>
      </c>
      <c r="F78" s="19">
        <v>4.6820000000000004</v>
      </c>
      <c r="G78" s="19">
        <v>4.8239999999999998</v>
      </c>
      <c r="H78" s="19">
        <v>4.8929999999999998</v>
      </c>
      <c r="I78" s="19">
        <v>4.6909999999999998</v>
      </c>
    </row>
    <row r="79" spans="1:11" ht="15" x14ac:dyDescent="0.25">
      <c r="A79" s="30" t="s">
        <v>214</v>
      </c>
      <c r="C79" s="7"/>
      <c r="D79" s="31">
        <f t="shared" ref="D79:I79" si="19">SUM(D$21:D$22,D$76:D$78)</f>
        <v>88.503</v>
      </c>
      <c r="E79" s="42">
        <f t="shared" si="19"/>
        <v>90.399000000000001</v>
      </c>
      <c r="F79" s="42">
        <f t="shared" si="19"/>
        <v>93.326000000000008</v>
      </c>
      <c r="G79" s="42">
        <f t="shared" si="19"/>
        <v>95.491</v>
      </c>
      <c r="H79" s="42">
        <f t="shared" si="19"/>
        <v>97.024000000000001</v>
      </c>
      <c r="I79" s="42">
        <f t="shared" si="19"/>
        <v>99.864000000000004</v>
      </c>
      <c r="J79" s="7"/>
      <c r="K79" s="7"/>
    </row>
    <row r="80" spans="1:11" ht="15" x14ac:dyDescent="0.25">
      <c r="A80" s="30" t="s">
        <v>199</v>
      </c>
      <c r="C80" s="7"/>
      <c r="D80" s="31">
        <f t="shared" ref="D80:I80" si="20">SUM(D$75,-D$79)</f>
        <v>5.5919999999999845</v>
      </c>
      <c r="E80" s="42">
        <f t="shared" si="20"/>
        <v>7.1429999999999865</v>
      </c>
      <c r="F80" s="42">
        <f t="shared" si="20"/>
        <v>5.3070000000000022</v>
      </c>
      <c r="G80" s="42">
        <f t="shared" si="20"/>
        <v>7.5830000000000126</v>
      </c>
      <c r="H80" s="42">
        <f t="shared" si="20"/>
        <v>11.612000000000009</v>
      </c>
      <c r="I80" s="42">
        <f t="shared" si="20"/>
        <v>13.569999999999993</v>
      </c>
      <c r="J80" s="7"/>
      <c r="K80" s="7"/>
    </row>
    <row r="81" spans="1:11" x14ac:dyDescent="0.2">
      <c r="A81" s="1" t="s">
        <v>200</v>
      </c>
      <c r="B81" s="1" t="str">
        <f t="shared" ref="B81:B85" si="21">$B$11</f>
        <v>UIM</v>
      </c>
      <c r="C81" s="7"/>
      <c r="D81" s="7">
        <v>-6.1769999999999996</v>
      </c>
      <c r="E81" s="19">
        <v>-6.8840000000000003</v>
      </c>
      <c r="F81" s="19">
        <v>-7.9710000000000001</v>
      </c>
      <c r="G81" s="19">
        <v>-6.4649999999999999</v>
      </c>
      <c r="H81" s="19">
        <v>-6.2590000000000003</v>
      </c>
      <c r="I81" s="19">
        <v>-6.1390000000000002</v>
      </c>
      <c r="J81" s="7"/>
      <c r="K81" s="7"/>
    </row>
    <row r="82" spans="1:11" x14ac:dyDescent="0.2">
      <c r="A82" s="1" t="s">
        <v>201</v>
      </c>
      <c r="B82" s="1" t="str">
        <f t="shared" si="21"/>
        <v>UIM</v>
      </c>
      <c r="C82" s="7"/>
      <c r="D82" s="7">
        <v>-4.9119999999999999</v>
      </c>
      <c r="E82" s="19">
        <v>-4.4999999999999998E-2</v>
      </c>
      <c r="F82" s="19">
        <v>-3.8809999999999998</v>
      </c>
      <c r="G82" s="19">
        <v>5.95</v>
      </c>
      <c r="H82" s="19">
        <v>2.3109999999999999</v>
      </c>
      <c r="I82" s="19">
        <v>-3.6259999999999999</v>
      </c>
      <c r="J82" s="7"/>
      <c r="K82" s="7"/>
    </row>
    <row r="83" spans="1:11" x14ac:dyDescent="0.2">
      <c r="A83" s="1" t="s">
        <v>202</v>
      </c>
      <c r="B83" s="1" t="str">
        <f t="shared" si="21"/>
        <v>UIM</v>
      </c>
      <c r="C83" s="7"/>
      <c r="D83" s="7">
        <v>-0.63100000000000001</v>
      </c>
      <c r="E83" s="19">
        <v>-0.70299999999999996</v>
      </c>
      <c r="F83" s="19">
        <v>-0.83699999999999997</v>
      </c>
      <c r="G83" s="19">
        <v>-0.68400000000000005</v>
      </c>
      <c r="H83" s="19">
        <v>-0.623</v>
      </c>
      <c r="I83" s="19">
        <v>-0.58599999999999997</v>
      </c>
      <c r="J83" s="7"/>
      <c r="K83" s="7"/>
    </row>
    <row r="84" spans="1:11" x14ac:dyDescent="0.2">
      <c r="A84" s="1" t="s">
        <v>203</v>
      </c>
      <c r="B84" s="1" t="str">
        <f t="shared" si="21"/>
        <v>UIM</v>
      </c>
      <c r="C84" s="7"/>
      <c r="D84" s="7">
        <v>-1.6859999999999999</v>
      </c>
      <c r="E84" s="19">
        <v>-0.96199999999999997</v>
      </c>
      <c r="F84" s="19">
        <v>-1.504</v>
      </c>
      <c r="G84" s="19">
        <v>-1.603</v>
      </c>
      <c r="H84" s="19">
        <v>-1.5049999999999999</v>
      </c>
      <c r="I84" s="19">
        <v>-1.5429999999999999</v>
      </c>
      <c r="J84" s="7"/>
      <c r="K84" s="7"/>
    </row>
    <row r="85" spans="1:11" x14ac:dyDescent="0.2">
      <c r="A85" s="1" t="s">
        <v>204</v>
      </c>
      <c r="B85" s="1" t="str">
        <f t="shared" si="21"/>
        <v>UIM</v>
      </c>
      <c r="C85" s="7"/>
      <c r="D85" s="7">
        <v>0.73199999999999998</v>
      </c>
      <c r="E85" s="19">
        <v>0.11600000000000001</v>
      </c>
      <c r="F85" s="19">
        <v>5.7000000000000002E-2</v>
      </c>
      <c r="G85" s="19">
        <v>2.9000000000000001E-2</v>
      </c>
      <c r="H85" s="19">
        <v>-1.6E-2</v>
      </c>
      <c r="I85" s="19">
        <v>3.4000000000000002E-2</v>
      </c>
      <c r="J85" s="7"/>
      <c r="K85" s="7"/>
    </row>
    <row r="86" spans="1:11" ht="15" x14ac:dyDescent="0.25">
      <c r="A86" s="30" t="s">
        <v>215</v>
      </c>
      <c r="C86" s="7"/>
      <c r="D86" s="31">
        <f t="shared" ref="D86:I86" si="22">SUM(D$81:D$85)-SUM(D$124-C$124,D$125-C$125)</f>
        <v>-12.673999999999999</v>
      </c>
      <c r="E86" s="42">
        <f t="shared" si="22"/>
        <v>-8.4090000000000007</v>
      </c>
      <c r="F86" s="42">
        <f t="shared" si="22"/>
        <v>-14.097999999999999</v>
      </c>
      <c r="G86" s="42">
        <f t="shared" si="22"/>
        <v>-3.51</v>
      </c>
      <c r="H86" s="42">
        <f t="shared" si="22"/>
        <v>-6.7320000000000002</v>
      </c>
      <c r="I86" s="42">
        <f t="shared" si="22"/>
        <v>-12.718</v>
      </c>
      <c r="J86" s="7"/>
      <c r="K86" s="7"/>
    </row>
    <row r="87" spans="1:11" ht="15" x14ac:dyDescent="0.25">
      <c r="A87" s="30" t="s">
        <v>205</v>
      </c>
      <c r="C87" s="7"/>
      <c r="D87" s="31">
        <f t="shared" ref="D87:I87" si="23">SUM(D$80,D$86)</f>
        <v>-7.0820000000000149</v>
      </c>
      <c r="E87" s="42">
        <f t="shared" si="23"/>
        <v>-1.2660000000000142</v>
      </c>
      <c r="F87" s="42">
        <f t="shared" si="23"/>
        <v>-8.7909999999999968</v>
      </c>
      <c r="G87" s="42">
        <f t="shared" si="23"/>
        <v>4.0730000000000128</v>
      </c>
      <c r="H87" s="42">
        <f t="shared" si="23"/>
        <v>4.8800000000000088</v>
      </c>
      <c r="I87" s="42">
        <f t="shared" si="23"/>
        <v>0.85199999999999321</v>
      </c>
      <c r="J87" s="7"/>
      <c r="K87" s="7"/>
    </row>
    <row r="88" spans="1:11" x14ac:dyDescent="0.2">
      <c r="A88" s="1" t="s">
        <v>206</v>
      </c>
      <c r="B88" s="1" t="str">
        <f t="shared" ref="B88:B92" si="24">$B$11</f>
        <v>UIM</v>
      </c>
      <c r="C88" s="7"/>
      <c r="D88" s="7">
        <v>0.372</v>
      </c>
      <c r="E88" s="19">
        <v>0.56399999999999995</v>
      </c>
      <c r="F88" s="19">
        <v>0.17499999999999999</v>
      </c>
      <c r="G88" s="19">
        <v>0.18</v>
      </c>
      <c r="H88" s="19">
        <v>0.185</v>
      </c>
      <c r="I88" s="19">
        <v>0.191</v>
      </c>
      <c r="J88" s="7"/>
      <c r="K88" s="7"/>
    </row>
    <row r="89" spans="1:11" x14ac:dyDescent="0.2">
      <c r="A89" s="1" t="s">
        <v>207</v>
      </c>
      <c r="B89" s="1" t="str">
        <f t="shared" si="24"/>
        <v>UIM</v>
      </c>
      <c r="C89" s="7"/>
      <c r="D89" s="7">
        <v>1.548</v>
      </c>
      <c r="E89" s="19">
        <v>6.5640000000000001</v>
      </c>
      <c r="F89" s="19">
        <v>7.8929999999999998</v>
      </c>
      <c r="G89" s="19">
        <v>-4.2130000000000001</v>
      </c>
      <c r="H89" s="19">
        <v>-4.8049999999999997</v>
      </c>
      <c r="I89" s="19">
        <v>-0.84699999999999998</v>
      </c>
      <c r="J89" s="7"/>
      <c r="K89" s="7"/>
    </row>
    <row r="90" spans="1:11" x14ac:dyDescent="0.2">
      <c r="A90" s="1" t="s">
        <v>208</v>
      </c>
      <c r="B90" s="1" t="str">
        <f t="shared" si="24"/>
        <v>UIM</v>
      </c>
      <c r="C90" s="7"/>
      <c r="D90" s="7">
        <v>-2.3210000000000002</v>
      </c>
      <c r="E90" s="19">
        <v>-0.41899999999999998</v>
      </c>
      <c r="F90" s="19">
        <v>-0.95699999999999996</v>
      </c>
      <c r="G90" s="19">
        <v>-1.17</v>
      </c>
      <c r="H90" s="19">
        <v>0</v>
      </c>
      <c r="I90" s="19">
        <v>2.5000000000000001E-2</v>
      </c>
      <c r="J90" s="7"/>
      <c r="K90" s="7"/>
    </row>
    <row r="91" spans="1:11" x14ac:dyDescent="0.2">
      <c r="A91" s="1" t="s">
        <v>209</v>
      </c>
      <c r="B91" s="1" t="str">
        <f t="shared" si="24"/>
        <v>UIM</v>
      </c>
      <c r="C91" s="7"/>
      <c r="D91" s="7">
        <v>7.077</v>
      </c>
      <c r="E91" s="19">
        <v>-2.2280000000000002</v>
      </c>
      <c r="F91" s="19">
        <v>2.36</v>
      </c>
      <c r="G91" s="19">
        <v>2.681</v>
      </c>
      <c r="H91" s="19">
        <v>1.4550000000000001</v>
      </c>
      <c r="I91" s="19">
        <v>1.7190000000000001</v>
      </c>
      <c r="J91" s="7"/>
      <c r="K91" s="7"/>
    </row>
    <row r="92" spans="1:11" x14ac:dyDescent="0.2">
      <c r="A92" s="1" t="s">
        <v>210</v>
      </c>
      <c r="B92" s="1" t="str">
        <f t="shared" si="24"/>
        <v>UIM</v>
      </c>
      <c r="C92" s="7"/>
      <c r="D92" s="7">
        <v>-0.47799999999999998</v>
      </c>
      <c r="E92" s="19">
        <v>-0.49199999999999999</v>
      </c>
      <c r="F92" s="19">
        <v>-0.54600000000000004</v>
      </c>
      <c r="G92" s="19">
        <v>-0.52200000000000002</v>
      </c>
      <c r="H92" s="19">
        <v>-0.55800000000000005</v>
      </c>
      <c r="I92" s="19">
        <v>-0.58599999999999997</v>
      </c>
      <c r="J92" s="7"/>
      <c r="K92" s="7"/>
    </row>
    <row r="93" spans="1:11" ht="15" x14ac:dyDescent="0.25">
      <c r="A93" s="30" t="s">
        <v>211</v>
      </c>
      <c r="C93" s="7"/>
      <c r="D93" s="31">
        <f t="shared" ref="D93:I93" si="25">SUM(D$88:D$92)</f>
        <v>6.1980000000000004</v>
      </c>
      <c r="E93" s="42">
        <f t="shared" si="25"/>
        <v>3.9889999999999999</v>
      </c>
      <c r="F93" s="42">
        <f t="shared" si="25"/>
        <v>8.9250000000000007</v>
      </c>
      <c r="G93" s="42">
        <f t="shared" si="25"/>
        <v>-3.0440000000000005</v>
      </c>
      <c r="H93" s="42">
        <f t="shared" si="25"/>
        <v>-3.7229999999999999</v>
      </c>
      <c r="I93" s="42">
        <f t="shared" si="25"/>
        <v>0.50200000000000011</v>
      </c>
      <c r="J93" s="7"/>
      <c r="K93" s="7"/>
    </row>
    <row r="94" spans="1:11" ht="15" x14ac:dyDescent="0.25">
      <c r="A94" s="30" t="s">
        <v>212</v>
      </c>
      <c r="C94" s="7"/>
      <c r="D94" s="31">
        <f t="shared" ref="D94:I94" si="26">SUM(D$87,D$93)</f>
        <v>-0.88400000000001455</v>
      </c>
      <c r="E94" s="42">
        <f t="shared" si="26"/>
        <v>2.7229999999999857</v>
      </c>
      <c r="F94" s="42">
        <f t="shared" si="26"/>
        <v>0.13400000000000389</v>
      </c>
      <c r="G94" s="42">
        <f t="shared" si="26"/>
        <v>1.0290000000000123</v>
      </c>
      <c r="H94" s="42">
        <f t="shared" si="26"/>
        <v>1.1570000000000089</v>
      </c>
      <c r="I94" s="42">
        <f t="shared" si="26"/>
        <v>1.3539999999999934</v>
      </c>
      <c r="J94" s="7"/>
      <c r="K94" s="7"/>
    </row>
    <row r="95" spans="1:11" x14ac:dyDescent="0.2">
      <c r="A95" s="1" t="s">
        <v>213</v>
      </c>
      <c r="B95" s="1" t="str">
        <f>$B$9</f>
        <v>NAC</v>
      </c>
      <c r="C95" s="7"/>
      <c r="D95" s="7">
        <v>0.97799999999999998</v>
      </c>
      <c r="E95" s="19">
        <v>0.33100000000000002</v>
      </c>
      <c r="F95" s="19">
        <v>-2E-3</v>
      </c>
      <c r="G95" s="19">
        <v>-1E-3</v>
      </c>
      <c r="H95" s="19">
        <v>-1E-3</v>
      </c>
      <c r="I95" s="19">
        <v>0</v>
      </c>
      <c r="J95" s="7"/>
      <c r="K95" s="7"/>
    </row>
    <row r="96" spans="1:11" ht="15" x14ac:dyDescent="0.25">
      <c r="A96" s="30" t="s">
        <v>229</v>
      </c>
      <c r="C96" s="7"/>
      <c r="D96" s="33" t="str">
        <f t="shared" ref="D96:I96" si="27">IF(ROUND(D$114-C$114-SUM(D$94:D$95),3)=0,"OK","ERROR")</f>
        <v>OK</v>
      </c>
      <c r="E96" s="45" t="str">
        <f t="shared" si="27"/>
        <v>OK</v>
      </c>
      <c r="F96" s="45" t="str">
        <f t="shared" si="27"/>
        <v>OK</v>
      </c>
      <c r="G96" s="45" t="str">
        <f t="shared" si="27"/>
        <v>OK</v>
      </c>
      <c r="H96" s="45" t="str">
        <f t="shared" si="27"/>
        <v>OK</v>
      </c>
      <c r="I96" s="45" t="str">
        <f t="shared" si="27"/>
        <v>OK</v>
      </c>
      <c r="J96" s="7"/>
      <c r="K96" s="7"/>
    </row>
    <row r="97" spans="1:11" ht="15" x14ac:dyDescent="0.25">
      <c r="A97" s="2" t="s">
        <v>227</v>
      </c>
      <c r="C97" s="7"/>
      <c r="D97" s="7"/>
      <c r="E97" s="19"/>
      <c r="F97" s="19"/>
      <c r="G97" s="19"/>
      <c r="H97" s="19"/>
      <c r="I97" s="19"/>
      <c r="J97" s="7"/>
      <c r="K97" s="7"/>
    </row>
    <row r="98" spans="1:11" ht="15" x14ac:dyDescent="0.25">
      <c r="A98" s="30" t="s">
        <v>216</v>
      </c>
      <c r="C98" s="7"/>
      <c r="D98" s="31">
        <f t="shared" ref="D98:I98" si="28">SUM(D$30,D$80)</f>
        <v>9.9209999999999852</v>
      </c>
      <c r="E98" s="42">
        <f t="shared" si="28"/>
        <v>3.6259999999999861</v>
      </c>
      <c r="F98" s="42">
        <f t="shared" si="28"/>
        <v>7.360000000000003</v>
      </c>
      <c r="G98" s="42">
        <f t="shared" si="28"/>
        <v>9.8000000000000131</v>
      </c>
      <c r="H98" s="42">
        <f t="shared" si="28"/>
        <v>13.959000000000009</v>
      </c>
      <c r="I98" s="42">
        <f t="shared" si="28"/>
        <v>16.198999999999995</v>
      </c>
      <c r="J98" s="7"/>
      <c r="K98" s="7"/>
    </row>
    <row r="99" spans="1:11" x14ac:dyDescent="0.2">
      <c r="A99" s="1" t="s">
        <v>722</v>
      </c>
      <c r="B99" s="1" t="str">
        <f t="shared" ref="B99:B110" si="29">$B$11</f>
        <v>UIM</v>
      </c>
      <c r="C99" s="7"/>
      <c r="D99" s="7">
        <v>-0.69599999999999995</v>
      </c>
      <c r="E99" s="19">
        <v>-0.80600000000000005</v>
      </c>
      <c r="F99" s="19">
        <v>-0.84199999999999997</v>
      </c>
      <c r="G99" s="19">
        <v>-0.85599999999999998</v>
      </c>
      <c r="H99" s="19">
        <v>-0.84199999999999997</v>
      </c>
      <c r="I99" s="19">
        <v>-0.77800000000000002</v>
      </c>
      <c r="J99" s="7"/>
      <c r="K99" s="7"/>
    </row>
    <row r="100" spans="1:11" x14ac:dyDescent="0.2">
      <c r="A100" s="1" t="s">
        <v>217</v>
      </c>
      <c r="B100" s="1" t="str">
        <f t="shared" si="29"/>
        <v>UIM</v>
      </c>
      <c r="C100" s="7"/>
      <c r="D100" s="7">
        <v>-0.30499999999999999</v>
      </c>
      <c r="E100" s="19">
        <v>-8.2000000000000003E-2</v>
      </c>
      <c r="F100" s="19">
        <v>-0.126</v>
      </c>
      <c r="G100" s="19">
        <v>-0.129</v>
      </c>
      <c r="H100" s="19">
        <v>-0.13600000000000001</v>
      </c>
      <c r="I100" s="19">
        <v>-0.13800000000000001</v>
      </c>
      <c r="J100" s="7"/>
      <c r="K100" s="7"/>
    </row>
    <row r="101" spans="1:11" x14ac:dyDescent="0.2">
      <c r="A101" s="1" t="s">
        <v>218</v>
      </c>
      <c r="B101" s="1" t="str">
        <f t="shared" si="29"/>
        <v>UIM</v>
      </c>
      <c r="C101" s="7"/>
      <c r="D101" s="7">
        <v>0.373</v>
      </c>
      <c r="E101" s="19">
        <v>0.44500000000000001</v>
      </c>
      <c r="F101" s="19">
        <v>0.505</v>
      </c>
      <c r="G101" s="19">
        <v>0.505</v>
      </c>
      <c r="H101" s="19">
        <v>0.497</v>
      </c>
      <c r="I101" s="19">
        <v>0.49099999999999999</v>
      </c>
      <c r="J101" s="7"/>
      <c r="K101" s="7"/>
    </row>
    <row r="102" spans="1:11" x14ac:dyDescent="0.2">
      <c r="A102" s="1" t="s">
        <v>219</v>
      </c>
      <c r="B102" s="1" t="str">
        <f t="shared" si="29"/>
        <v>UIM</v>
      </c>
      <c r="C102" s="7"/>
      <c r="D102" s="7">
        <v>0.746</v>
      </c>
      <c r="E102" s="19">
        <v>0.17</v>
      </c>
      <c r="F102" s="19">
        <v>4.3999999999999997E-2</v>
      </c>
      <c r="G102" s="19">
        <v>-0.47899999999999998</v>
      </c>
      <c r="H102" s="19">
        <v>-1.1970000000000001</v>
      </c>
      <c r="I102" s="19">
        <v>-1.415</v>
      </c>
      <c r="J102" s="7"/>
      <c r="K102" s="7"/>
    </row>
    <row r="103" spans="1:11" x14ac:dyDescent="0.2">
      <c r="A103" s="1" t="s">
        <v>186</v>
      </c>
      <c r="B103" s="1" t="str">
        <f t="shared" si="29"/>
        <v>UIM</v>
      </c>
      <c r="C103" s="7"/>
      <c r="D103" s="7">
        <v>0.69899999999999995</v>
      </c>
      <c r="E103" s="19">
        <v>-0.218</v>
      </c>
      <c r="F103" s="19">
        <v>-0.22900000000000001</v>
      </c>
      <c r="G103" s="19">
        <v>-0.27700000000000002</v>
      </c>
      <c r="H103" s="19">
        <v>-0.30299999999999999</v>
      </c>
      <c r="I103" s="19">
        <v>-0.35399999999999998</v>
      </c>
      <c r="J103" s="7"/>
      <c r="K103" s="7"/>
    </row>
    <row r="104" spans="1:11" ht="15" x14ac:dyDescent="0.25">
      <c r="A104" s="30" t="s">
        <v>228</v>
      </c>
      <c r="C104" s="7"/>
      <c r="D104" s="31">
        <f t="shared" ref="D104:I104" si="30">SUM(-D$17,D$99:D$103)</f>
        <v>-4.0249999999999986</v>
      </c>
      <c r="E104" s="42">
        <f t="shared" si="30"/>
        <v>-5.3659999999999997</v>
      </c>
      <c r="F104" s="42">
        <f t="shared" si="30"/>
        <v>-5.8480000000000008</v>
      </c>
      <c r="G104" s="42">
        <f t="shared" si="30"/>
        <v>-6.5880000000000001</v>
      </c>
      <c r="H104" s="42">
        <f t="shared" si="30"/>
        <v>-7.4859999999999998</v>
      </c>
      <c r="I104" s="42">
        <f t="shared" si="30"/>
        <v>-7.7960000000000012</v>
      </c>
      <c r="J104" s="7"/>
      <c r="K104" s="7"/>
    </row>
    <row r="105" spans="1:11" x14ac:dyDescent="0.2">
      <c r="A105" s="1" t="s">
        <v>220</v>
      </c>
      <c r="B105" s="1" t="str">
        <f t="shared" si="29"/>
        <v>UIM</v>
      </c>
      <c r="C105" s="7"/>
      <c r="D105" s="7">
        <v>0.14099999999999999</v>
      </c>
      <c r="E105" s="19">
        <v>-0.22900000000000001</v>
      </c>
      <c r="F105" s="19">
        <v>0.188</v>
      </c>
      <c r="G105" s="19">
        <v>0.11799999999999999</v>
      </c>
      <c r="H105" s="19">
        <v>0.64500000000000002</v>
      </c>
      <c r="I105" s="19">
        <v>0.76</v>
      </c>
      <c r="J105" s="7"/>
      <c r="K105" s="7"/>
    </row>
    <row r="106" spans="1:11" x14ac:dyDescent="0.2">
      <c r="A106" s="1" t="s">
        <v>221</v>
      </c>
      <c r="B106" s="1" t="str">
        <f t="shared" si="29"/>
        <v>UIM</v>
      </c>
      <c r="C106" s="7"/>
      <c r="D106" s="7">
        <v>0.19600000000000001</v>
      </c>
      <c r="E106" s="19">
        <v>0.28599999999999998</v>
      </c>
      <c r="F106" s="19">
        <v>0.879</v>
      </c>
      <c r="G106" s="19">
        <v>0.68500000000000005</v>
      </c>
      <c r="H106" s="19">
        <v>0.78100000000000003</v>
      </c>
      <c r="I106" s="19">
        <v>0.53800000000000003</v>
      </c>
      <c r="J106" s="7"/>
      <c r="K106" s="7"/>
    </row>
    <row r="107" spans="1:11" x14ac:dyDescent="0.2">
      <c r="A107" s="1" t="s">
        <v>222</v>
      </c>
      <c r="B107" s="1" t="str">
        <f t="shared" si="29"/>
        <v>UIM</v>
      </c>
      <c r="C107" s="7"/>
      <c r="D107" s="7">
        <v>-0.105</v>
      </c>
      <c r="E107" s="19">
        <v>-1.6E-2</v>
      </c>
      <c r="F107" s="19">
        <v>-0.11600000000000001</v>
      </c>
      <c r="G107" s="19">
        <v>-7.0000000000000001E-3</v>
      </c>
      <c r="H107" s="19">
        <v>-8.9999999999999993E-3</v>
      </c>
      <c r="I107" s="19">
        <v>-2E-3</v>
      </c>
      <c r="J107" s="7"/>
      <c r="K107" s="7"/>
    </row>
    <row r="108" spans="1:11" x14ac:dyDescent="0.2">
      <c r="A108" s="1" t="s">
        <v>223</v>
      </c>
      <c r="B108" s="1" t="str">
        <f t="shared" si="29"/>
        <v>UIM</v>
      </c>
      <c r="C108" s="7"/>
      <c r="D108" s="7">
        <v>-1.2E-2</v>
      </c>
      <c r="E108" s="19">
        <v>-3.0000000000000001E-3</v>
      </c>
      <c r="F108" s="19">
        <v>-1.4E-2</v>
      </c>
      <c r="G108" s="19">
        <v>-0.01</v>
      </c>
      <c r="H108" s="19">
        <v>5.0000000000000001E-3</v>
      </c>
      <c r="I108" s="19">
        <v>1E-3</v>
      </c>
      <c r="J108" s="7"/>
      <c r="K108" s="7"/>
    </row>
    <row r="109" spans="1:11" x14ac:dyDescent="0.2">
      <c r="A109" s="1" t="s">
        <v>224</v>
      </c>
      <c r="B109" s="1" t="str">
        <f t="shared" si="29"/>
        <v>UIM</v>
      </c>
      <c r="C109" s="7"/>
      <c r="D109" s="7">
        <v>-0.14899999999999999</v>
      </c>
      <c r="E109" s="19">
        <v>-1.7999999999999999E-2</v>
      </c>
      <c r="F109" s="19">
        <v>3.0000000000000001E-3</v>
      </c>
      <c r="G109" s="19">
        <v>-1.6E-2</v>
      </c>
      <c r="H109" s="19">
        <v>-2.5999999999999999E-2</v>
      </c>
      <c r="I109" s="19">
        <v>-1.4E-2</v>
      </c>
      <c r="J109" s="7"/>
      <c r="K109" s="7"/>
    </row>
    <row r="110" spans="1:11" x14ac:dyDescent="0.2">
      <c r="A110" s="1" t="s">
        <v>225</v>
      </c>
      <c r="B110" s="1" t="str">
        <f t="shared" si="29"/>
        <v>UIM</v>
      </c>
      <c r="C110" s="7"/>
      <c r="D110" s="7">
        <v>-0.19600000000000001</v>
      </c>
      <c r="E110" s="19">
        <v>-0.84499999999999997</v>
      </c>
      <c r="F110" s="19">
        <v>0.60599999999999998</v>
      </c>
      <c r="G110" s="19">
        <v>0.97499999999999998</v>
      </c>
      <c r="H110" s="19">
        <v>-0.26300000000000001</v>
      </c>
      <c r="I110" s="19">
        <v>-8.6999999999999994E-2</v>
      </c>
      <c r="J110" s="7"/>
      <c r="K110" s="7"/>
    </row>
    <row r="111" spans="1:11" ht="15" x14ac:dyDescent="0.25">
      <c r="A111" s="30" t="s">
        <v>226</v>
      </c>
      <c r="C111" s="7"/>
      <c r="D111" s="31">
        <f t="shared" ref="D111:I111" si="31">SUM(D$105:D$110)</f>
        <v>-0.12500000000000003</v>
      </c>
      <c r="E111" s="42">
        <f t="shared" si="31"/>
        <v>-0.82499999999999996</v>
      </c>
      <c r="F111" s="42">
        <f t="shared" si="31"/>
        <v>1.5459999999999998</v>
      </c>
      <c r="G111" s="42">
        <f t="shared" si="31"/>
        <v>1.7450000000000001</v>
      </c>
      <c r="H111" s="42">
        <f t="shared" si="31"/>
        <v>1.133</v>
      </c>
      <c r="I111" s="42">
        <f t="shared" si="31"/>
        <v>1.196</v>
      </c>
      <c r="J111" s="7"/>
      <c r="K111" s="7"/>
    </row>
    <row r="112" spans="1:11" ht="15" x14ac:dyDescent="0.25">
      <c r="A112" s="30" t="s">
        <v>230</v>
      </c>
      <c r="C112" s="7"/>
      <c r="D112" s="33" t="str">
        <f t="shared" ref="D112:I112" si="32">IF(ROUND(D$32-(D$98+D$104+D$111),3)=0,"OK","ERROR")</f>
        <v>OK</v>
      </c>
      <c r="E112" s="45" t="str">
        <f t="shared" si="32"/>
        <v>OK</v>
      </c>
      <c r="F112" s="45" t="str">
        <f t="shared" si="32"/>
        <v>OK</v>
      </c>
      <c r="G112" s="45" t="str">
        <f t="shared" si="32"/>
        <v>OK</v>
      </c>
      <c r="H112" s="45" t="str">
        <f t="shared" si="32"/>
        <v>OK</v>
      </c>
      <c r="I112" s="45" t="str">
        <f t="shared" si="32"/>
        <v>OK</v>
      </c>
      <c r="J112" s="7"/>
      <c r="K112" s="7"/>
    </row>
    <row r="113" spans="1:11" ht="15" x14ac:dyDescent="0.25">
      <c r="A113" s="2" t="s">
        <v>231</v>
      </c>
      <c r="C113" s="7"/>
      <c r="D113" s="7"/>
      <c r="E113" s="19"/>
      <c r="F113" s="19"/>
      <c r="G113" s="19"/>
      <c r="H113" s="19"/>
      <c r="I113" s="19"/>
      <c r="J113" s="7"/>
      <c r="K113" s="7"/>
    </row>
    <row r="114" spans="1:11" ht="15" x14ac:dyDescent="0.25">
      <c r="A114" s="1" t="s">
        <v>232</v>
      </c>
      <c r="B114" s="1" t="str">
        <f t="shared" ref="B114:B129" si="33">$B$11</f>
        <v>UIM</v>
      </c>
      <c r="C114" s="69">
        <v>11.888</v>
      </c>
      <c r="D114" s="7">
        <v>11.981999999999999</v>
      </c>
      <c r="E114" s="19">
        <v>15.036</v>
      </c>
      <c r="F114" s="19">
        <v>15.167999999999999</v>
      </c>
      <c r="G114" s="19">
        <v>16.196000000000002</v>
      </c>
      <c r="H114" s="19">
        <v>17.352</v>
      </c>
      <c r="I114" s="19">
        <v>18.706</v>
      </c>
      <c r="J114" s="7"/>
      <c r="K114" s="7"/>
    </row>
    <row r="115" spans="1:11" x14ac:dyDescent="0.2">
      <c r="A115" s="1" t="s">
        <v>233</v>
      </c>
      <c r="B115" s="1" t="str">
        <f t="shared" si="33"/>
        <v>UIM</v>
      </c>
      <c r="C115" s="7"/>
      <c r="D115" s="7">
        <v>17.602</v>
      </c>
      <c r="E115" s="19">
        <v>16.946000000000002</v>
      </c>
      <c r="F115" s="19">
        <v>17.484000000000002</v>
      </c>
      <c r="G115" s="19">
        <v>17.652000000000001</v>
      </c>
      <c r="H115" s="19">
        <v>18.350000000000001</v>
      </c>
      <c r="I115" s="19">
        <v>19.164999999999999</v>
      </c>
      <c r="J115" s="7"/>
      <c r="K115" s="7"/>
    </row>
    <row r="116" spans="1:11" x14ac:dyDescent="0.2">
      <c r="A116" s="1" t="s">
        <v>234</v>
      </c>
      <c r="B116" s="1" t="str">
        <f t="shared" si="33"/>
        <v>UIM</v>
      </c>
      <c r="C116" s="7"/>
      <c r="D116" s="7">
        <v>54.298000000000002</v>
      </c>
      <c r="E116" s="19">
        <v>49.728999999999999</v>
      </c>
      <c r="F116" s="19">
        <v>53.289000000000001</v>
      </c>
      <c r="G116" s="19">
        <v>47.613999999999997</v>
      </c>
      <c r="H116" s="19">
        <v>45.587000000000003</v>
      </c>
      <c r="I116" s="19">
        <v>49.868000000000002</v>
      </c>
      <c r="J116" s="7"/>
      <c r="K116" s="7"/>
    </row>
    <row r="117" spans="1:11" x14ac:dyDescent="0.2">
      <c r="A117" s="1" t="s">
        <v>235</v>
      </c>
      <c r="B117" s="1" t="str">
        <f t="shared" si="33"/>
        <v>UIM</v>
      </c>
      <c r="C117" s="7"/>
      <c r="D117" s="7">
        <v>25.408000000000001</v>
      </c>
      <c r="E117" s="19">
        <v>25.443000000000001</v>
      </c>
      <c r="F117" s="19">
        <v>26.617000000000001</v>
      </c>
      <c r="G117" s="19">
        <v>27.975000000000001</v>
      </c>
      <c r="H117" s="19">
        <v>29.437000000000001</v>
      </c>
      <c r="I117" s="19">
        <v>30.984999999999999</v>
      </c>
      <c r="J117" s="7"/>
      <c r="K117" s="7"/>
    </row>
    <row r="118" spans="1:11" x14ac:dyDescent="0.2">
      <c r="A118" s="1" t="s">
        <v>236</v>
      </c>
      <c r="B118" s="1" t="str">
        <f t="shared" si="33"/>
        <v>UIM</v>
      </c>
      <c r="C118" s="7"/>
      <c r="D118" s="7">
        <v>26.497</v>
      </c>
      <c r="E118" s="19">
        <v>27.504000000000001</v>
      </c>
      <c r="F118" s="19">
        <v>28.779</v>
      </c>
      <c r="G118" s="19">
        <v>30.151</v>
      </c>
      <c r="H118" s="19">
        <v>31.454999999999998</v>
      </c>
      <c r="I118" s="19">
        <v>32.808</v>
      </c>
      <c r="J118" s="7"/>
      <c r="K118" s="7"/>
    </row>
    <row r="119" spans="1:11" x14ac:dyDescent="0.2">
      <c r="A119" s="1" t="s">
        <v>237</v>
      </c>
      <c r="B119" s="1" t="str">
        <f t="shared" si="33"/>
        <v>UIM</v>
      </c>
      <c r="C119" s="7"/>
      <c r="D119" s="7">
        <v>0.995</v>
      </c>
      <c r="E119" s="19">
        <v>0.97899999999999998</v>
      </c>
      <c r="F119" s="19">
        <v>0.86299999999999999</v>
      </c>
      <c r="G119" s="19">
        <v>0.85599999999999998</v>
      </c>
      <c r="H119" s="19">
        <v>0.84699999999999998</v>
      </c>
      <c r="I119" s="19">
        <v>0.84499999999999997</v>
      </c>
      <c r="J119" s="7"/>
      <c r="K119" s="7"/>
    </row>
    <row r="120" spans="1:11" x14ac:dyDescent="0.2">
      <c r="A120" s="1" t="s">
        <v>238</v>
      </c>
      <c r="B120" s="1" t="str">
        <f t="shared" si="33"/>
        <v>UIM</v>
      </c>
      <c r="C120" s="7"/>
      <c r="D120" s="7">
        <v>2.3889999999999998</v>
      </c>
      <c r="E120" s="19">
        <v>2.3460000000000001</v>
      </c>
      <c r="F120" s="19">
        <v>2.3010000000000002</v>
      </c>
      <c r="G120" s="19">
        <v>2.302</v>
      </c>
      <c r="H120" s="19">
        <v>2.302</v>
      </c>
      <c r="I120" s="19">
        <v>2.3149999999999999</v>
      </c>
      <c r="J120" s="7"/>
      <c r="K120" s="7"/>
    </row>
    <row r="121" spans="1:11" x14ac:dyDescent="0.2">
      <c r="A121" s="1" t="s">
        <v>239</v>
      </c>
      <c r="B121" s="1" t="str">
        <f>$B$9</f>
        <v>NAC</v>
      </c>
      <c r="C121" s="7"/>
      <c r="D121" s="7">
        <v>124.55800000000001</v>
      </c>
      <c r="E121" s="19">
        <v>127.001</v>
      </c>
      <c r="F121" s="19">
        <v>131.1</v>
      </c>
      <c r="G121" s="19">
        <v>133.46799999999999</v>
      </c>
      <c r="H121" s="19">
        <v>135.28200000000001</v>
      </c>
      <c r="I121" s="19">
        <v>136.79400000000001</v>
      </c>
      <c r="J121" s="7"/>
      <c r="K121" s="7"/>
    </row>
    <row r="122" spans="1:11" x14ac:dyDescent="0.2">
      <c r="A122" s="1" t="s">
        <v>240</v>
      </c>
      <c r="B122" s="1" t="str">
        <f t="shared" si="33"/>
        <v>UIM</v>
      </c>
      <c r="C122" s="7"/>
      <c r="D122" s="7">
        <v>11.917999999999999</v>
      </c>
      <c r="E122" s="19">
        <v>12.172000000000001</v>
      </c>
      <c r="F122" s="19">
        <v>12.451000000000001</v>
      </c>
      <c r="G122" s="19">
        <v>12.731</v>
      </c>
      <c r="H122" s="19">
        <v>13.005000000000001</v>
      </c>
      <c r="I122" s="19">
        <v>13.275</v>
      </c>
      <c r="J122" s="7"/>
      <c r="K122" s="7"/>
    </row>
    <row r="123" spans="1:11" x14ac:dyDescent="0.2">
      <c r="A123" s="1" t="s">
        <v>241</v>
      </c>
      <c r="B123" s="1" t="str">
        <f>$B$9</f>
        <v>NAC</v>
      </c>
      <c r="C123" s="7"/>
      <c r="D123" s="7">
        <v>3.056</v>
      </c>
      <c r="E123" s="19">
        <v>3.306</v>
      </c>
      <c r="F123" s="19">
        <v>3.6429999999999998</v>
      </c>
      <c r="G123" s="19">
        <v>3.7719999999999998</v>
      </c>
      <c r="H123" s="19">
        <v>3.8340000000000001</v>
      </c>
      <c r="I123" s="19">
        <v>3.8290000000000002</v>
      </c>
      <c r="J123" s="7"/>
      <c r="K123" s="7"/>
    </row>
    <row r="124" spans="1:11" x14ac:dyDescent="0.2">
      <c r="A124" s="1" t="s">
        <v>242</v>
      </c>
      <c r="C124" s="7"/>
      <c r="D124" s="7">
        <v>0</v>
      </c>
      <c r="E124" s="19">
        <v>3.1E-2</v>
      </c>
      <c r="F124" s="19">
        <v>0.61799999999999999</v>
      </c>
      <c r="G124" s="19">
        <v>1.355</v>
      </c>
      <c r="H124" s="19">
        <v>2.0449999999999999</v>
      </c>
      <c r="I124" s="19">
        <v>2.9529999999999998</v>
      </c>
      <c r="J124" s="7"/>
      <c r="K124" s="7"/>
    </row>
    <row r="125" spans="1:11" x14ac:dyDescent="0.2">
      <c r="A125" s="1" t="s">
        <v>243</v>
      </c>
      <c r="C125" s="7"/>
      <c r="D125" s="7">
        <v>0</v>
      </c>
      <c r="E125" s="19">
        <v>-0.1</v>
      </c>
      <c r="F125" s="19">
        <v>-0.72499999999999998</v>
      </c>
      <c r="G125" s="19">
        <v>-0.72499999999999998</v>
      </c>
      <c r="H125" s="19">
        <v>-0.77500000000000002</v>
      </c>
      <c r="I125" s="19">
        <v>-0.82499999999999996</v>
      </c>
      <c r="J125" s="7"/>
      <c r="K125" s="7"/>
    </row>
    <row r="126" spans="1:11" ht="15" x14ac:dyDescent="0.25">
      <c r="A126" s="30" t="s">
        <v>244</v>
      </c>
      <c r="C126" s="7"/>
      <c r="D126" s="31">
        <f t="shared" ref="D126:I126" si="34">SUM(D$114:D$125)</f>
        <v>278.70300000000003</v>
      </c>
      <c r="E126" s="42">
        <f t="shared" si="34"/>
        <v>280.39300000000003</v>
      </c>
      <c r="F126" s="42">
        <f t="shared" si="34"/>
        <v>291.58799999999997</v>
      </c>
      <c r="G126" s="42">
        <f t="shared" si="34"/>
        <v>293.34699999999992</v>
      </c>
      <c r="H126" s="42">
        <f t="shared" si="34"/>
        <v>298.721</v>
      </c>
      <c r="I126" s="42">
        <f t="shared" si="34"/>
        <v>310.71799999999996</v>
      </c>
      <c r="J126" s="7"/>
      <c r="K126" s="7"/>
    </row>
    <row r="127" spans="1:11" x14ac:dyDescent="0.2">
      <c r="A127" s="1" t="s">
        <v>245</v>
      </c>
      <c r="B127" s="1" t="str">
        <f t="shared" si="33"/>
        <v>UIM</v>
      </c>
      <c r="C127" s="7"/>
      <c r="D127" s="7">
        <v>5.3360000000000003</v>
      </c>
      <c r="E127" s="19">
        <v>5.9</v>
      </c>
      <c r="F127" s="19">
        <v>6.0739999999999998</v>
      </c>
      <c r="G127" s="19">
        <v>6.2539999999999996</v>
      </c>
      <c r="H127" s="19">
        <v>6.44</v>
      </c>
      <c r="I127" s="19">
        <v>6.63</v>
      </c>
      <c r="J127" s="7"/>
      <c r="K127" s="7"/>
    </row>
    <row r="128" spans="1:11" x14ac:dyDescent="0.2">
      <c r="A128" s="1" t="s">
        <v>246</v>
      </c>
      <c r="B128" s="1" t="str">
        <f t="shared" si="33"/>
        <v>UIM</v>
      </c>
      <c r="C128" s="7"/>
      <c r="D128" s="7">
        <v>11.952999999999999</v>
      </c>
      <c r="E128" s="19">
        <v>12.087999999999999</v>
      </c>
      <c r="F128" s="19">
        <v>12.282</v>
      </c>
      <c r="G128" s="19">
        <v>11.922000000000001</v>
      </c>
      <c r="H128" s="19">
        <v>12.638</v>
      </c>
      <c r="I128" s="19">
        <v>13.247999999999999</v>
      </c>
      <c r="J128" s="7"/>
      <c r="K128" s="7"/>
    </row>
    <row r="129" spans="1:11" x14ac:dyDescent="0.2">
      <c r="A129" s="1" t="s">
        <v>247</v>
      </c>
      <c r="B129" s="1" t="str">
        <f t="shared" si="33"/>
        <v>UIM</v>
      </c>
      <c r="C129" s="7"/>
      <c r="D129" s="7">
        <v>2.1120000000000001</v>
      </c>
      <c r="E129" s="19">
        <v>2.13</v>
      </c>
      <c r="F129" s="19">
        <v>2.1269999999999998</v>
      </c>
      <c r="G129" s="19">
        <v>2.1429999999999998</v>
      </c>
      <c r="H129" s="19">
        <v>2.169</v>
      </c>
      <c r="I129" s="19">
        <v>2.1829999999999998</v>
      </c>
      <c r="J129" s="7"/>
      <c r="K129" s="7"/>
    </row>
    <row r="130" spans="1:11" x14ac:dyDescent="0.2">
      <c r="A130" s="1" t="s">
        <v>248</v>
      </c>
      <c r="B130" s="1" t="str">
        <f>$B$11</f>
        <v>UIM</v>
      </c>
      <c r="C130" s="7"/>
      <c r="D130" s="7">
        <v>112.58</v>
      </c>
      <c r="E130" s="19">
        <v>113.009</v>
      </c>
      <c r="F130" s="19">
        <v>121.69799999999999</v>
      </c>
      <c r="G130" s="19">
        <v>118.767</v>
      </c>
      <c r="H130" s="19">
        <v>115.123</v>
      </c>
      <c r="I130" s="19">
        <v>115.901</v>
      </c>
      <c r="J130" s="7"/>
      <c r="K130" s="7"/>
    </row>
    <row r="131" spans="1:11" x14ac:dyDescent="0.2">
      <c r="A131" s="1" t="s">
        <v>249</v>
      </c>
      <c r="B131" s="1" t="str">
        <f>$B$9</f>
        <v>NAC</v>
      </c>
      <c r="C131" s="7"/>
      <c r="D131" s="7">
        <v>36.430999999999997</v>
      </c>
      <c r="E131" s="19">
        <v>39.325000000000003</v>
      </c>
      <c r="F131" s="19">
        <v>39.280999999999999</v>
      </c>
      <c r="G131" s="19">
        <v>39.76</v>
      </c>
      <c r="H131" s="19">
        <v>40.957000000000001</v>
      </c>
      <c r="I131" s="19">
        <v>42.372</v>
      </c>
      <c r="J131" s="7"/>
      <c r="K131" s="7"/>
    </row>
    <row r="132" spans="1:11" x14ac:dyDescent="0.2">
      <c r="A132" s="1" t="s">
        <v>250</v>
      </c>
      <c r="B132" s="1" t="str">
        <f>$B$11</f>
        <v>UIM</v>
      </c>
      <c r="C132" s="7"/>
      <c r="D132" s="7">
        <v>10.834</v>
      </c>
      <c r="E132" s="19">
        <v>11.287000000000001</v>
      </c>
      <c r="F132" s="19">
        <v>10.782</v>
      </c>
      <c r="G132" s="19">
        <v>10.276999999999999</v>
      </c>
      <c r="H132" s="19">
        <v>9.7799999999999994</v>
      </c>
      <c r="I132" s="19">
        <v>9.2889999999999997</v>
      </c>
      <c r="J132" s="7"/>
      <c r="K132" s="7"/>
    </row>
    <row r="133" spans="1:11" x14ac:dyDescent="0.2">
      <c r="A133" s="1" t="s">
        <v>251</v>
      </c>
      <c r="B133" s="1" t="str">
        <f>$B$11</f>
        <v>UIM</v>
      </c>
      <c r="C133" s="7"/>
      <c r="D133" s="7">
        <v>7.2210000000000001</v>
      </c>
      <c r="E133" s="19">
        <v>7.3520000000000003</v>
      </c>
      <c r="F133" s="19">
        <v>6.9189999999999996</v>
      </c>
      <c r="G133" s="19">
        <v>6.7460000000000004</v>
      </c>
      <c r="H133" s="19">
        <v>6.4530000000000003</v>
      </c>
      <c r="I133" s="19">
        <v>6.2240000000000002</v>
      </c>
      <c r="J133" s="7"/>
      <c r="K133" s="7"/>
    </row>
    <row r="134" spans="1:11" ht="15" x14ac:dyDescent="0.25">
      <c r="A134" s="30" t="s">
        <v>252</v>
      </c>
      <c r="C134" s="7"/>
      <c r="D134" s="31">
        <f t="shared" ref="D134:I134" si="35">SUM(D$127:D$133)</f>
        <v>186.46699999999998</v>
      </c>
      <c r="E134" s="42">
        <f t="shared" si="35"/>
        <v>191.09100000000001</v>
      </c>
      <c r="F134" s="42">
        <f t="shared" si="35"/>
        <v>199.16300000000001</v>
      </c>
      <c r="G134" s="42">
        <f t="shared" si="35"/>
        <v>195.869</v>
      </c>
      <c r="H134" s="42">
        <f t="shared" si="35"/>
        <v>193.56</v>
      </c>
      <c r="I134" s="42">
        <f t="shared" si="35"/>
        <v>195.84699999999998</v>
      </c>
      <c r="J134" s="7"/>
      <c r="K134" s="7"/>
    </row>
    <row r="135" spans="1:11" ht="15" x14ac:dyDescent="0.25">
      <c r="A135" s="30" t="s">
        <v>253</v>
      </c>
      <c r="C135" s="7"/>
      <c r="D135" s="8">
        <v>92.236000000000004</v>
      </c>
      <c r="E135" s="44">
        <v>89.302000000000007</v>
      </c>
      <c r="F135" s="44">
        <v>92.424999999999997</v>
      </c>
      <c r="G135" s="44">
        <v>97.477999999999994</v>
      </c>
      <c r="H135" s="44">
        <v>105.161</v>
      </c>
      <c r="I135" s="44">
        <v>114.871</v>
      </c>
      <c r="J135" s="7"/>
      <c r="K135" s="7"/>
    </row>
    <row r="136" spans="1:11" ht="15" x14ac:dyDescent="0.25">
      <c r="A136" s="30" t="s">
        <v>254</v>
      </c>
      <c r="C136" s="7"/>
      <c r="D136" s="33" t="str">
        <f t="shared" ref="D136:I136" si="36">IF(ROUND(D$135-(D$126-D$134),3)=0,"OK","ERROR")</f>
        <v>OK</v>
      </c>
      <c r="E136" s="45" t="str">
        <f t="shared" si="36"/>
        <v>OK</v>
      </c>
      <c r="F136" s="45" t="str">
        <f t="shared" si="36"/>
        <v>OK</v>
      </c>
      <c r="G136" s="45" t="str">
        <f t="shared" si="36"/>
        <v>OK</v>
      </c>
      <c r="H136" s="45" t="str">
        <f t="shared" si="36"/>
        <v>OK</v>
      </c>
      <c r="I136" s="45" t="str">
        <f t="shared" si="36"/>
        <v>OK</v>
      </c>
      <c r="J136" s="7"/>
      <c r="K136" s="7"/>
    </row>
    <row r="137" spans="1:11" ht="15" x14ac:dyDescent="0.25">
      <c r="A137" s="30" t="s">
        <v>255</v>
      </c>
      <c r="B137" s="1" t="str">
        <f>$B$11</f>
        <v>UIM</v>
      </c>
      <c r="C137" s="7"/>
      <c r="D137" s="7">
        <v>5.782</v>
      </c>
      <c r="E137" s="19">
        <v>5.7549999999999999</v>
      </c>
      <c r="F137" s="19">
        <v>5.7839999999999998</v>
      </c>
      <c r="G137" s="19">
        <v>5.8520000000000003</v>
      </c>
      <c r="H137" s="19">
        <v>5.8940000000000001</v>
      </c>
      <c r="I137" s="19">
        <v>5.9589999999999996</v>
      </c>
      <c r="J137" s="7"/>
      <c r="K137" s="7"/>
    </row>
    <row r="138" spans="1:11" ht="15" x14ac:dyDescent="0.25">
      <c r="A138" s="2" t="s">
        <v>256</v>
      </c>
      <c r="C138" s="7"/>
      <c r="D138" s="19"/>
      <c r="E138" s="19"/>
      <c r="F138" s="19"/>
      <c r="G138" s="19"/>
      <c r="H138" s="19"/>
      <c r="I138" s="19"/>
      <c r="J138" s="7"/>
      <c r="K138" s="7"/>
    </row>
    <row r="139" spans="1:11" x14ac:dyDescent="0.2">
      <c r="A139" s="1" t="s">
        <v>257</v>
      </c>
      <c r="B139" s="1" t="str">
        <f>$B$11</f>
        <v>UIM</v>
      </c>
      <c r="C139" s="7"/>
      <c r="D139" s="7">
        <v>95.649000000000001</v>
      </c>
      <c r="E139" s="19">
        <v>95.67</v>
      </c>
      <c r="F139" s="19">
        <v>102.812</v>
      </c>
      <c r="G139" s="19">
        <v>98.236999999999995</v>
      </c>
      <c r="H139" s="19">
        <v>93.287999999999997</v>
      </c>
      <c r="I139" s="19">
        <v>92.504000000000005</v>
      </c>
      <c r="J139" s="7"/>
      <c r="K139" s="7"/>
    </row>
    <row r="140" spans="1:11" x14ac:dyDescent="0.2">
      <c r="A140" s="1" t="s">
        <v>258</v>
      </c>
      <c r="B140" s="1" t="str">
        <f>$B$11</f>
        <v>UIM</v>
      </c>
      <c r="C140" s="7"/>
      <c r="D140" s="7">
        <v>2.4929999999999999</v>
      </c>
      <c r="E140" s="19">
        <v>1.6060000000000001</v>
      </c>
      <c r="F140" s="19">
        <v>1.651</v>
      </c>
      <c r="G140" s="19">
        <v>1.651</v>
      </c>
      <c r="H140" s="19">
        <v>1.6519999999999999</v>
      </c>
      <c r="I140" s="19">
        <v>1.655</v>
      </c>
      <c r="J140" s="7"/>
      <c r="K140" s="7"/>
    </row>
    <row r="141" spans="1:11" ht="15" x14ac:dyDescent="0.25">
      <c r="A141" s="30" t="s">
        <v>259</v>
      </c>
      <c r="C141" s="7"/>
      <c r="D141" s="31">
        <f t="shared" ref="D141:I141" si="37">D$139-D$140</f>
        <v>93.156000000000006</v>
      </c>
      <c r="E141" s="42">
        <f t="shared" si="37"/>
        <v>94.064000000000007</v>
      </c>
      <c r="F141" s="42">
        <f t="shared" si="37"/>
        <v>101.161</v>
      </c>
      <c r="G141" s="42">
        <f t="shared" si="37"/>
        <v>96.585999999999999</v>
      </c>
      <c r="H141" s="42">
        <f t="shared" si="37"/>
        <v>91.635999999999996</v>
      </c>
      <c r="I141" s="42">
        <f t="shared" si="37"/>
        <v>90.849000000000004</v>
      </c>
      <c r="J141" s="7"/>
      <c r="K141" s="7"/>
    </row>
    <row r="142" spans="1:11" x14ac:dyDescent="0.2">
      <c r="A142" s="1" t="s">
        <v>260</v>
      </c>
      <c r="B142" s="1" t="str">
        <f>$B$11</f>
        <v>UIM</v>
      </c>
      <c r="C142" s="7"/>
      <c r="D142" s="7">
        <v>76.433999999999997</v>
      </c>
      <c r="E142" s="19">
        <v>74.843000000000004</v>
      </c>
      <c r="F142" s="19">
        <v>80.236000000000004</v>
      </c>
      <c r="G142" s="19">
        <v>75.947000000000003</v>
      </c>
      <c r="H142" s="19">
        <v>75.301000000000002</v>
      </c>
      <c r="I142" s="19">
        <v>80.745999999999995</v>
      </c>
      <c r="J142" s="7"/>
      <c r="K142" s="7"/>
    </row>
    <row r="143" spans="1:11" ht="15" x14ac:dyDescent="0.25">
      <c r="A143" s="30" t="s">
        <v>261</v>
      </c>
      <c r="C143" s="7"/>
      <c r="D143" s="31">
        <f t="shared" ref="D143:I143" si="38">D$141-D$142</f>
        <v>16.722000000000008</v>
      </c>
      <c r="E143" s="42">
        <f t="shared" si="38"/>
        <v>19.221000000000004</v>
      </c>
      <c r="F143" s="42">
        <f t="shared" si="38"/>
        <v>20.924999999999997</v>
      </c>
      <c r="G143" s="42">
        <f t="shared" si="38"/>
        <v>20.638999999999996</v>
      </c>
      <c r="H143" s="42">
        <f t="shared" si="38"/>
        <v>16.334999999999994</v>
      </c>
      <c r="I143" s="42">
        <f t="shared" si="38"/>
        <v>10.103000000000009</v>
      </c>
      <c r="J143" s="7"/>
      <c r="K143" s="7"/>
    </row>
    <row r="144" spans="1:11" x14ac:dyDescent="0.2">
      <c r="A144" s="1" t="s">
        <v>262</v>
      </c>
      <c r="B144" s="1" t="str">
        <f>$B$11</f>
        <v>UIM</v>
      </c>
      <c r="C144" s="7"/>
      <c r="D144" s="7">
        <v>14.14</v>
      </c>
      <c r="E144" s="19">
        <v>14.151999999999999</v>
      </c>
      <c r="F144" s="19">
        <v>14.571999999999999</v>
      </c>
      <c r="G144" s="19">
        <v>14.773</v>
      </c>
      <c r="H144" s="19">
        <v>14.847</v>
      </c>
      <c r="I144" s="19">
        <v>14.786</v>
      </c>
      <c r="J144" s="7"/>
      <c r="K144" s="7"/>
    </row>
    <row r="145" spans="1:11" x14ac:dyDescent="0.2">
      <c r="A145" s="1" t="s">
        <v>263</v>
      </c>
      <c r="B145" s="1" t="str">
        <f>$B$11</f>
        <v>UIM</v>
      </c>
      <c r="C145" s="7"/>
      <c r="D145" s="7">
        <v>29.768999999999998</v>
      </c>
      <c r="E145" s="19">
        <v>28.899000000000001</v>
      </c>
      <c r="F145" s="19">
        <v>30.837</v>
      </c>
      <c r="G145" s="19">
        <v>32.896000000000001</v>
      </c>
      <c r="H145" s="19">
        <v>35.095999999999997</v>
      </c>
      <c r="I145" s="19">
        <v>37.46</v>
      </c>
      <c r="J145" s="7"/>
      <c r="K145" s="7"/>
    </row>
    <row r="146" spans="1:11" ht="15" x14ac:dyDescent="0.25">
      <c r="A146" s="30" t="s">
        <v>265</v>
      </c>
      <c r="B146" s="1" t="str">
        <f>$B$11</f>
        <v>UIM</v>
      </c>
      <c r="C146" s="7"/>
      <c r="D146" s="8">
        <v>60.631</v>
      </c>
      <c r="E146" s="44">
        <v>62.271999999999998</v>
      </c>
      <c r="F146" s="44">
        <v>66.334000000000003</v>
      </c>
      <c r="G146" s="44">
        <v>68.308000000000007</v>
      </c>
      <c r="H146" s="44">
        <v>66.278000000000006</v>
      </c>
      <c r="I146" s="44">
        <v>62.348999999999997</v>
      </c>
      <c r="J146" s="7"/>
      <c r="K146" s="7"/>
    </row>
    <row r="147" spans="1:11" ht="15" x14ac:dyDescent="0.25">
      <c r="A147" s="30" t="s">
        <v>264</v>
      </c>
      <c r="C147" s="7"/>
      <c r="D147" s="33" t="str">
        <f t="shared" ref="D147:I147" si="39">IF(ROUND(D$146-SUM(D$143:D$145),3)=0,"OK","ERROR")</f>
        <v>OK</v>
      </c>
      <c r="E147" s="45" t="str">
        <f t="shared" si="39"/>
        <v>OK</v>
      </c>
      <c r="F147" s="45" t="str">
        <f t="shared" si="39"/>
        <v>OK</v>
      </c>
      <c r="G147" s="45" t="str">
        <f t="shared" si="39"/>
        <v>OK</v>
      </c>
      <c r="H147" s="45" t="str">
        <f t="shared" si="39"/>
        <v>OK</v>
      </c>
      <c r="I147" s="45" t="str">
        <f t="shared" si="39"/>
        <v>OK</v>
      </c>
      <c r="J147" s="7"/>
      <c r="K147" s="7"/>
    </row>
    <row r="148" spans="1:11" ht="15" x14ac:dyDescent="0.25">
      <c r="A148" s="2" t="s">
        <v>279</v>
      </c>
      <c r="C148" s="7"/>
      <c r="D148" s="19"/>
      <c r="E148" s="19"/>
      <c r="F148" s="19"/>
      <c r="G148" s="19"/>
      <c r="H148" s="19"/>
      <c r="I148" s="19"/>
      <c r="J148" s="7"/>
      <c r="K148" s="7"/>
    </row>
    <row r="149" spans="1:11" x14ac:dyDescent="0.2">
      <c r="A149" s="1" t="s">
        <v>152</v>
      </c>
      <c r="B149" s="1" t="str">
        <f>$B$11</f>
        <v>UIM</v>
      </c>
      <c r="C149" s="7"/>
      <c r="D149" s="7">
        <v>66.635999999999996</v>
      </c>
      <c r="E149" s="19">
        <v>69.682000000000002</v>
      </c>
      <c r="F149" s="19">
        <v>71.971000000000004</v>
      </c>
      <c r="G149" s="19">
        <v>75.677999999999997</v>
      </c>
      <c r="H149" s="19">
        <v>80.269000000000005</v>
      </c>
      <c r="I149" s="19">
        <v>84.400999999999996</v>
      </c>
      <c r="J149" s="7"/>
      <c r="K149" s="7"/>
    </row>
    <row r="150" spans="1:11" x14ac:dyDescent="0.2">
      <c r="A150" s="1" t="s">
        <v>153</v>
      </c>
      <c r="B150" s="1" t="str">
        <f t="shared" ref="B150:B153" si="40">$B$11</f>
        <v>UIM</v>
      </c>
      <c r="C150" s="7"/>
      <c r="D150" s="7">
        <v>0.99299999999999999</v>
      </c>
      <c r="E150" s="19">
        <v>1.1779999999999999</v>
      </c>
      <c r="F150" s="19">
        <v>1.2250000000000001</v>
      </c>
      <c r="G150" s="19">
        <v>1.323</v>
      </c>
      <c r="H150" s="19">
        <v>1.409</v>
      </c>
      <c r="I150" s="19">
        <v>1.4179999999999999</v>
      </c>
      <c r="J150" s="7"/>
      <c r="K150" s="7"/>
    </row>
    <row r="151" spans="1:11" x14ac:dyDescent="0.2">
      <c r="A151" s="1" t="s">
        <v>154</v>
      </c>
      <c r="B151" s="1" t="str">
        <f t="shared" si="40"/>
        <v>UIM</v>
      </c>
      <c r="C151" s="7"/>
      <c r="D151" s="7">
        <v>1.393</v>
      </c>
      <c r="E151" s="19">
        <v>1.47</v>
      </c>
      <c r="F151" s="19">
        <v>1.5209999999999999</v>
      </c>
      <c r="G151" s="19">
        <v>1.5649999999999999</v>
      </c>
      <c r="H151" s="19">
        <v>1.5980000000000001</v>
      </c>
      <c r="I151" s="19">
        <v>1.607</v>
      </c>
      <c r="J151" s="7"/>
      <c r="K151" s="7"/>
    </row>
    <row r="152" spans="1:11" x14ac:dyDescent="0.2">
      <c r="A152" s="1" t="s">
        <v>155</v>
      </c>
      <c r="B152" s="1" t="str">
        <f t="shared" si="40"/>
        <v>UIM</v>
      </c>
      <c r="C152" s="7"/>
      <c r="D152" s="7">
        <v>2.452</v>
      </c>
      <c r="E152" s="19">
        <v>2.4039999999999999</v>
      </c>
      <c r="F152" s="19">
        <v>3.254</v>
      </c>
      <c r="G152" s="19">
        <v>2.9889999999999999</v>
      </c>
      <c r="H152" s="19">
        <v>3.242</v>
      </c>
      <c r="I152" s="19">
        <v>3.4860000000000002</v>
      </c>
      <c r="J152" s="7"/>
      <c r="K152" s="7"/>
    </row>
    <row r="153" spans="1:11" x14ac:dyDescent="0.2">
      <c r="A153" s="1" t="s">
        <v>156</v>
      </c>
      <c r="B153" s="1" t="str">
        <f t="shared" si="40"/>
        <v>UIM</v>
      </c>
      <c r="C153" s="7"/>
      <c r="D153" s="7">
        <v>0.73899999999999999</v>
      </c>
      <c r="E153" s="19">
        <v>0.59499999999999997</v>
      </c>
      <c r="F153" s="19">
        <v>0.57299999999999995</v>
      </c>
      <c r="G153" s="19">
        <v>0.54300000000000004</v>
      </c>
      <c r="H153" s="19">
        <v>0.502</v>
      </c>
      <c r="I153" s="19">
        <v>0.502</v>
      </c>
      <c r="J153" s="7"/>
      <c r="K153" s="7"/>
    </row>
    <row r="154" spans="1:11" ht="15" x14ac:dyDescent="0.25">
      <c r="A154" s="30" t="s">
        <v>266</v>
      </c>
      <c r="B154" s="1" t="str">
        <f>$B$9</f>
        <v>NAC</v>
      </c>
      <c r="C154" s="7"/>
      <c r="D154" s="8">
        <v>72.212999999999994</v>
      </c>
      <c r="E154" s="44">
        <v>75.328999999999994</v>
      </c>
      <c r="F154" s="44">
        <v>78.543999999999997</v>
      </c>
      <c r="G154" s="44">
        <v>82.097999999999999</v>
      </c>
      <c r="H154" s="44">
        <v>87.02</v>
      </c>
      <c r="I154" s="44">
        <v>91.414000000000001</v>
      </c>
      <c r="J154" s="7"/>
      <c r="K154" s="7"/>
    </row>
    <row r="155" spans="1:11" ht="15" x14ac:dyDescent="0.25">
      <c r="A155" s="30" t="s">
        <v>280</v>
      </c>
      <c r="C155" s="7"/>
      <c r="D155" s="33" t="str">
        <f t="shared" ref="D155:I155" si="41">IF(ROUND(D$154-SUM(D$149:D$153),3)=0,"OK","ERROR")</f>
        <v>OK</v>
      </c>
      <c r="E155" s="45" t="str">
        <f t="shared" si="41"/>
        <v>OK</v>
      </c>
      <c r="F155" s="45" t="str">
        <f t="shared" si="41"/>
        <v>OK</v>
      </c>
      <c r="G155" s="45" t="str">
        <f t="shared" si="41"/>
        <v>OK</v>
      </c>
      <c r="H155" s="45" t="str">
        <f t="shared" si="41"/>
        <v>OK</v>
      </c>
      <c r="I155" s="45" t="str">
        <f t="shared" si="41"/>
        <v>OK</v>
      </c>
      <c r="J155" s="7"/>
      <c r="K155" s="7"/>
    </row>
    <row r="156" spans="1:11" x14ac:dyDescent="0.2">
      <c r="A156" s="1" t="s">
        <v>267</v>
      </c>
      <c r="B156" s="1" t="str">
        <f t="shared" ref="B156:B160" si="42">$B$11</f>
        <v>UIM</v>
      </c>
      <c r="C156" s="7"/>
      <c r="D156" s="7">
        <v>23.722999999999999</v>
      </c>
      <c r="E156" s="19">
        <v>24.420999999999999</v>
      </c>
      <c r="F156" s="19">
        <v>25.395</v>
      </c>
      <c r="G156" s="19">
        <v>26.039000000000001</v>
      </c>
      <c r="H156" s="19">
        <v>26.815999999999999</v>
      </c>
      <c r="I156" s="19">
        <v>27.789000000000001</v>
      </c>
      <c r="J156" s="7"/>
      <c r="K156" s="7"/>
    </row>
    <row r="157" spans="1:11" x14ac:dyDescent="0.2">
      <c r="A157" s="1" t="s">
        <v>281</v>
      </c>
      <c r="B157" s="1" t="str">
        <f t="shared" si="42"/>
        <v>UIM</v>
      </c>
      <c r="C157" s="7"/>
      <c r="D157" s="7">
        <v>6.5519999999999996</v>
      </c>
      <c r="E157" s="19">
        <v>6.6829999999999998</v>
      </c>
      <c r="F157" s="19">
        <v>6.899</v>
      </c>
      <c r="G157" s="19">
        <v>6.9349999999999996</v>
      </c>
      <c r="H157" s="19">
        <v>6.9160000000000004</v>
      </c>
      <c r="I157" s="19">
        <v>6.8940000000000001</v>
      </c>
      <c r="J157" s="7"/>
      <c r="K157" s="7"/>
    </row>
    <row r="158" spans="1:11" x14ac:dyDescent="0.2">
      <c r="A158" s="1" t="s">
        <v>282</v>
      </c>
      <c r="B158" s="1" t="str">
        <f>$B$9</f>
        <v>NAC</v>
      </c>
      <c r="C158" s="7"/>
      <c r="D158" s="7">
        <v>38.298999999999999</v>
      </c>
      <c r="E158" s="19">
        <v>40.227999999999994</v>
      </c>
      <c r="F158" s="19">
        <v>41.902000000000001</v>
      </c>
      <c r="G158" s="19">
        <v>41.800999999999995</v>
      </c>
      <c r="H158" s="19">
        <v>41.7</v>
      </c>
      <c r="I158" s="19">
        <v>41.975000000000001</v>
      </c>
      <c r="J158" s="7"/>
      <c r="K158" s="7"/>
    </row>
    <row r="159" spans="1:11" x14ac:dyDescent="0.2">
      <c r="A159" s="1" t="s">
        <v>162</v>
      </c>
      <c r="B159" s="1" t="str">
        <f t="shared" si="42"/>
        <v>UIM</v>
      </c>
      <c r="C159" s="7"/>
      <c r="D159" s="7">
        <v>3.7829999999999999</v>
      </c>
      <c r="E159" s="19">
        <v>3.6469999999999998</v>
      </c>
      <c r="F159" s="19">
        <v>3.6819999999999999</v>
      </c>
      <c r="G159" s="19">
        <v>3.7810000000000001</v>
      </c>
      <c r="H159" s="19">
        <v>3.738</v>
      </c>
      <c r="I159" s="19">
        <v>3.7429999999999999</v>
      </c>
      <c r="J159" s="7"/>
      <c r="K159" s="7"/>
    </row>
    <row r="160" spans="1:11" x14ac:dyDescent="0.2">
      <c r="A160" s="1" t="s">
        <v>163</v>
      </c>
      <c r="B160" s="1" t="str">
        <f t="shared" si="42"/>
        <v>UIM</v>
      </c>
      <c r="C160" s="7"/>
      <c r="D160" s="7">
        <v>6.0000000000000001E-3</v>
      </c>
      <c r="E160" s="19">
        <v>1E-3</v>
      </c>
      <c r="F160" s="19">
        <v>1E-3</v>
      </c>
      <c r="G160" s="19">
        <v>1E-3</v>
      </c>
      <c r="H160" s="19">
        <v>5.0000000000000001E-3</v>
      </c>
      <c r="I160" s="19">
        <v>1E-3</v>
      </c>
      <c r="J160" s="7"/>
      <c r="K160" s="7"/>
    </row>
    <row r="161" spans="1:11" ht="15" x14ac:dyDescent="0.25">
      <c r="A161" s="30" t="s">
        <v>268</v>
      </c>
      <c r="B161" s="1" t="str">
        <f>$B$9</f>
        <v>NAC</v>
      </c>
      <c r="C161" s="7"/>
      <c r="D161" s="8">
        <v>72.363</v>
      </c>
      <c r="E161" s="44">
        <v>74.382000000000005</v>
      </c>
      <c r="F161" s="44">
        <v>77.388000000000005</v>
      </c>
      <c r="G161" s="44">
        <v>79.718999999999994</v>
      </c>
      <c r="H161" s="44">
        <v>82.046999999999997</v>
      </c>
      <c r="I161" s="44">
        <v>84.817999999999998</v>
      </c>
      <c r="J161" s="7"/>
      <c r="K161" s="7"/>
    </row>
    <row r="162" spans="1:11" ht="15" x14ac:dyDescent="0.25">
      <c r="A162" s="30" t="s">
        <v>269</v>
      </c>
      <c r="C162" s="7"/>
      <c r="D162" s="33" t="str">
        <f>IF(ROUND(D$161-SUM(D$21:D22,D$156:D$160),3)=0,"OK","ERROR")</f>
        <v>OK</v>
      </c>
      <c r="E162" s="45" t="str">
        <f>IF(ROUND(E$161-SUM(E$21:E22,E$156:E$160),3)=0,"OK","ERROR")</f>
        <v>OK</v>
      </c>
      <c r="F162" s="45" t="str">
        <f>IF(ROUND(F$161-SUM(F$21:F22,F$156:F$160),3)=0,"OK","ERROR")</f>
        <v>OK</v>
      </c>
      <c r="G162" s="45" t="str">
        <f>IF(ROUND(G$161-SUM(G$21:G22,G$156:G$160),3)=0,"OK","ERROR")</f>
        <v>OK</v>
      </c>
      <c r="H162" s="45" t="str">
        <f>IF(ROUND(H$161-SUM(H$21:H22,H$156:H$160),3)=0,"OK","ERROR")</f>
        <v>OK</v>
      </c>
      <c r="I162" s="45" t="str">
        <f>IF(ROUND(I$161-SUM(I$21:I22,I$156:I$160),3)=0,"OK","ERROR")</f>
        <v>OK</v>
      </c>
      <c r="J162" s="7"/>
      <c r="K162" s="7"/>
    </row>
    <row r="163" spans="1:11" x14ac:dyDescent="0.2">
      <c r="A163" s="1" t="s">
        <v>171</v>
      </c>
      <c r="B163" s="1" t="str">
        <f t="shared" ref="B163:B164" si="43">$B$11</f>
        <v>UIM</v>
      </c>
      <c r="C163" s="7"/>
      <c r="D163" s="7">
        <v>3.6700000000000004</v>
      </c>
      <c r="E163" s="19">
        <v>-1.484</v>
      </c>
      <c r="F163" s="19">
        <v>1.9680000000000002</v>
      </c>
      <c r="G163" s="19">
        <v>2.0750000000000002</v>
      </c>
      <c r="H163" s="19">
        <v>2.2360000000000002</v>
      </c>
      <c r="I163" s="19">
        <v>2.4220000000000002</v>
      </c>
      <c r="J163" s="7"/>
      <c r="K163" s="7"/>
    </row>
    <row r="164" spans="1:11" x14ac:dyDescent="0.2">
      <c r="A164" s="1" t="s">
        <v>283</v>
      </c>
      <c r="B164" s="1" t="str">
        <f t="shared" si="43"/>
        <v>UIM</v>
      </c>
      <c r="C164" s="7"/>
      <c r="D164" s="7">
        <v>0.35899999999999999</v>
      </c>
      <c r="E164" s="19">
        <v>0.1</v>
      </c>
      <c r="F164" s="19">
        <v>9.2999999999999999E-2</v>
      </c>
      <c r="G164" s="19">
        <v>9.4E-2</v>
      </c>
      <c r="H164" s="19">
        <v>9.9000000000000005E-2</v>
      </c>
      <c r="I164" s="19">
        <v>9.1999999999999998E-2</v>
      </c>
      <c r="J164" s="7"/>
      <c r="K164" s="7"/>
    </row>
    <row r="165" spans="1:11" ht="15" x14ac:dyDescent="0.25">
      <c r="A165" s="30" t="s">
        <v>284</v>
      </c>
      <c r="B165" s="1" t="str">
        <f>$B$9</f>
        <v>NAC</v>
      </c>
      <c r="C165" s="7"/>
      <c r="D165" s="8">
        <v>3.879</v>
      </c>
      <c r="E165" s="44">
        <v>-0.437</v>
      </c>
      <c r="F165" s="44">
        <v>3.2170000000000001</v>
      </c>
      <c r="G165" s="44">
        <v>4.548</v>
      </c>
      <c r="H165" s="44">
        <v>7.3079999999999998</v>
      </c>
      <c r="I165" s="44">
        <v>9.11</v>
      </c>
      <c r="J165" s="7"/>
      <c r="K165" s="7"/>
    </row>
    <row r="166" spans="1:11" ht="15" x14ac:dyDescent="0.25">
      <c r="A166" s="30" t="s">
        <v>285</v>
      </c>
      <c r="C166" s="7"/>
      <c r="D166" s="33" t="str">
        <f t="shared" ref="D166:I166" si="44">IF(ROUND(D$165-(D$154-D$161+D$163+D$164),3)=0,"OK","ERROR")</f>
        <v>OK</v>
      </c>
      <c r="E166" s="45" t="str">
        <f t="shared" si="44"/>
        <v>OK</v>
      </c>
      <c r="F166" s="45" t="str">
        <f t="shared" si="44"/>
        <v>OK</v>
      </c>
      <c r="G166" s="45" t="str">
        <f t="shared" si="44"/>
        <v>OK</v>
      </c>
      <c r="H166" s="45" t="str">
        <f t="shared" si="44"/>
        <v>OK</v>
      </c>
      <c r="I166" s="45" t="str">
        <f t="shared" si="44"/>
        <v>OK</v>
      </c>
      <c r="J166" s="7"/>
      <c r="K166" s="7"/>
    </row>
    <row r="167" spans="1:11" ht="15" x14ac:dyDescent="0.25">
      <c r="A167" s="1" t="s">
        <v>232</v>
      </c>
      <c r="B167" s="1" t="str">
        <f t="shared" ref="B167:B168" si="45">$B$11</f>
        <v>UIM</v>
      </c>
      <c r="C167" s="69">
        <v>8.2270000000000003</v>
      </c>
      <c r="D167" s="7">
        <v>9.032</v>
      </c>
      <c r="E167" s="19">
        <v>11.86</v>
      </c>
      <c r="F167" s="19">
        <v>12.465</v>
      </c>
      <c r="G167" s="19">
        <v>13.132</v>
      </c>
      <c r="H167" s="19">
        <v>13.853999999999999</v>
      </c>
      <c r="I167" s="19">
        <v>14.625</v>
      </c>
      <c r="J167" s="7"/>
      <c r="K167" s="7"/>
    </row>
    <row r="168" spans="1:11" x14ac:dyDescent="0.2">
      <c r="A168" s="1" t="s">
        <v>233</v>
      </c>
      <c r="B168" s="1" t="str">
        <f t="shared" si="45"/>
        <v>UIM</v>
      </c>
      <c r="C168" s="7"/>
      <c r="D168" s="7">
        <v>12.170999999999999</v>
      </c>
      <c r="E168" s="19">
        <v>12.304</v>
      </c>
      <c r="F168" s="19">
        <v>12.577</v>
      </c>
      <c r="G168" s="19">
        <v>13.042999999999999</v>
      </c>
      <c r="H168" s="19">
        <v>13.666</v>
      </c>
      <c r="I168" s="19">
        <v>14.256</v>
      </c>
      <c r="J168" s="7"/>
      <c r="K168" s="7"/>
    </row>
    <row r="169" spans="1:11" x14ac:dyDescent="0.2">
      <c r="A169" s="1" t="s">
        <v>234</v>
      </c>
      <c r="B169" s="1" t="str">
        <f t="shared" ref="B169:B175" si="46">$B$11</f>
        <v>UIM</v>
      </c>
      <c r="C169" s="7"/>
      <c r="D169" s="7">
        <v>37.090000000000003</v>
      </c>
      <c r="E169" s="19">
        <v>33.223999999999997</v>
      </c>
      <c r="F169" s="19">
        <v>36.744999999999997</v>
      </c>
      <c r="G169" s="19">
        <v>30.581</v>
      </c>
      <c r="H169" s="19">
        <v>28.079000000000001</v>
      </c>
      <c r="I169" s="19">
        <v>31.675999999999998</v>
      </c>
      <c r="J169" s="7"/>
      <c r="K169" s="7"/>
    </row>
    <row r="170" spans="1:11" x14ac:dyDescent="0.2">
      <c r="A170" s="1" t="s">
        <v>235</v>
      </c>
      <c r="B170" s="1" t="str">
        <f t="shared" si="46"/>
        <v>UIM</v>
      </c>
      <c r="C170" s="7"/>
      <c r="D170" s="7">
        <v>15.353999999999999</v>
      </c>
      <c r="E170" s="19">
        <v>14.331</v>
      </c>
      <c r="F170" s="19">
        <v>15.18</v>
      </c>
      <c r="G170" s="19">
        <v>16.184000000000001</v>
      </c>
      <c r="H170" s="19">
        <v>17.247</v>
      </c>
      <c r="I170" s="19">
        <v>18.385000000000002</v>
      </c>
      <c r="J170" s="7"/>
      <c r="K170" s="7"/>
    </row>
    <row r="171" spans="1:11" x14ac:dyDescent="0.2">
      <c r="A171" s="1" t="s">
        <v>236</v>
      </c>
      <c r="B171" s="1" t="str">
        <f t="shared" si="46"/>
        <v>UIM</v>
      </c>
      <c r="C171" s="7"/>
      <c r="D171" s="7">
        <v>15.108000000000001</v>
      </c>
      <c r="E171" s="19">
        <v>15.427</v>
      </c>
      <c r="F171" s="19">
        <v>15.847</v>
      </c>
      <c r="G171" s="19">
        <v>16.047999999999998</v>
      </c>
      <c r="H171" s="19">
        <v>16.120999999999999</v>
      </c>
      <c r="I171" s="19">
        <v>16.059999999999999</v>
      </c>
      <c r="J171" s="7"/>
      <c r="K171" s="7"/>
    </row>
    <row r="172" spans="1:11" ht="15" x14ac:dyDescent="0.25">
      <c r="A172" s="1" t="s">
        <v>239</v>
      </c>
      <c r="B172" s="1" t="str">
        <f t="shared" si="46"/>
        <v>UIM</v>
      </c>
      <c r="C172" s="69">
        <v>30.963000000000001</v>
      </c>
      <c r="D172" s="7">
        <v>32.289000000000001</v>
      </c>
      <c r="E172" s="19">
        <v>32.994999999999997</v>
      </c>
      <c r="F172" s="19">
        <v>34.734000000000002</v>
      </c>
      <c r="G172" s="19">
        <v>35.408999999999999</v>
      </c>
      <c r="H172" s="19">
        <v>35.720999999999997</v>
      </c>
      <c r="I172" s="19">
        <v>35.68</v>
      </c>
      <c r="J172" s="7"/>
      <c r="K172" s="7"/>
    </row>
    <row r="173" spans="1:11" x14ac:dyDescent="0.2">
      <c r="A173" s="1" t="s">
        <v>240</v>
      </c>
      <c r="B173" s="1" t="str">
        <f t="shared" si="46"/>
        <v>UIM</v>
      </c>
      <c r="C173" s="7"/>
      <c r="D173" s="7">
        <v>34.883000000000003</v>
      </c>
      <c r="E173" s="19">
        <v>38.222000000000001</v>
      </c>
      <c r="F173" s="19">
        <v>40.168999999999997</v>
      </c>
      <c r="G173" s="19">
        <v>41.503999999999998</v>
      </c>
      <c r="H173" s="19">
        <v>42.856000000000002</v>
      </c>
      <c r="I173" s="19">
        <v>44.084000000000003</v>
      </c>
      <c r="J173" s="7"/>
      <c r="K173" s="7"/>
    </row>
    <row r="174" spans="1:11" x14ac:dyDescent="0.2">
      <c r="A174" s="1" t="s">
        <v>241</v>
      </c>
      <c r="B174" s="1" t="str">
        <f t="shared" si="46"/>
        <v>UIM</v>
      </c>
      <c r="C174" s="7"/>
      <c r="D174" s="7">
        <v>1.2390000000000001</v>
      </c>
      <c r="E174" s="19">
        <v>1.3879999999999999</v>
      </c>
      <c r="F174" s="19">
        <v>1.601</v>
      </c>
      <c r="G174" s="19">
        <v>1.6879999999999999</v>
      </c>
      <c r="H174" s="19">
        <v>1.7350000000000001</v>
      </c>
      <c r="I174" s="19">
        <v>1.73</v>
      </c>
      <c r="J174" s="7"/>
      <c r="K174" s="7"/>
    </row>
    <row r="175" spans="1:11" x14ac:dyDescent="0.2">
      <c r="A175" s="1" t="s">
        <v>286</v>
      </c>
      <c r="B175" s="1" t="str">
        <f t="shared" si="46"/>
        <v>UIM</v>
      </c>
      <c r="C175" s="7"/>
      <c r="D175" s="7">
        <v>1.5469999999999999</v>
      </c>
      <c r="E175" s="19">
        <v>1.675</v>
      </c>
      <c r="F175" s="19">
        <v>1.6339999999999999</v>
      </c>
      <c r="G175" s="19">
        <v>1.637</v>
      </c>
      <c r="H175" s="19">
        <v>1.6379999999999999</v>
      </c>
      <c r="I175" s="19">
        <v>1.6359999999999999</v>
      </c>
      <c r="J175" s="7"/>
      <c r="K175" s="7"/>
    </row>
    <row r="176" spans="1:11" ht="15" x14ac:dyDescent="0.25">
      <c r="A176" s="30" t="s">
        <v>287</v>
      </c>
      <c r="B176" s="1" t="str">
        <f>$B$9</f>
        <v>NAC</v>
      </c>
      <c r="C176" s="7"/>
      <c r="D176" s="8">
        <v>158.71300000000002</v>
      </c>
      <c r="E176" s="44">
        <v>161.357</v>
      </c>
      <c r="F176" s="44">
        <v>170.845</v>
      </c>
      <c r="G176" s="44">
        <v>169.85599999999999</v>
      </c>
      <c r="H176" s="44">
        <v>172.18700000000001</v>
      </c>
      <c r="I176" s="44">
        <v>180.26</v>
      </c>
      <c r="J176" s="7"/>
      <c r="K176" s="7"/>
    </row>
    <row r="177" spans="1:11" ht="15" x14ac:dyDescent="0.25">
      <c r="A177" s="30" t="s">
        <v>289</v>
      </c>
      <c r="C177" s="7"/>
      <c r="D177" s="33" t="str">
        <f t="shared" ref="D177:I177" si="47">IF(ROUND(D$176-SUM(D$124:D$125,D$167:D$175),3)=0,"OK","ERROR")</f>
        <v>OK</v>
      </c>
      <c r="E177" s="45" t="str">
        <f t="shared" si="47"/>
        <v>OK</v>
      </c>
      <c r="F177" s="45" t="str">
        <f t="shared" si="47"/>
        <v>OK</v>
      </c>
      <c r="G177" s="45" t="str">
        <f t="shared" si="47"/>
        <v>OK</v>
      </c>
      <c r="H177" s="45" t="str">
        <f t="shared" si="47"/>
        <v>OK</v>
      </c>
      <c r="I177" s="45" t="str">
        <f t="shared" si="47"/>
        <v>OK</v>
      </c>
      <c r="J177" s="7"/>
      <c r="K177" s="7"/>
    </row>
    <row r="178" spans="1:11" x14ac:dyDescent="0.2">
      <c r="A178" s="1" t="s">
        <v>248</v>
      </c>
      <c r="B178" s="1" t="str">
        <f>$B$9</f>
        <v>NAC</v>
      </c>
      <c r="C178" s="7"/>
      <c r="D178" s="7">
        <v>95.549000000000007</v>
      </c>
      <c r="E178" s="19">
        <v>95.671000000000006</v>
      </c>
      <c r="F178" s="19">
        <v>102.813</v>
      </c>
      <c r="G178" s="19">
        <v>98.238</v>
      </c>
      <c r="H178" s="19">
        <v>93.287999999999997</v>
      </c>
      <c r="I178" s="19">
        <v>92.504999999999995</v>
      </c>
      <c r="J178" s="7"/>
      <c r="K178" s="7"/>
    </row>
    <row r="179" spans="1:11" x14ac:dyDescent="0.2">
      <c r="A179" s="1" t="s">
        <v>246</v>
      </c>
      <c r="B179" s="1" t="str">
        <f t="shared" ref="B179:B186" si="48">$B$11</f>
        <v>UIM</v>
      </c>
      <c r="C179" s="7"/>
      <c r="D179" s="7">
        <v>8.1310000000000002</v>
      </c>
      <c r="E179" s="19">
        <v>8.5440000000000005</v>
      </c>
      <c r="F179" s="19">
        <v>8.8040000000000003</v>
      </c>
      <c r="G179" s="19">
        <v>8.5370000000000008</v>
      </c>
      <c r="H179" s="19">
        <v>9.1449999999999996</v>
      </c>
      <c r="I179" s="19">
        <v>9.5839999999999996</v>
      </c>
      <c r="J179" s="7"/>
      <c r="K179" s="7"/>
    </row>
    <row r="180" spans="1:11" x14ac:dyDescent="0.2">
      <c r="A180" s="1" t="s">
        <v>247</v>
      </c>
      <c r="B180" s="1" t="str">
        <f t="shared" si="48"/>
        <v>UIM</v>
      </c>
      <c r="C180" s="7"/>
      <c r="D180" s="7">
        <v>0.57299999999999995</v>
      </c>
      <c r="E180" s="19">
        <v>0.53</v>
      </c>
      <c r="F180" s="19">
        <v>0.5</v>
      </c>
      <c r="G180" s="19">
        <v>0.47399999999999998</v>
      </c>
      <c r="H180" s="19">
        <v>0.44600000000000001</v>
      </c>
      <c r="I180" s="19">
        <v>0.41899999999999998</v>
      </c>
      <c r="J180" s="7"/>
      <c r="K180" s="7"/>
    </row>
    <row r="181" spans="1:11" x14ac:dyDescent="0.2">
      <c r="A181" s="1" t="s">
        <v>249</v>
      </c>
      <c r="B181" s="1" t="str">
        <f t="shared" si="48"/>
        <v>UIM</v>
      </c>
      <c r="C181" s="7"/>
      <c r="D181" s="7">
        <v>2.3E-2</v>
      </c>
      <c r="E181" s="19">
        <v>1.0999999999999999E-2</v>
      </c>
      <c r="F181" s="19">
        <v>1.0999999999999999E-2</v>
      </c>
      <c r="G181" s="19">
        <v>1.0999999999999999E-2</v>
      </c>
      <c r="H181" s="19">
        <v>1.0999999999999999E-2</v>
      </c>
      <c r="I181" s="19">
        <v>1.0999999999999999E-2</v>
      </c>
      <c r="J181" s="7"/>
      <c r="K181" s="7"/>
    </row>
    <row r="182" spans="1:11" x14ac:dyDescent="0.2">
      <c r="A182" s="1" t="s">
        <v>250</v>
      </c>
      <c r="B182" s="1" t="str">
        <f t="shared" si="48"/>
        <v>UIM</v>
      </c>
      <c r="C182" s="7"/>
      <c r="D182" s="7">
        <v>10.843999999999999</v>
      </c>
      <c r="E182" s="19">
        <v>11.297000000000001</v>
      </c>
      <c r="F182" s="19">
        <v>10.792</v>
      </c>
      <c r="G182" s="19">
        <v>10.287000000000001</v>
      </c>
      <c r="H182" s="19">
        <v>9.7899999999999991</v>
      </c>
      <c r="I182" s="19">
        <v>9.2989999999999995</v>
      </c>
      <c r="J182" s="7"/>
      <c r="K182" s="7"/>
    </row>
    <row r="183" spans="1:11" x14ac:dyDescent="0.2">
      <c r="A183" s="1" t="s">
        <v>251</v>
      </c>
      <c r="B183" s="1" t="str">
        <f t="shared" si="48"/>
        <v>UIM</v>
      </c>
      <c r="C183" s="7"/>
      <c r="D183" s="7">
        <v>4.8550000000000004</v>
      </c>
      <c r="E183" s="19">
        <v>4.9889999999999999</v>
      </c>
      <c r="F183" s="19">
        <v>4.1740000000000004</v>
      </c>
      <c r="G183" s="19">
        <v>3.8050000000000002</v>
      </c>
      <c r="H183" s="19">
        <v>3.4729999999999999</v>
      </c>
      <c r="I183" s="19">
        <v>3.0710000000000002</v>
      </c>
      <c r="J183" s="7"/>
      <c r="K183" s="7"/>
    </row>
    <row r="184" spans="1:11" ht="15" x14ac:dyDescent="0.25">
      <c r="A184" s="30" t="s">
        <v>288</v>
      </c>
      <c r="B184" s="1" t="str">
        <f>$B$9</f>
        <v>NAC</v>
      </c>
      <c r="C184" s="7"/>
      <c r="D184" s="8">
        <v>125.31100000000001</v>
      </c>
      <c r="E184" s="44">
        <v>126.94199999999999</v>
      </c>
      <c r="F184" s="44">
        <v>133.16800000000001</v>
      </c>
      <c r="G184" s="44">
        <v>127.60599999999999</v>
      </c>
      <c r="H184" s="44">
        <v>122.593</v>
      </c>
      <c r="I184" s="44">
        <v>121.51900000000001</v>
      </c>
      <c r="J184" s="7"/>
      <c r="K184" s="7"/>
    </row>
    <row r="185" spans="1:11" ht="15" x14ac:dyDescent="0.25">
      <c r="A185" s="30" t="s">
        <v>290</v>
      </c>
      <c r="C185" s="7"/>
      <c r="D185" s="33" t="str">
        <f t="shared" ref="D185:I185" si="49">IF(ROUND(D$184-SUM(D$127,D$178:D$183),3)=0,"OK","ERROR")</f>
        <v>OK</v>
      </c>
      <c r="E185" s="45" t="str">
        <f t="shared" si="49"/>
        <v>OK</v>
      </c>
      <c r="F185" s="45" t="str">
        <f t="shared" si="49"/>
        <v>OK</v>
      </c>
      <c r="G185" s="45" t="str">
        <f t="shared" si="49"/>
        <v>OK</v>
      </c>
      <c r="H185" s="45" t="str">
        <f t="shared" si="49"/>
        <v>OK</v>
      </c>
      <c r="I185" s="45" t="str">
        <f t="shared" si="49"/>
        <v>OK</v>
      </c>
      <c r="J185" s="7"/>
      <c r="K185" s="7"/>
    </row>
    <row r="186" spans="1:11" ht="15" x14ac:dyDescent="0.25">
      <c r="A186" s="30" t="s">
        <v>291</v>
      </c>
      <c r="B186" s="1" t="str">
        <f t="shared" si="48"/>
        <v>UIM</v>
      </c>
      <c r="C186" s="7"/>
      <c r="D186" s="31">
        <f t="shared" ref="D186:I186" si="50">D$176-D$184</f>
        <v>33.402000000000015</v>
      </c>
      <c r="E186" s="42">
        <f t="shared" si="50"/>
        <v>34.415000000000006</v>
      </c>
      <c r="F186" s="42">
        <f t="shared" si="50"/>
        <v>37.676999999999992</v>
      </c>
      <c r="G186" s="42">
        <f t="shared" si="50"/>
        <v>42.25</v>
      </c>
      <c r="H186" s="42">
        <f t="shared" si="50"/>
        <v>49.594000000000008</v>
      </c>
      <c r="I186" s="42">
        <f t="shared" si="50"/>
        <v>58.740999999999985</v>
      </c>
      <c r="J186" s="7"/>
      <c r="K186" s="7"/>
    </row>
    <row r="187" spans="1:11" ht="15" x14ac:dyDescent="0.25">
      <c r="A187" s="30" t="s">
        <v>730</v>
      </c>
      <c r="B187" s="1" t="str">
        <f>$B$9</f>
        <v>NAC</v>
      </c>
      <c r="C187" s="7"/>
      <c r="D187" s="53">
        <f t="shared" ref="D187:I187" si="51">D$142-SUM(D$167,D$169:D$171)</f>
        <v>-0.15000000000000568</v>
      </c>
      <c r="E187" s="52">
        <f t="shared" si="51"/>
        <v>1.0000000000189857E-3</v>
      </c>
      <c r="F187" s="52">
        <f t="shared" si="51"/>
        <v>-9.9999999997635314E-4</v>
      </c>
      <c r="G187" s="52">
        <f t="shared" si="51"/>
        <v>1.9999999999953388E-3</v>
      </c>
      <c r="H187" s="52">
        <f t="shared" si="51"/>
        <v>0</v>
      </c>
      <c r="I187" s="52">
        <f t="shared" si="51"/>
        <v>0</v>
      </c>
      <c r="J187" s="7"/>
      <c r="K187" s="7"/>
    </row>
    <row r="188" spans="1:11" ht="15" x14ac:dyDescent="0.25">
      <c r="A188" s="2" t="s">
        <v>333</v>
      </c>
      <c r="C188" s="7"/>
      <c r="D188" s="7"/>
      <c r="E188" s="19"/>
      <c r="F188" s="19"/>
      <c r="G188" s="19"/>
      <c r="H188" s="19"/>
      <c r="I188" s="19"/>
      <c r="J188" s="7"/>
      <c r="K188" s="7"/>
    </row>
    <row r="189" spans="1:11" x14ac:dyDescent="0.2">
      <c r="A189" s="1" t="s">
        <v>335</v>
      </c>
      <c r="B189" s="1" t="str">
        <f t="shared" ref="B189:B191" si="52">$B$11</f>
        <v>UIM</v>
      </c>
      <c r="C189" s="7"/>
      <c r="D189" s="7">
        <v>4.085</v>
      </c>
      <c r="E189" s="19">
        <v>4.327</v>
      </c>
      <c r="F189" s="19">
        <v>4.2309999999999999</v>
      </c>
      <c r="G189" s="19">
        <v>4.4029999999999996</v>
      </c>
      <c r="H189" s="19">
        <v>4.8090000000000002</v>
      </c>
      <c r="I189" s="19">
        <v>5.09</v>
      </c>
      <c r="J189" s="7"/>
      <c r="K189" s="7"/>
    </row>
    <row r="190" spans="1:11" x14ac:dyDescent="0.2">
      <c r="A190" s="1" t="s">
        <v>332</v>
      </c>
      <c r="B190" s="1" t="str">
        <f t="shared" si="52"/>
        <v>UIM</v>
      </c>
      <c r="C190" s="7"/>
      <c r="D190" s="7">
        <v>1.0999999999999999E-2</v>
      </c>
      <c r="E190" s="19">
        <v>8.0000000000000002E-3</v>
      </c>
      <c r="F190" s="19">
        <v>8.0000000000000002E-3</v>
      </c>
      <c r="G190" s="19">
        <v>8.0000000000000002E-3</v>
      </c>
      <c r="H190" s="19">
        <v>8.0000000000000002E-3</v>
      </c>
      <c r="I190" s="19">
        <v>8.0000000000000002E-3</v>
      </c>
      <c r="J190" s="7"/>
      <c r="K190" s="7"/>
    </row>
    <row r="191" spans="1:11" x14ac:dyDescent="0.2">
      <c r="A191" s="1" t="s">
        <v>344</v>
      </c>
      <c r="B191" s="1" t="str">
        <f t="shared" si="52"/>
        <v>UIM</v>
      </c>
      <c r="C191" s="7"/>
      <c r="D191" s="7">
        <v>8.0000000000000002E-3</v>
      </c>
      <c r="E191" s="19">
        <v>-1E-3</v>
      </c>
      <c r="F191" s="19">
        <v>-1E-3</v>
      </c>
      <c r="G191" s="19">
        <v>0</v>
      </c>
      <c r="H191" s="19">
        <v>-4.0000000000000001E-3</v>
      </c>
      <c r="I191" s="19">
        <v>-1E-3</v>
      </c>
      <c r="J191" s="7"/>
      <c r="K191" s="7"/>
    </row>
    <row r="192" spans="1:11" ht="15" x14ac:dyDescent="0.25">
      <c r="A192" s="30" t="s">
        <v>345</v>
      </c>
      <c r="C192" s="7"/>
      <c r="D192" s="33" t="str">
        <f t="shared" ref="D192:I192" si="53">IF(ROUND(D$20-SUM(D$160,D$189:D$191),3)=0,"OK","ERROR")</f>
        <v>OK</v>
      </c>
      <c r="E192" s="45" t="str">
        <f t="shared" si="53"/>
        <v>OK</v>
      </c>
      <c r="F192" s="45" t="str">
        <f t="shared" si="53"/>
        <v>OK</v>
      </c>
      <c r="G192" s="45" t="str">
        <f t="shared" si="53"/>
        <v>OK</v>
      </c>
      <c r="H192" s="45" t="str">
        <f t="shared" si="53"/>
        <v>OK</v>
      </c>
      <c r="I192" s="45" t="str">
        <f t="shared" si="53"/>
        <v>OK</v>
      </c>
      <c r="J192" s="7"/>
      <c r="K192" s="7"/>
    </row>
    <row r="193" spans="1:11" x14ac:dyDescent="0.2">
      <c r="A193" s="1" t="s">
        <v>334</v>
      </c>
      <c r="B193" s="1" t="str">
        <f t="shared" ref="B193:B205" si="54">$B$11</f>
        <v>UIM</v>
      </c>
      <c r="C193" s="7"/>
      <c r="D193" s="7">
        <v>5.2460000000000004</v>
      </c>
      <c r="E193" s="19">
        <v>5.234</v>
      </c>
      <c r="F193" s="19">
        <v>5.4420000000000002</v>
      </c>
      <c r="G193" s="19">
        <v>5.4930000000000003</v>
      </c>
      <c r="H193" s="19">
        <v>5.8639999999999999</v>
      </c>
      <c r="I193" s="19">
        <v>6.1390000000000002</v>
      </c>
      <c r="J193" s="7"/>
      <c r="K193" s="7"/>
    </row>
    <row r="194" spans="1:11" x14ac:dyDescent="0.2">
      <c r="A194" s="1" t="s">
        <v>338</v>
      </c>
      <c r="B194" s="1" t="str">
        <f t="shared" si="54"/>
        <v>UIM</v>
      </c>
      <c r="C194" s="7"/>
      <c r="D194" s="7">
        <v>12.922000000000001</v>
      </c>
      <c r="E194" s="19">
        <v>13.233000000000001</v>
      </c>
      <c r="F194" s="19">
        <v>13.653</v>
      </c>
      <c r="G194" s="19">
        <v>13.66</v>
      </c>
      <c r="H194" s="19">
        <v>13.69</v>
      </c>
      <c r="I194" s="19">
        <v>13.72</v>
      </c>
      <c r="J194" s="7"/>
      <c r="K194" s="7"/>
    </row>
    <row r="195" spans="1:11" x14ac:dyDescent="0.2">
      <c r="A195" s="1" t="s">
        <v>339</v>
      </c>
      <c r="B195" s="1" t="str">
        <f t="shared" si="54"/>
        <v>UIM</v>
      </c>
      <c r="C195" s="7"/>
      <c r="D195" s="7">
        <v>9.8529999999999998</v>
      </c>
      <c r="E195" s="19">
        <v>10.212</v>
      </c>
      <c r="F195" s="19">
        <v>10.266999999999999</v>
      </c>
      <c r="G195" s="19">
        <v>10.356</v>
      </c>
      <c r="H195" s="19">
        <v>10.319000000000001</v>
      </c>
      <c r="I195" s="19">
        <v>10.365</v>
      </c>
      <c r="J195" s="7"/>
      <c r="K195" s="7"/>
    </row>
    <row r="196" spans="1:11" x14ac:dyDescent="0.2">
      <c r="A196" s="1" t="s">
        <v>336</v>
      </c>
      <c r="B196" s="1" t="str">
        <f t="shared" si="54"/>
        <v>UIM</v>
      </c>
      <c r="C196" s="7"/>
      <c r="D196" s="7">
        <v>0</v>
      </c>
      <c r="E196" s="19">
        <v>0</v>
      </c>
      <c r="F196" s="19">
        <v>0</v>
      </c>
      <c r="G196" s="19">
        <v>0</v>
      </c>
      <c r="H196" s="19">
        <v>0</v>
      </c>
      <c r="I196" s="19">
        <v>0</v>
      </c>
      <c r="J196" s="7"/>
      <c r="K196" s="7"/>
    </row>
    <row r="197" spans="1:11" x14ac:dyDescent="0.2">
      <c r="A197" s="1" t="s">
        <v>340</v>
      </c>
      <c r="B197" s="1" t="str">
        <f t="shared" si="54"/>
        <v>UIM</v>
      </c>
      <c r="C197" s="7"/>
      <c r="D197" s="7">
        <v>2.5640000000000001</v>
      </c>
      <c r="E197" s="19">
        <v>2.7050000000000001</v>
      </c>
      <c r="F197" s="19">
        <v>2.8359999999999999</v>
      </c>
      <c r="G197" s="19">
        <v>2.827</v>
      </c>
      <c r="H197" s="19">
        <v>2.7829999999999999</v>
      </c>
      <c r="I197" s="19">
        <v>2.758</v>
      </c>
      <c r="J197" s="7"/>
      <c r="K197" s="7"/>
    </row>
    <row r="198" spans="1:11" x14ac:dyDescent="0.2">
      <c r="A198" s="1" t="s">
        <v>337</v>
      </c>
      <c r="B198" s="1" t="str">
        <f t="shared" si="54"/>
        <v>UIM</v>
      </c>
      <c r="C198" s="7"/>
      <c r="D198" s="7">
        <v>6.9189999999999996</v>
      </c>
      <c r="E198" s="19">
        <v>6.9939999999999998</v>
      </c>
      <c r="F198" s="19">
        <v>7.1239999999999997</v>
      </c>
      <c r="G198" s="19">
        <v>7.3250000000000002</v>
      </c>
      <c r="H198" s="19">
        <v>7.5839999999999996</v>
      </c>
      <c r="I198" s="19">
        <v>7.7270000000000003</v>
      </c>
      <c r="J198" s="7"/>
      <c r="K198" s="7"/>
    </row>
    <row r="199" spans="1:11" x14ac:dyDescent="0.2">
      <c r="A199" s="1" t="s">
        <v>341</v>
      </c>
      <c r="B199" s="1" t="str">
        <f t="shared" si="54"/>
        <v>UIM</v>
      </c>
      <c r="C199" s="7"/>
      <c r="D199" s="7">
        <v>4.8250000000000002</v>
      </c>
      <c r="E199" s="19">
        <v>5.4420000000000002</v>
      </c>
      <c r="F199" s="19">
        <v>5.3979999999999997</v>
      </c>
      <c r="G199" s="19">
        <v>5.5609999999999999</v>
      </c>
      <c r="H199" s="19">
        <v>5.66</v>
      </c>
      <c r="I199" s="19">
        <v>5.7380000000000004</v>
      </c>
      <c r="J199" s="7"/>
      <c r="K199" s="7"/>
    </row>
    <row r="200" spans="1:11" x14ac:dyDescent="0.2">
      <c r="A200" s="1" t="s">
        <v>342</v>
      </c>
      <c r="B200" s="1" t="str">
        <f t="shared" si="54"/>
        <v>UIM</v>
      </c>
      <c r="C200" s="7"/>
      <c r="D200" s="7">
        <v>7.01</v>
      </c>
      <c r="E200" s="19">
        <v>6.5750000000000002</v>
      </c>
      <c r="F200" s="19">
        <v>6.7560000000000002</v>
      </c>
      <c r="G200" s="19">
        <v>7.0490000000000004</v>
      </c>
      <c r="H200" s="19">
        <v>7.0519999999999996</v>
      </c>
      <c r="I200" s="19">
        <v>7.0650000000000004</v>
      </c>
      <c r="J200" s="7"/>
      <c r="K200" s="7"/>
    </row>
    <row r="201" spans="1:11" x14ac:dyDescent="0.2">
      <c r="A201" s="1" t="s">
        <v>343</v>
      </c>
      <c r="B201" s="1" t="str">
        <f t="shared" si="54"/>
        <v>UIM</v>
      </c>
      <c r="C201" s="7"/>
      <c r="D201" s="7">
        <v>-2.698</v>
      </c>
      <c r="E201" s="19">
        <v>-2.8359999999999999</v>
      </c>
      <c r="F201" s="19">
        <v>-2.996</v>
      </c>
      <c r="G201" s="19">
        <v>-3.0489999999999999</v>
      </c>
      <c r="H201" s="19">
        <v>-3.0329999999999999</v>
      </c>
      <c r="I201" s="19">
        <v>-3.0619999999999998</v>
      </c>
      <c r="J201" s="7"/>
      <c r="K201" s="7"/>
    </row>
    <row r="202" spans="1:11" x14ac:dyDescent="0.2">
      <c r="A202" s="1" t="s">
        <v>602</v>
      </c>
      <c r="B202" s="1" t="str">
        <f t="shared" si="54"/>
        <v>UIM</v>
      </c>
      <c r="C202" s="7"/>
      <c r="D202" s="7">
        <v>25.789000000000001</v>
      </c>
      <c r="E202" s="19">
        <v>25.937999999999999</v>
      </c>
      <c r="F202" s="19">
        <v>25.821000000000002</v>
      </c>
      <c r="G202" s="19">
        <v>26.39</v>
      </c>
      <c r="H202" s="19">
        <v>27.196000000000002</v>
      </c>
      <c r="I202" s="19">
        <v>28.184000000000001</v>
      </c>
      <c r="J202" s="7"/>
      <c r="K202" s="7"/>
    </row>
    <row r="203" spans="1:11" x14ac:dyDescent="0.2">
      <c r="A203" s="1" t="s">
        <v>603</v>
      </c>
      <c r="B203" s="1" t="str">
        <f t="shared" si="54"/>
        <v>UIM</v>
      </c>
      <c r="C203" s="7"/>
      <c r="D203" s="7">
        <v>3.8119999999999998</v>
      </c>
      <c r="E203" s="19">
        <v>3.726</v>
      </c>
      <c r="F203" s="19">
        <v>3.5289999999999999</v>
      </c>
      <c r="G203" s="19">
        <v>3.66</v>
      </c>
      <c r="H203" s="19">
        <v>3.7919999999999998</v>
      </c>
      <c r="I203" s="19">
        <v>3.984</v>
      </c>
      <c r="J203" s="7"/>
      <c r="K203" s="7"/>
    </row>
    <row r="204" spans="1:11" x14ac:dyDescent="0.2">
      <c r="A204" s="1" t="s">
        <v>604</v>
      </c>
      <c r="B204" s="1" t="str">
        <f t="shared" si="54"/>
        <v>UIM</v>
      </c>
      <c r="C204" s="7"/>
      <c r="D204" s="7">
        <v>10.454000000000001</v>
      </c>
      <c r="E204" s="19">
        <v>11.47</v>
      </c>
      <c r="F204" s="19">
        <v>11.804</v>
      </c>
      <c r="G204" s="19">
        <v>12.169</v>
      </c>
      <c r="H204" s="19">
        <v>12.577999999999999</v>
      </c>
      <c r="I204" s="19">
        <v>12.999000000000001</v>
      </c>
      <c r="J204" s="7"/>
      <c r="K204" s="7"/>
    </row>
    <row r="205" spans="1:11" x14ac:dyDescent="0.2">
      <c r="A205" s="1" t="s">
        <v>605</v>
      </c>
      <c r="B205" s="1" t="str">
        <f t="shared" si="54"/>
        <v>UIM</v>
      </c>
      <c r="C205" s="7"/>
      <c r="D205" s="7">
        <v>5.8000000000000003E-2</v>
      </c>
      <c r="E205" s="19">
        <v>6.4000000000000001E-2</v>
      </c>
      <c r="F205" s="19">
        <v>6.4000000000000001E-2</v>
      </c>
      <c r="G205" s="19">
        <v>6.4000000000000001E-2</v>
      </c>
      <c r="H205" s="19">
        <v>6.4000000000000001E-2</v>
      </c>
      <c r="I205" s="19">
        <v>6.4000000000000001E-2</v>
      </c>
      <c r="J205" s="7"/>
      <c r="K205" s="7"/>
    </row>
    <row r="206" spans="1:11" ht="15" x14ac:dyDescent="0.25">
      <c r="A206" s="2" t="s">
        <v>270</v>
      </c>
      <c r="C206" s="7"/>
      <c r="D206" s="7"/>
      <c r="E206" s="19"/>
      <c r="F206" s="19"/>
      <c r="G206" s="19"/>
      <c r="H206" s="19"/>
      <c r="I206" s="19"/>
      <c r="J206" s="7"/>
      <c r="K206" s="7"/>
    </row>
    <row r="207" spans="1:11" ht="15" x14ac:dyDescent="0.25">
      <c r="A207" s="30" t="s">
        <v>271</v>
      </c>
      <c r="C207" s="7"/>
      <c r="D207" s="7"/>
      <c r="E207" s="19"/>
      <c r="F207" s="19"/>
      <c r="G207" s="19"/>
      <c r="H207" s="19"/>
      <c r="I207" s="19"/>
      <c r="J207" s="7"/>
      <c r="K207" s="7"/>
    </row>
    <row r="208" spans="1:11" x14ac:dyDescent="0.2">
      <c r="A208" s="1" t="s">
        <v>272</v>
      </c>
      <c r="B208" s="1" t="str">
        <f>$B$11</f>
        <v>UIM</v>
      </c>
      <c r="C208" s="7"/>
      <c r="D208" s="7">
        <v>25.309000000000001</v>
      </c>
      <c r="E208" s="19">
        <v>26.577999999999999</v>
      </c>
      <c r="F208" s="19">
        <v>27.777999999999999</v>
      </c>
      <c r="G208" s="19">
        <v>28.835000000000001</v>
      </c>
      <c r="H208" s="19">
        <v>30.256</v>
      </c>
      <c r="I208" s="19">
        <v>31.795000000000002</v>
      </c>
      <c r="J208" s="7"/>
      <c r="K208" s="7"/>
    </row>
    <row r="209" spans="1:11" x14ac:dyDescent="0.2">
      <c r="A209" s="1" t="s">
        <v>273</v>
      </c>
      <c r="B209" s="1" t="str">
        <f t="shared" ref="B209:B212" si="55">$B$11</f>
        <v>UIM</v>
      </c>
      <c r="C209" s="7"/>
      <c r="D209" s="7">
        <v>10.295999999999999</v>
      </c>
      <c r="E209" s="19">
        <v>10.952999999999999</v>
      </c>
      <c r="F209" s="19">
        <v>10.944000000000001</v>
      </c>
      <c r="G209" s="19">
        <v>11.858000000000001</v>
      </c>
      <c r="H209" s="19">
        <v>12.811</v>
      </c>
      <c r="I209" s="19">
        <v>13.457000000000001</v>
      </c>
      <c r="J209" s="7"/>
      <c r="K209" s="7"/>
    </row>
    <row r="210" spans="1:11" x14ac:dyDescent="0.2">
      <c r="A210" s="1" t="s">
        <v>274</v>
      </c>
      <c r="B210" s="1" t="str">
        <f t="shared" si="55"/>
        <v>UIM</v>
      </c>
      <c r="C210" s="7"/>
      <c r="D210" s="7">
        <v>17.169</v>
      </c>
      <c r="E210" s="19">
        <v>18.129000000000001</v>
      </c>
      <c r="F210" s="19">
        <v>19.053999999999998</v>
      </c>
      <c r="G210" s="19">
        <v>20.164000000000001</v>
      </c>
      <c r="H210" s="19">
        <v>21.190999999999999</v>
      </c>
      <c r="I210" s="19">
        <v>21.902999999999999</v>
      </c>
      <c r="J210" s="7"/>
      <c r="K210" s="7"/>
    </row>
    <row r="211" spans="1:11" x14ac:dyDescent="0.2">
      <c r="A211" s="1" t="s">
        <v>275</v>
      </c>
      <c r="B211" s="1" t="str">
        <f t="shared" si="55"/>
        <v>UIM</v>
      </c>
      <c r="C211" s="7"/>
      <c r="D211" s="7">
        <v>3.2029999999999998</v>
      </c>
      <c r="E211" s="19">
        <v>3.3769999999999998</v>
      </c>
      <c r="F211" s="19">
        <v>3.4220000000000002</v>
      </c>
      <c r="G211" s="19">
        <v>3.4870000000000001</v>
      </c>
      <c r="H211" s="19">
        <v>3.56</v>
      </c>
      <c r="I211" s="19">
        <v>3.617</v>
      </c>
      <c r="J211" s="7"/>
      <c r="K211" s="7"/>
    </row>
    <row r="212" spans="1:11" x14ac:dyDescent="0.2">
      <c r="A212" s="1" t="s">
        <v>276</v>
      </c>
      <c r="B212" s="1" t="str">
        <f t="shared" si="55"/>
        <v>UIM</v>
      </c>
      <c r="C212" s="7"/>
      <c r="D212" s="7">
        <v>10.078000000000001</v>
      </c>
      <c r="E212" s="19">
        <v>9.8940000000000019</v>
      </c>
      <c r="F212" s="19">
        <v>10.023</v>
      </c>
      <c r="G212" s="19">
        <v>10.567</v>
      </c>
      <c r="H212" s="19">
        <v>11.61</v>
      </c>
      <c r="I212" s="19">
        <v>12.727999999999998</v>
      </c>
      <c r="J212" s="7"/>
      <c r="K212" s="7"/>
    </row>
    <row r="213" spans="1:11" ht="15" x14ac:dyDescent="0.25">
      <c r="A213" s="30" t="s">
        <v>277</v>
      </c>
      <c r="C213" s="7"/>
      <c r="D213" s="33" t="str">
        <f t="shared" ref="D213:I213" si="56">IF(ROUND(D$9-SUM(D$208:D$212),3)=0,"OK","ERROR")</f>
        <v>OK</v>
      </c>
      <c r="E213" s="45" t="str">
        <f t="shared" si="56"/>
        <v>OK</v>
      </c>
      <c r="F213" s="45" t="str">
        <f t="shared" si="56"/>
        <v>OK</v>
      </c>
      <c r="G213" s="45" t="str">
        <f t="shared" si="56"/>
        <v>OK</v>
      </c>
      <c r="H213" s="45" t="str">
        <f t="shared" si="56"/>
        <v>OK</v>
      </c>
      <c r="I213" s="45" t="str">
        <f t="shared" si="56"/>
        <v>OK</v>
      </c>
      <c r="J213" s="7"/>
      <c r="K213" s="7"/>
    </row>
    <row r="214" spans="1:11" ht="15" x14ac:dyDescent="0.25">
      <c r="A214" s="30" t="s">
        <v>292</v>
      </c>
      <c r="C214" s="7"/>
      <c r="D214" s="34"/>
      <c r="E214" s="46"/>
      <c r="F214" s="46"/>
      <c r="G214" s="46"/>
      <c r="H214" s="46"/>
      <c r="I214" s="46"/>
      <c r="J214" s="7"/>
      <c r="K214" s="7"/>
    </row>
    <row r="215" spans="1:11" x14ac:dyDescent="0.2">
      <c r="A215" s="1" t="s">
        <v>278</v>
      </c>
      <c r="B215" s="1" t="str">
        <f t="shared" ref="B215:B216" si="57">$B$11</f>
        <v>UIM</v>
      </c>
      <c r="C215" s="7"/>
      <c r="D215" s="7">
        <v>3.2759999999999998</v>
      </c>
      <c r="E215" s="19">
        <v>2.766</v>
      </c>
      <c r="F215" s="19">
        <v>2.6680000000000001</v>
      </c>
      <c r="G215" s="19">
        <v>2.7519999999999998</v>
      </c>
      <c r="H215" s="19">
        <v>2.891</v>
      </c>
      <c r="I215" s="19">
        <v>3.0110000000000001</v>
      </c>
      <c r="J215" s="7"/>
      <c r="K215" s="7"/>
    </row>
    <row r="216" spans="1:11" x14ac:dyDescent="0.2">
      <c r="A216" s="1" t="s">
        <v>294</v>
      </c>
      <c r="B216" s="1" t="str">
        <f t="shared" si="57"/>
        <v>UIM</v>
      </c>
      <c r="C216" s="7"/>
      <c r="D216" s="7">
        <v>1.677</v>
      </c>
      <c r="E216" s="19">
        <v>1.871</v>
      </c>
      <c r="F216" s="19">
        <v>1.925</v>
      </c>
      <c r="G216" s="19">
        <v>2.0309999999999997</v>
      </c>
      <c r="H216" s="19">
        <v>2.1240000000000001</v>
      </c>
      <c r="I216" s="19">
        <v>2.14</v>
      </c>
      <c r="J216" s="7"/>
      <c r="K216" s="7"/>
    </row>
    <row r="217" spans="1:11" ht="15" x14ac:dyDescent="0.25">
      <c r="A217" s="30" t="s">
        <v>293</v>
      </c>
      <c r="C217" s="7"/>
      <c r="D217" s="33" t="str">
        <f t="shared" ref="D217:I217" si="58">IF(ROUND(D$10-SUM(D$215,D$216),3)=0,"OK","ERROR")</f>
        <v>OK</v>
      </c>
      <c r="E217" s="45" t="str">
        <f t="shared" si="58"/>
        <v>OK</v>
      </c>
      <c r="F217" s="45" t="str">
        <f t="shared" si="58"/>
        <v>OK</v>
      </c>
      <c r="G217" s="45" t="str">
        <f t="shared" si="58"/>
        <v>OK</v>
      </c>
      <c r="H217" s="45" t="str">
        <f t="shared" si="58"/>
        <v>OK</v>
      </c>
      <c r="I217" s="45" t="str">
        <f t="shared" si="58"/>
        <v>OK</v>
      </c>
      <c r="J217" s="7"/>
      <c r="K217" s="7"/>
    </row>
    <row r="218" spans="1:11" ht="15" x14ac:dyDescent="0.25">
      <c r="A218" s="30" t="s">
        <v>155</v>
      </c>
      <c r="C218" s="7"/>
      <c r="D218" s="7"/>
      <c r="E218" s="19"/>
      <c r="F218" s="19"/>
      <c r="G218" s="19"/>
      <c r="H218" s="19"/>
      <c r="I218" s="19"/>
      <c r="J218" s="7"/>
      <c r="K218" s="7"/>
    </row>
    <row r="219" spans="1:11" x14ac:dyDescent="0.2">
      <c r="A219" s="1" t="s">
        <v>295</v>
      </c>
      <c r="B219" s="1" t="str">
        <f t="shared" ref="B219:B221" si="59">$B$11</f>
        <v>UIM</v>
      </c>
      <c r="C219" s="7"/>
      <c r="D219" s="7">
        <v>1.429</v>
      </c>
      <c r="E219" s="19">
        <v>1.47</v>
      </c>
      <c r="F219" s="19">
        <v>1.411</v>
      </c>
      <c r="G219" s="19">
        <v>1.43</v>
      </c>
      <c r="H219" s="19">
        <v>1.4750000000000001</v>
      </c>
      <c r="I219" s="19">
        <v>1.528</v>
      </c>
      <c r="J219" s="7"/>
      <c r="K219" s="7"/>
    </row>
    <row r="220" spans="1:11" x14ac:dyDescent="0.2">
      <c r="A220" s="1" t="s">
        <v>296</v>
      </c>
      <c r="B220" s="1" t="str">
        <f t="shared" si="59"/>
        <v>UIM</v>
      </c>
      <c r="C220" s="7"/>
      <c r="D220" s="7">
        <v>1.0429999999999999</v>
      </c>
      <c r="E220" s="19">
        <v>1.0609999999999999</v>
      </c>
      <c r="F220" s="19">
        <v>1.1140000000000001</v>
      </c>
      <c r="G220" s="19">
        <v>1.2669999999999999</v>
      </c>
      <c r="H220" s="19">
        <v>1.347</v>
      </c>
      <c r="I220" s="19">
        <v>1.4490000000000001</v>
      </c>
      <c r="J220" s="7"/>
      <c r="K220" s="7"/>
    </row>
    <row r="221" spans="1:11" x14ac:dyDescent="0.2">
      <c r="A221" s="1" t="s">
        <v>297</v>
      </c>
      <c r="B221" s="1" t="str">
        <f t="shared" si="59"/>
        <v>UIM</v>
      </c>
      <c r="C221" s="7"/>
      <c r="D221" s="7">
        <v>-1.4</v>
      </c>
      <c r="E221" s="19">
        <v>-1.214</v>
      </c>
      <c r="F221" s="19">
        <v>-1.512</v>
      </c>
      <c r="G221" s="19">
        <v>-1.1890000000000001</v>
      </c>
      <c r="H221" s="19">
        <v>-1.2390000000000001</v>
      </c>
      <c r="I221" s="19">
        <v>-1.29</v>
      </c>
      <c r="J221" s="7"/>
      <c r="K221" s="7"/>
    </row>
    <row r="222" spans="1:11" ht="15" x14ac:dyDescent="0.25">
      <c r="A222" s="30" t="s">
        <v>298</v>
      </c>
      <c r="C222" s="7"/>
      <c r="D222" s="33" t="str">
        <f t="shared" ref="D222:I222" si="60">IF(ROUND(D$12-SUM(D$152,D$219:D$221),3)=0,"OK","ERROR")</f>
        <v>OK</v>
      </c>
      <c r="E222" s="45" t="str">
        <f t="shared" si="60"/>
        <v>OK</v>
      </c>
      <c r="F222" s="45" t="str">
        <f t="shared" si="60"/>
        <v>OK</v>
      </c>
      <c r="G222" s="45" t="str">
        <f t="shared" si="60"/>
        <v>OK</v>
      </c>
      <c r="H222" s="45" t="str">
        <f t="shared" si="60"/>
        <v>OK</v>
      </c>
      <c r="I222" s="45" t="str">
        <f t="shared" si="60"/>
        <v>OK</v>
      </c>
      <c r="J222" s="7"/>
      <c r="K222" s="7"/>
    </row>
    <row r="223" spans="1:11" ht="15" x14ac:dyDescent="0.25">
      <c r="A223" s="30" t="s">
        <v>158</v>
      </c>
      <c r="C223" s="7"/>
      <c r="D223" s="7"/>
      <c r="E223" s="19"/>
      <c r="F223" s="19"/>
      <c r="G223" s="19"/>
      <c r="H223" s="19"/>
      <c r="I223" s="19"/>
      <c r="J223" s="7"/>
      <c r="K223" s="7"/>
    </row>
    <row r="224" spans="1:11" x14ac:dyDescent="0.2">
      <c r="A224" s="1" t="s">
        <v>314</v>
      </c>
      <c r="B224" s="1" t="str">
        <f t="shared" ref="B224:B230" si="61">$B$11</f>
        <v>UIM</v>
      </c>
      <c r="C224" s="7"/>
      <c r="D224" s="7">
        <v>11.590999999999999</v>
      </c>
      <c r="E224" s="19">
        <v>12.260999999999999</v>
      </c>
      <c r="F224" s="19">
        <v>12.912000000000001</v>
      </c>
      <c r="G224" s="19">
        <v>13.473000000000001</v>
      </c>
      <c r="H224" s="19">
        <v>14.161</v>
      </c>
      <c r="I224" s="19">
        <v>14.916</v>
      </c>
      <c r="J224" s="7"/>
      <c r="K224" s="7"/>
    </row>
    <row r="225" spans="1:11" x14ac:dyDescent="0.2">
      <c r="A225" s="1" t="s">
        <v>315</v>
      </c>
      <c r="B225" s="1" t="str">
        <f t="shared" si="61"/>
        <v>UIM</v>
      </c>
      <c r="C225" s="7"/>
      <c r="D225" s="7">
        <v>1.6839999999999999</v>
      </c>
      <c r="E225" s="19">
        <v>1.6739999999999999</v>
      </c>
      <c r="F225" s="19">
        <v>1.677</v>
      </c>
      <c r="G225" s="19">
        <v>1.6140000000000001</v>
      </c>
      <c r="H225" s="19">
        <v>1.577</v>
      </c>
      <c r="I225" s="19">
        <v>1.571</v>
      </c>
      <c r="J225" s="7"/>
      <c r="K225" s="7"/>
    </row>
    <row r="226" spans="1:11" x14ac:dyDescent="0.2">
      <c r="A226" s="1" t="s">
        <v>316</v>
      </c>
      <c r="B226" s="1" t="str">
        <f t="shared" si="61"/>
        <v>UIM</v>
      </c>
      <c r="C226" s="7"/>
      <c r="D226" s="7">
        <v>1.5149999999999999</v>
      </c>
      <c r="E226" s="19">
        <v>1.524</v>
      </c>
      <c r="F226" s="19">
        <v>1.5149999999999999</v>
      </c>
      <c r="G226" s="19">
        <v>1.4930000000000001</v>
      </c>
      <c r="H226" s="19">
        <v>1.5089999999999999</v>
      </c>
      <c r="I226" s="19">
        <v>1.5289999999999999</v>
      </c>
      <c r="J226" s="7"/>
      <c r="K226" s="7"/>
    </row>
    <row r="227" spans="1:11" x14ac:dyDescent="0.2">
      <c r="A227" s="1" t="s">
        <v>317</v>
      </c>
      <c r="B227" s="1" t="str">
        <f t="shared" si="61"/>
        <v>UIM</v>
      </c>
      <c r="C227" s="7"/>
      <c r="D227" s="7">
        <v>1.1859999999999999</v>
      </c>
      <c r="E227" s="19">
        <v>1.151</v>
      </c>
      <c r="F227" s="19">
        <v>1.1990000000000001</v>
      </c>
      <c r="G227" s="19">
        <v>1.1890000000000001</v>
      </c>
      <c r="H227" s="19">
        <v>1.19</v>
      </c>
      <c r="I227" s="19">
        <v>1.1950000000000001</v>
      </c>
      <c r="J227" s="7"/>
      <c r="K227" s="7"/>
    </row>
    <row r="228" spans="1:11" x14ac:dyDescent="0.2">
      <c r="A228" s="1" t="s">
        <v>512</v>
      </c>
      <c r="B228" s="1" t="str">
        <f t="shared" si="61"/>
        <v>UIM</v>
      </c>
      <c r="C228" s="7"/>
      <c r="D228" s="7">
        <v>2.403</v>
      </c>
      <c r="E228" s="19">
        <v>2.3919999999999999</v>
      </c>
      <c r="F228" s="19">
        <v>2.4420000000000002</v>
      </c>
      <c r="G228" s="19">
        <v>2.4289999999999998</v>
      </c>
      <c r="H228" s="19">
        <v>2.4049999999999998</v>
      </c>
      <c r="I228" s="19">
        <v>2.4700000000000002</v>
      </c>
      <c r="J228" s="7"/>
      <c r="K228" s="7"/>
    </row>
    <row r="229" spans="1:11" x14ac:dyDescent="0.2">
      <c r="A229" s="1" t="s">
        <v>514</v>
      </c>
      <c r="B229" s="1" t="str">
        <f t="shared" si="61"/>
        <v>UIM</v>
      </c>
      <c r="C229" s="7"/>
      <c r="D229" s="7">
        <v>3.464</v>
      </c>
      <c r="E229" s="19">
        <v>3.6920000000000002</v>
      </c>
      <c r="F229" s="19">
        <v>3.81</v>
      </c>
      <c r="G229" s="19">
        <v>3.9369999999999998</v>
      </c>
      <c r="H229" s="19">
        <v>4.0449999999999999</v>
      </c>
      <c r="I229" s="19">
        <v>4.1349999999999998</v>
      </c>
      <c r="J229" s="7"/>
      <c r="K229" s="7"/>
    </row>
    <row r="230" spans="1:11" x14ac:dyDescent="0.2">
      <c r="A230" s="1" t="s">
        <v>318</v>
      </c>
      <c r="B230" s="1" t="str">
        <f t="shared" si="61"/>
        <v>UIM</v>
      </c>
      <c r="C230" s="7"/>
      <c r="D230" s="7">
        <v>0.51100000000000001</v>
      </c>
      <c r="E230" s="19">
        <v>0.496</v>
      </c>
      <c r="F230" s="19">
        <v>0.51</v>
      </c>
      <c r="G230" s="19">
        <v>0.54</v>
      </c>
      <c r="H230" s="19">
        <v>0.54200000000000004</v>
      </c>
      <c r="I230" s="19">
        <v>0.54700000000000004</v>
      </c>
      <c r="J230" s="7"/>
      <c r="K230" s="7"/>
    </row>
    <row r="231" spans="1:11" ht="15" x14ac:dyDescent="0.25">
      <c r="A231" s="30" t="s">
        <v>515</v>
      </c>
      <c r="B231" s="1" t="str">
        <f>$B$9</f>
        <v>NAC</v>
      </c>
      <c r="C231" s="7"/>
      <c r="D231" s="8">
        <v>22.353999999999999</v>
      </c>
      <c r="E231" s="44">
        <v>23.19</v>
      </c>
      <c r="F231" s="44">
        <v>24.065000000000001</v>
      </c>
      <c r="G231" s="44">
        <v>24.675000000000001</v>
      </c>
      <c r="H231" s="44">
        <v>25.428999999999998</v>
      </c>
      <c r="I231" s="44">
        <v>26.363</v>
      </c>
      <c r="J231" s="7"/>
      <c r="K231" s="7"/>
    </row>
    <row r="232" spans="1:11" ht="15" x14ac:dyDescent="0.25">
      <c r="A232" s="30" t="s">
        <v>516</v>
      </c>
      <c r="C232" s="7"/>
      <c r="D232" s="33" t="str">
        <f t="shared" ref="D232:I232" si="62">IF(ROUND(D$231-SUM(D$224:D$230),3)=0,"OK","ERROR")</f>
        <v>OK</v>
      </c>
      <c r="E232" s="45" t="str">
        <f t="shared" si="62"/>
        <v>OK</v>
      </c>
      <c r="F232" s="45" t="str">
        <f t="shared" si="62"/>
        <v>OK</v>
      </c>
      <c r="G232" s="45" t="str">
        <f t="shared" si="62"/>
        <v>OK</v>
      </c>
      <c r="H232" s="45" t="str">
        <f t="shared" si="62"/>
        <v>OK</v>
      </c>
      <c r="I232" s="45" t="str">
        <f t="shared" si="62"/>
        <v>OK</v>
      </c>
      <c r="J232" s="7"/>
      <c r="K232" s="7"/>
    </row>
    <row r="233" spans="1:11" x14ac:dyDescent="0.2">
      <c r="A233" s="1" t="s">
        <v>320</v>
      </c>
      <c r="B233" s="1" t="str">
        <f t="shared" ref="B233:B234" si="63">$B$11</f>
        <v>UIM</v>
      </c>
      <c r="C233" s="7"/>
      <c r="D233" s="7">
        <v>0.85599999999999998</v>
      </c>
      <c r="E233" s="19">
        <v>0.70099999999999996</v>
      </c>
      <c r="F233" s="19">
        <v>0.73799999999999999</v>
      </c>
      <c r="G233" s="19">
        <v>0.76900000000000002</v>
      </c>
      <c r="H233" s="19">
        <v>0.80100000000000005</v>
      </c>
      <c r="I233" s="19">
        <v>0.84</v>
      </c>
      <c r="J233" s="7"/>
      <c r="K233" s="7"/>
    </row>
    <row r="234" spans="1:11" x14ac:dyDescent="0.2">
      <c r="A234" s="1" t="s">
        <v>321</v>
      </c>
      <c r="B234" s="1" t="str">
        <f t="shared" si="63"/>
        <v>UIM</v>
      </c>
      <c r="C234" s="7"/>
      <c r="D234" s="7">
        <v>0.51300000000000001</v>
      </c>
      <c r="E234" s="19">
        <v>0.53</v>
      </c>
      <c r="F234" s="19">
        <v>0.59199999999999997</v>
      </c>
      <c r="G234" s="19">
        <v>0.59499999999999997</v>
      </c>
      <c r="H234" s="19">
        <v>0.58599999999999997</v>
      </c>
      <c r="I234" s="19">
        <v>0.58599999999999997</v>
      </c>
      <c r="J234" s="7"/>
      <c r="K234" s="7"/>
    </row>
    <row r="235" spans="1:11" ht="15" x14ac:dyDescent="0.25">
      <c r="A235" s="30" t="s">
        <v>319</v>
      </c>
      <c r="C235" s="7"/>
      <c r="D235" s="33" t="str">
        <f t="shared" ref="D235:I235" si="64">IF(ROUND(D$15-SUM(D$224:D$230,D$233:D$234),3)=0,"OK","ERROR")</f>
        <v>OK</v>
      </c>
      <c r="E235" s="45" t="str">
        <f t="shared" si="64"/>
        <v>OK</v>
      </c>
      <c r="F235" s="45" t="str">
        <f t="shared" si="64"/>
        <v>OK</v>
      </c>
      <c r="G235" s="45" t="str">
        <f t="shared" si="64"/>
        <v>OK</v>
      </c>
      <c r="H235" s="45" t="str">
        <f t="shared" si="64"/>
        <v>OK</v>
      </c>
      <c r="I235" s="45" t="str">
        <f t="shared" si="64"/>
        <v>OK</v>
      </c>
      <c r="J235" s="7"/>
      <c r="K235" s="7"/>
    </row>
    <row r="236" spans="1:11" ht="15" x14ac:dyDescent="0.25">
      <c r="A236" s="30" t="s">
        <v>159</v>
      </c>
      <c r="C236" s="7"/>
      <c r="D236" s="7"/>
      <c r="E236" s="19"/>
      <c r="F236" s="19"/>
      <c r="G236" s="19"/>
      <c r="H236" s="19"/>
      <c r="I236" s="19"/>
      <c r="J236" s="7"/>
      <c r="K236" s="7"/>
    </row>
    <row r="237" spans="1:11" x14ac:dyDescent="0.2">
      <c r="A237" s="1" t="s">
        <v>295</v>
      </c>
      <c r="B237" s="1" t="str">
        <f t="shared" ref="B237:B239" si="65">$B$11</f>
        <v>UIM</v>
      </c>
      <c r="C237" s="7"/>
      <c r="D237" s="7">
        <v>11.66</v>
      </c>
      <c r="E237" s="19">
        <v>12.185</v>
      </c>
      <c r="F237" s="19">
        <v>12.413</v>
      </c>
      <c r="G237" s="19">
        <v>12.522</v>
      </c>
      <c r="H237" s="19">
        <v>12.504</v>
      </c>
      <c r="I237" s="19">
        <v>12.558999999999999</v>
      </c>
      <c r="J237" s="7"/>
      <c r="K237" s="7"/>
    </row>
    <row r="238" spans="1:11" x14ac:dyDescent="0.2">
      <c r="A238" s="1" t="s">
        <v>296</v>
      </c>
      <c r="B238" s="1" t="str">
        <f t="shared" si="65"/>
        <v>UIM</v>
      </c>
      <c r="C238" s="7"/>
      <c r="D238" s="7">
        <v>2.9350000000000001</v>
      </c>
      <c r="E238" s="19">
        <v>2.9369999999999998</v>
      </c>
      <c r="F238" s="19">
        <v>2.855</v>
      </c>
      <c r="G238" s="19">
        <v>2.89</v>
      </c>
      <c r="H238" s="19">
        <v>2.9710000000000001</v>
      </c>
      <c r="I238" s="19">
        <v>3.0419999999999998</v>
      </c>
      <c r="J238" s="7"/>
      <c r="K238" s="7"/>
    </row>
    <row r="239" spans="1:11" x14ac:dyDescent="0.2">
      <c r="A239" s="1" t="s">
        <v>297</v>
      </c>
      <c r="B239" s="1" t="str">
        <f t="shared" si="65"/>
        <v>UIM</v>
      </c>
      <c r="C239" s="7"/>
      <c r="D239" s="7">
        <v>-2.3E-2</v>
      </c>
      <c r="E239" s="19">
        <v>-2.1999999999999999E-2</v>
      </c>
      <c r="F239" s="19">
        <v>-2.3E-2</v>
      </c>
      <c r="G239" s="19">
        <v>-2.3E-2</v>
      </c>
      <c r="H239" s="19">
        <v>-2.3E-2</v>
      </c>
      <c r="I239" s="19">
        <v>-2.3E-2</v>
      </c>
      <c r="J239" s="7"/>
      <c r="K239" s="7"/>
    </row>
    <row r="240" spans="1:11" ht="15" x14ac:dyDescent="0.25">
      <c r="A240" s="30" t="s">
        <v>322</v>
      </c>
      <c r="C240" s="7"/>
      <c r="D240" s="33" t="str">
        <f t="shared" ref="D240:I240" si="66">IF(ROUND(D$16-SUM(D$157,D$237:D$239),3)=0,"OK","ERROR")</f>
        <v>OK</v>
      </c>
      <c r="E240" s="45" t="str">
        <f t="shared" si="66"/>
        <v>OK</v>
      </c>
      <c r="F240" s="45" t="str">
        <f t="shared" si="66"/>
        <v>OK</v>
      </c>
      <c r="G240" s="45" t="str">
        <f t="shared" si="66"/>
        <v>OK</v>
      </c>
      <c r="H240" s="45" t="str">
        <f t="shared" si="66"/>
        <v>OK</v>
      </c>
      <c r="I240" s="45" t="str">
        <f t="shared" si="66"/>
        <v>OK</v>
      </c>
      <c r="J240" s="7"/>
      <c r="K240" s="7"/>
    </row>
    <row r="241" spans="1:11" ht="15" x14ac:dyDescent="0.25">
      <c r="A241" s="30" t="s">
        <v>323</v>
      </c>
      <c r="C241" s="7"/>
      <c r="D241" s="7"/>
      <c r="E241" s="19"/>
      <c r="F241" s="19"/>
      <c r="G241" s="19"/>
      <c r="H241" s="19"/>
      <c r="I241" s="19"/>
      <c r="J241" s="7"/>
      <c r="K241" s="7"/>
    </row>
    <row r="242" spans="1:11" x14ac:dyDescent="0.2">
      <c r="A242" s="1" t="s">
        <v>324</v>
      </c>
      <c r="B242" s="1" t="str">
        <f t="shared" ref="B242:B245" si="67">$B$11</f>
        <v>UIM</v>
      </c>
      <c r="C242" s="7"/>
      <c r="D242" s="7">
        <v>1.4410000000000001</v>
      </c>
      <c r="E242" s="19">
        <v>1.532</v>
      </c>
      <c r="F242" s="19">
        <v>1.5860000000000001</v>
      </c>
      <c r="G242" s="19">
        <v>1.669</v>
      </c>
      <c r="H242" s="19">
        <v>1.744</v>
      </c>
      <c r="I242" s="19">
        <v>1.804</v>
      </c>
      <c r="J242" s="7"/>
      <c r="K242" s="7"/>
    </row>
    <row r="243" spans="1:11" x14ac:dyDescent="0.2">
      <c r="A243" s="1" t="s">
        <v>295</v>
      </c>
      <c r="B243" s="1" t="str">
        <f t="shared" si="67"/>
        <v>UIM</v>
      </c>
      <c r="C243" s="7"/>
      <c r="D243" s="7">
        <v>1.7509999999999999</v>
      </c>
      <c r="E243" s="19">
        <v>1.78</v>
      </c>
      <c r="F243" s="19">
        <v>1.929</v>
      </c>
      <c r="G243" s="19">
        <v>1.929</v>
      </c>
      <c r="H243" s="19">
        <v>1.9850000000000001</v>
      </c>
      <c r="I243" s="19">
        <v>2.0270000000000001</v>
      </c>
      <c r="J243" s="7"/>
      <c r="K243" s="7"/>
    </row>
    <row r="244" spans="1:11" x14ac:dyDescent="0.2">
      <c r="A244" s="1" t="s">
        <v>296</v>
      </c>
      <c r="B244" s="1" t="str">
        <f t="shared" si="67"/>
        <v>UIM</v>
      </c>
      <c r="C244" s="7"/>
      <c r="D244" s="7">
        <v>1.65</v>
      </c>
      <c r="E244" s="19">
        <v>1.5629999999999999</v>
      </c>
      <c r="F244" s="19">
        <v>1.6850000000000001</v>
      </c>
      <c r="G244" s="19">
        <v>1.754</v>
      </c>
      <c r="H244" s="19">
        <v>1.776</v>
      </c>
      <c r="I244" s="19">
        <v>1.7709999999999999</v>
      </c>
      <c r="J244" s="7"/>
      <c r="K244" s="7"/>
    </row>
    <row r="245" spans="1:11" x14ac:dyDescent="0.2">
      <c r="A245" s="1" t="s">
        <v>297</v>
      </c>
      <c r="B245" s="1" t="str">
        <f t="shared" si="67"/>
        <v>UIM</v>
      </c>
      <c r="C245" s="7"/>
      <c r="D245" s="7">
        <v>0</v>
      </c>
      <c r="E245" s="19">
        <v>0</v>
      </c>
      <c r="F245" s="19">
        <v>0</v>
      </c>
      <c r="G245" s="19">
        <v>0</v>
      </c>
      <c r="H245" s="19">
        <v>0</v>
      </c>
      <c r="I245" s="19">
        <v>0</v>
      </c>
      <c r="J245" s="7"/>
      <c r="K245" s="7"/>
    </row>
    <row r="246" spans="1:11" ht="15" x14ac:dyDescent="0.25">
      <c r="A246" s="30" t="s">
        <v>325</v>
      </c>
      <c r="C246" s="7"/>
      <c r="D246" s="33" t="str">
        <f t="shared" ref="D246:I246" si="68">IF(ROUND(D$17-SUM(D$242:D$245),3)=0,"OK","ERROR")</f>
        <v>OK</v>
      </c>
      <c r="E246" s="45" t="str">
        <f t="shared" si="68"/>
        <v>OK</v>
      </c>
      <c r="F246" s="45" t="str">
        <f t="shared" si="68"/>
        <v>OK</v>
      </c>
      <c r="G246" s="45" t="str">
        <f t="shared" si="68"/>
        <v>OK</v>
      </c>
      <c r="H246" s="45" t="str">
        <f t="shared" si="68"/>
        <v>OK</v>
      </c>
      <c r="I246" s="45" t="str">
        <f t="shared" si="68"/>
        <v>OK</v>
      </c>
      <c r="J246" s="7"/>
      <c r="K246" s="7"/>
    </row>
    <row r="247" spans="1:11" ht="15" x14ac:dyDescent="0.25">
      <c r="A247" s="30" t="s">
        <v>352</v>
      </c>
      <c r="C247" s="7"/>
      <c r="D247" s="7"/>
      <c r="E247" s="19"/>
      <c r="F247" s="19"/>
      <c r="G247" s="19"/>
      <c r="H247" s="19"/>
      <c r="I247" s="19"/>
      <c r="J247" s="7"/>
      <c r="K247" s="7"/>
    </row>
    <row r="248" spans="1:11" x14ac:dyDescent="0.2">
      <c r="A248" s="1" t="s">
        <v>324</v>
      </c>
      <c r="B248" s="1" t="str">
        <f t="shared" ref="B248:B251" si="69">$B$11</f>
        <v>UIM</v>
      </c>
      <c r="C248" s="7"/>
      <c r="D248" s="7">
        <v>36.857999999999997</v>
      </c>
      <c r="E248" s="19">
        <v>38.695999999999998</v>
      </c>
      <c r="F248" s="19">
        <v>40.316000000000003</v>
      </c>
      <c r="G248" s="19">
        <v>40.131999999999998</v>
      </c>
      <c r="H248" s="19">
        <v>39.956000000000003</v>
      </c>
      <c r="I248" s="19">
        <v>40.170999999999999</v>
      </c>
      <c r="J248" s="7"/>
      <c r="K248" s="7"/>
    </row>
    <row r="249" spans="1:11" x14ac:dyDescent="0.2">
      <c r="A249" s="1" t="s">
        <v>295</v>
      </c>
      <c r="B249" s="1" t="str">
        <f t="shared" si="69"/>
        <v>UIM</v>
      </c>
      <c r="C249" s="7"/>
      <c r="D249" s="7">
        <v>17.914000000000001</v>
      </c>
      <c r="E249" s="19">
        <v>18.533999999999999</v>
      </c>
      <c r="F249" s="19">
        <v>19.023</v>
      </c>
      <c r="G249" s="19">
        <v>19.042999999999999</v>
      </c>
      <c r="H249" s="19">
        <v>19.018000000000001</v>
      </c>
      <c r="I249" s="19">
        <v>19.044</v>
      </c>
      <c r="J249" s="7"/>
      <c r="K249" s="7"/>
    </row>
    <row r="250" spans="1:11" x14ac:dyDescent="0.2">
      <c r="A250" s="1" t="s">
        <v>296</v>
      </c>
      <c r="B250" s="1" t="str">
        <f t="shared" si="69"/>
        <v>UIM</v>
      </c>
      <c r="C250" s="7"/>
      <c r="D250" s="7">
        <v>9.3330000000000002</v>
      </c>
      <c r="E250" s="19">
        <v>9.0609999999999999</v>
      </c>
      <c r="F250" s="19">
        <v>9.3320000000000007</v>
      </c>
      <c r="G250" s="19">
        <v>9.7219999999999995</v>
      </c>
      <c r="H250" s="19">
        <v>9.8810000000000002</v>
      </c>
      <c r="I250" s="19">
        <v>9.9710000000000001</v>
      </c>
      <c r="J250" s="7"/>
      <c r="K250" s="7"/>
    </row>
    <row r="251" spans="1:11" x14ac:dyDescent="0.2">
      <c r="A251" s="1" t="s">
        <v>297</v>
      </c>
      <c r="B251" s="1" t="str">
        <f t="shared" si="69"/>
        <v>UIM</v>
      </c>
      <c r="C251" s="7"/>
      <c r="D251" s="7">
        <v>-28.195</v>
      </c>
      <c r="E251" s="19">
        <v>-28.988</v>
      </c>
      <c r="F251" s="19">
        <v>-30.004999999999999</v>
      </c>
      <c r="G251" s="19">
        <v>-30.263999999999999</v>
      </c>
      <c r="H251" s="19">
        <v>-30.381</v>
      </c>
      <c r="I251" s="19">
        <v>-30.538</v>
      </c>
      <c r="J251" s="7"/>
      <c r="K251" s="7"/>
    </row>
    <row r="252" spans="1:11" ht="15" x14ac:dyDescent="0.25">
      <c r="A252" s="30" t="s">
        <v>326</v>
      </c>
      <c r="C252" s="7"/>
      <c r="D252" s="33" t="str">
        <f t="shared" ref="D252:I252" si="70">IF(ROUND(D$18-SUM(D$248:D$251),3)=0,"OK","ERROR")</f>
        <v>OK</v>
      </c>
      <c r="E252" s="45" t="str">
        <f t="shared" si="70"/>
        <v>OK</v>
      </c>
      <c r="F252" s="45" t="str">
        <f t="shared" si="70"/>
        <v>OK</v>
      </c>
      <c r="G252" s="45" t="str">
        <f t="shared" si="70"/>
        <v>OK</v>
      </c>
      <c r="H252" s="45" t="str">
        <f t="shared" si="70"/>
        <v>OK</v>
      </c>
      <c r="I252" s="45" t="str">
        <f t="shared" si="70"/>
        <v>OK</v>
      </c>
      <c r="J252" s="7"/>
      <c r="K252" s="7"/>
    </row>
    <row r="253" spans="1:11" ht="15" x14ac:dyDescent="0.25">
      <c r="A253" s="30" t="s">
        <v>327</v>
      </c>
      <c r="C253" s="7"/>
      <c r="D253" s="7"/>
      <c r="E253" s="19"/>
      <c r="F253" s="19"/>
      <c r="G253" s="19"/>
      <c r="H253" s="19"/>
      <c r="I253" s="19"/>
      <c r="J253" s="7"/>
      <c r="K253" s="7"/>
    </row>
    <row r="254" spans="1:11" x14ac:dyDescent="0.2">
      <c r="A254" s="1" t="s">
        <v>295</v>
      </c>
      <c r="B254" s="1" t="str">
        <f t="shared" ref="B254:B256" si="71">$B$11</f>
        <v>UIM</v>
      </c>
      <c r="C254" s="7"/>
      <c r="D254" s="7">
        <v>0.221</v>
      </c>
      <c r="E254" s="19">
        <v>0.17599999999999999</v>
      </c>
      <c r="F254" s="19">
        <v>0.20899999999999999</v>
      </c>
      <c r="G254" s="19">
        <v>0.20399999999999999</v>
      </c>
      <c r="H254" s="19">
        <v>0.20699999999999999</v>
      </c>
      <c r="I254" s="19">
        <v>0.20699999999999999</v>
      </c>
      <c r="J254" s="7"/>
      <c r="K254" s="7"/>
    </row>
    <row r="255" spans="1:11" x14ac:dyDescent="0.2">
      <c r="A255" s="1" t="s">
        <v>296</v>
      </c>
      <c r="B255" s="1" t="str">
        <f t="shared" si="71"/>
        <v>UIM</v>
      </c>
      <c r="C255" s="7"/>
      <c r="D255" s="7">
        <v>1.28</v>
      </c>
      <c r="E255" s="19">
        <v>1.246</v>
      </c>
      <c r="F255" s="19">
        <v>1.276</v>
      </c>
      <c r="G255" s="19">
        <v>1.381</v>
      </c>
      <c r="H255" s="19">
        <v>1.42</v>
      </c>
      <c r="I255" s="19">
        <v>1.5049999999999999</v>
      </c>
      <c r="J255" s="7"/>
      <c r="K255" s="7"/>
    </row>
    <row r="256" spans="1:11" x14ac:dyDescent="0.2">
      <c r="A256" s="1" t="s">
        <v>297</v>
      </c>
      <c r="B256" s="1" t="str">
        <f t="shared" si="71"/>
        <v>UIM</v>
      </c>
      <c r="C256" s="7"/>
      <c r="D256" s="7">
        <v>-0.72099999999999997</v>
      </c>
      <c r="E256" s="19">
        <v>-0.59699999999999998</v>
      </c>
      <c r="F256" s="19">
        <v>-0.60099999999999998</v>
      </c>
      <c r="G256" s="19">
        <v>-0.55400000000000005</v>
      </c>
      <c r="H256" s="19">
        <v>-0.55900000000000005</v>
      </c>
      <c r="I256" s="19">
        <v>-0.59199999999999997</v>
      </c>
      <c r="J256" s="7"/>
      <c r="K256" s="7"/>
    </row>
    <row r="257" spans="1:11" ht="15" x14ac:dyDescent="0.25">
      <c r="A257" s="30" t="s">
        <v>328</v>
      </c>
      <c r="C257" s="7"/>
      <c r="D257" s="33" t="str">
        <f t="shared" ref="D257:I257" si="72">IF(ROUND(D$19-SUM(D$159,D$254:D$256),3)=0,"OK","ERROR")</f>
        <v>OK</v>
      </c>
      <c r="E257" s="45" t="str">
        <f t="shared" si="72"/>
        <v>OK</v>
      </c>
      <c r="F257" s="45" t="str">
        <f t="shared" si="72"/>
        <v>OK</v>
      </c>
      <c r="G257" s="45" t="str">
        <f t="shared" si="72"/>
        <v>OK</v>
      </c>
      <c r="H257" s="45" t="str">
        <f t="shared" si="72"/>
        <v>OK</v>
      </c>
      <c r="I257" s="45" t="str">
        <f t="shared" si="72"/>
        <v>OK</v>
      </c>
      <c r="J257" s="7"/>
      <c r="K257" s="7"/>
    </row>
    <row r="258" spans="1:11" ht="15" x14ac:dyDescent="0.25">
      <c r="A258" s="30" t="s">
        <v>163</v>
      </c>
      <c r="C258" s="7"/>
      <c r="D258" s="34"/>
      <c r="E258" s="46"/>
      <c r="F258" s="46"/>
      <c r="G258" s="46"/>
      <c r="H258" s="46"/>
      <c r="I258" s="46"/>
      <c r="J258" s="7"/>
      <c r="K258" s="7"/>
    </row>
    <row r="259" spans="1:11" x14ac:dyDescent="0.2">
      <c r="A259" s="1" t="s">
        <v>329</v>
      </c>
      <c r="B259" s="1" t="str">
        <f t="shared" ref="B259:B261" si="73">$B$11</f>
        <v>UIM</v>
      </c>
      <c r="C259" s="7"/>
      <c r="D259" s="7">
        <v>4.1040000000000001</v>
      </c>
      <c r="E259" s="19">
        <v>4.0789999999999997</v>
      </c>
      <c r="F259" s="19">
        <v>4.2510000000000003</v>
      </c>
      <c r="G259" s="19">
        <v>4.2880000000000003</v>
      </c>
      <c r="H259" s="19">
        <v>4.62</v>
      </c>
      <c r="I259" s="19">
        <v>4.8840000000000003</v>
      </c>
      <c r="J259" s="7"/>
      <c r="K259" s="7"/>
    </row>
    <row r="260" spans="1:11" x14ac:dyDescent="0.2">
      <c r="A260" s="1" t="s">
        <v>330</v>
      </c>
      <c r="B260" s="1" t="str">
        <f t="shared" si="73"/>
        <v>UIM</v>
      </c>
      <c r="C260" s="7"/>
      <c r="D260" s="7">
        <v>-0.35699999999999998</v>
      </c>
      <c r="E260" s="19">
        <v>0.128</v>
      </c>
      <c r="F260" s="19">
        <v>3.4000000000000002E-2</v>
      </c>
      <c r="G260" s="19">
        <v>0.14099999999999999</v>
      </c>
      <c r="H260" s="19">
        <v>0.19500000000000001</v>
      </c>
      <c r="I260" s="19">
        <v>0.20399999999999999</v>
      </c>
      <c r="J260" s="7"/>
      <c r="K260" s="7"/>
    </row>
    <row r="261" spans="1:11" x14ac:dyDescent="0.2">
      <c r="A261" s="1" t="s">
        <v>346</v>
      </c>
      <c r="B261" s="1" t="str">
        <f t="shared" si="73"/>
        <v>UIM</v>
      </c>
      <c r="C261" s="7"/>
      <c r="D261" s="7">
        <v>0.36299999999999999</v>
      </c>
      <c r="E261" s="19">
        <v>0.128</v>
      </c>
      <c r="F261" s="19">
        <v>-4.5999999999999999E-2</v>
      </c>
      <c r="G261" s="19">
        <v>-1.7000000000000001E-2</v>
      </c>
      <c r="H261" s="19">
        <v>3.0000000000000001E-3</v>
      </c>
      <c r="I261" s="19">
        <v>0.01</v>
      </c>
      <c r="J261" s="7"/>
      <c r="K261" s="7"/>
    </row>
    <row r="262" spans="1:11" ht="15.75" customHeight="1" x14ac:dyDescent="0.25">
      <c r="A262" s="30" t="s">
        <v>331</v>
      </c>
      <c r="C262" s="7"/>
      <c r="D262" s="33" t="str">
        <f t="shared" ref="D262:I262" si="74">IF(ROUND(D$20-SUM(D$259:D$261),3)=0,"OK","ERROR")</f>
        <v>OK</v>
      </c>
      <c r="E262" s="45" t="str">
        <f t="shared" si="74"/>
        <v>OK</v>
      </c>
      <c r="F262" s="45" t="str">
        <f t="shared" si="74"/>
        <v>OK</v>
      </c>
      <c r="G262" s="45" t="str">
        <f t="shared" si="74"/>
        <v>OK</v>
      </c>
      <c r="H262" s="45" t="str">
        <f t="shared" si="74"/>
        <v>OK</v>
      </c>
      <c r="I262" s="45" t="str">
        <f t="shared" si="74"/>
        <v>OK</v>
      </c>
      <c r="J262" s="7"/>
      <c r="K262" s="7"/>
    </row>
    <row r="263" spans="1:11" ht="15" x14ac:dyDescent="0.25">
      <c r="A263" s="30" t="s">
        <v>164</v>
      </c>
      <c r="C263" s="7"/>
      <c r="D263" s="7"/>
      <c r="E263" s="19"/>
      <c r="F263" s="19"/>
      <c r="G263" s="19"/>
      <c r="H263" s="19"/>
      <c r="I263" s="19"/>
      <c r="J263" s="7"/>
      <c r="K263" s="7"/>
    </row>
    <row r="264" spans="1:11" x14ac:dyDescent="0.2">
      <c r="A264" s="1" t="s">
        <v>353</v>
      </c>
      <c r="B264" s="1" t="str">
        <f t="shared" ref="B264:B268" si="75">$B$11</f>
        <v>UIM</v>
      </c>
      <c r="C264" s="7"/>
      <c r="D264" s="7">
        <v>0</v>
      </c>
      <c r="E264" s="19">
        <v>2E-3</v>
      </c>
      <c r="F264" s="19">
        <v>0.53400000000000003</v>
      </c>
      <c r="G264" s="19">
        <v>0.43099999999999999</v>
      </c>
      <c r="H264" s="19">
        <v>0.49099999999999999</v>
      </c>
      <c r="I264" s="19">
        <v>0.51400000000000001</v>
      </c>
      <c r="J264" s="7"/>
      <c r="K264" s="7"/>
    </row>
    <row r="265" spans="1:11" x14ac:dyDescent="0.2">
      <c r="A265" s="1" t="s">
        <v>354</v>
      </c>
      <c r="B265" s="1" t="str">
        <f t="shared" si="75"/>
        <v>UIM</v>
      </c>
      <c r="C265" s="7"/>
      <c r="D265" s="7">
        <v>0</v>
      </c>
      <c r="E265" s="19">
        <v>0</v>
      </c>
      <c r="F265" s="19">
        <v>0</v>
      </c>
      <c r="G265" s="19">
        <v>0</v>
      </c>
      <c r="H265" s="19">
        <v>0</v>
      </c>
      <c r="I265" s="19">
        <v>0</v>
      </c>
      <c r="J265" s="7"/>
      <c r="K265" s="7"/>
    </row>
    <row r="266" spans="1:11" x14ac:dyDescent="0.2">
      <c r="A266" s="1" t="s">
        <v>355</v>
      </c>
      <c r="B266" s="1" t="str">
        <f t="shared" si="75"/>
        <v>UIM</v>
      </c>
      <c r="C266" s="7"/>
      <c r="D266" s="7">
        <v>0</v>
      </c>
      <c r="E266" s="19">
        <v>0</v>
      </c>
      <c r="F266" s="19">
        <v>0</v>
      </c>
      <c r="G266" s="19">
        <v>1.4159999999999999</v>
      </c>
      <c r="H266" s="19">
        <v>1.391</v>
      </c>
      <c r="I266" s="19">
        <v>1.3620000000000001</v>
      </c>
      <c r="J266" s="7"/>
      <c r="K266" s="7"/>
    </row>
    <row r="267" spans="1:11" x14ac:dyDescent="0.2">
      <c r="A267" s="1" t="s">
        <v>356</v>
      </c>
      <c r="B267" s="1" t="str">
        <f t="shared" si="75"/>
        <v>UIM</v>
      </c>
      <c r="C267" s="7"/>
      <c r="D267" s="7">
        <v>0</v>
      </c>
      <c r="E267" s="19">
        <v>0</v>
      </c>
      <c r="F267" s="19">
        <v>0</v>
      </c>
      <c r="G267" s="19">
        <v>0</v>
      </c>
      <c r="H267" s="19">
        <v>1.5</v>
      </c>
      <c r="I267" s="19">
        <v>1.5</v>
      </c>
      <c r="J267" s="7"/>
      <c r="K267" s="7"/>
    </row>
    <row r="268" spans="1:11" x14ac:dyDescent="0.2">
      <c r="A268" s="1" t="s">
        <v>357</v>
      </c>
      <c r="B268" s="1" t="str">
        <f t="shared" si="75"/>
        <v>UIM</v>
      </c>
      <c r="C268" s="7"/>
      <c r="D268" s="7">
        <v>0</v>
      </c>
      <c r="E268" s="19">
        <v>0</v>
      </c>
      <c r="F268" s="19">
        <v>0</v>
      </c>
      <c r="G268" s="19">
        <v>0</v>
      </c>
      <c r="H268" s="19">
        <v>0</v>
      </c>
      <c r="I268" s="19">
        <v>1.5</v>
      </c>
      <c r="J268" s="7"/>
      <c r="K268" s="7"/>
    </row>
    <row r="269" spans="1:11" ht="15" x14ac:dyDescent="0.25">
      <c r="A269" s="30" t="s">
        <v>365</v>
      </c>
      <c r="C269" s="7"/>
      <c r="D269" s="33" t="str">
        <f t="shared" ref="D269:I269" si="76">IF(ROUND(D$21-SUM(D$264:D$268),3)=0,"OK","ERROR")</f>
        <v>OK</v>
      </c>
      <c r="E269" s="45" t="str">
        <f t="shared" si="76"/>
        <v>OK</v>
      </c>
      <c r="F269" s="45" t="str">
        <f t="shared" si="76"/>
        <v>OK</v>
      </c>
      <c r="G269" s="45" t="str">
        <f t="shared" si="76"/>
        <v>OK</v>
      </c>
      <c r="H269" s="45" t="str">
        <f t="shared" si="76"/>
        <v>OK</v>
      </c>
      <c r="I269" s="45" t="str">
        <f t="shared" si="76"/>
        <v>OK</v>
      </c>
      <c r="J269" s="7"/>
      <c r="K269" s="7"/>
    </row>
    <row r="270" spans="1:11" ht="15" x14ac:dyDescent="0.25">
      <c r="A270" s="30" t="s">
        <v>358</v>
      </c>
      <c r="C270" s="7"/>
      <c r="D270" s="7"/>
      <c r="E270" s="19"/>
      <c r="F270" s="19"/>
      <c r="G270" s="19"/>
      <c r="H270" s="19"/>
      <c r="I270" s="19"/>
      <c r="J270" s="7"/>
      <c r="K270" s="7"/>
    </row>
    <row r="271" spans="1:11" x14ac:dyDescent="0.2">
      <c r="A271" s="1" t="s">
        <v>353</v>
      </c>
      <c r="B271" s="1" t="str">
        <f t="shared" ref="B271:B278" si="77">$B$11</f>
        <v>UIM</v>
      </c>
      <c r="C271" s="7"/>
      <c r="D271" s="7">
        <v>0</v>
      </c>
      <c r="E271" s="19">
        <v>3.1E-2</v>
      </c>
      <c r="F271" s="19">
        <v>0.48699999999999999</v>
      </c>
      <c r="G271" s="19">
        <v>0.33700000000000002</v>
      </c>
      <c r="H271" s="19">
        <v>0.04</v>
      </c>
      <c r="I271" s="19">
        <v>8.0000000000000002E-3</v>
      </c>
      <c r="J271" s="7"/>
      <c r="K271" s="7"/>
    </row>
    <row r="272" spans="1:11" x14ac:dyDescent="0.2">
      <c r="A272" s="1" t="s">
        <v>359</v>
      </c>
      <c r="B272" s="1" t="str">
        <f t="shared" si="77"/>
        <v>UIM</v>
      </c>
      <c r="C272" s="7"/>
      <c r="D272" s="7">
        <v>0</v>
      </c>
      <c r="E272" s="19">
        <v>0</v>
      </c>
      <c r="F272" s="19">
        <v>0</v>
      </c>
      <c r="G272" s="19">
        <v>0</v>
      </c>
      <c r="H272" s="19">
        <v>0</v>
      </c>
      <c r="I272" s="19">
        <v>0</v>
      </c>
      <c r="J272" s="7"/>
      <c r="K272" s="7"/>
    </row>
    <row r="273" spans="1:11" x14ac:dyDescent="0.2">
      <c r="A273" s="1" t="s">
        <v>360</v>
      </c>
      <c r="B273" s="1" t="str">
        <f t="shared" si="77"/>
        <v>UIM</v>
      </c>
      <c r="C273" s="7"/>
      <c r="D273" s="7">
        <v>0</v>
      </c>
      <c r="E273" s="19">
        <v>0</v>
      </c>
      <c r="F273" s="19">
        <v>0.1</v>
      </c>
      <c r="G273" s="19">
        <v>0.3</v>
      </c>
      <c r="H273" s="19">
        <v>0.25</v>
      </c>
      <c r="I273" s="19">
        <v>0.25</v>
      </c>
      <c r="J273" s="7"/>
      <c r="K273" s="7"/>
    </row>
    <row r="274" spans="1:11" x14ac:dyDescent="0.2">
      <c r="A274" s="1" t="s">
        <v>361</v>
      </c>
      <c r="B274" s="1" t="str">
        <f t="shared" si="77"/>
        <v>UIM</v>
      </c>
      <c r="C274" s="7"/>
      <c r="D274" s="7">
        <v>0</v>
      </c>
      <c r="E274" s="19">
        <v>0</v>
      </c>
      <c r="F274" s="19">
        <v>0</v>
      </c>
      <c r="G274" s="19">
        <v>0.1</v>
      </c>
      <c r="H274" s="19">
        <v>0.3</v>
      </c>
      <c r="I274" s="19">
        <v>0.25</v>
      </c>
      <c r="J274" s="7"/>
      <c r="K274" s="7"/>
    </row>
    <row r="275" spans="1:11" x14ac:dyDescent="0.2">
      <c r="A275" s="1" t="s">
        <v>362</v>
      </c>
      <c r="B275" s="1" t="str">
        <f t="shared" si="77"/>
        <v>UIM</v>
      </c>
      <c r="C275" s="7"/>
      <c r="D275" s="7">
        <v>0</v>
      </c>
      <c r="E275" s="19">
        <v>0</v>
      </c>
      <c r="F275" s="19">
        <v>0</v>
      </c>
      <c r="G275" s="19">
        <v>0</v>
      </c>
      <c r="H275" s="19">
        <v>0.1</v>
      </c>
      <c r="I275" s="19">
        <v>0.3</v>
      </c>
      <c r="J275" s="7"/>
      <c r="K275" s="7"/>
    </row>
    <row r="276" spans="1:11" x14ac:dyDescent="0.2">
      <c r="A276" s="1" t="s">
        <v>363</v>
      </c>
      <c r="B276" s="1" t="str">
        <f t="shared" si="77"/>
        <v>UIM</v>
      </c>
      <c r="C276" s="7"/>
      <c r="D276" s="7">
        <v>0</v>
      </c>
      <c r="E276" s="19">
        <v>0</v>
      </c>
      <c r="F276" s="19">
        <v>0</v>
      </c>
      <c r="G276" s="19">
        <v>0</v>
      </c>
      <c r="H276" s="19">
        <v>0</v>
      </c>
      <c r="I276" s="19">
        <v>0.1</v>
      </c>
      <c r="J276" s="7"/>
      <c r="K276" s="7"/>
    </row>
    <row r="277" spans="1:11" ht="15" x14ac:dyDescent="0.25">
      <c r="A277" s="30" t="s">
        <v>366</v>
      </c>
      <c r="C277" s="7"/>
      <c r="D277" s="33" t="str">
        <f>IF(ROUND(D$124-SUM($C$271:D$276),3)=0,"OK","ERROR")</f>
        <v>OK</v>
      </c>
      <c r="E277" s="45" t="str">
        <f>IF(ROUND(E$124-SUM($C$271:E$276),3)=0,"OK","ERROR")</f>
        <v>OK</v>
      </c>
      <c r="F277" s="45" t="str">
        <f>IF(ROUND(F$124-SUM($C$271:F$276),3)=0,"OK","ERROR")</f>
        <v>OK</v>
      </c>
      <c r="G277" s="45" t="str">
        <f>IF(ROUND(G$124-SUM($C$271:G$276),3)=0,"OK","ERROR")</f>
        <v>OK</v>
      </c>
      <c r="H277" s="45" t="str">
        <f>IF(ROUND(H$124-SUM($C$271:H$276),3)=0,"OK","ERROR")</f>
        <v>OK</v>
      </c>
      <c r="I277" s="45" t="str">
        <f>IF(ROUND(I$124-SUM($C$271:I$276),3)=0,"OK","ERROR")</f>
        <v>OK</v>
      </c>
      <c r="J277" s="7"/>
      <c r="K277" s="7"/>
    </row>
    <row r="278" spans="1:11" x14ac:dyDescent="0.2">
      <c r="A278" s="1" t="s">
        <v>364</v>
      </c>
      <c r="B278" s="1" t="str">
        <f t="shared" si="77"/>
        <v>UIM</v>
      </c>
      <c r="C278" s="7"/>
      <c r="D278" s="7">
        <v>0</v>
      </c>
      <c r="E278" s="19">
        <v>0</v>
      </c>
      <c r="F278" s="19">
        <v>0.9</v>
      </c>
      <c r="G278" s="19">
        <v>0.9</v>
      </c>
      <c r="H278" s="19">
        <v>0.9</v>
      </c>
      <c r="I278" s="19">
        <v>0.9</v>
      </c>
      <c r="J278" s="7"/>
      <c r="K278" s="7"/>
    </row>
    <row r="279" spans="1:11" ht="15" x14ac:dyDescent="0.25">
      <c r="A279" s="30" t="s">
        <v>384</v>
      </c>
      <c r="C279" s="7"/>
      <c r="D279" s="7"/>
      <c r="E279" s="19"/>
      <c r="F279" s="19"/>
      <c r="G279" s="19"/>
      <c r="H279" s="19"/>
      <c r="I279" s="19"/>
      <c r="J279" s="7"/>
      <c r="K279" s="7"/>
    </row>
    <row r="280" spans="1:11" x14ac:dyDescent="0.2">
      <c r="A280" s="1" t="s">
        <v>324</v>
      </c>
      <c r="B280" s="1" t="str">
        <f>$B$9</f>
        <v>NAC</v>
      </c>
      <c r="C280" s="7"/>
      <c r="D280" s="7">
        <v>4.3890000000000002</v>
      </c>
      <c r="E280" s="19">
        <v>-5.2999999999999999E-2</v>
      </c>
      <c r="F280" s="19">
        <v>1.9710000000000001</v>
      </c>
      <c r="G280" s="19">
        <v>2.0760000000000001</v>
      </c>
      <c r="H280" s="19">
        <v>2.2370000000000001</v>
      </c>
      <c r="I280" s="19">
        <v>2.423</v>
      </c>
      <c r="J280" s="7"/>
      <c r="K280" s="7"/>
    </row>
    <row r="281" spans="1:11" x14ac:dyDescent="0.2">
      <c r="A281" s="1" t="s">
        <v>295</v>
      </c>
      <c r="B281" s="1" t="str">
        <f>$B$11</f>
        <v>UIM</v>
      </c>
      <c r="C281" s="7"/>
      <c r="D281" s="7">
        <v>2.7519999999999998</v>
      </c>
      <c r="E281" s="19">
        <v>1.125</v>
      </c>
      <c r="F281" s="19">
        <v>0.29399999999999998</v>
      </c>
      <c r="G281" s="19">
        <v>0.33800000000000002</v>
      </c>
      <c r="H281" s="19">
        <v>0.38400000000000001</v>
      </c>
      <c r="I281" s="19">
        <v>0.42599999999999999</v>
      </c>
      <c r="J281" s="7"/>
      <c r="K281" s="7"/>
    </row>
    <row r="282" spans="1:11" x14ac:dyDescent="0.2">
      <c r="A282" s="1" t="s">
        <v>385</v>
      </c>
      <c r="B282" s="1" t="str">
        <f>$B$11</f>
        <v>UIM</v>
      </c>
      <c r="C282" s="7"/>
      <c r="D282" s="7">
        <v>-6.3E-2</v>
      </c>
      <c r="E282" s="19">
        <v>0.182</v>
      </c>
      <c r="F282" s="19">
        <v>0.03</v>
      </c>
      <c r="G282" s="19">
        <v>4.3999999999999997E-2</v>
      </c>
      <c r="H282" s="19">
        <v>1.4999999999999999E-2</v>
      </c>
      <c r="I282" s="19">
        <v>1.4E-2</v>
      </c>
      <c r="J282" s="7"/>
      <c r="K282" s="7"/>
    </row>
    <row r="283" spans="1:11" x14ac:dyDescent="0.2">
      <c r="A283" s="1" t="s">
        <v>297</v>
      </c>
      <c r="B283" s="1" t="str">
        <f>$B$9</f>
        <v>NAC</v>
      </c>
      <c r="C283" s="7"/>
      <c r="D283" s="7">
        <v>-0.88200000000000001</v>
      </c>
      <c r="E283" s="19">
        <v>-0.21299999999999999</v>
      </c>
      <c r="F283" s="19">
        <v>-0.184</v>
      </c>
      <c r="G283" s="19">
        <v>-0.185</v>
      </c>
      <c r="H283" s="19">
        <v>-0.20200000000000001</v>
      </c>
      <c r="I283" s="19">
        <v>-0.223</v>
      </c>
      <c r="J283" s="7"/>
      <c r="K283" s="7"/>
    </row>
    <row r="284" spans="1:11" ht="15" x14ac:dyDescent="0.25">
      <c r="A284" s="30" t="s">
        <v>429</v>
      </c>
      <c r="C284" s="7"/>
      <c r="D284" s="33" t="str">
        <f t="shared" ref="D284:I284" si="78">IF(ROUND(D$26-SUM(D$280:D$283),3)=0,"OK","ERROR")</f>
        <v>OK</v>
      </c>
      <c r="E284" s="45" t="str">
        <f t="shared" si="78"/>
        <v>OK</v>
      </c>
      <c r="F284" s="45" t="str">
        <f t="shared" si="78"/>
        <v>OK</v>
      </c>
      <c r="G284" s="45" t="str">
        <f t="shared" si="78"/>
        <v>OK</v>
      </c>
      <c r="H284" s="45" t="str">
        <f t="shared" si="78"/>
        <v>OK</v>
      </c>
      <c r="I284" s="45" t="str">
        <f t="shared" si="78"/>
        <v>OK</v>
      </c>
      <c r="J284" s="7"/>
      <c r="K284" s="7"/>
    </row>
    <row r="285" spans="1:11" ht="15" x14ac:dyDescent="0.25">
      <c r="A285" s="30" t="s">
        <v>386</v>
      </c>
      <c r="C285" s="7"/>
      <c r="D285" s="34"/>
      <c r="E285" s="46"/>
      <c r="F285" s="46"/>
      <c r="G285" s="46"/>
      <c r="H285" s="46"/>
      <c r="I285" s="46"/>
      <c r="J285" s="7"/>
      <c r="K285" s="7"/>
    </row>
    <row r="286" spans="1:11" x14ac:dyDescent="0.2">
      <c r="A286" s="1" t="s">
        <v>324</v>
      </c>
      <c r="B286" s="1" t="str">
        <f>$B$9</f>
        <v>NAC</v>
      </c>
      <c r="C286" s="7"/>
      <c r="D286" s="7">
        <v>-0.71899999999999997</v>
      </c>
      <c r="E286" s="19">
        <v>-1.431</v>
      </c>
      <c r="F286" s="19">
        <v>-3.0000000000000001E-3</v>
      </c>
      <c r="G286" s="19">
        <v>-1E-3</v>
      </c>
      <c r="H286" s="19">
        <v>-1E-3</v>
      </c>
      <c r="I286" s="19">
        <v>-1E-3</v>
      </c>
      <c r="J286" s="7"/>
      <c r="K286" s="7"/>
    </row>
    <row r="287" spans="1:11" x14ac:dyDescent="0.2">
      <c r="A287" s="1" t="s">
        <v>295</v>
      </c>
      <c r="B287" s="1" t="str">
        <f>$B$11</f>
        <v>UIM</v>
      </c>
      <c r="C287" s="7"/>
      <c r="D287" s="7">
        <v>-1.335</v>
      </c>
      <c r="E287" s="19">
        <v>-3.0960000000000001</v>
      </c>
      <c r="F287" s="19">
        <v>-5.0999999999999997E-2</v>
      </c>
      <c r="G287" s="19">
        <v>-4.3999999999999997E-2</v>
      </c>
      <c r="H287" s="19">
        <v>-8.2000000000000003E-2</v>
      </c>
      <c r="I287" s="19">
        <v>-6.0000000000000001E-3</v>
      </c>
      <c r="J287" s="7"/>
      <c r="K287" s="7"/>
    </row>
    <row r="288" spans="1:11" x14ac:dyDescent="0.2">
      <c r="A288" s="1" t="s">
        <v>385</v>
      </c>
      <c r="B288" s="1" t="str">
        <f>$B$11</f>
        <v>UIM</v>
      </c>
      <c r="C288" s="7"/>
      <c r="D288" s="7">
        <v>0.40500000000000003</v>
      </c>
      <c r="E288" s="19">
        <v>3.1E-2</v>
      </c>
      <c r="F288" s="19">
        <v>0</v>
      </c>
      <c r="G288" s="19">
        <v>0</v>
      </c>
      <c r="H288" s="19">
        <v>0</v>
      </c>
      <c r="I288" s="19">
        <v>0</v>
      </c>
      <c r="J288" s="7"/>
      <c r="K288" s="7"/>
    </row>
    <row r="289" spans="1:11" x14ac:dyDescent="0.2">
      <c r="A289" s="1" t="s">
        <v>297</v>
      </c>
      <c r="B289" s="1" t="str">
        <f>$B$9</f>
        <v>NAC</v>
      </c>
      <c r="C289" s="7"/>
      <c r="D289" s="7">
        <v>0</v>
      </c>
      <c r="E289" s="19">
        <v>0</v>
      </c>
      <c r="F289" s="19">
        <v>0</v>
      </c>
      <c r="G289" s="19">
        <v>0</v>
      </c>
      <c r="H289" s="19">
        <v>0</v>
      </c>
      <c r="I289" s="19">
        <v>0</v>
      </c>
      <c r="J289" s="7"/>
      <c r="K289" s="7"/>
    </row>
    <row r="290" spans="1:11" ht="15" x14ac:dyDescent="0.25">
      <c r="A290" s="30" t="s">
        <v>430</v>
      </c>
      <c r="C290" s="7"/>
      <c r="D290" s="33" t="str">
        <f t="shared" ref="D290:I290" si="79">IF(ROUND(D$27-SUM(D$286:D$289),3)=0,"OK","ERROR")</f>
        <v>OK</v>
      </c>
      <c r="E290" s="45" t="str">
        <f t="shared" si="79"/>
        <v>OK</v>
      </c>
      <c r="F290" s="45" t="str">
        <f t="shared" si="79"/>
        <v>OK</v>
      </c>
      <c r="G290" s="45" t="str">
        <f t="shared" si="79"/>
        <v>OK</v>
      </c>
      <c r="H290" s="45" t="str">
        <f t="shared" si="79"/>
        <v>OK</v>
      </c>
      <c r="I290" s="45" t="str">
        <f t="shared" si="79"/>
        <v>OK</v>
      </c>
      <c r="J290" s="7"/>
      <c r="K290" s="7"/>
    </row>
    <row r="291" spans="1:11" ht="15" x14ac:dyDescent="0.25">
      <c r="A291" s="30" t="s">
        <v>697</v>
      </c>
      <c r="C291" s="7"/>
      <c r="D291" s="34"/>
      <c r="E291" s="46"/>
      <c r="F291" s="46"/>
      <c r="G291" s="46"/>
      <c r="H291" s="46"/>
      <c r="I291" s="46"/>
      <c r="J291" s="7"/>
      <c r="K291" s="7"/>
    </row>
    <row r="292" spans="1:11" x14ac:dyDescent="0.2">
      <c r="A292" s="1" t="s">
        <v>324</v>
      </c>
      <c r="B292" s="1" t="str">
        <f>$B$9</f>
        <v>NAC</v>
      </c>
      <c r="C292" s="7"/>
      <c r="D292" s="7">
        <v>3.879</v>
      </c>
      <c r="E292" s="19">
        <v>-0.437</v>
      </c>
      <c r="F292" s="19">
        <v>3.2170000000000001</v>
      </c>
      <c r="G292" s="19">
        <v>4.548</v>
      </c>
      <c r="H292" s="19">
        <v>7.3079999999999998</v>
      </c>
      <c r="I292" s="19">
        <v>9.11</v>
      </c>
      <c r="J292" s="7"/>
      <c r="K292" s="7"/>
    </row>
    <row r="293" spans="1:11" x14ac:dyDescent="0.2">
      <c r="A293" s="1" t="s">
        <v>295</v>
      </c>
      <c r="B293" s="1" t="str">
        <f t="shared" ref="B293:B295" si="80">$B$9</f>
        <v>NAC</v>
      </c>
      <c r="C293" s="7"/>
      <c r="D293" s="7">
        <v>2.786</v>
      </c>
      <c r="E293" s="19">
        <v>-2.1110000000000002</v>
      </c>
      <c r="F293" s="19">
        <v>0.17799999999999999</v>
      </c>
      <c r="G293" s="19">
        <v>0.35099999999999998</v>
      </c>
      <c r="H293" s="19">
        <v>0.312</v>
      </c>
      <c r="I293" s="19">
        <v>0.45200000000000001</v>
      </c>
      <c r="J293" s="7"/>
      <c r="K293" s="7"/>
    </row>
    <row r="294" spans="1:11" x14ac:dyDescent="0.2">
      <c r="A294" s="1" t="s">
        <v>385</v>
      </c>
      <c r="B294" s="1" t="str">
        <f t="shared" si="80"/>
        <v>NAC</v>
      </c>
      <c r="C294" s="7"/>
      <c r="D294" s="7">
        <v>0.68899999999999995</v>
      </c>
      <c r="E294" s="19">
        <v>0.873</v>
      </c>
      <c r="F294" s="19">
        <v>0.76700000000000002</v>
      </c>
      <c r="G294" s="19">
        <v>0.84799999999999998</v>
      </c>
      <c r="H294" s="19">
        <v>0.878</v>
      </c>
      <c r="I294" s="19">
        <v>0.97499999999999998</v>
      </c>
      <c r="J294" s="7"/>
      <c r="K294" s="7"/>
    </row>
    <row r="295" spans="1:11" x14ac:dyDescent="0.2">
      <c r="A295" s="1" t="s">
        <v>297</v>
      </c>
      <c r="B295" s="1" t="str">
        <f t="shared" si="80"/>
        <v>NAC</v>
      </c>
      <c r="C295" s="7"/>
      <c r="D295" s="7">
        <v>-1.583</v>
      </c>
      <c r="E295" s="19">
        <v>-0.89</v>
      </c>
      <c r="F295" s="19">
        <v>-1.1040000000000001</v>
      </c>
      <c r="G295" s="19">
        <v>-0.79</v>
      </c>
      <c r="H295" s="19">
        <v>-0.89200000000000002</v>
      </c>
      <c r="I295" s="19">
        <v>-0.93799999999999994</v>
      </c>
      <c r="J295" s="7"/>
      <c r="K295" s="7"/>
    </row>
    <row r="296" spans="1:11" ht="15" x14ac:dyDescent="0.25">
      <c r="A296" s="30" t="s">
        <v>698</v>
      </c>
      <c r="C296" s="7"/>
      <c r="D296" s="33" t="str">
        <f t="shared" ref="D296:I296" si="81">IF(ROUND(D$32-SUM(D$292:D$295),3)=0,"OK","ERROR")</f>
        <v>OK</v>
      </c>
      <c r="E296" s="45" t="str">
        <f t="shared" si="81"/>
        <v>OK</v>
      </c>
      <c r="F296" s="45" t="str">
        <f t="shared" si="81"/>
        <v>OK</v>
      </c>
      <c r="G296" s="45" t="str">
        <f t="shared" si="81"/>
        <v>OK</v>
      </c>
      <c r="H296" s="45" t="str">
        <f t="shared" si="81"/>
        <v>OK</v>
      </c>
      <c r="I296" s="45" t="str">
        <f t="shared" si="81"/>
        <v>OK</v>
      </c>
      <c r="J296" s="7"/>
      <c r="K296" s="7"/>
    </row>
    <row r="297" spans="1:11" ht="15" x14ac:dyDescent="0.25">
      <c r="A297" s="30" t="s">
        <v>432</v>
      </c>
      <c r="C297" s="7"/>
      <c r="D297" s="7"/>
      <c r="E297" s="19"/>
      <c r="F297" s="19"/>
      <c r="G297" s="19"/>
      <c r="H297" s="19"/>
      <c r="I297" s="19"/>
      <c r="J297" s="7"/>
      <c r="K297" s="7"/>
    </row>
    <row r="298" spans="1:11" x14ac:dyDescent="0.2">
      <c r="A298" s="1" t="s">
        <v>387</v>
      </c>
      <c r="B298" s="1" t="str">
        <f>$B$11</f>
        <v>UIM</v>
      </c>
      <c r="C298" s="7"/>
      <c r="D298" s="7">
        <v>8.9570000000000007</v>
      </c>
      <c r="E298" s="19">
        <v>9.0399999999999991</v>
      </c>
      <c r="F298" s="19">
        <v>9.2629999999999999</v>
      </c>
      <c r="G298" s="19">
        <v>9.6880000000000006</v>
      </c>
      <c r="H298" s="19">
        <v>10.222</v>
      </c>
      <c r="I298" s="19">
        <v>10.727</v>
      </c>
      <c r="J298" s="7"/>
      <c r="K298" s="7"/>
    </row>
    <row r="299" spans="1:11" x14ac:dyDescent="0.2">
      <c r="A299" s="1" t="s">
        <v>388</v>
      </c>
      <c r="B299" s="1" t="str">
        <f>$B$9</f>
        <v>NAC</v>
      </c>
      <c r="C299" s="7"/>
      <c r="D299" s="7">
        <v>8.6449999999999996</v>
      </c>
      <c r="E299" s="19">
        <v>7.9059999999999997</v>
      </c>
      <c r="F299" s="19">
        <v>8.2210000000000001</v>
      </c>
      <c r="G299" s="19">
        <v>7.9640000000000004</v>
      </c>
      <c r="H299" s="19">
        <v>8.1280000000000001</v>
      </c>
      <c r="I299" s="19">
        <v>8.4380000000000006</v>
      </c>
      <c r="J299" s="7"/>
      <c r="K299" s="7"/>
    </row>
    <row r="300" spans="1:11" ht="15" x14ac:dyDescent="0.25">
      <c r="A300" s="30" t="s">
        <v>431</v>
      </c>
      <c r="C300" s="7"/>
      <c r="D300" s="33" t="str">
        <f t="shared" ref="D300:I300" si="82">IF(ROUND(D$115-SUM(D$298:D$299),3)=0,"OK","ERROR")</f>
        <v>OK</v>
      </c>
      <c r="E300" s="45" t="str">
        <f t="shared" si="82"/>
        <v>OK</v>
      </c>
      <c r="F300" s="45" t="str">
        <f t="shared" si="82"/>
        <v>OK</v>
      </c>
      <c r="G300" s="45" t="str">
        <f t="shared" si="82"/>
        <v>OK</v>
      </c>
      <c r="H300" s="45" t="str">
        <f t="shared" si="82"/>
        <v>OK</v>
      </c>
      <c r="I300" s="45" t="str">
        <f t="shared" si="82"/>
        <v>OK</v>
      </c>
      <c r="J300" s="7"/>
      <c r="K300" s="7"/>
    </row>
    <row r="301" spans="1:11" ht="15" x14ac:dyDescent="0.25">
      <c r="A301" s="30" t="s">
        <v>433</v>
      </c>
      <c r="C301" s="7"/>
      <c r="D301" s="34"/>
      <c r="E301" s="46"/>
      <c r="F301" s="46"/>
      <c r="G301" s="46"/>
      <c r="H301" s="46"/>
      <c r="I301" s="46"/>
      <c r="J301" s="7"/>
      <c r="K301" s="7"/>
    </row>
    <row r="302" spans="1:11" ht="15" x14ac:dyDescent="0.25">
      <c r="A302" s="1" t="s">
        <v>390</v>
      </c>
      <c r="B302" s="1" t="str">
        <f>$B$9</f>
        <v>NAC</v>
      </c>
      <c r="C302" s="69">
        <v>8.7159999999999993</v>
      </c>
      <c r="D302" s="7">
        <v>8.8640000000000008</v>
      </c>
      <c r="E302" s="19">
        <v>9.0969999999999995</v>
      </c>
      <c r="F302" s="19">
        <v>9.26</v>
      </c>
      <c r="G302" s="19">
        <v>9.3949999999999996</v>
      </c>
      <c r="H302" s="19">
        <v>9.4629999999999992</v>
      </c>
      <c r="I302" s="19">
        <v>9.5079999999999991</v>
      </c>
      <c r="J302" s="7"/>
      <c r="K302" s="7"/>
    </row>
    <row r="303" spans="1:11" x14ac:dyDescent="0.2">
      <c r="A303" s="1" t="s">
        <v>389</v>
      </c>
      <c r="B303" s="1" t="str">
        <f t="shared" ref="B303:B310" si="83">$B$11</f>
        <v>UIM</v>
      </c>
      <c r="C303" s="7"/>
      <c r="D303" s="7">
        <v>15.598000000000001</v>
      </c>
      <c r="E303" s="19">
        <v>16.64</v>
      </c>
      <c r="F303" s="19">
        <v>17.753</v>
      </c>
      <c r="G303" s="19">
        <v>18.959</v>
      </c>
      <c r="H303" s="19">
        <v>20.207999999999998</v>
      </c>
      <c r="I303" s="19">
        <v>21.507000000000001</v>
      </c>
      <c r="J303" s="7"/>
      <c r="K303" s="7"/>
    </row>
    <row r="304" spans="1:11" ht="15" x14ac:dyDescent="0.25">
      <c r="A304" s="30" t="s">
        <v>390</v>
      </c>
      <c r="C304" s="7"/>
      <c r="D304" s="7"/>
      <c r="E304" s="19"/>
      <c r="F304" s="19"/>
      <c r="G304" s="19"/>
      <c r="H304" s="19"/>
      <c r="I304" s="19"/>
      <c r="J304" s="7"/>
      <c r="K304" s="7"/>
    </row>
    <row r="305" spans="1:11" x14ac:dyDescent="0.2">
      <c r="A305" s="1" t="s">
        <v>89</v>
      </c>
      <c r="B305" s="1" t="str">
        <f t="shared" si="83"/>
        <v>UIM</v>
      </c>
      <c r="C305" s="7"/>
      <c r="D305" s="7">
        <v>1.518</v>
      </c>
      <c r="E305" s="19">
        <v>1.5389999999999999</v>
      </c>
      <c r="F305" s="19">
        <v>1.58</v>
      </c>
      <c r="G305" s="19">
        <v>1.6140000000000001</v>
      </c>
      <c r="H305" s="19">
        <v>1.619</v>
      </c>
      <c r="I305" s="19">
        <v>1.6459999999999999</v>
      </c>
      <c r="J305" s="7"/>
      <c r="K305" s="7"/>
    </row>
    <row r="306" spans="1:11" x14ac:dyDescent="0.2">
      <c r="A306" s="1" t="s">
        <v>391</v>
      </c>
      <c r="B306" s="1" t="str">
        <f t="shared" si="83"/>
        <v>UIM</v>
      </c>
      <c r="C306" s="7"/>
      <c r="D306" s="7">
        <v>-0.60199999999999998</v>
      </c>
      <c r="E306" s="19">
        <v>-0.67</v>
      </c>
      <c r="F306" s="19">
        <v>-0.68899999999999995</v>
      </c>
      <c r="G306" s="19">
        <v>-0.70299999999999996</v>
      </c>
      <c r="H306" s="19">
        <v>-0.70599999999999996</v>
      </c>
      <c r="I306" s="19">
        <v>-0.71699999999999997</v>
      </c>
      <c r="J306" s="7"/>
      <c r="K306" s="7"/>
    </row>
    <row r="307" spans="1:11" x14ac:dyDescent="0.2">
      <c r="A307" s="1" t="s">
        <v>392</v>
      </c>
      <c r="B307" s="1" t="str">
        <f t="shared" si="83"/>
        <v>UIM</v>
      </c>
      <c r="C307" s="7"/>
      <c r="D307" s="7">
        <v>-1.1140000000000001</v>
      </c>
      <c r="E307" s="19">
        <v>-1.1910000000000001</v>
      </c>
      <c r="F307" s="19">
        <v>-1.2470000000000001</v>
      </c>
      <c r="G307" s="19">
        <v>-1.3029999999999999</v>
      </c>
      <c r="H307" s="19">
        <v>-1.3779999999999999</v>
      </c>
      <c r="I307" s="19">
        <v>-1.419</v>
      </c>
      <c r="J307" s="7"/>
      <c r="K307" s="7"/>
    </row>
    <row r="308" spans="1:11" x14ac:dyDescent="0.2">
      <c r="A308" s="1" t="s">
        <v>92</v>
      </c>
      <c r="B308" s="1" t="str">
        <f t="shared" si="83"/>
        <v>UIM</v>
      </c>
      <c r="C308" s="7"/>
      <c r="D308" s="7">
        <v>0.60399999999999998</v>
      </c>
      <c r="E308" s="19">
        <v>0.59399999999999997</v>
      </c>
      <c r="F308" s="19">
        <v>0.60799999999999998</v>
      </c>
      <c r="G308" s="19">
        <v>0.61699999999999999</v>
      </c>
      <c r="H308" s="19">
        <v>0.622</v>
      </c>
      <c r="I308" s="19">
        <v>0.625</v>
      </c>
      <c r="J308" s="7"/>
      <c r="K308" s="7"/>
    </row>
    <row r="309" spans="1:11" x14ac:dyDescent="0.2">
      <c r="A309" s="1" t="s">
        <v>393</v>
      </c>
      <c r="B309" s="1" t="str">
        <f t="shared" si="83"/>
        <v>UIM</v>
      </c>
      <c r="C309" s="7"/>
      <c r="D309" s="7">
        <v>-0.26900000000000002</v>
      </c>
      <c r="E309" s="19">
        <v>-4.9000000000000002E-2</v>
      </c>
      <c r="F309" s="19">
        <v>-0.1</v>
      </c>
      <c r="G309" s="19">
        <v>-0.1</v>
      </c>
      <c r="H309" s="19">
        <v>-0.1</v>
      </c>
      <c r="I309" s="19">
        <v>-0.1</v>
      </c>
      <c r="J309" s="7"/>
      <c r="K309" s="7"/>
    </row>
    <row r="310" spans="1:11" x14ac:dyDescent="0.2">
      <c r="A310" s="1" t="s">
        <v>94</v>
      </c>
      <c r="B310" s="1" t="str">
        <f t="shared" si="83"/>
        <v>UIM</v>
      </c>
      <c r="C310" s="7"/>
      <c r="D310" s="7">
        <v>1.0999999999999999E-2</v>
      </c>
      <c r="E310" s="19">
        <v>0.01</v>
      </c>
      <c r="F310" s="19">
        <v>1.0999999999999999E-2</v>
      </c>
      <c r="G310" s="19">
        <v>0.01</v>
      </c>
      <c r="H310" s="19">
        <v>1.0999999999999999E-2</v>
      </c>
      <c r="I310" s="19">
        <v>0.01</v>
      </c>
      <c r="J310" s="7"/>
      <c r="K310" s="7"/>
    </row>
    <row r="311" spans="1:11" ht="15" x14ac:dyDescent="0.25">
      <c r="A311" s="30" t="s">
        <v>434</v>
      </c>
      <c r="C311" s="7"/>
      <c r="D311" s="33" t="str">
        <f t="shared" ref="D311:I311" si="84">IF(ROUND(D$302-SUM(C$302,D$305:D$310),3)=0,"OK","ERROR")</f>
        <v>OK</v>
      </c>
      <c r="E311" s="45" t="str">
        <f t="shared" si="84"/>
        <v>OK</v>
      </c>
      <c r="F311" s="45" t="str">
        <f t="shared" si="84"/>
        <v>OK</v>
      </c>
      <c r="G311" s="45" t="str">
        <f t="shared" si="84"/>
        <v>OK</v>
      </c>
      <c r="H311" s="45" t="str">
        <f t="shared" si="84"/>
        <v>OK</v>
      </c>
      <c r="I311" s="45" t="str">
        <f t="shared" si="84"/>
        <v>OK</v>
      </c>
      <c r="J311" s="7"/>
      <c r="K311" s="7"/>
    </row>
    <row r="312" spans="1:11" ht="15" x14ac:dyDescent="0.25">
      <c r="A312" s="30" t="s">
        <v>436</v>
      </c>
      <c r="C312" s="7"/>
      <c r="D312" s="7"/>
      <c r="E312" s="19"/>
      <c r="F312" s="19"/>
      <c r="G312" s="19"/>
      <c r="H312" s="19"/>
      <c r="I312" s="19"/>
      <c r="J312" s="7"/>
      <c r="K312" s="7"/>
    </row>
    <row r="313" spans="1:11" x14ac:dyDescent="0.2">
      <c r="A313" s="1" t="s">
        <v>295</v>
      </c>
      <c r="B313" s="1" t="str">
        <f t="shared" ref="B313:B315" si="85">$B$11</f>
        <v>UIM</v>
      </c>
      <c r="C313" s="7"/>
      <c r="D313" s="7">
        <v>61.417000000000002</v>
      </c>
      <c r="E313" s="19">
        <v>62.966999999999999</v>
      </c>
      <c r="F313" s="19">
        <v>64.897999999999996</v>
      </c>
      <c r="G313" s="19">
        <v>66.445999999999998</v>
      </c>
      <c r="H313" s="19">
        <v>67.825999999999993</v>
      </c>
      <c r="I313" s="19">
        <v>69.218000000000004</v>
      </c>
      <c r="J313" s="7"/>
      <c r="K313" s="7"/>
    </row>
    <row r="314" spans="1:11" x14ac:dyDescent="0.2">
      <c r="A314" s="1" t="s">
        <v>385</v>
      </c>
      <c r="B314" s="1" t="str">
        <f t="shared" si="85"/>
        <v>UIM</v>
      </c>
      <c r="C314" s="7"/>
      <c r="D314" s="7">
        <v>30.852</v>
      </c>
      <c r="E314" s="19">
        <v>31.039000000000001</v>
      </c>
      <c r="F314" s="19">
        <v>31.468</v>
      </c>
      <c r="G314" s="19">
        <v>31.613</v>
      </c>
      <c r="H314" s="19">
        <v>31.734000000000002</v>
      </c>
      <c r="I314" s="19">
        <v>31.896000000000001</v>
      </c>
      <c r="J314" s="7"/>
      <c r="K314" s="7"/>
    </row>
    <row r="315" spans="1:11" x14ac:dyDescent="0.2">
      <c r="A315" s="1" t="s">
        <v>297</v>
      </c>
      <c r="B315" s="1" t="str">
        <f t="shared" si="85"/>
        <v>UIM</v>
      </c>
      <c r="C315" s="7"/>
      <c r="D315" s="7">
        <v>0</v>
      </c>
      <c r="E315" s="19">
        <v>0</v>
      </c>
      <c r="F315" s="19">
        <v>0</v>
      </c>
      <c r="G315" s="19">
        <v>0</v>
      </c>
      <c r="H315" s="19">
        <v>1E-3</v>
      </c>
      <c r="I315" s="19">
        <v>0</v>
      </c>
      <c r="J315" s="7"/>
      <c r="K315" s="7"/>
    </row>
    <row r="316" spans="1:11" ht="15" x14ac:dyDescent="0.25">
      <c r="A316" s="30" t="s">
        <v>435</v>
      </c>
      <c r="C316" s="7"/>
      <c r="D316" s="33" t="str">
        <f t="shared" ref="D316:I316" si="86">IF(ROUND(D$121-SUM(D$172,D$313:D$315),3)=0,"OK","ERROR")</f>
        <v>OK</v>
      </c>
      <c r="E316" s="45" t="str">
        <f t="shared" si="86"/>
        <v>OK</v>
      </c>
      <c r="F316" s="45" t="str">
        <f t="shared" si="86"/>
        <v>OK</v>
      </c>
      <c r="G316" s="45" t="str">
        <f t="shared" si="86"/>
        <v>OK</v>
      </c>
      <c r="H316" s="45" t="str">
        <f t="shared" si="86"/>
        <v>OK</v>
      </c>
      <c r="I316" s="45" t="str">
        <f t="shared" si="86"/>
        <v>OK</v>
      </c>
      <c r="J316" s="7"/>
      <c r="K316" s="7"/>
    </row>
    <row r="317" spans="1:11" ht="15" x14ac:dyDescent="0.25">
      <c r="A317" s="30" t="s">
        <v>394</v>
      </c>
      <c r="C317" s="7"/>
      <c r="D317" s="7"/>
      <c r="E317" s="19"/>
      <c r="F317" s="19"/>
      <c r="G317" s="19"/>
      <c r="H317" s="19"/>
      <c r="I317" s="19"/>
      <c r="J317" s="7"/>
      <c r="K317" s="7"/>
    </row>
    <row r="318" spans="1:11" x14ac:dyDescent="0.2">
      <c r="A318" s="1" t="s">
        <v>395</v>
      </c>
      <c r="B318" s="1" t="str">
        <f t="shared" ref="B318:B327" si="87">$B$11</f>
        <v>UIM</v>
      </c>
      <c r="C318" s="7"/>
      <c r="D318" s="7">
        <v>7.2290000000000001</v>
      </c>
      <c r="E318" s="19">
        <v>7.55</v>
      </c>
      <c r="F318" s="19">
        <v>9.4209999999999994</v>
      </c>
      <c r="G318" s="19">
        <v>7.8090000000000002</v>
      </c>
      <c r="H318" s="19">
        <v>7.383</v>
      </c>
      <c r="I318" s="19">
        <v>6.7549999999999999</v>
      </c>
      <c r="J318" s="7"/>
      <c r="K318" s="7"/>
    </row>
    <row r="319" spans="1:11" x14ac:dyDescent="0.2">
      <c r="A319" s="1" t="s">
        <v>396</v>
      </c>
      <c r="B319" s="1" t="str">
        <f t="shared" si="87"/>
        <v>UIM</v>
      </c>
      <c r="C319" s="7"/>
      <c r="D319" s="7">
        <v>-1.2110000000000001</v>
      </c>
      <c r="E319" s="19">
        <v>-0.65</v>
      </c>
      <c r="F319" s="19">
        <v>-1.722</v>
      </c>
      <c r="G319" s="19">
        <v>-0.87</v>
      </c>
      <c r="H319" s="19">
        <v>-0.89600000000000002</v>
      </c>
      <c r="I319" s="19">
        <v>-0.49299999999999999</v>
      </c>
      <c r="J319" s="7"/>
      <c r="K319" s="7"/>
    </row>
    <row r="320" spans="1:11" x14ac:dyDescent="0.2">
      <c r="A320" s="1" t="s">
        <v>397</v>
      </c>
      <c r="B320" s="1" t="str">
        <f t="shared" si="87"/>
        <v>UIM</v>
      </c>
      <c r="C320" s="7"/>
      <c r="D320" s="7">
        <v>3.0640000000000001</v>
      </c>
      <c r="E320" s="19">
        <v>-0.20499999999999999</v>
      </c>
      <c r="F320" s="19">
        <v>0</v>
      </c>
      <c r="G320" s="19">
        <v>0</v>
      </c>
      <c r="H320" s="19">
        <v>0</v>
      </c>
      <c r="I320" s="19">
        <v>0</v>
      </c>
      <c r="J320" s="7"/>
      <c r="K320" s="7"/>
    </row>
    <row r="321" spans="1:11" x14ac:dyDescent="0.2">
      <c r="A321" s="1" t="s">
        <v>398</v>
      </c>
      <c r="B321" s="1" t="str">
        <f t="shared" si="87"/>
        <v>UIM</v>
      </c>
      <c r="C321" s="7"/>
      <c r="D321" s="7">
        <v>0.15</v>
      </c>
      <c r="E321" s="19">
        <v>-0.16700000000000001</v>
      </c>
      <c r="F321" s="19">
        <v>-0.106</v>
      </c>
      <c r="G321" s="19">
        <v>-4.3999999999999997E-2</v>
      </c>
      <c r="H321" s="19">
        <v>-0.05</v>
      </c>
      <c r="I321" s="19">
        <v>-3.5999999999999997E-2</v>
      </c>
      <c r="J321" s="7"/>
      <c r="K321" s="7"/>
    </row>
    <row r="322" spans="1:11" ht="15" x14ac:dyDescent="0.25">
      <c r="A322" s="30" t="s">
        <v>399</v>
      </c>
      <c r="B322" s="1" t="str">
        <f>$B$9</f>
        <v>NAC</v>
      </c>
      <c r="C322" s="69">
        <v>130.34200000000001</v>
      </c>
      <c r="D322" s="31">
        <f t="shared" ref="D322:I322" si="88">SUM(C$322,D$318:D$321)</f>
        <v>139.57400000000001</v>
      </c>
      <c r="E322" s="42">
        <f t="shared" si="88"/>
        <v>146.102</v>
      </c>
      <c r="F322" s="42">
        <f t="shared" si="88"/>
        <v>153.69499999999999</v>
      </c>
      <c r="G322" s="42">
        <f t="shared" si="88"/>
        <v>160.58999999999997</v>
      </c>
      <c r="H322" s="42">
        <f t="shared" si="88"/>
        <v>167.02699999999999</v>
      </c>
      <c r="I322" s="42">
        <f t="shared" si="88"/>
        <v>173.25299999999999</v>
      </c>
      <c r="J322" s="7"/>
      <c r="K322" s="7"/>
    </row>
    <row r="323" spans="1:11" x14ac:dyDescent="0.2">
      <c r="A323" s="1" t="s">
        <v>400</v>
      </c>
      <c r="B323" s="1" t="str">
        <f t="shared" si="87"/>
        <v>UIM</v>
      </c>
      <c r="C323" s="7"/>
      <c r="D323" s="7">
        <v>-0.65500000000000003</v>
      </c>
      <c r="E323" s="19">
        <v>-0.124</v>
      </c>
      <c r="F323" s="19">
        <v>-0.96199999999999997</v>
      </c>
      <c r="G323" s="19">
        <v>-9.1999999999999998E-2</v>
      </c>
      <c r="H323" s="19">
        <v>-0.128</v>
      </c>
      <c r="I323" s="19">
        <v>-0.111</v>
      </c>
      <c r="J323" s="7"/>
      <c r="K323" s="7"/>
    </row>
    <row r="324" spans="1:11" x14ac:dyDescent="0.2">
      <c r="A324" s="1" t="s">
        <v>401</v>
      </c>
      <c r="B324" s="1" t="str">
        <f t="shared" si="87"/>
        <v>UIM</v>
      </c>
      <c r="C324" s="7"/>
      <c r="D324" s="7">
        <v>-2.1589999999999998</v>
      </c>
      <c r="E324" s="19">
        <v>0</v>
      </c>
      <c r="F324" s="19">
        <v>0</v>
      </c>
      <c r="G324" s="19">
        <v>0</v>
      </c>
      <c r="H324" s="19">
        <v>0</v>
      </c>
      <c r="I324" s="19">
        <v>0</v>
      </c>
      <c r="J324" s="7"/>
      <c r="K324" s="7"/>
    </row>
    <row r="325" spans="1:11" x14ac:dyDescent="0.2">
      <c r="A325" s="1" t="s">
        <v>402</v>
      </c>
      <c r="B325" s="1" t="str">
        <f t="shared" si="87"/>
        <v>UIM</v>
      </c>
      <c r="C325" s="7"/>
      <c r="D325" s="7">
        <v>7.8E-2</v>
      </c>
      <c r="E325" s="19">
        <v>0</v>
      </c>
      <c r="F325" s="19">
        <v>0</v>
      </c>
      <c r="G325" s="19">
        <v>0</v>
      </c>
      <c r="H325" s="19">
        <v>0</v>
      </c>
      <c r="I325" s="19">
        <v>0</v>
      </c>
      <c r="J325" s="7"/>
      <c r="K325" s="7"/>
    </row>
    <row r="326" spans="1:11" x14ac:dyDescent="0.2">
      <c r="A326" s="1" t="s">
        <v>403</v>
      </c>
      <c r="B326" s="1" t="str">
        <f t="shared" si="87"/>
        <v>UIM</v>
      </c>
      <c r="C326" s="7"/>
      <c r="D326" s="7">
        <v>3.8730000000000002</v>
      </c>
      <c r="E326" s="19">
        <v>4.234</v>
      </c>
      <c r="F326" s="19">
        <v>4.4560000000000004</v>
      </c>
      <c r="G326" s="19">
        <v>4.6219999999999999</v>
      </c>
      <c r="H326" s="19">
        <v>4.7549999999999999</v>
      </c>
      <c r="I326" s="19">
        <v>4.8280000000000003</v>
      </c>
      <c r="J326" s="7"/>
      <c r="K326" s="7"/>
    </row>
    <row r="327" spans="1:11" x14ac:dyDescent="0.2">
      <c r="A327" s="1" t="s">
        <v>398</v>
      </c>
      <c r="B327" s="1" t="str">
        <f t="shared" si="87"/>
        <v>UIM</v>
      </c>
      <c r="C327" s="7"/>
      <c r="D327" s="7">
        <v>-0.157</v>
      </c>
      <c r="E327" s="19">
        <v>-2.5000000000000001E-2</v>
      </c>
      <c r="F327" s="19">
        <v>0</v>
      </c>
      <c r="G327" s="19">
        <v>-3.0000000000000001E-3</v>
      </c>
      <c r="H327" s="19">
        <v>-4.0000000000000001E-3</v>
      </c>
      <c r="I327" s="19">
        <v>-3.0000000000000001E-3</v>
      </c>
      <c r="J327" s="7"/>
      <c r="K327" s="7"/>
    </row>
    <row r="328" spans="1:11" ht="15" x14ac:dyDescent="0.25">
      <c r="A328" s="30" t="s">
        <v>404</v>
      </c>
      <c r="B328" s="1" t="str">
        <f>$B$9</f>
        <v>NAC</v>
      </c>
      <c r="C328" s="69">
        <v>14.036</v>
      </c>
      <c r="D328" s="31">
        <f t="shared" ref="D328:I328" si="89">SUM(C$328,D$323:D$327)</f>
        <v>15.016000000000002</v>
      </c>
      <c r="E328" s="42">
        <f t="shared" si="89"/>
        <v>19.101000000000003</v>
      </c>
      <c r="F328" s="42">
        <f t="shared" si="89"/>
        <v>22.595000000000002</v>
      </c>
      <c r="G328" s="42">
        <f t="shared" si="89"/>
        <v>27.122000000000003</v>
      </c>
      <c r="H328" s="42">
        <f t="shared" si="89"/>
        <v>31.745000000000001</v>
      </c>
      <c r="I328" s="42">
        <f t="shared" si="89"/>
        <v>36.459000000000003</v>
      </c>
      <c r="J328" s="7"/>
      <c r="K328" s="7"/>
    </row>
    <row r="329" spans="1:11" ht="15" x14ac:dyDescent="0.25">
      <c r="A329" s="30" t="s">
        <v>437</v>
      </c>
      <c r="C329" s="7"/>
      <c r="D329" s="33" t="str">
        <f t="shared" ref="D329:I329" si="90">IF(ROUND(D$121-(D$322-D$328),3)=0,"OK","ERROR")</f>
        <v>OK</v>
      </c>
      <c r="E329" s="45" t="str">
        <f t="shared" si="90"/>
        <v>OK</v>
      </c>
      <c r="F329" s="45" t="str">
        <f t="shared" si="90"/>
        <v>OK</v>
      </c>
      <c r="G329" s="45" t="str">
        <f t="shared" si="90"/>
        <v>OK</v>
      </c>
      <c r="H329" s="45" t="str">
        <f t="shared" si="90"/>
        <v>OK</v>
      </c>
      <c r="I329" s="45" t="str">
        <f t="shared" si="90"/>
        <v>OK</v>
      </c>
      <c r="J329" s="7"/>
      <c r="K329" s="7"/>
    </row>
    <row r="330" spans="1:11" ht="15" x14ac:dyDescent="0.25">
      <c r="A330" s="30" t="s">
        <v>241</v>
      </c>
      <c r="C330" s="7"/>
      <c r="D330" s="7"/>
      <c r="E330" s="19"/>
      <c r="F330" s="19"/>
      <c r="G330" s="19"/>
      <c r="H330" s="19"/>
      <c r="I330" s="19"/>
      <c r="J330" s="7"/>
      <c r="K330" s="7"/>
    </row>
    <row r="331" spans="1:11" x14ac:dyDescent="0.2">
      <c r="A331" s="1" t="s">
        <v>295</v>
      </c>
      <c r="B331" s="1" t="str">
        <f t="shared" ref="B331:B333" si="91">$B$11</f>
        <v>UIM</v>
      </c>
      <c r="C331" s="7"/>
      <c r="D331" s="7">
        <v>0.60699999999999998</v>
      </c>
      <c r="E331" s="19">
        <v>0.59599999999999997</v>
      </c>
      <c r="F331" s="19">
        <v>0.69</v>
      </c>
      <c r="G331" s="19">
        <v>0.72699999999999998</v>
      </c>
      <c r="H331" s="19">
        <v>0.72699999999999998</v>
      </c>
      <c r="I331" s="19">
        <v>0.71499999999999997</v>
      </c>
      <c r="J331" s="7"/>
      <c r="K331" s="7"/>
    </row>
    <row r="332" spans="1:11" x14ac:dyDescent="0.2">
      <c r="A332" s="1" t="s">
        <v>385</v>
      </c>
      <c r="B332" s="1" t="str">
        <f t="shared" si="91"/>
        <v>UIM</v>
      </c>
      <c r="C332" s="7"/>
      <c r="D332" s="7">
        <v>1.21</v>
      </c>
      <c r="E332" s="19">
        <v>1.3220000000000001</v>
      </c>
      <c r="F332" s="19">
        <v>1.3520000000000001</v>
      </c>
      <c r="G332" s="19">
        <v>1.357</v>
      </c>
      <c r="H332" s="19">
        <v>1.3720000000000001</v>
      </c>
      <c r="I332" s="19">
        <v>1.3839999999999999</v>
      </c>
      <c r="J332" s="7"/>
      <c r="K332" s="7"/>
    </row>
    <row r="333" spans="1:11" x14ac:dyDescent="0.2">
      <c r="A333" s="1" t="s">
        <v>297</v>
      </c>
      <c r="B333" s="1" t="str">
        <f t="shared" si="91"/>
        <v>UIM</v>
      </c>
      <c r="C333" s="7"/>
      <c r="D333" s="7">
        <v>0</v>
      </c>
      <c r="E333" s="19">
        <v>0</v>
      </c>
      <c r="F333" s="19">
        <v>0</v>
      </c>
      <c r="G333" s="19">
        <v>0</v>
      </c>
      <c r="H333" s="19">
        <v>0</v>
      </c>
      <c r="I333" s="19">
        <v>0</v>
      </c>
      <c r="J333" s="7"/>
      <c r="K333" s="7"/>
    </row>
    <row r="334" spans="1:11" ht="15" x14ac:dyDescent="0.25">
      <c r="A334" s="30" t="s">
        <v>438</v>
      </c>
      <c r="C334" s="7"/>
      <c r="D334" s="33" t="str">
        <f t="shared" ref="D334:I334" si="92">IF(ROUND(D$123-SUM(D$174,D$331:D$333),3)=0,"OK","ERROR")</f>
        <v>OK</v>
      </c>
      <c r="E334" s="45" t="str">
        <f t="shared" si="92"/>
        <v>OK</v>
      </c>
      <c r="F334" s="45" t="str">
        <f t="shared" si="92"/>
        <v>OK</v>
      </c>
      <c r="G334" s="45" t="str">
        <f t="shared" si="92"/>
        <v>OK</v>
      </c>
      <c r="H334" s="45" t="str">
        <f t="shared" si="92"/>
        <v>OK</v>
      </c>
      <c r="I334" s="45" t="str">
        <f t="shared" si="92"/>
        <v>OK</v>
      </c>
      <c r="J334" s="7"/>
      <c r="K334" s="7"/>
    </row>
    <row r="335" spans="1:11" ht="15" x14ac:dyDescent="0.25">
      <c r="A335" s="30" t="s">
        <v>443</v>
      </c>
      <c r="C335" s="7"/>
      <c r="D335" s="7"/>
      <c r="E335" s="19"/>
      <c r="F335" s="19"/>
      <c r="G335" s="19"/>
      <c r="H335" s="19"/>
      <c r="I335" s="19"/>
      <c r="J335" s="7"/>
      <c r="K335" s="7"/>
    </row>
    <row r="336" spans="1:11" x14ac:dyDescent="0.2">
      <c r="A336" s="1" t="s">
        <v>405</v>
      </c>
      <c r="B336" s="1" t="str">
        <f t="shared" ref="B336:B345" si="93">$B$11</f>
        <v>UIM</v>
      </c>
      <c r="C336" s="7"/>
      <c r="D336" s="7">
        <v>0.76</v>
      </c>
      <c r="E336" s="19">
        <v>0.73699999999999999</v>
      </c>
      <c r="F336" s="19">
        <v>0.8</v>
      </c>
      <c r="G336" s="19">
        <v>0.86299999999999999</v>
      </c>
      <c r="H336" s="19">
        <v>0.93</v>
      </c>
      <c r="I336" s="19">
        <v>1.0009999999999999</v>
      </c>
      <c r="J336" s="7"/>
      <c r="K336" s="7"/>
    </row>
    <row r="337" spans="1:11" x14ac:dyDescent="0.2">
      <c r="A337" s="1" t="s">
        <v>406</v>
      </c>
      <c r="B337" s="1" t="str">
        <f t="shared" si="93"/>
        <v>UIM</v>
      </c>
      <c r="C337" s="7"/>
      <c r="D337" s="7">
        <v>4.5999999999999999E-2</v>
      </c>
      <c r="E337" s="19">
        <v>0.128</v>
      </c>
      <c r="F337" s="19">
        <v>0.61</v>
      </c>
      <c r="G337" s="19">
        <v>0.65400000000000003</v>
      </c>
      <c r="H337" s="19">
        <v>0.70099999999999996</v>
      </c>
      <c r="I337" s="19">
        <v>0.752</v>
      </c>
      <c r="J337" s="7"/>
      <c r="K337" s="7"/>
    </row>
    <row r="338" spans="1:11" x14ac:dyDescent="0.2">
      <c r="A338" s="1" t="s">
        <v>407</v>
      </c>
      <c r="B338" s="1" t="str">
        <f t="shared" si="93"/>
        <v>UIM</v>
      </c>
      <c r="C338" s="7"/>
      <c r="D338" s="7">
        <v>0.19800000000000001</v>
      </c>
      <c r="E338" s="19">
        <v>0.54600000000000004</v>
      </c>
      <c r="F338" s="19">
        <v>0.17</v>
      </c>
      <c r="G338" s="19">
        <v>0.186</v>
      </c>
      <c r="H338" s="19">
        <v>0.2</v>
      </c>
      <c r="I338" s="19">
        <v>0.21299999999999999</v>
      </c>
      <c r="J338" s="7"/>
      <c r="K338" s="7"/>
    </row>
    <row r="339" spans="1:11" x14ac:dyDescent="0.2">
      <c r="A339" s="1" t="s">
        <v>408</v>
      </c>
      <c r="B339" s="1" t="str">
        <f t="shared" si="93"/>
        <v>UIM</v>
      </c>
      <c r="C339" s="7"/>
      <c r="D339" s="7">
        <v>3.1560000000000001</v>
      </c>
      <c r="E339" s="19">
        <v>-0.57299999999999995</v>
      </c>
      <c r="F339" s="19">
        <v>1.927</v>
      </c>
      <c r="G339" s="19">
        <v>2.0569999999999999</v>
      </c>
      <c r="H339" s="19">
        <v>2.198</v>
      </c>
      <c r="I339" s="19">
        <v>2.3479999999999999</v>
      </c>
      <c r="J339" s="7"/>
      <c r="K339" s="7"/>
    </row>
    <row r="340" spans="1:11" x14ac:dyDescent="0.2">
      <c r="A340" s="1" t="s">
        <v>409</v>
      </c>
      <c r="B340" s="1" t="str">
        <f t="shared" si="93"/>
        <v>UIM</v>
      </c>
      <c r="C340" s="7"/>
      <c r="D340" s="7">
        <v>0</v>
      </c>
      <c r="E340" s="19">
        <v>0</v>
      </c>
      <c r="F340" s="19">
        <v>0</v>
      </c>
      <c r="G340" s="19">
        <v>0</v>
      </c>
      <c r="H340" s="19">
        <v>0</v>
      </c>
      <c r="I340" s="19">
        <v>0</v>
      </c>
      <c r="J340" s="7"/>
      <c r="K340" s="7"/>
    </row>
    <row r="341" spans="1:11" x14ac:dyDescent="0.2">
      <c r="A341" s="1" t="s">
        <v>86</v>
      </c>
      <c r="B341" s="1" t="str">
        <f t="shared" si="93"/>
        <v>UIM</v>
      </c>
      <c r="C341" s="7"/>
      <c r="D341" s="7">
        <v>4.1000000000000002E-2</v>
      </c>
      <c r="E341" s="19">
        <v>0.03</v>
      </c>
      <c r="F341" s="19">
        <v>1.7000000000000001E-2</v>
      </c>
      <c r="G341" s="19">
        <v>2.1999999999999999E-2</v>
      </c>
      <c r="H341" s="19">
        <v>2.5000000000000001E-2</v>
      </c>
      <c r="I341" s="19">
        <v>2.9000000000000001E-2</v>
      </c>
      <c r="J341" s="7"/>
      <c r="K341" s="7"/>
    </row>
    <row r="342" spans="1:11" ht="15" x14ac:dyDescent="0.25">
      <c r="A342" s="30" t="s">
        <v>410</v>
      </c>
      <c r="B342" s="1" t="str">
        <f>$B$9</f>
        <v>NAC</v>
      </c>
      <c r="C342" s="69">
        <v>25.809000000000001</v>
      </c>
      <c r="D342" s="31">
        <f t="shared" ref="D342:I342" si="94">SUM(C$342,D$336,-D$337,-D$338,D$339,D$340,D$341)</f>
        <v>29.522000000000002</v>
      </c>
      <c r="E342" s="42">
        <f t="shared" si="94"/>
        <v>29.042000000000002</v>
      </c>
      <c r="F342" s="42">
        <f t="shared" si="94"/>
        <v>31.006</v>
      </c>
      <c r="G342" s="42">
        <f t="shared" si="94"/>
        <v>33.107999999999997</v>
      </c>
      <c r="H342" s="42">
        <f t="shared" si="94"/>
        <v>35.359999999999992</v>
      </c>
      <c r="I342" s="42">
        <f t="shared" si="94"/>
        <v>37.772999999999989</v>
      </c>
      <c r="J342" s="7"/>
      <c r="K342" s="7"/>
    </row>
    <row r="343" spans="1:11" x14ac:dyDescent="0.2">
      <c r="A343" s="1" t="s">
        <v>411</v>
      </c>
      <c r="B343" s="1" t="str">
        <f t="shared" si="93"/>
        <v>UIM</v>
      </c>
      <c r="C343" s="7"/>
      <c r="D343" s="7">
        <v>31.274000000000001</v>
      </c>
      <c r="E343" s="19">
        <v>30.513999999999999</v>
      </c>
      <c r="F343" s="19">
        <v>32.759</v>
      </c>
      <c r="G343" s="19">
        <v>34.863999999999997</v>
      </c>
      <c r="H343" s="19">
        <v>37.118000000000002</v>
      </c>
      <c r="I343" s="19">
        <v>39.533000000000001</v>
      </c>
      <c r="J343" s="7"/>
      <c r="K343" s="7"/>
    </row>
    <row r="344" spans="1:11" x14ac:dyDescent="0.2">
      <c r="A344" s="1" t="s">
        <v>412</v>
      </c>
      <c r="B344" s="1" t="str">
        <f t="shared" si="93"/>
        <v>UIM</v>
      </c>
      <c r="C344" s="7"/>
      <c r="D344" s="7">
        <v>-3.145</v>
      </c>
      <c r="E344" s="19">
        <v>-2.4790000000000001</v>
      </c>
      <c r="F344" s="19">
        <v>-2.827</v>
      </c>
      <c r="G344" s="19">
        <v>-2.89</v>
      </c>
      <c r="H344" s="19">
        <v>-2.9540000000000002</v>
      </c>
      <c r="I344" s="19">
        <v>-3.0219999999999998</v>
      </c>
      <c r="J344" s="7"/>
      <c r="K344" s="7"/>
    </row>
    <row r="345" spans="1:11" x14ac:dyDescent="0.2">
      <c r="A345" s="1" t="s">
        <v>413</v>
      </c>
      <c r="B345" s="1" t="str">
        <f t="shared" si="93"/>
        <v>UIM</v>
      </c>
      <c r="C345" s="7"/>
      <c r="D345" s="7">
        <v>1.393</v>
      </c>
      <c r="E345" s="19">
        <v>1.0069999999999999</v>
      </c>
      <c r="F345" s="19">
        <v>1.0740000000000001</v>
      </c>
      <c r="G345" s="19">
        <v>1.1339999999999999</v>
      </c>
      <c r="H345" s="19">
        <v>1.196</v>
      </c>
      <c r="I345" s="19">
        <v>1.262</v>
      </c>
      <c r="J345" s="7"/>
      <c r="K345" s="7"/>
    </row>
    <row r="346" spans="1:11" ht="15" x14ac:dyDescent="0.25">
      <c r="A346" s="30" t="s">
        <v>439</v>
      </c>
      <c r="C346" s="7"/>
      <c r="D346" s="33" t="str">
        <f t="shared" ref="D346:I346" si="95">IF(ROUND(D$342-SUM(D$343:D$345),3)=0,"OK","ERROR")</f>
        <v>OK</v>
      </c>
      <c r="E346" s="45" t="str">
        <f t="shared" si="95"/>
        <v>OK</v>
      </c>
      <c r="F346" s="45" t="str">
        <f t="shared" si="95"/>
        <v>OK</v>
      </c>
      <c r="G346" s="45" t="str">
        <f t="shared" si="95"/>
        <v>OK</v>
      </c>
      <c r="H346" s="45" t="str">
        <f t="shared" si="95"/>
        <v>OK</v>
      </c>
      <c r="I346" s="45" t="str">
        <f t="shared" si="95"/>
        <v>OK</v>
      </c>
      <c r="J346" s="7"/>
      <c r="K346" s="7"/>
    </row>
    <row r="347" spans="1:11" ht="15" x14ac:dyDescent="0.25">
      <c r="A347" s="30" t="s">
        <v>246</v>
      </c>
      <c r="C347" s="7"/>
      <c r="D347" s="7"/>
      <c r="E347" s="19"/>
      <c r="F347" s="19"/>
      <c r="G347" s="19"/>
      <c r="H347" s="19"/>
      <c r="I347" s="19"/>
      <c r="J347" s="7"/>
      <c r="K347" s="7"/>
    </row>
    <row r="348" spans="1:11" x14ac:dyDescent="0.2">
      <c r="A348" s="1" t="s">
        <v>414</v>
      </c>
      <c r="B348" s="1" t="str">
        <f>$B$9</f>
        <v>NAC</v>
      </c>
      <c r="C348" s="7"/>
      <c r="D348" s="7">
        <v>7.5990000000000002</v>
      </c>
      <c r="E348" s="19">
        <v>7.3250000000000002</v>
      </c>
      <c r="F348" s="19">
        <v>7.4089999999999998</v>
      </c>
      <c r="G348" s="19">
        <v>7.0339999999999998</v>
      </c>
      <c r="H348" s="19">
        <v>7.34</v>
      </c>
      <c r="I348" s="19">
        <v>7.6669999999999998</v>
      </c>
      <c r="J348" s="7"/>
      <c r="K348" s="7"/>
    </row>
    <row r="349" spans="1:11" x14ac:dyDescent="0.2">
      <c r="A349" s="1" t="s">
        <v>415</v>
      </c>
      <c r="B349" s="1" t="str">
        <f t="shared" ref="B349" si="96">$B$11</f>
        <v>UIM</v>
      </c>
      <c r="C349" s="7"/>
      <c r="D349" s="7">
        <v>4.3540000000000001</v>
      </c>
      <c r="E349" s="19">
        <v>4.7629999999999999</v>
      </c>
      <c r="F349" s="19">
        <v>4.8730000000000002</v>
      </c>
      <c r="G349" s="19">
        <v>4.8879999999999999</v>
      </c>
      <c r="H349" s="19">
        <v>5.298</v>
      </c>
      <c r="I349" s="19">
        <v>5.5810000000000004</v>
      </c>
      <c r="J349" s="7"/>
      <c r="K349" s="7"/>
    </row>
    <row r="350" spans="1:11" ht="15" x14ac:dyDescent="0.25">
      <c r="A350" s="30" t="s">
        <v>440</v>
      </c>
      <c r="C350" s="7"/>
      <c r="D350" s="33" t="str">
        <f t="shared" ref="D350:I350" si="97">IF(ROUND(D$128-SUM(D$348:D$349),3)=0,"OK","ERROR")</f>
        <v>OK</v>
      </c>
      <c r="E350" s="45" t="str">
        <f t="shared" si="97"/>
        <v>OK</v>
      </c>
      <c r="F350" s="45" t="str">
        <f t="shared" si="97"/>
        <v>OK</v>
      </c>
      <c r="G350" s="45" t="str">
        <f t="shared" si="97"/>
        <v>OK</v>
      </c>
      <c r="H350" s="45" t="str">
        <f t="shared" si="97"/>
        <v>OK</v>
      </c>
      <c r="I350" s="45" t="str">
        <f t="shared" si="97"/>
        <v>OK</v>
      </c>
      <c r="J350" s="7"/>
      <c r="K350" s="7"/>
    </row>
    <row r="351" spans="1:11" ht="15" x14ac:dyDescent="0.25">
      <c r="A351" s="30" t="s">
        <v>249</v>
      </c>
      <c r="C351" s="7"/>
      <c r="D351" s="7"/>
      <c r="E351" s="19"/>
      <c r="F351" s="19"/>
      <c r="G351" s="19"/>
      <c r="H351" s="19"/>
      <c r="I351" s="19"/>
      <c r="J351" s="7"/>
      <c r="K351" s="7"/>
    </row>
    <row r="352" spans="1:11" x14ac:dyDescent="0.2">
      <c r="A352" s="1" t="s">
        <v>329</v>
      </c>
      <c r="B352" s="1" t="str">
        <f t="shared" ref="B352:B354" si="98">$B$11</f>
        <v>UIM</v>
      </c>
      <c r="C352" s="7"/>
      <c r="D352" s="7">
        <v>32.518000000000001</v>
      </c>
      <c r="E352" s="19">
        <v>36.975999999999999</v>
      </c>
      <c r="F352" s="19">
        <v>38.25</v>
      </c>
      <c r="G352" s="19">
        <v>39.436999999999998</v>
      </c>
      <c r="H352" s="19">
        <v>40.725999999999999</v>
      </c>
      <c r="I352" s="19">
        <v>42.137</v>
      </c>
      <c r="J352" s="7"/>
      <c r="K352" s="7"/>
    </row>
    <row r="353" spans="1:11" x14ac:dyDescent="0.2">
      <c r="A353" s="1" t="s">
        <v>330</v>
      </c>
      <c r="B353" s="1" t="str">
        <f t="shared" si="98"/>
        <v>UIM</v>
      </c>
      <c r="C353" s="7"/>
      <c r="D353" s="7">
        <v>2.9649999999999999</v>
      </c>
      <c r="E353" s="19">
        <v>1.9079999999999999</v>
      </c>
      <c r="F353" s="19">
        <v>0.75</v>
      </c>
      <c r="G353" s="19">
        <v>0.22500000000000001</v>
      </c>
      <c r="H353" s="19">
        <v>0.158</v>
      </c>
      <c r="I353" s="19">
        <v>0.159</v>
      </c>
      <c r="J353" s="7"/>
      <c r="K353" s="7"/>
    </row>
    <row r="354" spans="1:11" x14ac:dyDescent="0.2">
      <c r="A354" s="1" t="s">
        <v>416</v>
      </c>
      <c r="B354" s="1" t="str">
        <f t="shared" si="98"/>
        <v>UIM</v>
      </c>
      <c r="C354" s="7"/>
      <c r="D354" s="7">
        <v>0.94799999999999995</v>
      </c>
      <c r="E354" s="19">
        <v>0.441</v>
      </c>
      <c r="F354" s="19">
        <v>0.28100000000000003</v>
      </c>
      <c r="G354" s="19">
        <v>9.8000000000000004E-2</v>
      </c>
      <c r="H354" s="19">
        <v>7.2999999999999995E-2</v>
      </c>
      <c r="I354" s="19">
        <v>7.5999999999999998E-2</v>
      </c>
      <c r="J354" s="7"/>
      <c r="K354" s="7"/>
    </row>
    <row r="355" spans="1:11" ht="15" x14ac:dyDescent="0.25">
      <c r="A355" s="30" t="s">
        <v>441</v>
      </c>
      <c r="C355" s="7"/>
      <c r="D355" s="33" t="str">
        <f t="shared" ref="D355:I355" si="99">IF(ROUND(D$131-SUM(D$352:D$354),3)=0,"OK","ERROR")</f>
        <v>OK</v>
      </c>
      <c r="E355" s="45" t="str">
        <f t="shared" si="99"/>
        <v>OK</v>
      </c>
      <c r="F355" s="45" t="str">
        <f t="shared" si="99"/>
        <v>OK</v>
      </c>
      <c r="G355" s="45" t="str">
        <f t="shared" si="99"/>
        <v>OK</v>
      </c>
      <c r="H355" s="45" t="str">
        <f t="shared" si="99"/>
        <v>OK</v>
      </c>
      <c r="I355" s="45" t="str">
        <f t="shared" si="99"/>
        <v>OK</v>
      </c>
      <c r="J355" s="7"/>
      <c r="K355" s="7"/>
    </row>
    <row r="356" spans="1:11" x14ac:dyDescent="0.2">
      <c r="A356" s="32"/>
      <c r="C356" s="7"/>
      <c r="D356" s="7"/>
      <c r="E356" s="19"/>
      <c r="F356" s="19"/>
      <c r="G356" s="19"/>
      <c r="H356" s="19"/>
      <c r="I356" s="19"/>
      <c r="J356" s="7"/>
      <c r="K356" s="7"/>
    </row>
    <row r="357" spans="1:11" ht="15" x14ac:dyDescent="0.25">
      <c r="A357" s="30" t="s">
        <v>442</v>
      </c>
      <c r="C357" s="7"/>
      <c r="D357" s="7"/>
      <c r="E357" s="19"/>
      <c r="F357" s="19"/>
      <c r="G357" s="19"/>
      <c r="H357" s="19"/>
      <c r="I357" s="19"/>
      <c r="J357" s="7"/>
      <c r="K357" s="7"/>
    </row>
    <row r="358" spans="1:11" x14ac:dyDescent="0.2">
      <c r="A358" s="1" t="s">
        <v>418</v>
      </c>
      <c r="B358" s="1" t="str">
        <f t="shared" ref="B358:B368" si="100">$B$11</f>
        <v>UIM</v>
      </c>
      <c r="C358" s="7"/>
      <c r="D358" s="7">
        <v>66.347999999999999</v>
      </c>
      <c r="E358" s="19">
        <v>69.018000000000001</v>
      </c>
      <c r="F358" s="19">
        <v>71.177000000000007</v>
      </c>
      <c r="G358" s="19">
        <v>74.840999999999994</v>
      </c>
      <c r="H358" s="19">
        <v>79.722999999999999</v>
      </c>
      <c r="I358" s="19">
        <v>83.831000000000003</v>
      </c>
      <c r="J358" s="7"/>
      <c r="K358" s="7"/>
    </row>
    <row r="359" spans="1:11" x14ac:dyDescent="0.2">
      <c r="A359" s="1" t="s">
        <v>193</v>
      </c>
      <c r="B359" s="1" t="str">
        <f t="shared" si="100"/>
        <v>UIM</v>
      </c>
      <c r="C359" s="7"/>
      <c r="D359" s="7">
        <v>0.88900000000000001</v>
      </c>
      <c r="E359" s="19">
        <v>0.82899999999999996</v>
      </c>
      <c r="F359" s="19">
        <v>0.84599999999999997</v>
      </c>
      <c r="G359" s="19">
        <v>0.85299999999999998</v>
      </c>
      <c r="H359" s="19">
        <v>0.86099999999999999</v>
      </c>
      <c r="I359" s="19">
        <v>0.82399999999999995</v>
      </c>
      <c r="J359" s="7"/>
      <c r="K359" s="7"/>
    </row>
    <row r="360" spans="1:11" x14ac:dyDescent="0.2">
      <c r="A360" s="1" t="s">
        <v>419</v>
      </c>
      <c r="B360" s="1" t="str">
        <f t="shared" si="100"/>
        <v>UIM</v>
      </c>
      <c r="C360" s="7"/>
      <c r="D360" s="7">
        <v>1.806</v>
      </c>
      <c r="E360" s="19">
        <v>1.66</v>
      </c>
      <c r="F360" s="19">
        <v>2.0299999999999998</v>
      </c>
      <c r="G360" s="19">
        <v>1.714</v>
      </c>
      <c r="H360" s="19">
        <v>1.9</v>
      </c>
      <c r="I360" s="19">
        <v>2.085</v>
      </c>
      <c r="J360" s="7"/>
      <c r="K360" s="7"/>
    </row>
    <row r="361" spans="1:11" x14ac:dyDescent="0.2">
      <c r="A361" s="1" t="s">
        <v>420</v>
      </c>
      <c r="B361" s="1" t="str">
        <f t="shared" si="100"/>
        <v>UIM</v>
      </c>
      <c r="C361" s="7"/>
      <c r="D361" s="7">
        <v>2.4329999999999998</v>
      </c>
      <c r="E361" s="19">
        <v>2.0459999999999998</v>
      </c>
      <c r="F361" s="19">
        <v>2.3130000000000002</v>
      </c>
      <c r="G361" s="19">
        <v>2.028</v>
      </c>
      <c r="H361" s="19">
        <v>1.994</v>
      </c>
      <c r="I361" s="19">
        <v>1.99</v>
      </c>
      <c r="J361" s="7"/>
      <c r="K361" s="7"/>
    </row>
    <row r="362" spans="1:11" x14ac:dyDescent="0.2">
      <c r="A362" s="1" t="s">
        <v>158</v>
      </c>
      <c r="B362" s="1" t="str">
        <f t="shared" si="100"/>
        <v>UIM</v>
      </c>
      <c r="C362" s="7"/>
      <c r="D362" s="7">
        <v>-23.895</v>
      </c>
      <c r="E362" s="19">
        <v>-24.449000000000002</v>
      </c>
      <c r="F362" s="19">
        <v>-25.384</v>
      </c>
      <c r="G362" s="19">
        <v>-26.039000000000001</v>
      </c>
      <c r="H362" s="19">
        <v>-26.815000000000001</v>
      </c>
      <c r="I362" s="19">
        <v>-27.829000000000001</v>
      </c>
      <c r="J362" s="7"/>
      <c r="K362" s="7"/>
    </row>
    <row r="363" spans="1:11" x14ac:dyDescent="0.2">
      <c r="A363" s="1" t="s">
        <v>421</v>
      </c>
      <c r="B363" s="1" t="str">
        <f t="shared" si="100"/>
        <v>UIM</v>
      </c>
      <c r="C363" s="7"/>
      <c r="D363" s="7">
        <v>-42.064</v>
      </c>
      <c r="E363" s="19">
        <v>-43.942</v>
      </c>
      <c r="F363" s="19">
        <v>-45.728000000000002</v>
      </c>
      <c r="G363" s="19">
        <v>-45.671999999999997</v>
      </c>
      <c r="H363" s="19">
        <v>-44.945</v>
      </c>
      <c r="I363" s="19">
        <v>-45.103999999999999</v>
      </c>
      <c r="J363" s="7"/>
      <c r="K363" s="7"/>
    </row>
    <row r="364" spans="1:11" x14ac:dyDescent="0.2">
      <c r="A364" s="1" t="s">
        <v>187</v>
      </c>
      <c r="B364" s="1" t="str">
        <f t="shared" si="100"/>
        <v>UIM</v>
      </c>
      <c r="C364" s="7"/>
      <c r="D364" s="7">
        <v>-3.9220000000000002</v>
      </c>
      <c r="E364" s="19">
        <v>-3.6269999999999998</v>
      </c>
      <c r="F364" s="19">
        <v>-3.819</v>
      </c>
      <c r="G364" s="19">
        <v>-3.7959999999999998</v>
      </c>
      <c r="H364" s="19">
        <v>-3.835</v>
      </c>
      <c r="I364" s="19">
        <v>-3.5680000000000001</v>
      </c>
      <c r="J364" s="7"/>
      <c r="K364" s="7"/>
    </row>
    <row r="365" spans="1:11" ht="15" x14ac:dyDescent="0.25">
      <c r="A365" s="30" t="s">
        <v>444</v>
      </c>
      <c r="C365" s="7"/>
      <c r="D365" s="31">
        <f t="shared" ref="D365:I365" si="101">SUM(D$358:D$364)-SUM(D$21:D$22)</f>
        <v>1.5950000000000029</v>
      </c>
      <c r="E365" s="42">
        <f t="shared" si="101"/>
        <v>2.1329999999999991</v>
      </c>
      <c r="F365" s="42">
        <f t="shared" si="101"/>
        <v>1.9260000000000119</v>
      </c>
      <c r="G365" s="42">
        <f t="shared" si="101"/>
        <v>2.7669999999999946</v>
      </c>
      <c r="H365" s="42">
        <f t="shared" si="101"/>
        <v>6.0110000000000099</v>
      </c>
      <c r="I365" s="42">
        <f t="shared" si="101"/>
        <v>7.81299999999999</v>
      </c>
      <c r="J365" s="7"/>
      <c r="K365" s="7"/>
    </row>
    <row r="366" spans="1:11" x14ac:dyDescent="0.2">
      <c r="A366" s="1" t="s">
        <v>378</v>
      </c>
      <c r="B366" s="1" t="str">
        <f t="shared" si="100"/>
        <v>UIM</v>
      </c>
      <c r="C366" s="7"/>
      <c r="D366" s="7">
        <v>-1.9550000000000001</v>
      </c>
      <c r="E366" s="19">
        <v>-2.3359999999999999</v>
      </c>
      <c r="F366" s="19">
        <v>-3.43</v>
      </c>
      <c r="G366" s="19">
        <v>-2.194</v>
      </c>
      <c r="H366" s="19">
        <v>-1.788</v>
      </c>
      <c r="I366" s="19">
        <v>-1.681</v>
      </c>
      <c r="J366" s="7"/>
      <c r="K366" s="7"/>
    </row>
    <row r="367" spans="1:11" x14ac:dyDescent="0.2">
      <c r="A367" s="1" t="s">
        <v>422</v>
      </c>
      <c r="B367" s="1" t="str">
        <f t="shared" si="100"/>
        <v>UIM</v>
      </c>
      <c r="C367" s="7"/>
      <c r="D367" s="7">
        <v>-0.56999999999999995</v>
      </c>
      <c r="E367" s="19">
        <v>-6.4000000000000001E-2</v>
      </c>
      <c r="F367" s="19">
        <v>-0.61599999999999999</v>
      </c>
      <c r="G367" s="19">
        <v>-0.39100000000000001</v>
      </c>
      <c r="H367" s="19">
        <v>-0.252</v>
      </c>
      <c r="I367" s="19">
        <v>-0.125</v>
      </c>
      <c r="J367" s="7"/>
      <c r="K367" s="7"/>
    </row>
    <row r="368" spans="1:11" x14ac:dyDescent="0.2">
      <c r="A368" s="1" t="s">
        <v>423</v>
      </c>
      <c r="B368" s="1" t="str">
        <f t="shared" si="100"/>
        <v>UIM</v>
      </c>
      <c r="C368" s="7"/>
      <c r="D368" s="7">
        <v>-0.89699999999999991</v>
      </c>
      <c r="E368" s="19">
        <v>-1.917</v>
      </c>
      <c r="F368" s="19">
        <v>-2.08</v>
      </c>
      <c r="G368" s="19">
        <v>-1.5169999999999999</v>
      </c>
      <c r="H368" s="19">
        <v>-1.3720000000000001</v>
      </c>
      <c r="I368" s="19">
        <v>-1.2490000000000001</v>
      </c>
      <c r="J368" s="7"/>
      <c r="K368" s="7"/>
    </row>
    <row r="369" spans="1:11" ht="15" x14ac:dyDescent="0.25">
      <c r="A369" s="30" t="s">
        <v>445</v>
      </c>
      <c r="C369" s="7"/>
      <c r="D369" s="31">
        <f t="shared" ref="D369:I369" si="102">SUM(D$366:D$368)-SUM(D$340,D$124-C$124,D$125-C$125)</f>
        <v>-3.4219999999999997</v>
      </c>
      <c r="E369" s="42">
        <f t="shared" si="102"/>
        <v>-4.2480000000000002</v>
      </c>
      <c r="F369" s="42">
        <f t="shared" si="102"/>
        <v>-6.0880000000000001</v>
      </c>
      <c r="G369" s="42">
        <f t="shared" si="102"/>
        <v>-4.8390000000000004</v>
      </c>
      <c r="H369" s="42">
        <f t="shared" si="102"/>
        <v>-4.0519999999999996</v>
      </c>
      <c r="I369" s="42">
        <f t="shared" si="102"/>
        <v>-3.9130000000000003</v>
      </c>
      <c r="J369" s="7"/>
      <c r="K369" s="7"/>
    </row>
    <row r="370" spans="1:11" ht="15" x14ac:dyDescent="0.25">
      <c r="A370" s="30" t="s">
        <v>424</v>
      </c>
      <c r="B370" s="1" t="str">
        <f>$B$9</f>
        <v>NAC</v>
      </c>
      <c r="C370" s="7"/>
      <c r="D370" s="8">
        <v>-1.827</v>
      </c>
      <c r="E370" s="44">
        <v>-2.1150000000000002</v>
      </c>
      <c r="F370" s="44">
        <v>-4.1619999999999999</v>
      </c>
      <c r="G370" s="44">
        <v>-2.0720000000000001</v>
      </c>
      <c r="H370" s="44">
        <v>1.9590000000000001</v>
      </c>
      <c r="I370" s="44">
        <v>3.9</v>
      </c>
      <c r="J370" s="7"/>
      <c r="K370" s="7"/>
    </row>
    <row r="371" spans="1:11" ht="15" x14ac:dyDescent="0.25">
      <c r="A371" s="30" t="s">
        <v>446</v>
      </c>
      <c r="C371" s="7"/>
      <c r="D371" s="34" t="str">
        <f t="shared" ref="D371:I371" si="103">IF(ROUND(D$370-SUM(D$365,D$369),3)=0,"OK","ERROR")</f>
        <v>OK</v>
      </c>
      <c r="E371" s="46" t="str">
        <f t="shared" si="103"/>
        <v>OK</v>
      </c>
      <c r="F371" s="46" t="str">
        <f t="shared" si="103"/>
        <v>OK</v>
      </c>
      <c r="G371" s="46" t="str">
        <f t="shared" si="103"/>
        <v>OK</v>
      </c>
      <c r="H371" s="46" t="str">
        <f t="shared" si="103"/>
        <v>OK</v>
      </c>
      <c r="I371" s="46" t="str">
        <f t="shared" si="103"/>
        <v>OK</v>
      </c>
      <c r="J371" s="7"/>
      <c r="K371" s="7"/>
    </row>
    <row r="372" spans="1:11" ht="15" x14ac:dyDescent="0.25">
      <c r="A372" s="30" t="s">
        <v>425</v>
      </c>
      <c r="B372" s="1" t="str">
        <f t="shared" ref="B372:B374" si="104">$B$11</f>
        <v>UIM</v>
      </c>
      <c r="C372" s="7"/>
      <c r="D372" s="8">
        <v>3.0409999999999999</v>
      </c>
      <c r="E372" s="44">
        <v>2.4809999999999999</v>
      </c>
      <c r="F372" s="44">
        <v>7.5970000000000004</v>
      </c>
      <c r="G372" s="44">
        <v>-4.3899999999999997</v>
      </c>
      <c r="H372" s="44">
        <v>-4.8120000000000003</v>
      </c>
      <c r="I372" s="44">
        <v>-0.85499999999999998</v>
      </c>
      <c r="J372" s="7"/>
      <c r="K372" s="7"/>
    </row>
    <row r="373" spans="1:11" x14ac:dyDescent="0.2">
      <c r="A373" s="1" t="s">
        <v>426</v>
      </c>
      <c r="B373" s="1" t="str">
        <f t="shared" si="104"/>
        <v>UIM</v>
      </c>
      <c r="C373" s="7"/>
      <c r="D373" s="7">
        <v>0.79500000000000004</v>
      </c>
      <c r="E373" s="19">
        <v>0.49099999999999999</v>
      </c>
      <c r="F373" s="19">
        <v>-3.6030000000000002</v>
      </c>
      <c r="G373" s="19">
        <v>6.2809999999999997</v>
      </c>
      <c r="H373" s="19">
        <v>2.6760000000000002</v>
      </c>
      <c r="I373" s="19">
        <v>-3.2309999999999999</v>
      </c>
      <c r="J373" s="7"/>
      <c r="K373" s="7"/>
    </row>
    <row r="374" spans="1:11" x14ac:dyDescent="0.2">
      <c r="A374" s="1" t="s">
        <v>427</v>
      </c>
      <c r="B374" s="1" t="str">
        <f t="shared" si="104"/>
        <v>UIM</v>
      </c>
      <c r="C374" s="7"/>
      <c r="D374" s="7">
        <v>-2.3809999999999998</v>
      </c>
      <c r="E374" s="19">
        <v>-1.421</v>
      </c>
      <c r="F374" s="19">
        <v>-7.0000000000000001E-3</v>
      </c>
      <c r="G374" s="19">
        <v>1E-3</v>
      </c>
      <c r="H374" s="19">
        <v>-8.0000000000000002E-3</v>
      </c>
      <c r="I374" s="19">
        <v>-5.0000000000000001E-3</v>
      </c>
      <c r="J374" s="7"/>
      <c r="K374" s="7"/>
    </row>
    <row r="375" spans="1:11" ht="15" x14ac:dyDescent="0.25">
      <c r="A375" s="30" t="s">
        <v>447</v>
      </c>
      <c r="C375" s="7"/>
      <c r="D375" s="31">
        <f t="shared" ref="D375:I375" si="105">SUM(D$88,D$373:D$374)</f>
        <v>-1.2139999999999997</v>
      </c>
      <c r="E375" s="42">
        <f t="shared" si="105"/>
        <v>-0.3660000000000001</v>
      </c>
      <c r="F375" s="42">
        <f t="shared" si="105"/>
        <v>-3.4350000000000005</v>
      </c>
      <c r="G375" s="42">
        <f t="shared" si="105"/>
        <v>6.4619999999999997</v>
      </c>
      <c r="H375" s="42">
        <f t="shared" si="105"/>
        <v>2.8530000000000002</v>
      </c>
      <c r="I375" s="42">
        <f t="shared" si="105"/>
        <v>-3.0449999999999999</v>
      </c>
      <c r="J375" s="7"/>
      <c r="K375" s="7"/>
    </row>
    <row r="376" spans="1:11" ht="15" x14ac:dyDescent="0.25">
      <c r="A376" s="30" t="s">
        <v>428</v>
      </c>
      <c r="C376" s="7"/>
      <c r="D376" s="31">
        <f t="shared" ref="D376:I376" si="106">SUM(D$372,D$375)</f>
        <v>1.8270000000000002</v>
      </c>
      <c r="E376" s="42">
        <f t="shared" si="106"/>
        <v>2.1149999999999998</v>
      </c>
      <c r="F376" s="42">
        <f t="shared" si="106"/>
        <v>4.1619999999999999</v>
      </c>
      <c r="G376" s="42">
        <f t="shared" si="106"/>
        <v>2.0720000000000001</v>
      </c>
      <c r="H376" s="42">
        <f t="shared" si="106"/>
        <v>-1.9590000000000001</v>
      </c>
      <c r="I376" s="42">
        <f t="shared" si="106"/>
        <v>-3.9</v>
      </c>
      <c r="J376" s="7"/>
      <c r="K376" s="7"/>
    </row>
    <row r="377" spans="1:11" x14ac:dyDescent="0.2">
      <c r="C377" s="7"/>
      <c r="D377" s="7"/>
      <c r="E377" s="7"/>
      <c r="F377" s="7"/>
      <c r="G377" s="7"/>
      <c r="H377" s="7"/>
      <c r="I377" s="7"/>
      <c r="J377" s="7"/>
      <c r="K377" s="7"/>
    </row>
    <row r="378" spans="1:11" ht="15" x14ac:dyDescent="0.25">
      <c r="A378" s="30" t="s">
        <v>792</v>
      </c>
      <c r="C378" s="7"/>
      <c r="D378" s="7"/>
      <c r="E378" s="7"/>
      <c r="F378" s="7"/>
      <c r="G378" s="7"/>
      <c r="H378" s="7"/>
      <c r="I378" s="7"/>
      <c r="J378" s="7"/>
      <c r="K378" s="7"/>
    </row>
    <row r="379" spans="1:11" x14ac:dyDescent="0.2">
      <c r="A379" s="1" t="s">
        <v>793</v>
      </c>
      <c r="C379" s="7"/>
      <c r="D379" s="7">
        <v>1.6439999999999999</v>
      </c>
      <c r="E379" s="19">
        <v>1.7410000000000001</v>
      </c>
      <c r="F379" s="19">
        <v>1.8120000000000001</v>
      </c>
      <c r="G379" s="19">
        <v>1.86</v>
      </c>
      <c r="H379" s="19">
        <v>1.923</v>
      </c>
      <c r="I379" s="19">
        <v>1.996</v>
      </c>
      <c r="J379" s="7"/>
      <c r="K379" s="7"/>
    </row>
    <row r="380" spans="1:11" x14ac:dyDescent="0.2">
      <c r="A380" s="1" t="s">
        <v>794</v>
      </c>
      <c r="C380" s="7"/>
      <c r="D380" s="7">
        <v>3.2320000000000002</v>
      </c>
      <c r="E380" s="19">
        <v>3.395</v>
      </c>
      <c r="F380" s="19">
        <v>3.4420000000000002</v>
      </c>
      <c r="G380" s="19">
        <v>3.4980000000000002</v>
      </c>
      <c r="H380" s="19">
        <v>3.476</v>
      </c>
      <c r="I380" s="19">
        <v>3.4990000000000001</v>
      </c>
      <c r="J380" s="7"/>
      <c r="K380" s="7"/>
    </row>
    <row r="381" spans="1:11" x14ac:dyDescent="0.2">
      <c r="A381" s="1" t="s">
        <v>795</v>
      </c>
      <c r="C381" s="7"/>
      <c r="D381" s="7">
        <v>2.5409999999999999</v>
      </c>
      <c r="E381" s="19">
        <v>2.6819999999999999</v>
      </c>
      <c r="F381" s="19">
        <v>2.681</v>
      </c>
      <c r="G381" s="19">
        <v>2.7349999999999999</v>
      </c>
      <c r="H381" s="19">
        <v>2.726</v>
      </c>
      <c r="I381" s="19">
        <v>2.7530000000000001</v>
      </c>
      <c r="J381" s="7"/>
      <c r="K381" s="7"/>
    </row>
    <row r="382" spans="1:11" x14ac:dyDescent="0.2">
      <c r="A382" s="1" t="s">
        <v>796</v>
      </c>
      <c r="C382" s="7"/>
      <c r="D382" s="7">
        <v>2.89</v>
      </c>
      <c r="E382" s="19">
        <v>2.968</v>
      </c>
      <c r="F382" s="19">
        <v>3.028</v>
      </c>
      <c r="G382" s="19">
        <v>3.0110000000000001</v>
      </c>
      <c r="H382" s="19">
        <v>3.0110000000000001</v>
      </c>
      <c r="I382" s="19">
        <v>3.0139999999999998</v>
      </c>
      <c r="J382" s="7"/>
      <c r="K382" s="7"/>
    </row>
    <row r="383" spans="1:11" x14ac:dyDescent="0.2">
      <c r="A383" s="1" t="s">
        <v>797</v>
      </c>
      <c r="C383" s="7"/>
      <c r="D383" s="7">
        <v>1.19</v>
      </c>
      <c r="E383" s="19">
        <v>1.214</v>
      </c>
      <c r="F383" s="19">
        <v>1.216</v>
      </c>
      <c r="G383" s="19">
        <v>1.214</v>
      </c>
      <c r="H383" s="19">
        <v>1.2210000000000001</v>
      </c>
      <c r="I383" s="19">
        <v>1.2350000000000001</v>
      </c>
      <c r="J383" s="7"/>
      <c r="K383" s="7"/>
    </row>
    <row r="384" spans="1:11" ht="15" x14ac:dyDescent="0.25">
      <c r="A384" s="30" t="s">
        <v>798</v>
      </c>
      <c r="C384" s="7"/>
      <c r="D384" s="31">
        <f>SUM(D$230,-D$306,-D$309,D$379:D$383)</f>
        <v>12.879</v>
      </c>
      <c r="E384" s="42">
        <f>SUM(E$230,-E$306,-E$309,E$379:E$383)</f>
        <v>13.215</v>
      </c>
      <c r="F384" s="42">
        <f t="shared" ref="F384:I384" si="107">SUM(F$230,-F$306,-F$309,F$379:F$383)</f>
        <v>13.478</v>
      </c>
      <c r="G384" s="42">
        <f t="shared" si="107"/>
        <v>13.661</v>
      </c>
      <c r="H384" s="42">
        <f t="shared" si="107"/>
        <v>13.704999999999998</v>
      </c>
      <c r="I384" s="42">
        <f t="shared" si="107"/>
        <v>13.860999999999999</v>
      </c>
      <c r="J384" s="7"/>
      <c r="K384" s="7"/>
    </row>
    <row r="385" spans="3:11" x14ac:dyDescent="0.2">
      <c r="C385" s="7"/>
      <c r="D385" s="7"/>
      <c r="E385" s="7"/>
      <c r="F385" s="7"/>
      <c r="G385" s="7"/>
      <c r="H385" s="7"/>
      <c r="I385" s="7"/>
      <c r="J385" s="7"/>
      <c r="K385" s="7"/>
    </row>
    <row r="386" spans="3:11" x14ac:dyDescent="0.2">
      <c r="C386" s="7"/>
      <c r="D386" s="7"/>
      <c r="E386" s="7"/>
      <c r="F386" s="7"/>
      <c r="G386" s="7"/>
      <c r="H386" s="7"/>
      <c r="I386" s="7"/>
      <c r="J386" s="7"/>
      <c r="K386" s="7"/>
    </row>
    <row r="387" spans="3:11" x14ac:dyDescent="0.2">
      <c r="C387" s="7"/>
      <c r="D387" s="7"/>
      <c r="E387" s="7"/>
      <c r="F387" s="7"/>
      <c r="G387" s="7"/>
      <c r="H387" s="7"/>
      <c r="I387" s="7"/>
      <c r="J387" s="7"/>
      <c r="K387" s="7"/>
    </row>
    <row r="388" spans="3:11" x14ac:dyDescent="0.2">
      <c r="C388" s="7"/>
      <c r="D388" s="7"/>
      <c r="E388" s="7"/>
      <c r="F388" s="7"/>
      <c r="G388" s="7"/>
      <c r="H388" s="7"/>
      <c r="I388" s="7"/>
      <c r="J388" s="7"/>
      <c r="K388" s="7"/>
    </row>
    <row r="389" spans="3:11" x14ac:dyDescent="0.2">
      <c r="C389" s="7"/>
      <c r="D389" s="7"/>
      <c r="E389" s="7"/>
      <c r="F389" s="7"/>
      <c r="G389" s="7"/>
      <c r="H389" s="7"/>
      <c r="I389" s="7"/>
      <c r="J389" s="7"/>
      <c r="K389" s="7"/>
    </row>
    <row r="390" spans="3:11" x14ac:dyDescent="0.2">
      <c r="C390" s="7"/>
      <c r="D390" s="7"/>
      <c r="E390" s="7"/>
      <c r="F390" s="7"/>
      <c r="G390" s="7"/>
      <c r="H390" s="7"/>
      <c r="I390" s="7"/>
      <c r="J390" s="7"/>
      <c r="K390" s="7"/>
    </row>
    <row r="391" spans="3:11" x14ac:dyDescent="0.2">
      <c r="C391" s="7"/>
      <c r="D391" s="7"/>
      <c r="E391" s="7"/>
      <c r="F391" s="7"/>
      <c r="G391" s="7"/>
      <c r="H391" s="7"/>
      <c r="I391" s="7"/>
      <c r="J391" s="7"/>
      <c r="K391" s="7"/>
    </row>
    <row r="392" spans="3:11" x14ac:dyDescent="0.2">
      <c r="C392" s="7"/>
      <c r="D392" s="7"/>
      <c r="E392" s="7"/>
      <c r="F392" s="7"/>
      <c r="G392" s="7"/>
      <c r="H392" s="7"/>
      <c r="I392" s="7"/>
      <c r="J392" s="7"/>
      <c r="K392" s="7"/>
    </row>
    <row r="393" spans="3:11" x14ac:dyDescent="0.2">
      <c r="C393" s="7"/>
      <c r="D393" s="7"/>
      <c r="E393" s="7"/>
      <c r="F393" s="7"/>
      <c r="G393" s="7"/>
      <c r="H393" s="7"/>
      <c r="I393" s="7"/>
      <c r="J393" s="7"/>
      <c r="K393" s="7"/>
    </row>
    <row r="394" spans="3:11" x14ac:dyDescent="0.2">
      <c r="C394" s="7"/>
      <c r="D394" s="7"/>
      <c r="E394" s="7"/>
      <c r="F394" s="7"/>
      <c r="G394" s="7"/>
      <c r="H394" s="7"/>
      <c r="I394" s="7"/>
      <c r="J394" s="7"/>
      <c r="K394" s="7"/>
    </row>
    <row r="395" spans="3:11" x14ac:dyDescent="0.2">
      <c r="C395" s="7"/>
      <c r="D395" s="7"/>
      <c r="E395" s="7"/>
      <c r="F395" s="7"/>
      <c r="G395" s="7"/>
      <c r="H395" s="7"/>
      <c r="I395" s="7"/>
      <c r="J395" s="7"/>
      <c r="K395" s="7"/>
    </row>
    <row r="396" spans="3:11" x14ac:dyDescent="0.2">
      <c r="C396" s="7"/>
      <c r="D396" s="7"/>
      <c r="E396" s="7"/>
      <c r="F396" s="7"/>
      <c r="G396" s="7"/>
      <c r="H396" s="7"/>
      <c r="I396" s="7"/>
      <c r="J396" s="7"/>
      <c r="K396" s="7"/>
    </row>
    <row r="397" spans="3:11" x14ac:dyDescent="0.2">
      <c r="C397" s="7"/>
      <c r="D397" s="7"/>
      <c r="E397" s="7"/>
      <c r="F397" s="7"/>
      <c r="G397" s="7"/>
      <c r="H397" s="7"/>
      <c r="I397" s="7"/>
      <c r="J397" s="7"/>
      <c r="K397" s="7"/>
    </row>
    <row r="398" spans="3:11" x14ac:dyDescent="0.2">
      <c r="C398" s="7"/>
      <c r="D398" s="7"/>
      <c r="E398" s="7"/>
      <c r="F398" s="7"/>
      <c r="G398" s="7"/>
      <c r="H398" s="7"/>
      <c r="I398" s="7"/>
      <c r="J398" s="7"/>
      <c r="K398" s="7"/>
    </row>
    <row r="399" spans="3:11" x14ac:dyDescent="0.2">
      <c r="C399" s="7"/>
      <c r="D399" s="7"/>
      <c r="E399" s="7"/>
      <c r="F399" s="7"/>
      <c r="G399" s="7"/>
      <c r="H399" s="7"/>
      <c r="I399" s="7"/>
      <c r="J399" s="7"/>
      <c r="K399" s="7"/>
    </row>
    <row r="400" spans="3:11" x14ac:dyDescent="0.2">
      <c r="C400" s="7"/>
      <c r="D400" s="7"/>
      <c r="E400" s="7"/>
      <c r="F400" s="7"/>
      <c r="G400" s="7"/>
      <c r="H400" s="7"/>
      <c r="I400" s="7"/>
      <c r="J400" s="7"/>
      <c r="K400" s="7"/>
    </row>
    <row r="401" spans="3:11" x14ac:dyDescent="0.2">
      <c r="C401" s="7"/>
      <c r="D401" s="7"/>
      <c r="E401" s="7"/>
      <c r="F401" s="7"/>
      <c r="G401" s="7"/>
      <c r="H401" s="7"/>
      <c r="I401" s="7"/>
      <c r="J401" s="7"/>
      <c r="K401" s="7"/>
    </row>
    <row r="402" spans="3:11" x14ac:dyDescent="0.2">
      <c r="C402" s="7"/>
      <c r="D402" s="7"/>
      <c r="E402" s="7"/>
      <c r="F402" s="7"/>
      <c r="G402" s="7"/>
      <c r="H402" s="7"/>
      <c r="I402" s="7"/>
      <c r="J402" s="7"/>
      <c r="K402" s="7"/>
    </row>
    <row r="403" spans="3:11" x14ac:dyDescent="0.2">
      <c r="C403" s="7"/>
      <c r="D403" s="7"/>
      <c r="E403" s="7"/>
      <c r="F403" s="7"/>
      <c r="G403" s="7"/>
      <c r="H403" s="7"/>
      <c r="I403" s="7"/>
      <c r="J403" s="7"/>
      <c r="K403" s="7"/>
    </row>
    <row r="404" spans="3:11" x14ac:dyDescent="0.2">
      <c r="C404" s="7"/>
      <c r="D404" s="7"/>
      <c r="E404" s="7"/>
      <c r="F404" s="7"/>
      <c r="G404" s="7"/>
      <c r="H404" s="7"/>
      <c r="I404" s="7"/>
      <c r="J404" s="7"/>
      <c r="K404" s="7"/>
    </row>
    <row r="405" spans="3:11" x14ac:dyDescent="0.2">
      <c r="C405" s="7"/>
      <c r="D405" s="7"/>
      <c r="E405" s="7"/>
      <c r="F405" s="7"/>
      <c r="G405" s="7"/>
      <c r="H405" s="7"/>
      <c r="I405" s="7"/>
      <c r="J405" s="7"/>
      <c r="K405" s="7"/>
    </row>
    <row r="406" spans="3:11" x14ac:dyDescent="0.2">
      <c r="C406" s="7"/>
      <c r="D406" s="7"/>
      <c r="E406" s="7"/>
      <c r="F406" s="7"/>
      <c r="G406" s="7"/>
      <c r="H406" s="7"/>
      <c r="I406" s="7"/>
      <c r="J406" s="7"/>
      <c r="K406" s="7"/>
    </row>
    <row r="407" spans="3:11" x14ac:dyDescent="0.2">
      <c r="C407" s="7"/>
      <c r="D407" s="7"/>
      <c r="E407" s="7"/>
      <c r="F407" s="7"/>
      <c r="G407" s="7"/>
      <c r="H407" s="7"/>
      <c r="I407" s="7"/>
      <c r="J407" s="7"/>
      <c r="K407" s="7"/>
    </row>
    <row r="408" spans="3:11" x14ac:dyDescent="0.2">
      <c r="C408" s="7"/>
      <c r="D408" s="7"/>
      <c r="E408" s="7"/>
      <c r="F408" s="7"/>
      <c r="G408" s="7"/>
      <c r="H408" s="7"/>
      <c r="I408" s="7"/>
      <c r="J408" s="7"/>
      <c r="K408" s="7"/>
    </row>
    <row r="409" spans="3:11" x14ac:dyDescent="0.2">
      <c r="C409" s="7"/>
      <c r="D409" s="7"/>
      <c r="E409" s="7"/>
      <c r="F409" s="7"/>
      <c r="G409" s="7"/>
      <c r="H409" s="7"/>
      <c r="I409" s="7"/>
      <c r="J409" s="7"/>
      <c r="K409" s="7"/>
    </row>
    <row r="410" spans="3:11" x14ac:dyDescent="0.2">
      <c r="C410" s="7"/>
      <c r="D410" s="7"/>
      <c r="E410" s="7"/>
      <c r="F410" s="7"/>
      <c r="G410" s="7"/>
      <c r="H410" s="7"/>
      <c r="I410" s="7"/>
      <c r="J410" s="7"/>
      <c r="K410" s="7"/>
    </row>
    <row r="411" spans="3:11" x14ac:dyDescent="0.2">
      <c r="C411" s="7"/>
      <c r="D411" s="7"/>
      <c r="E411" s="7"/>
      <c r="F411" s="7"/>
      <c r="G411" s="7"/>
      <c r="H411" s="7"/>
      <c r="I411" s="7"/>
      <c r="J411" s="7"/>
      <c r="K411" s="7"/>
    </row>
    <row r="412" spans="3:11" x14ac:dyDescent="0.2">
      <c r="C412" s="7"/>
      <c r="D412" s="7"/>
      <c r="E412" s="7"/>
      <c r="F412" s="7"/>
      <c r="G412" s="7"/>
      <c r="H412" s="7"/>
      <c r="I412" s="7"/>
      <c r="J412" s="7"/>
      <c r="K412" s="7"/>
    </row>
    <row r="413" spans="3:11" x14ac:dyDescent="0.2">
      <c r="C413" s="7"/>
      <c r="D413" s="7"/>
      <c r="E413" s="7"/>
      <c r="F413" s="7"/>
      <c r="G413" s="7"/>
      <c r="H413" s="7"/>
      <c r="I413" s="7"/>
      <c r="J413" s="7"/>
      <c r="K413" s="7"/>
    </row>
    <row r="414" spans="3:11" x14ac:dyDescent="0.2">
      <c r="C414" s="7"/>
      <c r="D414" s="7"/>
      <c r="E414" s="7"/>
      <c r="F414" s="7"/>
      <c r="G414" s="7"/>
      <c r="H414" s="7"/>
      <c r="I414" s="7"/>
      <c r="J414" s="7"/>
      <c r="K414" s="7"/>
    </row>
    <row r="415" spans="3:11" x14ac:dyDescent="0.2">
      <c r="C415" s="7"/>
      <c r="D415" s="7"/>
      <c r="E415" s="7"/>
      <c r="F415" s="7"/>
      <c r="G415" s="7"/>
      <c r="H415" s="7"/>
      <c r="I415" s="7"/>
      <c r="J415" s="7"/>
      <c r="K415" s="7"/>
    </row>
    <row r="416" spans="3:11" x14ac:dyDescent="0.2">
      <c r="C416" s="7"/>
      <c r="D416" s="7"/>
      <c r="E416" s="7"/>
      <c r="F416" s="7"/>
      <c r="G416" s="7"/>
      <c r="H416" s="7"/>
      <c r="I416" s="7"/>
      <c r="J416" s="7"/>
      <c r="K416" s="7"/>
    </row>
    <row r="417" spans="3:11" x14ac:dyDescent="0.2">
      <c r="C417" s="7"/>
      <c r="D417" s="7"/>
      <c r="E417" s="7"/>
      <c r="F417" s="7"/>
      <c r="G417" s="7"/>
      <c r="H417" s="7"/>
      <c r="I417" s="7"/>
      <c r="J417" s="7"/>
      <c r="K417" s="7"/>
    </row>
    <row r="418" spans="3:11" x14ac:dyDescent="0.2">
      <c r="C418" s="7"/>
      <c r="D418" s="7"/>
      <c r="E418" s="7"/>
      <c r="F418" s="7"/>
      <c r="G418" s="7"/>
      <c r="H418" s="7"/>
      <c r="I418" s="7"/>
      <c r="J418" s="7"/>
      <c r="K418" s="7"/>
    </row>
    <row r="419" spans="3:11" x14ac:dyDescent="0.2">
      <c r="C419" s="7"/>
      <c r="D419" s="7"/>
      <c r="E419" s="7"/>
      <c r="F419" s="7"/>
      <c r="G419" s="7"/>
      <c r="H419" s="7"/>
      <c r="I419" s="7"/>
      <c r="J419" s="7"/>
      <c r="K419" s="7"/>
    </row>
    <row r="420" spans="3:11" x14ac:dyDescent="0.2">
      <c r="C420" s="7"/>
      <c r="D420" s="7"/>
      <c r="E420" s="7"/>
      <c r="F420" s="7"/>
      <c r="G420" s="7"/>
      <c r="H420" s="7"/>
      <c r="I420" s="7"/>
      <c r="J420" s="7"/>
      <c r="K420" s="7"/>
    </row>
    <row r="421" spans="3:11" x14ac:dyDescent="0.2">
      <c r="C421" s="7"/>
      <c r="D421" s="7"/>
      <c r="E421" s="7"/>
      <c r="F421" s="7"/>
      <c r="G421" s="7"/>
      <c r="H421" s="7"/>
      <c r="I421" s="7"/>
      <c r="J421" s="7"/>
      <c r="K421" s="7"/>
    </row>
    <row r="422" spans="3:11" x14ac:dyDescent="0.2">
      <c r="C422" s="7"/>
      <c r="D422" s="7"/>
      <c r="E422" s="7"/>
      <c r="F422" s="7"/>
      <c r="G422" s="7"/>
      <c r="H422" s="7"/>
      <c r="I422" s="7"/>
      <c r="J422" s="7"/>
      <c r="K422" s="7"/>
    </row>
    <row r="423" spans="3:11" x14ac:dyDescent="0.2">
      <c r="C423" s="7"/>
      <c r="D423" s="7"/>
      <c r="E423" s="7"/>
      <c r="F423" s="7"/>
      <c r="G423" s="7"/>
      <c r="H423" s="7"/>
      <c r="I423" s="7"/>
      <c r="J423" s="7"/>
      <c r="K423" s="7"/>
    </row>
    <row r="424" spans="3:11" x14ac:dyDescent="0.2">
      <c r="C424" s="7"/>
      <c r="D424" s="7"/>
      <c r="E424" s="7"/>
      <c r="F424" s="7"/>
      <c r="G424" s="7"/>
      <c r="H424" s="7"/>
      <c r="I424" s="7"/>
      <c r="J424" s="7"/>
      <c r="K424" s="7"/>
    </row>
    <row r="425" spans="3:11" x14ac:dyDescent="0.2">
      <c r="C425" s="7"/>
      <c r="D425" s="7"/>
      <c r="E425" s="7"/>
      <c r="F425" s="7"/>
      <c r="G425" s="7"/>
      <c r="H425" s="7"/>
      <c r="I425" s="7"/>
      <c r="J425" s="7"/>
      <c r="K425" s="7"/>
    </row>
    <row r="426" spans="3:11" x14ac:dyDescent="0.2">
      <c r="C426" s="7"/>
      <c r="D426" s="7"/>
      <c r="E426" s="7"/>
      <c r="F426" s="7"/>
      <c r="G426" s="7"/>
      <c r="H426" s="7"/>
      <c r="I426" s="7"/>
      <c r="J426" s="7"/>
      <c r="K426" s="7"/>
    </row>
    <row r="427" spans="3:11" x14ac:dyDescent="0.2">
      <c r="C427" s="7"/>
      <c r="D427" s="7"/>
      <c r="E427" s="7"/>
      <c r="F427" s="7"/>
      <c r="G427" s="7"/>
      <c r="H427" s="7"/>
      <c r="I427" s="7"/>
      <c r="J427" s="7"/>
      <c r="K427" s="7"/>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zoomScaleNormal="100" workbookViewId="0">
      <selection activeCell="K28" sqref="K28"/>
    </sheetView>
  </sheetViews>
  <sheetFormatPr defaultRowHeight="14.25" x14ac:dyDescent="0.2"/>
  <cols>
    <col min="1" max="1" width="85.7109375" style="1" customWidth="1"/>
    <col min="2" max="2" width="12.7109375" style="1" customWidth="1"/>
    <col min="3" max="7" width="10.7109375" style="1" customWidth="1"/>
    <col min="8" max="12" width="9.140625" style="1"/>
    <col min="13" max="13" width="9.5703125" style="1" bestFit="1" customWidth="1"/>
    <col min="14" max="16384" width="9.140625" style="1"/>
  </cols>
  <sheetData>
    <row r="1" spans="1:7" ht="15" x14ac:dyDescent="0.25">
      <c r="A1" s="2" t="s">
        <v>801</v>
      </c>
      <c r="C1" s="6"/>
      <c r="D1" s="4"/>
    </row>
    <row r="2" spans="1:7" x14ac:dyDescent="0.2">
      <c r="A2" s="1" t="s">
        <v>810</v>
      </c>
    </row>
    <row r="3" spans="1:7" x14ac:dyDescent="0.2">
      <c r="A3" s="1" t="s">
        <v>811</v>
      </c>
    </row>
    <row r="4" spans="1:7" x14ac:dyDescent="0.2">
      <c r="A4" s="1" t="s">
        <v>812</v>
      </c>
    </row>
    <row r="5" spans="1:7" x14ac:dyDescent="0.2">
      <c r="A5" s="1" t="s">
        <v>128</v>
      </c>
    </row>
    <row r="7" spans="1:7" ht="15" x14ac:dyDescent="0.25">
      <c r="A7" s="17" t="s">
        <v>802</v>
      </c>
      <c r="C7" s="6" t="s">
        <v>25</v>
      </c>
      <c r="D7" s="6" t="s">
        <v>26</v>
      </c>
      <c r="E7" s="6" t="s">
        <v>27</v>
      </c>
      <c r="F7" s="6" t="s">
        <v>28</v>
      </c>
      <c r="G7" s="6" t="s">
        <v>29</v>
      </c>
    </row>
    <row r="8" spans="1:7" ht="15" x14ac:dyDescent="0.25">
      <c r="A8" s="17"/>
      <c r="C8" s="2">
        <v>2016</v>
      </c>
      <c r="D8" s="2">
        <v>2017</v>
      </c>
      <c r="E8" s="2">
        <v>2018</v>
      </c>
      <c r="F8" s="2">
        <v>2019</v>
      </c>
      <c r="G8" s="2">
        <v>2020</v>
      </c>
    </row>
    <row r="9" spans="1:7" ht="15" x14ac:dyDescent="0.25">
      <c r="A9" s="2" t="s">
        <v>803</v>
      </c>
      <c r="C9" s="8">
        <v>2E-3</v>
      </c>
      <c r="D9" s="8">
        <v>0.53400000000000003</v>
      </c>
      <c r="E9" s="8">
        <v>1.847</v>
      </c>
      <c r="F9" s="8">
        <v>3.3820000000000001</v>
      </c>
      <c r="G9" s="8">
        <v>4.8760000000000003</v>
      </c>
    </row>
    <row r="10" spans="1:7" ht="15" x14ac:dyDescent="0.25">
      <c r="A10" s="2" t="s">
        <v>804</v>
      </c>
      <c r="C10" s="8">
        <v>-0.6</v>
      </c>
      <c r="D10" s="8">
        <v>-1.0249999999999999</v>
      </c>
      <c r="E10" s="8">
        <v>-0.68500000000000005</v>
      </c>
      <c r="F10" s="8">
        <v>-0.51</v>
      </c>
      <c r="G10" s="8">
        <v>-0.46</v>
      </c>
    </row>
    <row r="11" spans="1:7" ht="15" x14ac:dyDescent="0.25">
      <c r="A11" s="2" t="s">
        <v>805</v>
      </c>
      <c r="C11" s="31">
        <f>SUM(C$9:C$10)</f>
        <v>-0.59799999999999998</v>
      </c>
      <c r="D11" s="31">
        <f t="shared" ref="D11:G11" si="0">SUM(D$9:D$10)</f>
        <v>-0.49099999999999988</v>
      </c>
      <c r="E11" s="31">
        <f t="shared" si="0"/>
        <v>1.1619999999999999</v>
      </c>
      <c r="F11" s="31">
        <f t="shared" si="0"/>
        <v>2.8719999999999999</v>
      </c>
      <c r="G11" s="31">
        <f t="shared" si="0"/>
        <v>4.4160000000000004</v>
      </c>
    </row>
    <row r="12" spans="1:7" ht="15" x14ac:dyDescent="0.25">
      <c r="A12" s="2"/>
      <c r="B12" s="1" t="s">
        <v>929</v>
      </c>
      <c r="C12" s="2"/>
      <c r="D12" s="21"/>
      <c r="E12" s="21"/>
      <c r="F12" s="21"/>
      <c r="G12" s="21"/>
    </row>
    <row r="13" spans="1:7" ht="16.5" x14ac:dyDescent="0.25">
      <c r="A13" s="63" t="s">
        <v>806</v>
      </c>
      <c r="B13" s="1" t="s">
        <v>930</v>
      </c>
      <c r="C13" s="2"/>
    </row>
    <row r="14" spans="1:7" ht="15" x14ac:dyDescent="0.25">
      <c r="A14" s="1" t="s">
        <v>807</v>
      </c>
      <c r="B14" s="75">
        <v>2.5000000000000001E-2</v>
      </c>
      <c r="C14" s="7">
        <f>ROUND($B14*C$11,3)</f>
        <v>-1.4999999999999999E-2</v>
      </c>
      <c r="D14" s="7">
        <f t="shared" ref="D14:G24" si="1">ROUND($B14*D$11,3)</f>
        <v>-1.2E-2</v>
      </c>
      <c r="E14" s="7">
        <f t="shared" si="1"/>
        <v>2.9000000000000001E-2</v>
      </c>
      <c r="F14" s="7">
        <f t="shared" si="1"/>
        <v>7.1999999999999995E-2</v>
      </c>
      <c r="G14" s="7">
        <f t="shared" si="1"/>
        <v>0.11</v>
      </c>
    </row>
    <row r="15" spans="1:7" ht="15" x14ac:dyDescent="0.25">
      <c r="A15" s="1" t="s">
        <v>175</v>
      </c>
      <c r="B15" s="75">
        <v>0.34499999999999997</v>
      </c>
      <c r="C15" s="7">
        <f t="shared" ref="C15:E24" si="2">ROUND($B15*C$11,3)</f>
        <v>-0.20599999999999999</v>
      </c>
      <c r="D15" s="7">
        <f>ROUND($B15*D$11,3)-0.001</f>
        <v>-0.17</v>
      </c>
      <c r="E15" s="7">
        <f>ROUND($B15*E$11,3)+0.001</f>
        <v>0.40200000000000002</v>
      </c>
      <c r="F15" s="7">
        <f t="shared" si="1"/>
        <v>0.99099999999999999</v>
      </c>
      <c r="G15" s="7">
        <f t="shared" si="1"/>
        <v>1.524</v>
      </c>
    </row>
    <row r="16" spans="1:7" ht="15" x14ac:dyDescent="0.25">
      <c r="A16" s="1" t="s">
        <v>176</v>
      </c>
      <c r="B16" s="75">
        <v>0.29499999999999998</v>
      </c>
      <c r="C16" s="7">
        <f t="shared" si="2"/>
        <v>-0.17599999999999999</v>
      </c>
      <c r="D16" s="7">
        <f t="shared" si="2"/>
        <v>-0.14499999999999999</v>
      </c>
      <c r="E16" s="7">
        <f t="shared" si="2"/>
        <v>0.34300000000000003</v>
      </c>
      <c r="F16" s="7">
        <f t="shared" si="1"/>
        <v>0.84699999999999998</v>
      </c>
      <c r="G16" s="7">
        <f t="shared" si="1"/>
        <v>1.3029999999999999</v>
      </c>
    </row>
    <row r="17" spans="1:7" ht="15" x14ac:dyDescent="0.25">
      <c r="A17" s="1" t="s">
        <v>177</v>
      </c>
      <c r="B17" s="75">
        <v>0.1</v>
      </c>
      <c r="C17" s="7">
        <f t="shared" si="2"/>
        <v>-0.06</v>
      </c>
      <c r="D17" s="7">
        <f t="shared" si="2"/>
        <v>-4.9000000000000002E-2</v>
      </c>
      <c r="E17" s="7">
        <f t="shared" si="2"/>
        <v>0.11600000000000001</v>
      </c>
      <c r="F17" s="7">
        <f t="shared" si="1"/>
        <v>0.28699999999999998</v>
      </c>
      <c r="G17" s="7">
        <f t="shared" si="1"/>
        <v>0.442</v>
      </c>
    </row>
    <row r="18" spans="1:7" ht="15" x14ac:dyDescent="0.25">
      <c r="A18" s="1" t="s">
        <v>178</v>
      </c>
      <c r="B18" s="75">
        <v>0.08</v>
      </c>
      <c r="C18" s="7">
        <f t="shared" si="2"/>
        <v>-4.8000000000000001E-2</v>
      </c>
      <c r="D18" s="7">
        <f t="shared" si="2"/>
        <v>-3.9E-2</v>
      </c>
      <c r="E18" s="7">
        <f t="shared" si="2"/>
        <v>9.2999999999999999E-2</v>
      </c>
      <c r="F18" s="7">
        <f t="shared" si="1"/>
        <v>0.23</v>
      </c>
      <c r="G18" s="7">
        <f t="shared" si="1"/>
        <v>0.35299999999999998</v>
      </c>
    </row>
    <row r="19" spans="1:7" ht="15" x14ac:dyDescent="0.25">
      <c r="A19" s="1" t="s">
        <v>179</v>
      </c>
      <c r="B19" s="75">
        <v>4.4999999999999998E-2</v>
      </c>
      <c r="C19" s="7">
        <f t="shared" si="2"/>
        <v>-2.7E-2</v>
      </c>
      <c r="D19" s="7">
        <f t="shared" si="2"/>
        <v>-2.1999999999999999E-2</v>
      </c>
      <c r="E19" s="7">
        <f t="shared" si="2"/>
        <v>5.1999999999999998E-2</v>
      </c>
      <c r="F19" s="7">
        <f t="shared" si="1"/>
        <v>0.129</v>
      </c>
      <c r="G19" s="7">
        <f t="shared" si="1"/>
        <v>0.19900000000000001</v>
      </c>
    </row>
    <row r="20" spans="1:7" ht="15" x14ac:dyDescent="0.25">
      <c r="A20" s="1" t="s">
        <v>181</v>
      </c>
      <c r="B20" s="75">
        <v>0.05</v>
      </c>
      <c r="C20" s="7">
        <f t="shared" si="2"/>
        <v>-0.03</v>
      </c>
      <c r="D20" s="7">
        <f t="shared" si="2"/>
        <v>-2.5000000000000001E-2</v>
      </c>
      <c r="E20" s="7">
        <f t="shared" si="2"/>
        <v>5.8000000000000003E-2</v>
      </c>
      <c r="F20" s="7">
        <f t="shared" si="1"/>
        <v>0.14399999999999999</v>
      </c>
      <c r="G20" s="7">
        <f t="shared" si="1"/>
        <v>0.221</v>
      </c>
    </row>
    <row r="21" spans="1:7" ht="15" x14ac:dyDescent="0.25">
      <c r="A21" s="1" t="s">
        <v>183</v>
      </c>
      <c r="B21" s="75">
        <v>0.02</v>
      </c>
      <c r="C21" s="7">
        <f t="shared" si="2"/>
        <v>-1.2E-2</v>
      </c>
      <c r="D21" s="7">
        <f t="shared" si="2"/>
        <v>-0.01</v>
      </c>
      <c r="E21" s="7">
        <f t="shared" si="2"/>
        <v>2.3E-2</v>
      </c>
      <c r="F21" s="7">
        <f t="shared" si="1"/>
        <v>5.7000000000000002E-2</v>
      </c>
      <c r="G21" s="7">
        <f t="shared" si="1"/>
        <v>8.7999999999999995E-2</v>
      </c>
    </row>
    <row r="22" spans="1:7" ht="15" x14ac:dyDescent="0.25">
      <c r="A22" s="1" t="s">
        <v>182</v>
      </c>
      <c r="B22" s="75">
        <v>1.4999999999999999E-2</v>
      </c>
      <c r="C22" s="7">
        <f t="shared" si="2"/>
        <v>-8.9999999999999993E-3</v>
      </c>
      <c r="D22" s="7">
        <f t="shared" si="2"/>
        <v>-7.0000000000000001E-3</v>
      </c>
      <c r="E22" s="7">
        <f t="shared" si="2"/>
        <v>1.7000000000000001E-2</v>
      </c>
      <c r="F22" s="7">
        <f t="shared" si="1"/>
        <v>4.2999999999999997E-2</v>
      </c>
      <c r="G22" s="7">
        <f t="shared" si="1"/>
        <v>6.6000000000000003E-2</v>
      </c>
    </row>
    <row r="23" spans="1:7" ht="15" x14ac:dyDescent="0.25">
      <c r="A23" s="1" t="s">
        <v>184</v>
      </c>
      <c r="B23" s="75">
        <v>0.01</v>
      </c>
      <c r="C23" s="7">
        <f t="shared" si="2"/>
        <v>-6.0000000000000001E-3</v>
      </c>
      <c r="D23" s="7">
        <f t="shared" si="2"/>
        <v>-5.0000000000000001E-3</v>
      </c>
      <c r="E23" s="7">
        <f t="shared" si="2"/>
        <v>1.2E-2</v>
      </c>
      <c r="F23" s="7">
        <f t="shared" si="1"/>
        <v>2.9000000000000001E-2</v>
      </c>
      <c r="G23" s="7">
        <f t="shared" si="1"/>
        <v>4.3999999999999997E-2</v>
      </c>
    </row>
    <row r="24" spans="1:7" ht="15" x14ac:dyDescent="0.25">
      <c r="A24" s="1" t="s">
        <v>185</v>
      </c>
      <c r="B24" s="75">
        <v>1.4999999999999999E-2</v>
      </c>
      <c r="C24" s="7">
        <f t="shared" si="2"/>
        <v>-8.9999999999999993E-3</v>
      </c>
      <c r="D24" s="7">
        <f t="shared" si="2"/>
        <v>-7.0000000000000001E-3</v>
      </c>
      <c r="E24" s="7">
        <f t="shared" si="2"/>
        <v>1.7000000000000001E-2</v>
      </c>
      <c r="F24" s="7">
        <f t="shared" si="1"/>
        <v>4.2999999999999997E-2</v>
      </c>
      <c r="G24" s="7">
        <f t="shared" si="1"/>
        <v>6.6000000000000003E-2</v>
      </c>
    </row>
    <row r="25" spans="1:7" ht="15" x14ac:dyDescent="0.25">
      <c r="A25" s="2" t="s">
        <v>808</v>
      </c>
      <c r="B25" s="79">
        <f>SUM(B$14:B$24)</f>
        <v>1</v>
      </c>
      <c r="C25" s="31">
        <f>SUM(C$14:C$24)</f>
        <v>-0.59800000000000009</v>
      </c>
      <c r="D25" s="31">
        <f t="shared" ref="D25:G25" si="3">SUM(D$14:D$24)</f>
        <v>-0.49100000000000005</v>
      </c>
      <c r="E25" s="31">
        <f t="shared" si="3"/>
        <v>1.1619999999999997</v>
      </c>
      <c r="F25" s="31">
        <f t="shared" si="3"/>
        <v>2.8720000000000003</v>
      </c>
      <c r="G25" s="31">
        <f t="shared" si="3"/>
        <v>4.4159999999999995</v>
      </c>
    </row>
    <row r="27" spans="1:7" ht="15" x14ac:dyDescent="0.25">
      <c r="A27" s="2" t="s">
        <v>813</v>
      </c>
    </row>
    <row r="28" spans="1:7" ht="15" x14ac:dyDescent="0.25">
      <c r="A28" s="1" t="s">
        <v>793</v>
      </c>
      <c r="B28" s="75">
        <v>0.13500000000000001</v>
      </c>
      <c r="C28" s="7">
        <f>ROUND($B28*C$16,3)</f>
        <v>-2.4E-2</v>
      </c>
      <c r="D28" s="7">
        <f t="shared" ref="C28:G32" si="4">ROUND($B28*D$16,3)</f>
        <v>-0.02</v>
      </c>
      <c r="E28" s="7">
        <f t="shared" si="4"/>
        <v>4.5999999999999999E-2</v>
      </c>
      <c r="F28" s="7">
        <f t="shared" si="4"/>
        <v>0.114</v>
      </c>
      <c r="G28" s="7">
        <f t="shared" si="4"/>
        <v>0.17599999999999999</v>
      </c>
    </row>
    <row r="29" spans="1:7" ht="15" x14ac:dyDescent="0.25">
      <c r="A29" s="1" t="s">
        <v>794</v>
      </c>
      <c r="B29" s="75">
        <v>0.28499999999999998</v>
      </c>
      <c r="C29" s="7">
        <f>ROUND($B29*C$16,3)+0.001</f>
        <v>-4.9000000000000002E-2</v>
      </c>
      <c r="D29" s="7">
        <f>ROUND($B29*D$16,3)+0.001</f>
        <v>-0.04</v>
      </c>
      <c r="E29" s="7">
        <f>ROUND($B29*E$16,3)+0.001</f>
        <v>9.9000000000000005E-2</v>
      </c>
      <c r="F29" s="7">
        <f t="shared" si="4"/>
        <v>0.24099999999999999</v>
      </c>
      <c r="G29" s="7">
        <f>ROUND($B29*G$16,3)+0.001</f>
        <v>0.372</v>
      </c>
    </row>
    <row r="30" spans="1:7" ht="15" x14ac:dyDescent="0.25">
      <c r="A30" s="1" t="s">
        <v>795</v>
      </c>
      <c r="B30" s="75">
        <v>0.22500000000000001</v>
      </c>
      <c r="C30" s="7">
        <f t="shared" si="4"/>
        <v>-0.04</v>
      </c>
      <c r="D30" s="7">
        <f t="shared" si="4"/>
        <v>-3.3000000000000002E-2</v>
      </c>
      <c r="E30" s="7">
        <f t="shared" si="4"/>
        <v>7.6999999999999999E-2</v>
      </c>
      <c r="F30" s="7">
        <f t="shared" si="4"/>
        <v>0.191</v>
      </c>
      <c r="G30" s="7">
        <f t="shared" si="4"/>
        <v>0.29299999999999998</v>
      </c>
    </row>
    <row r="31" spans="1:7" ht="15" x14ac:dyDescent="0.25">
      <c r="A31" s="1" t="s">
        <v>796</v>
      </c>
      <c r="B31" s="75">
        <v>0.255</v>
      </c>
      <c r="C31" s="7">
        <f t="shared" si="4"/>
        <v>-4.4999999999999998E-2</v>
      </c>
      <c r="D31" s="7">
        <f t="shared" si="4"/>
        <v>-3.6999999999999998E-2</v>
      </c>
      <c r="E31" s="7">
        <f t="shared" si="4"/>
        <v>8.6999999999999994E-2</v>
      </c>
      <c r="F31" s="7">
        <f t="shared" si="4"/>
        <v>0.216</v>
      </c>
      <c r="G31" s="7">
        <f t="shared" si="4"/>
        <v>0.33200000000000002</v>
      </c>
    </row>
    <row r="32" spans="1:7" ht="15" x14ac:dyDescent="0.25">
      <c r="A32" s="1" t="s">
        <v>797</v>
      </c>
      <c r="B32" s="75">
        <v>0.1</v>
      </c>
      <c r="C32" s="7">
        <f t="shared" si="4"/>
        <v>-1.7999999999999999E-2</v>
      </c>
      <c r="D32" s="7">
        <f t="shared" si="4"/>
        <v>-1.4999999999999999E-2</v>
      </c>
      <c r="E32" s="7">
        <f t="shared" si="4"/>
        <v>3.4000000000000002E-2</v>
      </c>
      <c r="F32" s="7">
        <f t="shared" si="4"/>
        <v>8.5000000000000006E-2</v>
      </c>
      <c r="G32" s="7">
        <f t="shared" si="4"/>
        <v>0.13</v>
      </c>
    </row>
    <row r="33" spans="1:7" ht="15" x14ac:dyDescent="0.25">
      <c r="A33" s="2" t="s">
        <v>814</v>
      </c>
      <c r="B33" s="79">
        <f>SUM(B$28:B$32)</f>
        <v>1</v>
      </c>
      <c r="C33" s="31">
        <f>SUM(C$28:C$32)</f>
        <v>-0.17600000000000002</v>
      </c>
      <c r="D33" s="31">
        <f t="shared" ref="D33:G33" si="5">SUM(D$28:D$32)</f>
        <v>-0.14500000000000002</v>
      </c>
      <c r="E33" s="31">
        <f t="shared" si="5"/>
        <v>0.34300000000000008</v>
      </c>
      <c r="F33" s="31">
        <f t="shared" si="5"/>
        <v>0.84699999999999998</v>
      </c>
      <c r="G33" s="31">
        <f t="shared" si="5"/>
        <v>1.3029999999999999</v>
      </c>
    </row>
    <row r="34" spans="1:7" ht="15" x14ac:dyDescent="0.25">
      <c r="A34" s="2"/>
      <c r="C34" s="57"/>
      <c r="D34" s="57"/>
      <c r="E34" s="57"/>
      <c r="F34" s="57"/>
      <c r="G34" s="57"/>
    </row>
    <row r="35" spans="1:7" ht="15" x14ac:dyDescent="0.25">
      <c r="A35" s="2" t="s">
        <v>823</v>
      </c>
      <c r="C35" s="8">
        <v>3.1E-2</v>
      </c>
      <c r="D35" s="8">
        <v>0.61799999999999999</v>
      </c>
      <c r="E35" s="8">
        <v>1.355</v>
      </c>
      <c r="F35" s="8">
        <v>2.0449999999999999</v>
      </c>
      <c r="G35" s="8">
        <v>2.9529999999999998</v>
      </c>
    </row>
    <row r="36" spans="1:7" ht="15" x14ac:dyDescent="0.25">
      <c r="A36" s="2" t="s">
        <v>824</v>
      </c>
      <c r="C36" s="8">
        <v>-0.1</v>
      </c>
      <c r="D36" s="8">
        <v>-0.72499999999999998</v>
      </c>
      <c r="E36" s="8">
        <v>-0.72499999999999998</v>
      </c>
      <c r="F36" s="8">
        <v>-0.77500000000000002</v>
      </c>
      <c r="G36" s="8">
        <v>-0.82499999999999996</v>
      </c>
    </row>
    <row r="37" spans="1:7" ht="15" x14ac:dyDescent="0.25">
      <c r="A37" s="2" t="s">
        <v>825</v>
      </c>
      <c r="C37" s="31">
        <f>SUM(C$35:C$36)</f>
        <v>-6.9000000000000006E-2</v>
      </c>
      <c r="D37" s="31">
        <f t="shared" ref="D37:G37" si="6">SUM(D$35:D$36)</f>
        <v>-0.10699999999999998</v>
      </c>
      <c r="E37" s="31">
        <f t="shared" si="6"/>
        <v>0.63</v>
      </c>
      <c r="F37" s="31">
        <f t="shared" si="6"/>
        <v>1.27</v>
      </c>
      <c r="G37" s="31">
        <f t="shared" si="6"/>
        <v>2.1280000000000001</v>
      </c>
    </row>
    <row r="38" spans="1:7" ht="15" x14ac:dyDescent="0.25">
      <c r="A38" s="2"/>
      <c r="C38" s="57"/>
      <c r="D38" s="57"/>
      <c r="E38" s="57"/>
      <c r="F38" s="57"/>
      <c r="G38" s="57"/>
    </row>
    <row r="39" spans="1:7" ht="15" x14ac:dyDescent="0.25">
      <c r="A39" s="2"/>
      <c r="C39" s="57"/>
      <c r="D39" s="57"/>
      <c r="E39" s="57"/>
      <c r="F39" s="57"/>
      <c r="G39" s="57"/>
    </row>
    <row r="40" spans="1:7" ht="15" x14ac:dyDescent="0.25">
      <c r="A40" s="2"/>
      <c r="C40" s="57"/>
      <c r="D40" s="57"/>
      <c r="E40" s="57"/>
      <c r="F40" s="57"/>
      <c r="G40" s="57"/>
    </row>
    <row r="41" spans="1:7" ht="15" x14ac:dyDescent="0.25">
      <c r="A41" s="2"/>
      <c r="C41" s="57"/>
      <c r="D41" s="57"/>
      <c r="E41" s="57"/>
      <c r="F41" s="57"/>
      <c r="G41" s="57"/>
    </row>
    <row r="42" spans="1:7" ht="15" x14ac:dyDescent="0.25">
      <c r="A42" s="2"/>
      <c r="C42" s="57"/>
      <c r="D42" s="57"/>
      <c r="E42" s="57"/>
      <c r="F42" s="57"/>
      <c r="G42" s="57"/>
    </row>
    <row r="43" spans="1:7" ht="15" x14ac:dyDescent="0.25">
      <c r="A43" s="2"/>
      <c r="C43" s="57"/>
      <c r="D43" s="57"/>
      <c r="E43" s="57"/>
      <c r="F43" s="57"/>
      <c r="G43" s="57"/>
    </row>
    <row r="44" spans="1:7" ht="15" x14ac:dyDescent="0.25">
      <c r="A44" s="2"/>
      <c r="C44" s="57"/>
      <c r="D44" s="57"/>
      <c r="E44" s="57"/>
      <c r="F44" s="57"/>
      <c r="G44" s="57"/>
    </row>
    <row r="45" spans="1:7" ht="15" x14ac:dyDescent="0.25">
      <c r="A45" s="2"/>
      <c r="C45" s="57"/>
      <c r="D45" s="57"/>
      <c r="E45" s="57"/>
      <c r="F45" s="57"/>
      <c r="G45" s="57"/>
    </row>
    <row r="46" spans="1:7" ht="15" x14ac:dyDescent="0.25">
      <c r="A46" s="2"/>
      <c r="C46" s="57"/>
      <c r="D46" s="57"/>
      <c r="E46" s="57"/>
      <c r="F46" s="57"/>
      <c r="G46" s="57"/>
    </row>
    <row r="47" spans="1:7" ht="15" x14ac:dyDescent="0.25">
      <c r="A47" s="2"/>
      <c r="C47" s="57"/>
      <c r="D47" s="57"/>
      <c r="E47" s="57"/>
      <c r="F47" s="57"/>
      <c r="G47" s="57"/>
    </row>
    <row r="48" spans="1:7" ht="15" x14ac:dyDescent="0.25">
      <c r="A48" s="2"/>
      <c r="C48" s="57"/>
      <c r="D48" s="57"/>
      <c r="E48" s="57"/>
      <c r="F48" s="57"/>
      <c r="G48" s="57"/>
    </row>
    <row r="49" spans="1:13" ht="15" x14ac:dyDescent="0.25">
      <c r="A49" s="2"/>
      <c r="C49" s="57"/>
      <c r="D49" s="57"/>
      <c r="E49" s="57"/>
      <c r="F49" s="57"/>
      <c r="G49" s="57"/>
    </row>
    <row r="50" spans="1:13" ht="15" x14ac:dyDescent="0.25">
      <c r="A50" s="2"/>
      <c r="C50" s="57"/>
      <c r="D50" s="57"/>
      <c r="E50" s="57"/>
      <c r="F50" s="57"/>
      <c r="G50" s="57"/>
    </row>
    <row r="51" spans="1:13" ht="15" x14ac:dyDescent="0.25">
      <c r="A51" s="2"/>
      <c r="C51" s="57"/>
      <c r="D51" s="57"/>
      <c r="E51" s="57"/>
      <c r="F51" s="57"/>
      <c r="G51" s="57"/>
    </row>
    <row r="52" spans="1:13" ht="15" x14ac:dyDescent="0.25">
      <c r="A52" s="2"/>
      <c r="C52" s="57"/>
      <c r="D52" s="57"/>
      <c r="E52" s="57"/>
      <c r="F52" s="57"/>
      <c r="G52" s="57"/>
    </row>
    <row r="53" spans="1:13" ht="15" x14ac:dyDescent="0.25">
      <c r="A53" s="2"/>
      <c r="C53" s="57"/>
      <c r="D53" s="57"/>
      <c r="E53" s="57"/>
      <c r="F53" s="57"/>
      <c r="G53" s="57"/>
    </row>
    <row r="54" spans="1:13" ht="15" x14ac:dyDescent="0.25">
      <c r="A54" s="2"/>
      <c r="C54" s="57"/>
      <c r="D54" s="57"/>
      <c r="E54" s="57"/>
      <c r="F54" s="57"/>
      <c r="G54" s="57"/>
    </row>
    <row r="55" spans="1:13" ht="15" x14ac:dyDescent="0.25">
      <c r="A55" s="2"/>
      <c r="C55" s="57"/>
      <c r="D55" s="57"/>
      <c r="E55" s="57"/>
      <c r="F55" s="57"/>
      <c r="G55" s="57"/>
    </row>
    <row r="56" spans="1:13" ht="15" x14ac:dyDescent="0.25">
      <c r="A56" s="2"/>
      <c r="C56" s="57"/>
      <c r="D56" s="57"/>
      <c r="E56" s="57"/>
      <c r="F56" s="57"/>
      <c r="G56" s="57"/>
    </row>
    <row r="57" spans="1:13" ht="15" x14ac:dyDescent="0.25">
      <c r="A57" s="2"/>
      <c r="C57" s="57"/>
      <c r="D57" s="57"/>
      <c r="E57" s="57"/>
      <c r="F57" s="57"/>
      <c r="G57" s="57"/>
    </row>
    <row r="58" spans="1:13" ht="15" x14ac:dyDescent="0.25">
      <c r="A58" s="2"/>
      <c r="C58" s="57"/>
      <c r="D58" s="57"/>
      <c r="E58" s="57"/>
      <c r="F58" s="57"/>
      <c r="G58" s="57"/>
    </row>
    <row r="59" spans="1:13" ht="15" x14ac:dyDescent="0.25">
      <c r="A59" s="2"/>
      <c r="C59" s="57"/>
      <c r="D59" s="57"/>
      <c r="E59" s="57"/>
      <c r="F59" s="57"/>
      <c r="G59" s="57"/>
    </row>
    <row r="60" spans="1:13" ht="15" x14ac:dyDescent="0.25">
      <c r="A60" s="2"/>
      <c r="C60" s="57"/>
      <c r="D60" s="57"/>
      <c r="E60" s="57"/>
      <c r="F60" s="57"/>
      <c r="G60" s="57"/>
    </row>
    <row r="62" spans="1:13" x14ac:dyDescent="0.2">
      <c r="A62" s="1" t="s">
        <v>807</v>
      </c>
      <c r="B62" s="7"/>
      <c r="C62" s="7">
        <v>1.056</v>
      </c>
      <c r="D62" s="7">
        <v>1.159</v>
      </c>
      <c r="E62" s="7">
        <v>1.0049999999999999</v>
      </c>
      <c r="F62" s="7">
        <v>0.873</v>
      </c>
      <c r="G62" s="7">
        <v>0.92500000000000004</v>
      </c>
      <c r="H62" s="7">
        <v>0.91800000000000004</v>
      </c>
      <c r="I62" s="7">
        <v>0.96499999999999997</v>
      </c>
      <c r="J62" s="7">
        <v>1.0609999999999999</v>
      </c>
      <c r="K62" s="7">
        <v>1.1080000000000001</v>
      </c>
      <c r="L62" s="7">
        <v>1.1779999999999999</v>
      </c>
      <c r="M62" s="7">
        <v>1.19</v>
      </c>
    </row>
    <row r="63" spans="1:13" x14ac:dyDescent="0.2">
      <c r="A63" s="1" t="s">
        <v>175</v>
      </c>
      <c r="B63" s="7"/>
      <c r="C63" s="7">
        <v>8.8130000000000006</v>
      </c>
      <c r="D63" s="7">
        <v>9.5470000000000006</v>
      </c>
      <c r="E63" s="7">
        <v>10.355</v>
      </c>
      <c r="F63" s="7">
        <v>11.297000000000001</v>
      </c>
      <c r="G63" s="7">
        <v>12.368</v>
      </c>
      <c r="H63" s="7">
        <v>13.128</v>
      </c>
      <c r="I63" s="7">
        <v>13.753</v>
      </c>
      <c r="J63" s="7">
        <v>14.16</v>
      </c>
      <c r="K63" s="7">
        <v>14.497999999999999</v>
      </c>
      <c r="L63" s="7">
        <v>14.898</v>
      </c>
      <c r="M63" s="7">
        <v>15.058</v>
      </c>
    </row>
    <row r="64" spans="1:13" x14ac:dyDescent="0.2">
      <c r="A64" s="1" t="s">
        <v>176</v>
      </c>
      <c r="B64" s="7"/>
      <c r="C64" s="7">
        <v>7.93</v>
      </c>
      <c r="D64" s="7">
        <v>9.9139999999999997</v>
      </c>
      <c r="E64" s="7">
        <v>9.2690000000000001</v>
      </c>
      <c r="F64" s="7">
        <v>9.5510000000000002</v>
      </c>
      <c r="G64" s="7">
        <v>11.455</v>
      </c>
      <c r="H64" s="7">
        <v>11.724</v>
      </c>
      <c r="I64" s="7">
        <v>11.65</v>
      </c>
      <c r="J64" s="7">
        <v>11.654</v>
      </c>
      <c r="K64" s="7">
        <v>12.504</v>
      </c>
      <c r="L64" s="7">
        <v>12.3</v>
      </c>
      <c r="M64" s="7">
        <v>12.879</v>
      </c>
    </row>
    <row r="65" spans="1:15" x14ac:dyDescent="0.2">
      <c r="A65" s="1" t="s">
        <v>177</v>
      </c>
      <c r="B65" s="7"/>
      <c r="C65" s="7">
        <v>2.5670000000000002</v>
      </c>
      <c r="D65" s="7">
        <v>2.5070000000000001</v>
      </c>
      <c r="E65" s="7">
        <v>4.8170000000000002</v>
      </c>
      <c r="F65" s="7">
        <v>3.371</v>
      </c>
      <c r="G65" s="7">
        <v>5.2930000000000001</v>
      </c>
      <c r="H65" s="7">
        <v>2.9740000000000002</v>
      </c>
      <c r="I65" s="7">
        <v>5.5629999999999997</v>
      </c>
      <c r="J65" s="7">
        <v>5.4279999999999999</v>
      </c>
      <c r="K65" s="7">
        <v>4.2939999999999996</v>
      </c>
      <c r="L65" s="7">
        <v>4.5019999999999998</v>
      </c>
      <c r="M65" s="7">
        <v>4.1340000000000003</v>
      </c>
    </row>
    <row r="66" spans="1:15" x14ac:dyDescent="0.2">
      <c r="A66" s="1" t="s">
        <v>178</v>
      </c>
      <c r="B66" s="7"/>
      <c r="C66" s="7">
        <v>1.889</v>
      </c>
      <c r="D66" s="7">
        <v>2.1459999999999999</v>
      </c>
      <c r="E66" s="7">
        <v>2.6059999999999999</v>
      </c>
      <c r="F66" s="7">
        <v>2.7970000000000002</v>
      </c>
      <c r="G66" s="7">
        <v>2.992</v>
      </c>
      <c r="H66" s="7">
        <v>3.1030000000000002</v>
      </c>
      <c r="I66" s="7">
        <v>3.3119999999999998</v>
      </c>
      <c r="J66" s="7">
        <v>3.3380000000000001</v>
      </c>
      <c r="K66" s="7">
        <v>3.3940000000000001</v>
      </c>
      <c r="L66" s="7">
        <v>3.4630000000000001</v>
      </c>
      <c r="M66" s="7">
        <v>3.5150000000000001</v>
      </c>
    </row>
    <row r="67" spans="1:15" x14ac:dyDescent="0.2">
      <c r="A67" s="1" t="s">
        <v>179</v>
      </c>
      <c r="B67" s="7"/>
      <c r="C67" s="7">
        <v>1.2749999999999999</v>
      </c>
      <c r="D67" s="7">
        <v>1.383</v>
      </c>
      <c r="E67" s="7">
        <v>1.5169999999999999</v>
      </c>
      <c r="F67" s="7">
        <v>1.5620000000000001</v>
      </c>
      <c r="G67" s="7">
        <v>1.7569999999999999</v>
      </c>
      <c r="H67" s="7">
        <v>1.8140000000000001</v>
      </c>
      <c r="I67" s="7">
        <v>1.8089999999999999</v>
      </c>
      <c r="J67" s="7">
        <v>1.736</v>
      </c>
      <c r="K67" s="7">
        <v>1.804</v>
      </c>
      <c r="L67" s="7">
        <v>1.8109999999999999</v>
      </c>
      <c r="M67" s="7">
        <v>1.9610000000000001</v>
      </c>
    </row>
    <row r="68" spans="1:15" x14ac:dyDescent="0.2">
      <c r="A68" s="1" t="s">
        <v>181</v>
      </c>
      <c r="B68" s="7"/>
      <c r="C68" s="7">
        <v>1.444</v>
      </c>
      <c r="D68" s="7">
        <v>1.5920000000000001</v>
      </c>
      <c r="E68" s="7">
        <v>1.595</v>
      </c>
      <c r="F68" s="7">
        <v>2.8889999999999998</v>
      </c>
      <c r="G68" s="7">
        <v>2.96</v>
      </c>
      <c r="H68" s="7">
        <v>2.806</v>
      </c>
      <c r="I68" s="7">
        <v>2.5419999999999998</v>
      </c>
      <c r="J68" s="7">
        <v>2.073</v>
      </c>
      <c r="K68" s="7">
        <v>1.978</v>
      </c>
      <c r="L68" s="7">
        <v>2.0579999999999998</v>
      </c>
      <c r="M68" s="7">
        <v>2.2280000000000002</v>
      </c>
    </row>
    <row r="69" spans="1:15" x14ac:dyDescent="0.2">
      <c r="A69" s="1" t="s">
        <v>183</v>
      </c>
      <c r="B69" s="7"/>
      <c r="C69" s="7">
        <v>0.68100000000000005</v>
      </c>
      <c r="D69" s="7">
        <v>0.84899999999999998</v>
      </c>
      <c r="E69" s="7">
        <v>0.52300000000000002</v>
      </c>
      <c r="F69" s="7">
        <v>0.56100000000000005</v>
      </c>
      <c r="G69" s="7">
        <v>0.58599999999999997</v>
      </c>
      <c r="H69" s="7">
        <v>0.63</v>
      </c>
      <c r="I69" s="7">
        <v>0.74099999999999999</v>
      </c>
      <c r="J69" s="7">
        <v>0.86299999999999999</v>
      </c>
      <c r="K69" s="7">
        <v>0.80400000000000005</v>
      </c>
      <c r="L69" s="7">
        <v>0.84199999999999997</v>
      </c>
      <c r="M69" s="7">
        <v>0.77800000000000002</v>
      </c>
    </row>
    <row r="70" spans="1:15" x14ac:dyDescent="0.2">
      <c r="A70" s="1" t="s">
        <v>182</v>
      </c>
      <c r="B70" s="7"/>
      <c r="C70" s="7">
        <v>0.39400000000000002</v>
      </c>
      <c r="D70" s="7">
        <v>0.46700000000000003</v>
      </c>
      <c r="E70" s="7">
        <v>0.438</v>
      </c>
      <c r="F70" s="7">
        <v>0.54100000000000004</v>
      </c>
      <c r="G70" s="7">
        <v>0.53400000000000003</v>
      </c>
      <c r="H70" s="7">
        <v>0.50700000000000001</v>
      </c>
      <c r="I70" s="7">
        <v>0.70599999999999996</v>
      </c>
      <c r="J70" s="7">
        <v>0.64800000000000002</v>
      </c>
      <c r="K70" s="7">
        <v>0.65900000000000003</v>
      </c>
      <c r="L70" s="7">
        <v>0.67600000000000005</v>
      </c>
      <c r="M70" s="7">
        <v>0.66700000000000004</v>
      </c>
    </row>
    <row r="71" spans="1:15" x14ac:dyDescent="0.2">
      <c r="A71" s="1" t="s">
        <v>184</v>
      </c>
      <c r="B71" s="7"/>
      <c r="C71" s="7">
        <v>0.16300000000000001</v>
      </c>
      <c r="D71" s="7">
        <v>0.20200000000000001</v>
      </c>
      <c r="E71" s="7">
        <v>0.255</v>
      </c>
      <c r="F71" s="7">
        <v>0.26</v>
      </c>
      <c r="G71" s="7">
        <v>0.29699999999999999</v>
      </c>
      <c r="H71" s="7">
        <v>0.33900000000000002</v>
      </c>
      <c r="I71" s="7">
        <v>0.94299999999999995</v>
      </c>
      <c r="J71" s="7">
        <v>-4.5999999999999999E-2</v>
      </c>
      <c r="K71" s="7">
        <v>0.28299999999999997</v>
      </c>
      <c r="L71" s="7">
        <v>0.34699999999999998</v>
      </c>
      <c r="M71" s="7">
        <v>0.32</v>
      </c>
    </row>
    <row r="72" spans="1:15" x14ac:dyDescent="0.2">
      <c r="A72" s="1" t="s">
        <v>185</v>
      </c>
      <c r="B72" s="7"/>
      <c r="C72" s="7">
        <v>0.31</v>
      </c>
      <c r="D72" s="7">
        <v>4.2000000000000003E-2</v>
      </c>
      <c r="E72" s="7">
        <v>0.32100000000000001</v>
      </c>
      <c r="F72" s="7">
        <v>0.54600000000000004</v>
      </c>
      <c r="G72" s="7">
        <v>0.41599999999999998</v>
      </c>
      <c r="H72" s="7">
        <v>0.65100000000000002</v>
      </c>
      <c r="I72" s="7">
        <v>1.2250000000000001</v>
      </c>
      <c r="J72" s="7">
        <v>0.76900000000000002</v>
      </c>
      <c r="K72" s="7">
        <v>0.53</v>
      </c>
      <c r="L72" s="7">
        <v>0.53300000000000003</v>
      </c>
      <c r="M72" s="7">
        <v>0.72299999999999998</v>
      </c>
    </row>
    <row r="73" spans="1:15" ht="15" x14ac:dyDescent="0.25">
      <c r="B73" s="31"/>
      <c r="C73" s="31">
        <f>SUM(C$62:C$72)</f>
        <v>26.521999999999995</v>
      </c>
      <c r="D73" s="31">
        <f t="shared" ref="D73:M73" si="7">SUM(D$62:D$72)</f>
        <v>29.808000000000003</v>
      </c>
      <c r="E73" s="31">
        <f t="shared" si="7"/>
        <v>32.701000000000001</v>
      </c>
      <c r="F73" s="31">
        <f t="shared" si="7"/>
        <v>34.247999999999998</v>
      </c>
      <c r="G73" s="31">
        <f t="shared" si="7"/>
        <v>39.582999999999991</v>
      </c>
      <c r="H73" s="31">
        <f t="shared" si="7"/>
        <v>38.594000000000001</v>
      </c>
      <c r="I73" s="31">
        <f t="shared" si="7"/>
        <v>43.209000000000003</v>
      </c>
      <c r="J73" s="31">
        <f t="shared" si="7"/>
        <v>41.683999999999997</v>
      </c>
      <c r="K73" s="31">
        <f t="shared" si="7"/>
        <v>41.856000000000002</v>
      </c>
      <c r="L73" s="31">
        <f t="shared" si="7"/>
        <v>42.608000000000004</v>
      </c>
      <c r="M73" s="31">
        <f t="shared" si="7"/>
        <v>43.453000000000003</v>
      </c>
    </row>
    <row r="75" spans="1:15" x14ac:dyDescent="0.2">
      <c r="O75" s="1" t="s">
        <v>809</v>
      </c>
    </row>
    <row r="76" spans="1:15" x14ac:dyDescent="0.2">
      <c r="A76" s="1" t="s">
        <v>807</v>
      </c>
      <c r="B76" s="71"/>
      <c r="C76" s="71">
        <f>C62/C$73</f>
        <v>3.9816001809818272E-2</v>
      </c>
      <c r="D76" s="71">
        <f t="shared" ref="D76:M76" si="8">D62/D$73</f>
        <v>3.8882179280730005E-2</v>
      </c>
      <c r="E76" s="71">
        <f t="shared" si="8"/>
        <v>3.0733005106877462E-2</v>
      </c>
      <c r="F76" s="71">
        <f t="shared" si="8"/>
        <v>2.5490539593552911E-2</v>
      </c>
      <c r="G76" s="71">
        <f t="shared" si="8"/>
        <v>2.336861784099235E-2</v>
      </c>
      <c r="H76" s="71">
        <f t="shared" si="8"/>
        <v>2.3786080737938541E-2</v>
      </c>
      <c r="I76" s="71">
        <f t="shared" si="8"/>
        <v>2.233331019000671E-2</v>
      </c>
      <c r="J76" s="71">
        <f t="shared" si="8"/>
        <v>2.545341138086556E-2</v>
      </c>
      <c r="K76" s="71">
        <f t="shared" si="8"/>
        <v>2.6471712538226302E-2</v>
      </c>
      <c r="L76" s="71">
        <f t="shared" si="8"/>
        <v>2.7647390161472021E-2</v>
      </c>
      <c r="M76" s="71">
        <f t="shared" si="8"/>
        <v>2.7385911214415571E-2</v>
      </c>
      <c r="O76" s="23">
        <f>AVERAGE($C76:$M76)</f>
        <v>2.8306196350445057E-2</v>
      </c>
    </row>
    <row r="77" spans="1:15" x14ac:dyDescent="0.2">
      <c r="A77" s="1" t="s">
        <v>175</v>
      </c>
      <c r="B77" s="71"/>
      <c r="C77" s="71">
        <f t="shared" ref="C77:M77" si="9">C63/C$73</f>
        <v>0.332290174195008</v>
      </c>
      <c r="D77" s="71">
        <f t="shared" si="9"/>
        <v>0.32028314546430486</v>
      </c>
      <c r="E77" s="71">
        <f t="shared" si="9"/>
        <v>0.31665698296688177</v>
      </c>
      <c r="F77" s="71">
        <f t="shared" si="9"/>
        <v>0.32985867787900025</v>
      </c>
      <c r="G77" s="71">
        <f t="shared" si="9"/>
        <v>0.31245736806204694</v>
      </c>
      <c r="H77" s="71">
        <f t="shared" si="9"/>
        <v>0.34015650101051975</v>
      </c>
      <c r="I77" s="71">
        <f t="shared" si="9"/>
        <v>0.31829017102918372</v>
      </c>
      <c r="J77" s="71">
        <f t="shared" si="9"/>
        <v>0.33969868534689573</v>
      </c>
      <c r="K77" s="71">
        <f t="shared" si="9"/>
        <v>0.34637805810397548</v>
      </c>
      <c r="L77" s="71">
        <f t="shared" si="9"/>
        <v>0.34965264739016144</v>
      </c>
      <c r="M77" s="71">
        <f t="shared" si="9"/>
        <v>0.34653533703081485</v>
      </c>
      <c r="O77" s="23">
        <f t="shared" ref="O77:O86" si="10">AVERAGE($C77:$M77)</f>
        <v>0.33202343167989024</v>
      </c>
    </row>
    <row r="78" spans="1:15" x14ac:dyDescent="0.2">
      <c r="A78" s="1" t="s">
        <v>176</v>
      </c>
      <c r="B78" s="71"/>
      <c r="C78" s="71">
        <f t="shared" ref="C78:M78" si="11">C64/C$73</f>
        <v>0.29899705904532092</v>
      </c>
      <c r="D78" s="71">
        <f t="shared" si="11"/>
        <v>0.33259527643585612</v>
      </c>
      <c r="E78" s="71">
        <f t="shared" si="11"/>
        <v>0.28344698938870372</v>
      </c>
      <c r="F78" s="71">
        <f t="shared" si="11"/>
        <v>0.27887759869189443</v>
      </c>
      <c r="G78" s="71">
        <f t="shared" si="11"/>
        <v>0.2893919106687215</v>
      </c>
      <c r="H78" s="71">
        <f t="shared" si="11"/>
        <v>0.30377778929367261</v>
      </c>
      <c r="I78" s="71">
        <f t="shared" si="11"/>
        <v>0.26961975514360431</v>
      </c>
      <c r="J78" s="71">
        <f t="shared" si="11"/>
        <v>0.27957969484694367</v>
      </c>
      <c r="K78" s="71">
        <f t="shared" si="11"/>
        <v>0.29873853211009171</v>
      </c>
      <c r="L78" s="71">
        <f t="shared" si="11"/>
        <v>0.2886781825009388</v>
      </c>
      <c r="M78" s="71">
        <f t="shared" si="11"/>
        <v>0.29638920212643544</v>
      </c>
      <c r="O78" s="23">
        <f t="shared" si="10"/>
        <v>0.29273563547747122</v>
      </c>
    </row>
    <row r="79" spans="1:15" x14ac:dyDescent="0.2">
      <c r="A79" s="1" t="s">
        <v>177</v>
      </c>
      <c r="B79" s="71"/>
      <c r="C79" s="71">
        <f t="shared" ref="C79:M79" si="12">C65/C$73</f>
        <v>9.6787572581253326E-2</v>
      </c>
      <c r="D79" s="71">
        <f t="shared" si="12"/>
        <v>8.4104938271604937E-2</v>
      </c>
      <c r="E79" s="71">
        <f t="shared" si="12"/>
        <v>0.14730436378092412</v>
      </c>
      <c r="F79" s="71">
        <f t="shared" si="12"/>
        <v>9.8429105349217477E-2</v>
      </c>
      <c r="G79" s="71">
        <f t="shared" si="12"/>
        <v>0.13371902079175407</v>
      </c>
      <c r="H79" s="71">
        <f t="shared" si="12"/>
        <v>7.7058610146654924E-2</v>
      </c>
      <c r="I79" s="71">
        <f t="shared" si="12"/>
        <v>0.12874632599689878</v>
      </c>
      <c r="J79" s="71">
        <f t="shared" si="12"/>
        <v>0.13021782938297669</v>
      </c>
      <c r="K79" s="71">
        <f t="shared" si="12"/>
        <v>0.10258983180428133</v>
      </c>
      <c r="L79" s="71">
        <f t="shared" si="12"/>
        <v>0.10566090874953059</v>
      </c>
      <c r="M79" s="71">
        <f t="shared" si="12"/>
        <v>9.5137274756633611E-2</v>
      </c>
      <c r="O79" s="23">
        <f t="shared" si="10"/>
        <v>0.10906870741924818</v>
      </c>
    </row>
    <row r="80" spans="1:15" x14ac:dyDescent="0.2">
      <c r="A80" s="1" t="s">
        <v>178</v>
      </c>
      <c r="B80" s="71"/>
      <c r="C80" s="71">
        <f t="shared" ref="C80:M80" si="13">C66/C$73</f>
        <v>7.1223889601085902E-2</v>
      </c>
      <c r="D80" s="71">
        <f t="shared" si="13"/>
        <v>7.1994095544820169E-2</v>
      </c>
      <c r="E80" s="71">
        <f t="shared" si="13"/>
        <v>7.9691752545793706E-2</v>
      </c>
      <c r="F80" s="71">
        <f t="shared" si="13"/>
        <v>8.1669002569493124E-2</v>
      </c>
      <c r="G80" s="71">
        <f t="shared" si="13"/>
        <v>7.5588004951620658E-2</v>
      </c>
      <c r="H80" s="71">
        <f t="shared" si="13"/>
        <v>8.0401098616365241E-2</v>
      </c>
      <c r="I80" s="71">
        <f t="shared" si="13"/>
        <v>7.6650697771297641E-2</v>
      </c>
      <c r="J80" s="71">
        <f t="shared" si="13"/>
        <v>8.0078687266097306E-2</v>
      </c>
      <c r="K80" s="71">
        <f t="shared" si="13"/>
        <v>8.1087538226299688E-2</v>
      </c>
      <c r="L80" s="71">
        <f t="shared" si="13"/>
        <v>8.1275816748028529E-2</v>
      </c>
      <c r="M80" s="71">
        <f t="shared" si="13"/>
        <v>8.0891998250983824E-2</v>
      </c>
      <c r="O80" s="23">
        <f t="shared" si="10"/>
        <v>7.8232052917444159E-2</v>
      </c>
    </row>
    <row r="81" spans="1:15" x14ac:dyDescent="0.2">
      <c r="A81" s="1" t="s">
        <v>179</v>
      </c>
      <c r="B81" s="71"/>
      <c r="C81" s="71">
        <f t="shared" ref="C81:M81" si="14">C67/C$73</f>
        <v>4.8073297639695353E-2</v>
      </c>
      <c r="D81" s="71">
        <f t="shared" si="14"/>
        <v>4.6396940418679547E-2</v>
      </c>
      <c r="E81" s="71">
        <f t="shared" si="14"/>
        <v>4.6390018653863795E-2</v>
      </c>
      <c r="F81" s="71">
        <f t="shared" si="14"/>
        <v>4.5608502686288258E-2</v>
      </c>
      <c r="G81" s="71">
        <f t="shared" si="14"/>
        <v>4.4387742212566007E-2</v>
      </c>
      <c r="H81" s="71">
        <f t="shared" si="14"/>
        <v>4.7002124682593148E-2</v>
      </c>
      <c r="I81" s="71">
        <f t="shared" si="14"/>
        <v>4.1866277858779416E-2</v>
      </c>
      <c r="J81" s="71">
        <f t="shared" si="14"/>
        <v>4.164667498320699E-2</v>
      </c>
      <c r="K81" s="71">
        <f t="shared" si="14"/>
        <v>4.3100152905198773E-2</v>
      </c>
      <c r="L81" s="71">
        <f t="shared" si="14"/>
        <v>4.2503755163349602E-2</v>
      </c>
      <c r="M81" s="71">
        <f t="shared" si="14"/>
        <v>4.5129220076864658E-2</v>
      </c>
      <c r="O81" s="23">
        <f t="shared" si="10"/>
        <v>4.4736791571007781E-2</v>
      </c>
    </row>
    <row r="82" spans="1:15" x14ac:dyDescent="0.2">
      <c r="A82" s="1" t="s">
        <v>181</v>
      </c>
      <c r="B82" s="71"/>
      <c r="C82" s="71">
        <f t="shared" ref="C82:M82" si="15">C68/C$73</f>
        <v>5.4445366111153012E-2</v>
      </c>
      <c r="D82" s="71">
        <f t="shared" si="15"/>
        <v>5.3408480944712823E-2</v>
      </c>
      <c r="E82" s="71">
        <f t="shared" si="15"/>
        <v>4.877526681141249E-2</v>
      </c>
      <c r="F82" s="71">
        <f t="shared" si="15"/>
        <v>8.4355290819901896E-2</v>
      </c>
      <c r="G82" s="71">
        <f t="shared" si="15"/>
        <v>7.4779577091175525E-2</v>
      </c>
      <c r="H82" s="71">
        <f t="shared" si="15"/>
        <v>7.270560190703218E-2</v>
      </c>
      <c r="I82" s="71">
        <f t="shared" si="15"/>
        <v>5.8830336272535803E-2</v>
      </c>
      <c r="J82" s="71">
        <f t="shared" si="15"/>
        <v>4.9731311774301894E-2</v>
      </c>
      <c r="K82" s="71">
        <f t="shared" si="15"/>
        <v>4.7257262996941891E-2</v>
      </c>
      <c r="L82" s="71">
        <f t="shared" si="15"/>
        <v>4.8300788584303408E-2</v>
      </c>
      <c r="M82" s="71">
        <f t="shared" si="15"/>
        <v>5.1273790072031852E-2</v>
      </c>
      <c r="O82" s="23">
        <f t="shared" si="10"/>
        <v>5.8533006671409343E-2</v>
      </c>
    </row>
    <row r="83" spans="1:15" x14ac:dyDescent="0.2">
      <c r="A83" s="1" t="s">
        <v>183</v>
      </c>
      <c r="B83" s="71"/>
      <c r="C83" s="71">
        <f t="shared" ref="C83:M83" si="16">C69/C$73</f>
        <v>2.567679662167258E-2</v>
      </c>
      <c r="D83" s="71">
        <f t="shared" si="16"/>
        <v>2.8482286634460542E-2</v>
      </c>
      <c r="E83" s="71">
        <f t="shared" si="16"/>
        <v>1.5993394697409867E-2</v>
      </c>
      <c r="F83" s="71">
        <f t="shared" si="16"/>
        <v>1.6380518570427473E-2</v>
      </c>
      <c r="G83" s="71">
        <f t="shared" si="16"/>
        <v>1.4804335194401639E-2</v>
      </c>
      <c r="H83" s="71">
        <f t="shared" si="16"/>
        <v>1.6323780898585272E-2</v>
      </c>
      <c r="I83" s="71">
        <f t="shared" si="16"/>
        <v>1.7149205026730542E-2</v>
      </c>
      <c r="J83" s="71">
        <f t="shared" si="16"/>
        <v>2.0703387390845408E-2</v>
      </c>
      <c r="K83" s="71">
        <f t="shared" si="16"/>
        <v>1.9208715596330275E-2</v>
      </c>
      <c r="L83" s="71">
        <f t="shared" si="16"/>
        <v>1.9761547127300036E-2</v>
      </c>
      <c r="M83" s="71">
        <f t="shared" si="16"/>
        <v>1.7904402457827998E-2</v>
      </c>
      <c r="O83" s="23">
        <f t="shared" si="10"/>
        <v>1.9308033655999236E-2</v>
      </c>
    </row>
    <row r="84" spans="1:15" x14ac:dyDescent="0.2">
      <c r="A84" s="1" t="s">
        <v>182</v>
      </c>
      <c r="B84" s="71"/>
      <c r="C84" s="71">
        <f t="shared" ref="C84:M84" si="17">C70/C$73</f>
        <v>1.4855591584345075E-2</v>
      </c>
      <c r="D84" s="71">
        <f t="shared" si="17"/>
        <v>1.5666935050993022E-2</v>
      </c>
      <c r="E84" s="71">
        <f t="shared" si="17"/>
        <v>1.3394085807773463E-2</v>
      </c>
      <c r="F84" s="71">
        <f t="shared" si="17"/>
        <v>1.5796542863816869E-2</v>
      </c>
      <c r="G84" s="71">
        <f t="shared" si="17"/>
        <v>1.3490639921178287E-2</v>
      </c>
      <c r="H84" s="71">
        <f t="shared" si="17"/>
        <v>1.3136757008861482E-2</v>
      </c>
      <c r="I84" s="71">
        <f t="shared" si="17"/>
        <v>1.6339188594968638E-2</v>
      </c>
      <c r="J84" s="71">
        <f t="shared" si="17"/>
        <v>1.554553305824777E-2</v>
      </c>
      <c r="K84" s="71">
        <f t="shared" si="17"/>
        <v>1.5744457186544342E-2</v>
      </c>
      <c r="L84" s="71">
        <f t="shared" si="17"/>
        <v>1.5865565152084114E-2</v>
      </c>
      <c r="M84" s="71">
        <f t="shared" si="17"/>
        <v>1.5349918302533771E-2</v>
      </c>
      <c r="O84" s="23">
        <f t="shared" si="10"/>
        <v>1.5016837684667893E-2</v>
      </c>
    </row>
    <row r="85" spans="1:15" x14ac:dyDescent="0.2">
      <c r="A85" s="1" t="s">
        <v>184</v>
      </c>
      <c r="B85" s="71"/>
      <c r="C85" s="71">
        <f t="shared" ref="C85:M85" si="18">C71/C$73</f>
        <v>6.145841188447328E-3</v>
      </c>
      <c r="D85" s="71">
        <f t="shared" si="18"/>
        <v>6.7767042404723562E-3</v>
      </c>
      <c r="E85" s="71">
        <f t="shared" si="18"/>
        <v>7.7979266689092077E-3</v>
      </c>
      <c r="F85" s="71">
        <f t="shared" si="18"/>
        <v>7.5916841859378654E-3</v>
      </c>
      <c r="G85" s="71">
        <f t="shared" si="18"/>
        <v>7.5032210797564627E-3</v>
      </c>
      <c r="H85" s="71">
        <f t="shared" si="18"/>
        <v>8.7837487692387414E-3</v>
      </c>
      <c r="I85" s="71">
        <f t="shared" si="18"/>
        <v>2.1824157004327799E-2</v>
      </c>
      <c r="J85" s="71">
        <f t="shared" si="18"/>
        <v>-1.1035409269743786E-3</v>
      </c>
      <c r="K85" s="71">
        <f t="shared" si="18"/>
        <v>6.7612767584097847E-3</v>
      </c>
      <c r="L85" s="71">
        <f t="shared" si="18"/>
        <v>8.1440105144573779E-3</v>
      </c>
      <c r="M85" s="71">
        <f t="shared" si="18"/>
        <v>7.3642786458932635E-3</v>
      </c>
      <c r="O85" s="23">
        <f t="shared" si="10"/>
        <v>7.9626643753523459E-3</v>
      </c>
    </row>
    <row r="86" spans="1:15" x14ac:dyDescent="0.2">
      <c r="A86" s="1" t="s">
        <v>185</v>
      </c>
      <c r="B86" s="71"/>
      <c r="C86" s="71">
        <f t="shared" ref="C86:M86" si="19">C72/C$73</f>
        <v>1.1688409622200439E-2</v>
      </c>
      <c r="D86" s="71">
        <f t="shared" si="19"/>
        <v>1.4090177133655394E-3</v>
      </c>
      <c r="E86" s="71">
        <f t="shared" si="19"/>
        <v>9.8162135714504137E-3</v>
      </c>
      <c r="F86" s="71">
        <f t="shared" si="19"/>
        <v>1.594253679046952E-2</v>
      </c>
      <c r="G86" s="71">
        <f t="shared" si="19"/>
        <v>1.0509562185786829E-2</v>
      </c>
      <c r="H86" s="71">
        <f t="shared" si="19"/>
        <v>1.6867906928538116E-2</v>
      </c>
      <c r="I86" s="71">
        <f t="shared" si="19"/>
        <v>2.835057511166655E-2</v>
      </c>
      <c r="J86" s="71">
        <f t="shared" si="19"/>
        <v>1.8448325496593417E-2</v>
      </c>
      <c r="K86" s="71">
        <f t="shared" si="19"/>
        <v>1.2662461773700307E-2</v>
      </c>
      <c r="L86" s="71">
        <f t="shared" si="19"/>
        <v>1.2509387908374013E-2</v>
      </c>
      <c r="M86" s="71">
        <f t="shared" si="19"/>
        <v>1.6638667065565091E-2</v>
      </c>
      <c r="O86" s="23">
        <f t="shared" si="10"/>
        <v>1.407664219706457E-2</v>
      </c>
    </row>
    <row r="87" spans="1:15" ht="15" x14ac:dyDescent="0.25">
      <c r="B87" s="31"/>
      <c r="C87" s="31">
        <f>SUM(C$76:C$86)</f>
        <v>1.0000000000000002</v>
      </c>
      <c r="D87" s="31">
        <f t="shared" ref="D87:O87" si="20">SUM(D$76:D$86)</f>
        <v>1</v>
      </c>
      <c r="E87" s="31">
        <f t="shared" si="20"/>
        <v>1.0000000000000002</v>
      </c>
      <c r="F87" s="31">
        <f t="shared" si="20"/>
        <v>1</v>
      </c>
      <c r="G87" s="31">
        <f t="shared" si="20"/>
        <v>1.0000000000000002</v>
      </c>
      <c r="H87" s="31">
        <f t="shared" si="20"/>
        <v>0.99999999999999989</v>
      </c>
      <c r="I87" s="31">
        <f t="shared" si="20"/>
        <v>0.99999999999999989</v>
      </c>
      <c r="J87" s="31">
        <f t="shared" si="20"/>
        <v>1</v>
      </c>
      <c r="K87" s="31">
        <f t="shared" si="20"/>
        <v>0.99999999999999989</v>
      </c>
      <c r="L87" s="31">
        <f t="shared" si="20"/>
        <v>0.99999999999999989</v>
      </c>
      <c r="M87" s="31">
        <f t="shared" si="20"/>
        <v>0.99999999999999989</v>
      </c>
      <c r="O87" s="31">
        <f t="shared" si="20"/>
        <v>1</v>
      </c>
    </row>
    <row r="90" spans="1:15" x14ac:dyDescent="0.2">
      <c r="A90" s="1" t="s">
        <v>793</v>
      </c>
      <c r="C90" s="7">
        <v>0.44400000000000001</v>
      </c>
      <c r="D90" s="7">
        <v>0.55500000000000005</v>
      </c>
      <c r="E90" s="7">
        <v>0.61699999999999999</v>
      </c>
      <c r="F90" s="7">
        <v>0.86</v>
      </c>
      <c r="G90" s="7">
        <v>1.03</v>
      </c>
      <c r="H90" s="7">
        <v>1.1839999999999999</v>
      </c>
      <c r="I90" s="7">
        <v>1.34</v>
      </c>
      <c r="J90" s="7">
        <v>1.355</v>
      </c>
      <c r="K90" s="7">
        <v>1.4359999999999999</v>
      </c>
      <c r="L90" s="7">
        <v>1.5449999999999999</v>
      </c>
      <c r="M90" s="7">
        <v>1.6439999999999999</v>
      </c>
    </row>
    <row r="91" spans="1:15" x14ac:dyDescent="0.2">
      <c r="A91" s="1" t="s">
        <v>794</v>
      </c>
      <c r="C91" s="7">
        <v>2.1869999999999998</v>
      </c>
      <c r="D91" s="7">
        <v>2.2989999999999999</v>
      </c>
      <c r="E91" s="7">
        <v>2.3919999999999999</v>
      </c>
      <c r="F91" s="7">
        <v>2.5270000000000001</v>
      </c>
      <c r="G91" s="7">
        <v>2.7610000000000001</v>
      </c>
      <c r="H91" s="7">
        <v>2.9039999999999999</v>
      </c>
      <c r="I91" s="7">
        <v>3.0169999999999999</v>
      </c>
      <c r="J91" s="7">
        <v>3.0649999999999999</v>
      </c>
      <c r="K91" s="7">
        <v>3.1440000000000006</v>
      </c>
      <c r="L91" s="7">
        <v>3.1079999999999997</v>
      </c>
      <c r="M91" s="7">
        <v>3.2319999999999998</v>
      </c>
    </row>
    <row r="92" spans="1:15" x14ac:dyDescent="0.2">
      <c r="A92" s="1" t="s">
        <v>795</v>
      </c>
      <c r="C92" s="7">
        <v>1.7470000000000001</v>
      </c>
      <c r="D92" s="7">
        <v>1.8540000000000001</v>
      </c>
      <c r="E92" s="7">
        <v>1.9329999999999998</v>
      </c>
      <c r="F92" s="7">
        <v>2.0249999999999999</v>
      </c>
      <c r="G92" s="7">
        <v>2.1749999999999998</v>
      </c>
      <c r="H92" s="7">
        <v>2.2529999999999997</v>
      </c>
      <c r="I92" s="7">
        <v>2.3370000000000002</v>
      </c>
      <c r="J92" s="7">
        <v>2.3779999999999997</v>
      </c>
      <c r="K92" s="7">
        <v>2.4460000000000002</v>
      </c>
      <c r="L92" s="7">
        <v>2.4419999999999997</v>
      </c>
      <c r="M92" s="7">
        <v>2.5409999999999999</v>
      </c>
    </row>
    <row r="93" spans="1:15" x14ac:dyDescent="0.2">
      <c r="A93" s="1" t="s">
        <v>796</v>
      </c>
      <c r="C93" s="7">
        <v>1.7150000000000001</v>
      </c>
      <c r="D93" s="7">
        <v>1.9750000000000001</v>
      </c>
      <c r="E93" s="7">
        <v>2.3010000000000002</v>
      </c>
      <c r="F93" s="7">
        <v>2.6240000000000001</v>
      </c>
      <c r="G93" s="7">
        <v>2.8090000000000002</v>
      </c>
      <c r="H93" s="7">
        <v>2.887</v>
      </c>
      <c r="I93" s="7">
        <v>2.7829999999999999</v>
      </c>
      <c r="J93" s="7">
        <v>2.7360000000000002</v>
      </c>
      <c r="K93" s="7">
        <v>2.754</v>
      </c>
      <c r="L93" s="7">
        <v>2.8460000000000001</v>
      </c>
      <c r="M93" s="7">
        <v>2.89</v>
      </c>
    </row>
    <row r="94" spans="1:15" x14ac:dyDescent="0.2">
      <c r="A94" s="1" t="s">
        <v>797</v>
      </c>
      <c r="C94" s="7">
        <v>1.056</v>
      </c>
      <c r="D94" s="7">
        <v>1.159</v>
      </c>
      <c r="E94" s="7">
        <v>1.0049999999999999</v>
      </c>
      <c r="F94" s="7">
        <v>0.873</v>
      </c>
      <c r="G94" s="7">
        <v>0.92500000000000004</v>
      </c>
      <c r="H94" s="7">
        <v>0.91800000000000004</v>
      </c>
      <c r="I94" s="7">
        <v>0.96500000000000008</v>
      </c>
      <c r="J94" s="7">
        <v>1.0609999999999999</v>
      </c>
      <c r="K94" s="7">
        <v>1.1079999999999999</v>
      </c>
      <c r="L94" s="7">
        <v>1.1779999999999999</v>
      </c>
      <c r="M94" s="7">
        <v>1.19</v>
      </c>
    </row>
    <row r="95" spans="1:15" ht="15" x14ac:dyDescent="0.25">
      <c r="C95" s="31">
        <f>SUM(C$90:C$94)</f>
        <v>7.149</v>
      </c>
      <c r="D95" s="31">
        <f t="shared" ref="D95:M95" si="21">SUM(D$90:D$94)</f>
        <v>7.8419999999999996</v>
      </c>
      <c r="E95" s="31">
        <f t="shared" si="21"/>
        <v>8.2480000000000011</v>
      </c>
      <c r="F95" s="31">
        <f t="shared" si="21"/>
        <v>8.9089999999999989</v>
      </c>
      <c r="G95" s="31">
        <f t="shared" si="21"/>
        <v>9.7000000000000011</v>
      </c>
      <c r="H95" s="31">
        <f t="shared" si="21"/>
        <v>10.145999999999999</v>
      </c>
      <c r="I95" s="31">
        <f t="shared" si="21"/>
        <v>10.442</v>
      </c>
      <c r="J95" s="31">
        <f t="shared" si="21"/>
        <v>10.595000000000001</v>
      </c>
      <c r="K95" s="31">
        <f t="shared" si="21"/>
        <v>10.888</v>
      </c>
      <c r="L95" s="31">
        <f t="shared" si="21"/>
        <v>11.119</v>
      </c>
      <c r="M95" s="31">
        <f t="shared" si="21"/>
        <v>11.497</v>
      </c>
    </row>
    <row r="96" spans="1:15" x14ac:dyDescent="0.2">
      <c r="O96" s="1" t="s">
        <v>809</v>
      </c>
    </row>
    <row r="97" spans="1:15" x14ac:dyDescent="0.2">
      <c r="A97" s="1" t="s">
        <v>793</v>
      </c>
      <c r="C97" s="71">
        <f>C90/C$95</f>
        <v>6.2106588334032729E-2</v>
      </c>
      <c r="D97" s="71">
        <f t="shared" ref="D97:M97" si="22">D90/D$95</f>
        <v>7.0772762050497331E-2</v>
      </c>
      <c r="E97" s="71">
        <f t="shared" si="22"/>
        <v>7.4806013579049452E-2</v>
      </c>
      <c r="F97" s="71">
        <f t="shared" si="22"/>
        <v>9.6531597261196547E-2</v>
      </c>
      <c r="G97" s="71">
        <f t="shared" si="22"/>
        <v>0.10618556701030928</v>
      </c>
      <c r="H97" s="71">
        <f t="shared" si="22"/>
        <v>0.11669623496944609</v>
      </c>
      <c r="I97" s="71">
        <f t="shared" si="22"/>
        <v>0.12832790653131584</v>
      </c>
      <c r="J97" s="71">
        <f t="shared" si="22"/>
        <v>0.12789051439358187</v>
      </c>
      <c r="K97" s="71">
        <f t="shared" si="22"/>
        <v>0.13188831741366641</v>
      </c>
      <c r="L97" s="71">
        <f t="shared" si="22"/>
        <v>0.13895134454537278</v>
      </c>
      <c r="M97" s="71">
        <f t="shared" si="22"/>
        <v>0.14299382447595024</v>
      </c>
      <c r="O97" s="23">
        <f>AVERAGE($C97:$M97)</f>
        <v>0.10883187914221987</v>
      </c>
    </row>
    <row r="98" spans="1:15" x14ac:dyDescent="0.2">
      <c r="A98" s="1" t="s">
        <v>794</v>
      </c>
      <c r="C98" s="71">
        <f t="shared" ref="C98:M101" si="23">C91/C$95</f>
        <v>0.30591691145614769</v>
      </c>
      <c r="D98" s="71">
        <f t="shared" si="23"/>
        <v>0.29316500892629432</v>
      </c>
      <c r="E98" s="71">
        <f t="shared" si="23"/>
        <v>0.29000969932104748</v>
      </c>
      <c r="F98" s="71">
        <f t="shared" si="23"/>
        <v>0.28364575148726012</v>
      </c>
      <c r="G98" s="71">
        <f t="shared" si="23"/>
        <v>0.28463917525773191</v>
      </c>
      <c r="H98" s="71">
        <f t="shared" si="23"/>
        <v>0.2862211709047901</v>
      </c>
      <c r="I98" s="71">
        <f t="shared" si="23"/>
        <v>0.28892932388431336</v>
      </c>
      <c r="J98" s="71">
        <f t="shared" si="23"/>
        <v>0.28928739971684753</v>
      </c>
      <c r="K98" s="71">
        <f t="shared" si="23"/>
        <v>0.28875826598089643</v>
      </c>
      <c r="L98" s="71">
        <f t="shared" si="23"/>
        <v>0.27952153970680815</v>
      </c>
      <c r="M98" s="71">
        <f t="shared" si="23"/>
        <v>0.28111681308167347</v>
      </c>
      <c r="O98" s="23">
        <f t="shared" ref="O98:O101" si="24">AVERAGE($C98:$M98)</f>
        <v>0.28829191452034642</v>
      </c>
    </row>
    <row r="99" spans="1:15" x14ac:dyDescent="0.2">
      <c r="A99" s="1" t="s">
        <v>795</v>
      </c>
      <c r="C99" s="71">
        <f t="shared" si="23"/>
        <v>0.24436984193593511</v>
      </c>
      <c r="D99" s="71">
        <f t="shared" si="23"/>
        <v>0.23641928079571539</v>
      </c>
      <c r="E99" s="71">
        <f t="shared" si="23"/>
        <v>0.23435984481086319</v>
      </c>
      <c r="F99" s="71">
        <f t="shared" si="23"/>
        <v>0.2272982377371198</v>
      </c>
      <c r="G99" s="71">
        <f t="shared" si="23"/>
        <v>0.22422680412371129</v>
      </c>
      <c r="H99" s="71">
        <f t="shared" si="23"/>
        <v>0.22205795387344765</v>
      </c>
      <c r="I99" s="71">
        <f t="shared" si="23"/>
        <v>0.2238076996743919</v>
      </c>
      <c r="J99" s="71">
        <f t="shared" si="23"/>
        <v>0.22444549315714957</v>
      </c>
      <c r="K99" s="71">
        <f t="shared" si="23"/>
        <v>0.2246509919177076</v>
      </c>
      <c r="L99" s="71">
        <f t="shared" si="23"/>
        <v>0.21962406691249212</v>
      </c>
      <c r="M99" s="71">
        <f t="shared" si="23"/>
        <v>0.22101417761155084</v>
      </c>
      <c r="O99" s="23">
        <f t="shared" si="24"/>
        <v>0.2274794902318259</v>
      </c>
    </row>
    <row r="100" spans="1:15" x14ac:dyDescent="0.2">
      <c r="A100" s="1" t="s">
        <v>796</v>
      </c>
      <c r="C100" s="71">
        <f t="shared" si="23"/>
        <v>0.2398936914253742</v>
      </c>
      <c r="D100" s="71">
        <f t="shared" si="23"/>
        <v>0.25184901810762561</v>
      </c>
      <c r="E100" s="71">
        <f t="shared" si="23"/>
        <v>0.27897672162948589</v>
      </c>
      <c r="F100" s="71">
        <f t="shared" si="23"/>
        <v>0.29453361768997649</v>
      </c>
      <c r="G100" s="71">
        <f t="shared" si="23"/>
        <v>0.28958762886597939</v>
      </c>
      <c r="H100" s="71">
        <f t="shared" si="23"/>
        <v>0.28454563374728958</v>
      </c>
      <c r="I100" s="71">
        <f t="shared" si="23"/>
        <v>0.26651982378854622</v>
      </c>
      <c r="J100" s="71">
        <f t="shared" si="23"/>
        <v>0.25823501651722514</v>
      </c>
      <c r="K100" s="71">
        <f t="shared" si="23"/>
        <v>0.25293901542983099</v>
      </c>
      <c r="L100" s="71">
        <f t="shared" si="23"/>
        <v>0.25595826962856372</v>
      </c>
      <c r="M100" s="71">
        <f t="shared" si="23"/>
        <v>0.25136992258850138</v>
      </c>
      <c r="O100" s="23">
        <f t="shared" si="24"/>
        <v>0.26585530540167257</v>
      </c>
    </row>
    <row r="101" spans="1:15" x14ac:dyDescent="0.2">
      <c r="A101" s="1" t="s">
        <v>797</v>
      </c>
      <c r="C101" s="71">
        <f t="shared" si="23"/>
        <v>0.14771296684851029</v>
      </c>
      <c r="D101" s="71">
        <f t="shared" si="23"/>
        <v>0.14779393011986738</v>
      </c>
      <c r="E101" s="71">
        <f t="shared" si="23"/>
        <v>0.12184772065955381</v>
      </c>
      <c r="F101" s="71">
        <f t="shared" si="23"/>
        <v>9.7990795824447197E-2</v>
      </c>
      <c r="G101" s="71">
        <f t="shared" si="23"/>
        <v>9.5360824742268036E-2</v>
      </c>
      <c r="H101" s="71">
        <f t="shared" si="23"/>
        <v>9.0479006505026618E-2</v>
      </c>
      <c r="I101" s="71">
        <f t="shared" si="23"/>
        <v>9.2415246121432676E-2</v>
      </c>
      <c r="J101" s="71">
        <f t="shared" si="23"/>
        <v>0.10014157621519583</v>
      </c>
      <c r="K101" s="71">
        <f t="shared" si="23"/>
        <v>0.10176340925789859</v>
      </c>
      <c r="L101" s="71">
        <f t="shared" si="23"/>
        <v>0.10594477920676319</v>
      </c>
      <c r="M101" s="71">
        <f t="shared" si="23"/>
        <v>0.10350526224232408</v>
      </c>
      <c r="O101" s="23">
        <f t="shared" si="24"/>
        <v>0.10954141070393525</v>
      </c>
    </row>
    <row r="102" spans="1:15" ht="15" x14ac:dyDescent="0.25">
      <c r="C102" s="31">
        <f>SUM(C$97:C$101)</f>
        <v>1</v>
      </c>
      <c r="D102" s="31">
        <f t="shared" ref="D102:O102" si="25">SUM(D$97:D$101)</f>
        <v>1</v>
      </c>
      <c r="E102" s="31">
        <f t="shared" si="25"/>
        <v>0.99999999999999978</v>
      </c>
      <c r="F102" s="31">
        <f t="shared" si="25"/>
        <v>1.0000000000000002</v>
      </c>
      <c r="G102" s="31">
        <f t="shared" si="25"/>
        <v>0.99999999999999989</v>
      </c>
      <c r="H102" s="31">
        <f t="shared" si="25"/>
        <v>1</v>
      </c>
      <c r="I102" s="31">
        <f t="shared" si="25"/>
        <v>1</v>
      </c>
      <c r="J102" s="31">
        <f t="shared" si="25"/>
        <v>0.99999999999999989</v>
      </c>
      <c r="K102" s="31">
        <f t="shared" si="25"/>
        <v>1</v>
      </c>
      <c r="L102" s="31">
        <f t="shared" si="25"/>
        <v>0.99999999999999989</v>
      </c>
      <c r="M102" s="31">
        <f t="shared" si="25"/>
        <v>1</v>
      </c>
      <c r="O102" s="31">
        <f t="shared" si="25"/>
        <v>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
  <sheetViews>
    <sheetView topLeftCell="A15" zoomScaleNormal="100" workbookViewId="0">
      <selection activeCell="A19" sqref="A19:XFD19"/>
    </sheetView>
  </sheetViews>
  <sheetFormatPr defaultRowHeight="14.25" x14ac:dyDescent="0.2"/>
  <cols>
    <col min="1" max="1" width="90.7109375" style="1" customWidth="1"/>
    <col min="2" max="2" width="5.7109375" style="1" customWidth="1"/>
    <col min="3" max="4" width="14.7109375" style="1" customWidth="1"/>
    <col min="5" max="16384" width="9.140625" style="1"/>
  </cols>
  <sheetData>
    <row r="1" spans="1:8" ht="15" x14ac:dyDescent="0.25">
      <c r="A1" s="2" t="s">
        <v>119</v>
      </c>
    </row>
    <row r="2" spans="1:8" x14ac:dyDescent="0.2">
      <c r="A2" s="1" t="s">
        <v>120</v>
      </c>
    </row>
    <row r="3" spans="1:8" x14ac:dyDescent="0.2">
      <c r="A3" s="1" t="s">
        <v>122</v>
      </c>
    </row>
    <row r="4" spans="1:8" x14ac:dyDescent="0.2">
      <c r="A4" s="1" t="s">
        <v>787</v>
      </c>
    </row>
    <row r="5" spans="1:8" x14ac:dyDescent="0.2">
      <c r="A5" s="1" t="s">
        <v>121</v>
      </c>
    </row>
    <row r="7" spans="1:8" ht="15" x14ac:dyDescent="0.25">
      <c r="A7" s="2" t="s">
        <v>123</v>
      </c>
      <c r="C7" s="6" t="s">
        <v>1209</v>
      </c>
      <c r="D7" s="6" t="s">
        <v>920</v>
      </c>
    </row>
    <row r="8" spans="1:8" ht="15" x14ac:dyDescent="0.25">
      <c r="A8" s="2" t="s">
        <v>786</v>
      </c>
      <c r="C8" s="15">
        <v>2021</v>
      </c>
      <c r="D8" s="15">
        <v>2021</v>
      </c>
      <c r="H8" s="86"/>
    </row>
    <row r="9" spans="1:8" ht="15" x14ac:dyDescent="0.25">
      <c r="A9" s="2" t="s">
        <v>781</v>
      </c>
      <c r="C9" s="15">
        <v>0</v>
      </c>
      <c r="D9" s="15">
        <v>0</v>
      </c>
      <c r="H9" s="86"/>
    </row>
    <row r="10" spans="1:8" ht="15" x14ac:dyDescent="0.25">
      <c r="A10" s="2" t="s">
        <v>897</v>
      </c>
      <c r="C10" s="15">
        <v>1</v>
      </c>
      <c r="D10" s="15">
        <v>1</v>
      </c>
      <c r="H10" s="86"/>
    </row>
    <row r="11" spans="1:8" ht="15" x14ac:dyDescent="0.25">
      <c r="A11" s="2"/>
      <c r="C11" s="15"/>
      <c r="D11" s="15"/>
      <c r="H11" s="86"/>
    </row>
    <row r="12" spans="1:8" ht="15" x14ac:dyDescent="0.25">
      <c r="A12" s="2" t="s">
        <v>124</v>
      </c>
      <c r="B12" s="16" t="s">
        <v>125</v>
      </c>
      <c r="C12" s="16"/>
      <c r="D12" s="16"/>
      <c r="H12" s="86"/>
    </row>
    <row r="13" spans="1:8" x14ac:dyDescent="0.2">
      <c r="A13" s="1" t="s">
        <v>115</v>
      </c>
      <c r="C13" s="14">
        <v>4.4999999999999998E-2</v>
      </c>
      <c r="D13" s="14">
        <v>4.4999999999999998E-2</v>
      </c>
      <c r="H13" s="86"/>
    </row>
    <row r="14" spans="1:8" x14ac:dyDescent="0.2">
      <c r="A14" s="1" t="s">
        <v>116</v>
      </c>
      <c r="C14" s="13">
        <v>32.700000000000003</v>
      </c>
      <c r="D14" s="13">
        <v>32.700000000000003</v>
      </c>
      <c r="H14" s="86"/>
    </row>
    <row r="15" spans="1:8" x14ac:dyDescent="0.2">
      <c r="A15" s="1" t="s">
        <v>141</v>
      </c>
      <c r="C15" s="14">
        <v>1.4999999999999999E-2</v>
      </c>
      <c r="D15" s="14">
        <v>1.4999999999999999E-2</v>
      </c>
      <c r="H15" s="86"/>
    </row>
    <row r="16" spans="1:8" x14ac:dyDescent="0.2">
      <c r="A16" s="1" t="s">
        <v>142</v>
      </c>
      <c r="C16" s="14">
        <v>0.02</v>
      </c>
      <c r="D16" s="14">
        <v>0.02</v>
      </c>
      <c r="H16" s="86"/>
    </row>
    <row r="17" spans="1:8" x14ac:dyDescent="0.2">
      <c r="A17" s="1" t="s">
        <v>144</v>
      </c>
      <c r="C17" s="14">
        <v>5.2999999999999999E-2</v>
      </c>
      <c r="D17" s="14">
        <v>5.2999999999999999E-2</v>
      </c>
      <c r="H17" s="86"/>
    </row>
    <row r="18" spans="1:8" x14ac:dyDescent="0.2">
      <c r="A18" s="22" t="s">
        <v>135</v>
      </c>
      <c r="B18" s="16" t="s">
        <v>136</v>
      </c>
      <c r="C18" s="16"/>
      <c r="D18" s="16"/>
      <c r="H18" s="86"/>
    </row>
    <row r="19" spans="1:8" x14ac:dyDescent="0.2">
      <c r="A19" s="1" t="s">
        <v>139</v>
      </c>
      <c r="C19" s="23">
        <v>2E-3</v>
      </c>
      <c r="D19" s="23">
        <v>2E-3</v>
      </c>
      <c r="H19" s="86"/>
    </row>
    <row r="20" spans="1:8" x14ac:dyDescent="0.2">
      <c r="A20" s="1" t="s">
        <v>137</v>
      </c>
      <c r="C20" s="23">
        <v>1E-3</v>
      </c>
      <c r="D20" s="23">
        <v>1E-3</v>
      </c>
      <c r="H20" s="86"/>
    </row>
    <row r="21" spans="1:8" x14ac:dyDescent="0.2">
      <c r="A21" s="1" t="s">
        <v>138</v>
      </c>
      <c r="C21" s="13">
        <v>0.05</v>
      </c>
      <c r="D21" s="13">
        <v>0.05</v>
      </c>
      <c r="H21" s="86"/>
    </row>
    <row r="22" spans="1:8" x14ac:dyDescent="0.2">
      <c r="A22" s="1" t="s">
        <v>140</v>
      </c>
      <c r="C22" s="23">
        <v>2E-3</v>
      </c>
      <c r="D22" s="23">
        <v>2E-3</v>
      </c>
      <c r="H22" s="86"/>
    </row>
    <row r="23" spans="1:8" x14ac:dyDescent="0.2">
      <c r="A23" s="1" t="s">
        <v>143</v>
      </c>
      <c r="C23" s="23">
        <v>2E-3</v>
      </c>
      <c r="D23" s="23">
        <v>2E-3</v>
      </c>
      <c r="H23" s="86"/>
    </row>
    <row r="24" spans="1:8" x14ac:dyDescent="0.2">
      <c r="A24" s="1" t="s">
        <v>145</v>
      </c>
      <c r="C24" s="23">
        <v>2E-3</v>
      </c>
      <c r="D24" s="23">
        <v>2E-3</v>
      </c>
      <c r="H24" s="86"/>
    </row>
    <row r="25" spans="1:8" x14ac:dyDescent="0.2">
      <c r="A25" s="1" t="s">
        <v>831</v>
      </c>
      <c r="C25" s="15">
        <v>7</v>
      </c>
      <c r="D25" s="15">
        <v>7</v>
      </c>
      <c r="H25" s="86"/>
    </row>
    <row r="26" spans="1:8" x14ac:dyDescent="0.2">
      <c r="H26" s="86"/>
    </row>
    <row r="27" spans="1:8" ht="15" x14ac:dyDescent="0.25">
      <c r="A27" s="2" t="s">
        <v>799</v>
      </c>
      <c r="B27" s="16" t="s">
        <v>1229</v>
      </c>
      <c r="H27" s="86"/>
    </row>
    <row r="28" spans="1:8" ht="15" x14ac:dyDescent="0.25">
      <c r="A28" s="2"/>
      <c r="B28" s="16" t="s">
        <v>1228</v>
      </c>
      <c r="H28" s="86"/>
    </row>
    <row r="29" spans="1:8" x14ac:dyDescent="0.2">
      <c r="A29" s="1" t="s">
        <v>1189</v>
      </c>
      <c r="B29" s="16"/>
      <c r="C29" s="81" t="s">
        <v>921</v>
      </c>
      <c r="D29" s="81" t="s">
        <v>921</v>
      </c>
      <c r="H29" s="86"/>
    </row>
    <row r="30" spans="1:8" x14ac:dyDescent="0.2">
      <c r="A30" s="1" t="s">
        <v>1230</v>
      </c>
      <c r="C30" s="13">
        <v>1.25</v>
      </c>
      <c r="D30" s="13">
        <v>1.25</v>
      </c>
      <c r="H30" s="86"/>
    </row>
    <row r="31" spans="1:8" x14ac:dyDescent="0.2">
      <c r="A31" s="1" t="s">
        <v>456</v>
      </c>
      <c r="C31" s="14">
        <v>5.0000000000000001E-4</v>
      </c>
      <c r="D31" s="14">
        <v>5.0000000000000001E-4</v>
      </c>
      <c r="H31" s="86"/>
    </row>
    <row r="32" spans="1:8" x14ac:dyDescent="0.2">
      <c r="A32" s="1" t="s">
        <v>455</v>
      </c>
      <c r="C32" s="23">
        <v>0.11</v>
      </c>
      <c r="D32" s="23">
        <v>0.11</v>
      </c>
      <c r="H32" s="86"/>
    </row>
    <row r="33" spans="1:8" x14ac:dyDescent="0.2">
      <c r="A33" s="1" t="s">
        <v>457</v>
      </c>
      <c r="C33" s="23">
        <v>4.2000000000000003E-2</v>
      </c>
      <c r="D33" s="23">
        <v>4.2000000000000003E-2</v>
      </c>
      <c r="H33" s="86"/>
    </row>
    <row r="34" spans="1:8" x14ac:dyDescent="0.2">
      <c r="A34" s="1" t="s">
        <v>458</v>
      </c>
      <c r="C34" s="23">
        <v>7.3999999999999996E-2</v>
      </c>
      <c r="D34" s="23">
        <v>7.3999999999999996E-2</v>
      </c>
      <c r="H34" s="86"/>
    </row>
    <row r="35" spans="1:8" x14ac:dyDescent="0.2">
      <c r="A35" s="1" t="s">
        <v>459</v>
      </c>
      <c r="C35" s="23">
        <v>1.2999999999999999E-2</v>
      </c>
      <c r="D35" s="23">
        <v>1.2999999999999999E-2</v>
      </c>
      <c r="H35" s="86"/>
    </row>
    <row r="36" spans="1:8" x14ac:dyDescent="0.2">
      <c r="A36" s="1" t="s">
        <v>460</v>
      </c>
      <c r="C36" s="23">
        <v>4.3999999999999997E-2</v>
      </c>
      <c r="D36" s="23">
        <v>4.3999999999999997E-2</v>
      </c>
      <c r="H36" s="86"/>
    </row>
    <row r="37" spans="1:8" x14ac:dyDescent="0.2">
      <c r="A37" s="1" t="s">
        <v>461</v>
      </c>
      <c r="C37" s="23">
        <v>3.0000000000000001E-3</v>
      </c>
      <c r="D37" s="23">
        <v>3.0000000000000001E-3</v>
      </c>
      <c r="H37" s="86"/>
    </row>
    <row r="38" spans="1:8" x14ac:dyDescent="0.2">
      <c r="H38" s="86"/>
    </row>
    <row r="39" spans="1:8" x14ac:dyDescent="0.2">
      <c r="A39" s="1" t="s">
        <v>510</v>
      </c>
      <c r="C39" s="48">
        <v>0.65</v>
      </c>
      <c r="D39" s="48">
        <v>0.65</v>
      </c>
      <c r="H39" s="86"/>
    </row>
    <row r="40" spans="1:8" x14ac:dyDescent="0.2">
      <c r="B40" s="16" t="s">
        <v>1183</v>
      </c>
      <c r="C40" s="48"/>
      <c r="D40" s="48"/>
      <c r="H40" s="86"/>
    </row>
    <row r="41" spans="1:8" x14ac:dyDescent="0.2">
      <c r="B41" s="16" t="s">
        <v>1184</v>
      </c>
      <c r="C41" s="48"/>
      <c r="D41" s="48"/>
      <c r="H41" s="86"/>
    </row>
    <row r="42" spans="1:8" x14ac:dyDescent="0.2">
      <c r="A42" s="1" t="s">
        <v>1179</v>
      </c>
      <c r="C42" s="85" t="s">
        <v>1180</v>
      </c>
      <c r="D42" s="85" t="s">
        <v>1180</v>
      </c>
      <c r="H42" s="86"/>
    </row>
    <row r="43" spans="1:8" x14ac:dyDescent="0.2">
      <c r="A43" s="1" t="s">
        <v>1181</v>
      </c>
      <c r="C43" s="15">
        <v>2021</v>
      </c>
      <c r="D43" s="15">
        <v>2021</v>
      </c>
      <c r="H43" s="86"/>
    </row>
    <row r="44" spans="1:8" x14ac:dyDescent="0.2">
      <c r="A44" s="1" t="s">
        <v>1178</v>
      </c>
      <c r="C44" s="88">
        <v>5.0000000000000001E-4</v>
      </c>
      <c r="D44" s="88">
        <v>5.0000000000000001E-4</v>
      </c>
      <c r="H44" s="86"/>
    </row>
    <row r="45" spans="1:8" x14ac:dyDescent="0.2">
      <c r="A45" s="1" t="s">
        <v>1177</v>
      </c>
      <c r="C45" s="23">
        <v>2.1000000000000001E-2</v>
      </c>
      <c r="D45" s="23">
        <v>2.1000000000000001E-2</v>
      </c>
      <c r="H45" s="86"/>
    </row>
    <row r="46" spans="1:8" x14ac:dyDescent="0.2">
      <c r="A46" s="1" t="s">
        <v>1182</v>
      </c>
      <c r="C46" s="23">
        <v>2E-3</v>
      </c>
      <c r="D46" s="23">
        <v>2E-3</v>
      </c>
      <c r="H46" s="86"/>
    </row>
    <row r="47" spans="1:8" x14ac:dyDescent="0.2">
      <c r="A47" s="1" t="s">
        <v>832</v>
      </c>
      <c r="C47" s="23">
        <v>1.0999999999999999E-2</v>
      </c>
      <c r="D47" s="23">
        <v>1.0999999999999999E-2</v>
      </c>
      <c r="H47" s="86"/>
    </row>
    <row r="48" spans="1:8" x14ac:dyDescent="0.2">
      <c r="A48" s="1" t="s">
        <v>517</v>
      </c>
      <c r="C48" s="23">
        <v>1.4999999999999999E-2</v>
      </c>
      <c r="D48" s="23">
        <v>1.4999999999999999E-2</v>
      </c>
      <c r="H48" s="86"/>
    </row>
    <row r="49" spans="1:8" x14ac:dyDescent="0.2">
      <c r="A49" s="1" t="s">
        <v>715</v>
      </c>
      <c r="C49" s="15">
        <v>2022</v>
      </c>
      <c r="D49" s="15">
        <v>2022</v>
      </c>
      <c r="H49" s="86"/>
    </row>
    <row r="50" spans="1:8" x14ac:dyDescent="0.2">
      <c r="A50" s="1" t="s">
        <v>522</v>
      </c>
      <c r="C50" s="23">
        <v>2E-3</v>
      </c>
      <c r="D50" s="23">
        <v>2E-3</v>
      </c>
      <c r="H50" s="86"/>
    </row>
    <row r="51" spans="1:8" x14ac:dyDescent="0.2">
      <c r="H51" s="86"/>
    </row>
    <row r="52" spans="1:8" x14ac:dyDescent="0.2">
      <c r="A52" s="1" t="s">
        <v>818</v>
      </c>
      <c r="C52" s="7">
        <v>1.53</v>
      </c>
      <c r="D52" s="7">
        <v>1.53</v>
      </c>
      <c r="H52" s="86"/>
    </row>
    <row r="53" spans="1:8" x14ac:dyDescent="0.2">
      <c r="A53" s="1" t="s">
        <v>543</v>
      </c>
      <c r="C53" s="23">
        <v>0.02</v>
      </c>
      <c r="D53" s="23">
        <v>0.02</v>
      </c>
      <c r="H53" s="86"/>
    </row>
    <row r="54" spans="1:8" x14ac:dyDescent="0.2">
      <c r="H54" s="86"/>
    </row>
    <row r="55" spans="1:8" x14ac:dyDescent="0.2">
      <c r="A55" s="1" t="s">
        <v>586</v>
      </c>
      <c r="C55" s="15">
        <v>2021</v>
      </c>
      <c r="D55" s="15">
        <v>2021</v>
      </c>
      <c r="H55" s="86"/>
    </row>
    <row r="56" spans="1:8" x14ac:dyDescent="0.2">
      <c r="H56" s="86"/>
    </row>
    <row r="57" spans="1:8" x14ac:dyDescent="0.2">
      <c r="A57" s="1" t="s">
        <v>819</v>
      </c>
      <c r="C57" s="7">
        <v>0.91800000000000004</v>
      </c>
      <c r="D57" s="7">
        <v>0.91800000000000004</v>
      </c>
      <c r="H57" s="86"/>
    </row>
    <row r="58" spans="1:8" x14ac:dyDescent="0.2">
      <c r="A58" s="1" t="s">
        <v>669</v>
      </c>
      <c r="C58" s="23">
        <v>0.02</v>
      </c>
      <c r="D58" s="23">
        <v>0.02</v>
      </c>
      <c r="H58" s="86"/>
    </row>
    <row r="59" spans="1:8" x14ac:dyDescent="0.2">
      <c r="C59" s="23"/>
      <c r="D59" s="23"/>
      <c r="H59" s="86"/>
    </row>
    <row r="60" spans="1:8" x14ac:dyDescent="0.2">
      <c r="A60" s="1" t="s">
        <v>782</v>
      </c>
      <c r="C60" s="48">
        <v>0.36</v>
      </c>
      <c r="D60" s="48">
        <v>0.36</v>
      </c>
      <c r="H60" s="86"/>
    </row>
    <row r="61" spans="1:8" x14ac:dyDescent="0.2">
      <c r="A61" s="1" t="s">
        <v>740</v>
      </c>
      <c r="C61" s="48">
        <v>0.6</v>
      </c>
      <c r="D61" s="48">
        <v>0.6</v>
      </c>
      <c r="H61" s="86"/>
    </row>
    <row r="62" spans="1:8" x14ac:dyDescent="0.2">
      <c r="A62" s="1" t="s">
        <v>828</v>
      </c>
      <c r="C62" s="48">
        <v>0.33</v>
      </c>
      <c r="D62" s="48">
        <v>0.33</v>
      </c>
      <c r="H62" s="86"/>
    </row>
    <row r="63" spans="1:8" x14ac:dyDescent="0.2">
      <c r="C63" s="48"/>
      <c r="D63" s="48"/>
      <c r="H63" s="86"/>
    </row>
    <row r="64" spans="1:8" x14ac:dyDescent="0.2">
      <c r="A64" s="22" t="s">
        <v>716</v>
      </c>
      <c r="B64" s="16" t="s">
        <v>717</v>
      </c>
      <c r="C64" s="16"/>
      <c r="D64" s="16"/>
      <c r="H64" s="86"/>
    </row>
    <row r="65" spans="1:8" x14ac:dyDescent="0.2">
      <c r="B65" s="16" t="s">
        <v>1231</v>
      </c>
      <c r="C65" s="16"/>
      <c r="D65" s="16"/>
      <c r="H65" s="86"/>
    </row>
    <row r="66" spans="1:8" x14ac:dyDescent="0.2">
      <c r="B66" s="16" t="s">
        <v>718</v>
      </c>
      <c r="C66" s="16"/>
      <c r="D66" s="16"/>
      <c r="H66" s="86"/>
    </row>
    <row r="67" spans="1:8" x14ac:dyDescent="0.2">
      <c r="A67" s="1" t="s">
        <v>719</v>
      </c>
      <c r="C67" s="15">
        <v>3</v>
      </c>
      <c r="D67" s="15">
        <v>3</v>
      </c>
      <c r="H67" s="86"/>
    </row>
    <row r="68" spans="1:8" x14ac:dyDescent="0.2">
      <c r="A68" s="1" t="s">
        <v>720</v>
      </c>
      <c r="C68" s="15">
        <v>5</v>
      </c>
      <c r="D68" s="15">
        <v>5</v>
      </c>
      <c r="H68" s="86"/>
    </row>
    <row r="69" spans="1:8" x14ac:dyDescent="0.2">
      <c r="H69" s="86"/>
    </row>
    <row r="70" spans="1:8" ht="15" x14ac:dyDescent="0.25">
      <c r="A70" s="2" t="s">
        <v>922</v>
      </c>
      <c r="B70" s="16" t="s">
        <v>820</v>
      </c>
      <c r="H70" s="86"/>
    </row>
    <row r="71" spans="1:8" ht="15" x14ac:dyDescent="0.25">
      <c r="A71" s="2"/>
      <c r="B71" s="16" t="s">
        <v>821</v>
      </c>
      <c r="H71" s="86"/>
    </row>
    <row r="72" spans="1:8" x14ac:dyDescent="0.2">
      <c r="A72" s="1" t="s">
        <v>816</v>
      </c>
      <c r="C72" s="81" t="s">
        <v>800</v>
      </c>
      <c r="D72" s="81" t="s">
        <v>921</v>
      </c>
      <c r="H72" s="86"/>
    </row>
    <row r="73" spans="1:8" x14ac:dyDescent="0.2">
      <c r="B73" s="16" t="s">
        <v>827</v>
      </c>
      <c r="C73" s="70"/>
      <c r="D73" s="70"/>
      <c r="H73" s="86"/>
    </row>
    <row r="74" spans="1:8" x14ac:dyDescent="0.2">
      <c r="B74" s="16" t="s">
        <v>829</v>
      </c>
      <c r="C74" s="70"/>
      <c r="D74" s="70"/>
      <c r="H74" s="86"/>
    </row>
    <row r="75" spans="1:8" x14ac:dyDescent="0.2">
      <c r="A75" s="1" t="s">
        <v>906</v>
      </c>
      <c r="B75" s="16"/>
      <c r="C75" s="14">
        <v>5.0000000000000001E-4</v>
      </c>
      <c r="D75" s="14">
        <v>5.0000000000000001E-4</v>
      </c>
      <c r="H75" s="86"/>
    </row>
    <row r="76" spans="1:8" x14ac:dyDescent="0.2">
      <c r="A76" s="1" t="s">
        <v>830</v>
      </c>
      <c r="B76" s="16"/>
      <c r="C76" s="23">
        <v>7.0000000000000001E-3</v>
      </c>
      <c r="D76" s="23">
        <v>7.0000000000000001E-3</v>
      </c>
      <c r="H76" s="86"/>
    </row>
    <row r="77" spans="1:8" x14ac:dyDescent="0.2">
      <c r="A77" s="1" t="s">
        <v>833</v>
      </c>
      <c r="B77" s="16"/>
      <c r="C77" s="23">
        <v>5.0000000000000001E-3</v>
      </c>
      <c r="D77" s="23">
        <v>5.0000000000000001E-3</v>
      </c>
      <c r="H77" s="86"/>
    </row>
    <row r="78" spans="1:8" x14ac:dyDescent="0.2">
      <c r="A78" s="1" t="s">
        <v>835</v>
      </c>
      <c r="B78" s="16"/>
      <c r="C78" s="23">
        <v>1.2999999999999999E-2</v>
      </c>
      <c r="D78" s="23">
        <v>1.2999999999999999E-2</v>
      </c>
      <c r="H78" s="86"/>
    </row>
    <row r="79" spans="1:8" x14ac:dyDescent="0.2">
      <c r="A79" s="1" t="s">
        <v>836</v>
      </c>
      <c r="B79" s="16"/>
      <c r="C79" s="23">
        <v>1.4E-2</v>
      </c>
      <c r="D79" s="23">
        <v>1.4E-2</v>
      </c>
      <c r="H79" s="86"/>
    </row>
    <row r="80" spans="1:8" x14ac:dyDescent="0.2">
      <c r="A80" s="1" t="s">
        <v>837</v>
      </c>
      <c r="B80" s="16"/>
      <c r="C80" s="23">
        <v>8.9999999999999993E-3</v>
      </c>
      <c r="D80" s="23">
        <v>8.9999999999999993E-3</v>
      </c>
      <c r="H80" s="86"/>
    </row>
    <row r="81" spans="1:8" x14ac:dyDescent="0.2">
      <c r="A81" s="1" t="s">
        <v>838</v>
      </c>
      <c r="B81" s="16"/>
      <c r="C81" s="23">
        <v>8.0000000000000002E-3</v>
      </c>
      <c r="D81" s="23">
        <v>8.0000000000000002E-3</v>
      </c>
      <c r="H81" s="86"/>
    </row>
    <row r="82" spans="1:8" x14ac:dyDescent="0.2">
      <c r="A82" s="1" t="s">
        <v>840</v>
      </c>
      <c r="B82" s="16"/>
      <c r="C82" s="23">
        <v>4.0000000000000001E-3</v>
      </c>
      <c r="D82" s="23">
        <v>4.0000000000000001E-3</v>
      </c>
      <c r="H82" s="86"/>
    </row>
    <row r="83" spans="1:8" x14ac:dyDescent="0.2">
      <c r="A83" s="1" t="s">
        <v>839</v>
      </c>
      <c r="B83" s="16"/>
      <c r="C83" s="23">
        <v>3.0000000000000001E-3</v>
      </c>
      <c r="D83" s="23">
        <v>3.0000000000000001E-3</v>
      </c>
      <c r="H83" s="86"/>
    </row>
    <row r="84" spans="1:8" x14ac:dyDescent="0.2">
      <c r="A84" s="1" t="s">
        <v>841</v>
      </c>
      <c r="B84" s="16"/>
      <c r="C84" s="23">
        <v>2E-3</v>
      </c>
      <c r="D84" s="23">
        <v>2E-3</v>
      </c>
      <c r="H84" s="86"/>
    </row>
    <row r="85" spans="1:8" x14ac:dyDescent="0.2">
      <c r="A85" s="1" t="s">
        <v>842</v>
      </c>
      <c r="B85" s="16"/>
      <c r="C85" s="23">
        <v>3.0000000000000001E-3</v>
      </c>
      <c r="D85" s="23">
        <v>3.0000000000000001E-3</v>
      </c>
      <c r="H85" s="86"/>
    </row>
    <row r="86" spans="1:8" x14ac:dyDescent="0.2">
      <c r="B86" s="16" t="s">
        <v>886</v>
      </c>
      <c r="C86" s="23"/>
      <c r="D86" s="23"/>
      <c r="H86" s="86"/>
    </row>
    <row r="87" spans="1:8" x14ac:dyDescent="0.2">
      <c r="B87" s="16" t="s">
        <v>887</v>
      </c>
      <c r="C87" s="23"/>
      <c r="D87" s="23"/>
      <c r="H87" s="86"/>
    </row>
    <row r="88" spans="1:8" x14ac:dyDescent="0.2">
      <c r="B88" s="16" t="s">
        <v>888</v>
      </c>
      <c r="C88" s="23"/>
      <c r="D88" s="23"/>
      <c r="H88" s="86"/>
    </row>
    <row r="89" spans="1:8" x14ac:dyDescent="0.2">
      <c r="A89" s="1" t="s">
        <v>857</v>
      </c>
      <c r="B89" s="16"/>
      <c r="C89" s="15">
        <v>2025</v>
      </c>
      <c r="D89" s="15">
        <v>2025</v>
      </c>
      <c r="H89" s="86"/>
    </row>
    <row r="90" spans="1:8" x14ac:dyDescent="0.2">
      <c r="A90" s="1" t="s">
        <v>907</v>
      </c>
      <c r="B90" s="16"/>
      <c r="C90" s="14">
        <v>5.0000000000000001E-4</v>
      </c>
      <c r="D90" s="14">
        <v>5.0000000000000001E-4</v>
      </c>
      <c r="H90" s="86"/>
    </row>
    <row r="91" spans="1:8" x14ac:dyDescent="0.2">
      <c r="A91" s="1" t="s">
        <v>889</v>
      </c>
      <c r="B91" s="16"/>
      <c r="C91" s="23">
        <v>6.3E-2</v>
      </c>
      <c r="D91" s="23">
        <v>6.3E-2</v>
      </c>
      <c r="H91" s="86"/>
    </row>
    <row r="92" spans="1:8" x14ac:dyDescent="0.2">
      <c r="A92" s="1" t="s">
        <v>893</v>
      </c>
      <c r="B92" s="16"/>
      <c r="C92" s="13">
        <v>1.25</v>
      </c>
      <c r="D92" s="13">
        <v>1.25</v>
      </c>
      <c r="H92" s="86"/>
    </row>
    <row r="93" spans="1:8" x14ac:dyDescent="0.2">
      <c r="A93" s="1" t="s">
        <v>894</v>
      </c>
      <c r="B93" s="16"/>
      <c r="C93" s="13">
        <v>1.35</v>
      </c>
      <c r="D93" s="13">
        <v>1.35</v>
      </c>
      <c r="H93" s="86"/>
    </row>
    <row r="94" spans="1:8" x14ac:dyDescent="0.2">
      <c r="A94" s="1" t="s">
        <v>895</v>
      </c>
      <c r="B94" s="16"/>
      <c r="C94" s="23">
        <v>0</v>
      </c>
      <c r="D94" s="23">
        <v>0</v>
      </c>
      <c r="H94" s="86"/>
    </row>
    <row r="95" spans="1:8" x14ac:dyDescent="0.2">
      <c r="A95" s="1" t="s">
        <v>896</v>
      </c>
      <c r="B95" s="16"/>
      <c r="C95" s="48">
        <v>0.75</v>
      </c>
      <c r="D95" s="48">
        <v>0.75</v>
      </c>
      <c r="H95" s="86"/>
    </row>
    <row r="96" spans="1:8" x14ac:dyDescent="0.2">
      <c r="B96" s="16" t="s">
        <v>854</v>
      </c>
      <c r="C96" s="23"/>
      <c r="D96" s="23"/>
      <c r="H96" s="86"/>
    </row>
    <row r="97" spans="1:8" x14ac:dyDescent="0.2">
      <c r="B97" s="16" t="s">
        <v>855</v>
      </c>
      <c r="C97" s="23"/>
      <c r="D97" s="23"/>
      <c r="H97" s="86"/>
    </row>
    <row r="98" spans="1:8" x14ac:dyDescent="0.2">
      <c r="B98" s="16" t="s">
        <v>856</v>
      </c>
      <c r="C98" s="23"/>
      <c r="D98" s="23"/>
      <c r="H98" s="86"/>
    </row>
    <row r="99" spans="1:8" x14ac:dyDescent="0.2">
      <c r="A99" s="1" t="s">
        <v>857</v>
      </c>
      <c r="B99" s="16"/>
      <c r="C99" s="15">
        <v>2025</v>
      </c>
      <c r="D99" s="15">
        <v>2025</v>
      </c>
      <c r="H99" s="86"/>
    </row>
    <row r="100" spans="1:8" x14ac:dyDescent="0.2">
      <c r="A100" s="1" t="s">
        <v>908</v>
      </c>
      <c r="B100" s="16"/>
      <c r="C100" s="14">
        <v>5.0000000000000001E-4</v>
      </c>
      <c r="D100" s="14">
        <v>5.0000000000000001E-4</v>
      </c>
      <c r="H100" s="86"/>
    </row>
    <row r="101" spans="1:8" x14ac:dyDescent="0.2">
      <c r="A101" s="1" t="s">
        <v>890</v>
      </c>
      <c r="B101" s="16"/>
      <c r="C101" s="23">
        <v>7.0000000000000001E-3</v>
      </c>
      <c r="D101" s="23">
        <v>7.0000000000000001E-3</v>
      </c>
      <c r="H101" s="86"/>
    </row>
    <row r="102" spans="1:8" x14ac:dyDescent="0.2">
      <c r="A102" s="1" t="s">
        <v>891</v>
      </c>
      <c r="B102" s="16"/>
      <c r="C102" s="23">
        <v>1.4E-2</v>
      </c>
      <c r="D102" s="23">
        <v>1.4E-2</v>
      </c>
      <c r="H102" s="86"/>
    </row>
    <row r="103" spans="1:8" x14ac:dyDescent="0.2">
      <c r="A103" s="1" t="s">
        <v>892</v>
      </c>
      <c r="B103" s="16"/>
      <c r="C103" s="23">
        <v>1.0999999999999999E-2</v>
      </c>
      <c r="D103" s="23">
        <v>1.0999999999999999E-2</v>
      </c>
      <c r="H103" s="86"/>
    </row>
    <row r="104" spans="1:8" x14ac:dyDescent="0.2">
      <c r="A104" s="1" t="s">
        <v>853</v>
      </c>
      <c r="B104" s="16"/>
      <c r="C104" s="23">
        <v>1.2999999999999999E-2</v>
      </c>
      <c r="D104" s="23">
        <v>1.2999999999999999E-2</v>
      </c>
      <c r="H104" s="86"/>
    </row>
    <row r="105" spans="1:8" x14ac:dyDescent="0.2">
      <c r="A105" s="1" t="s">
        <v>858</v>
      </c>
      <c r="B105" s="16"/>
      <c r="C105" s="13">
        <v>1.35</v>
      </c>
      <c r="D105" s="13">
        <v>1.35</v>
      </c>
      <c r="H105" s="86"/>
    </row>
    <row r="106" spans="1:8" x14ac:dyDescent="0.2">
      <c r="A106" s="1" t="s">
        <v>859</v>
      </c>
      <c r="B106" s="16"/>
      <c r="C106" s="13">
        <v>0.9</v>
      </c>
      <c r="D106" s="13">
        <v>0.9</v>
      </c>
      <c r="H106" s="86"/>
    </row>
    <row r="107" spans="1:8" x14ac:dyDescent="0.2">
      <c r="A107" s="1" t="s">
        <v>860</v>
      </c>
      <c r="B107" s="16"/>
      <c r="C107" s="23">
        <v>0</v>
      </c>
      <c r="D107" s="23">
        <v>0</v>
      </c>
      <c r="H107" s="86"/>
    </row>
    <row r="108" spans="1:8" x14ac:dyDescent="0.2">
      <c r="B108" s="16" t="s">
        <v>822</v>
      </c>
      <c r="C108" s="70"/>
      <c r="D108" s="70"/>
      <c r="H108" s="86"/>
    </row>
    <row r="109" spans="1:8" x14ac:dyDescent="0.2">
      <c r="A109" s="1" t="s">
        <v>817</v>
      </c>
      <c r="C109" s="81" t="s">
        <v>800</v>
      </c>
      <c r="D109" s="81" t="s">
        <v>800</v>
      </c>
      <c r="H109" s="86"/>
    </row>
    <row r="110" spans="1:8" x14ac:dyDescent="0.2">
      <c r="H110" s="86"/>
    </row>
    <row r="111" spans="1:8" ht="15" x14ac:dyDescent="0.25">
      <c r="A111" s="2" t="s">
        <v>923</v>
      </c>
      <c r="B111" s="16" t="s">
        <v>1232</v>
      </c>
      <c r="H111" s="86"/>
    </row>
    <row r="112" spans="1:8" x14ac:dyDescent="0.2">
      <c r="B112" s="16" t="s">
        <v>1233</v>
      </c>
      <c r="H112" s="86"/>
    </row>
    <row r="113" spans="1:8" x14ac:dyDescent="0.2">
      <c r="A113" s="1" t="s">
        <v>924</v>
      </c>
      <c r="C113" s="81" t="s">
        <v>921</v>
      </c>
      <c r="D113" s="81" t="s">
        <v>920</v>
      </c>
      <c r="H113" s="86"/>
    </row>
    <row r="114" spans="1:8" x14ac:dyDescent="0.2">
      <c r="A114" s="1" t="s">
        <v>925</v>
      </c>
      <c r="C114" s="48">
        <v>0.1</v>
      </c>
      <c r="D114" s="48">
        <v>0.1</v>
      </c>
      <c r="H114" s="86"/>
    </row>
    <row r="115" spans="1:8" x14ac:dyDescent="0.2">
      <c r="A115" s="1" t="s">
        <v>928</v>
      </c>
      <c r="C115" s="14">
        <v>5.0000000000000001E-3</v>
      </c>
      <c r="D115" s="14">
        <v>5.0000000000000001E-3</v>
      </c>
      <c r="H115" s="86"/>
    </row>
    <row r="116" spans="1:8" x14ac:dyDescent="0.2">
      <c r="A116" s="1" t="s">
        <v>932</v>
      </c>
      <c r="C116" s="14">
        <v>7.4999999999999997E-3</v>
      </c>
      <c r="D116" s="14">
        <v>7.4999999999999997E-3</v>
      </c>
      <c r="H116" s="86"/>
    </row>
    <row r="117" spans="1:8" x14ac:dyDescent="0.2">
      <c r="A117" s="1" t="s">
        <v>926</v>
      </c>
      <c r="C117" s="14">
        <v>0.01</v>
      </c>
      <c r="D117" s="14">
        <v>0.01</v>
      </c>
      <c r="H117" s="86"/>
    </row>
    <row r="118" spans="1:8" x14ac:dyDescent="0.2">
      <c r="A118" s="1" t="s">
        <v>927</v>
      </c>
      <c r="C118" s="23">
        <v>0.05</v>
      </c>
      <c r="D118" s="23">
        <v>0.05</v>
      </c>
      <c r="H118" s="8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21"/>
  <sheetViews>
    <sheetView zoomScaleNormal="100" workbookViewId="0">
      <pane xSplit="2" ySplit="8" topLeftCell="C354" activePane="bottomRight" state="frozen"/>
      <selection pane="topRight" activeCell="C1" sqref="C1"/>
      <selection pane="bottomLeft" activeCell="A9" sqref="A9"/>
      <selection pane="bottomRight" activeCell="J24" sqref="J24"/>
    </sheetView>
  </sheetViews>
  <sheetFormatPr defaultRowHeight="14.25" x14ac:dyDescent="0.2"/>
  <cols>
    <col min="1" max="1" width="85.7109375" style="1" customWidth="1"/>
    <col min="2" max="2" width="25.7109375" style="1" customWidth="1"/>
    <col min="3" max="3" width="7.7109375" style="1" customWidth="1"/>
    <col min="4" max="49" width="10.7109375" style="1" customWidth="1"/>
    <col min="50" max="16384" width="9.140625" style="1"/>
  </cols>
  <sheetData>
    <row r="1" spans="1:49" ht="15" x14ac:dyDescent="0.25">
      <c r="A1" s="2" t="s">
        <v>126</v>
      </c>
      <c r="B1" s="6" t="s">
        <v>1209</v>
      </c>
      <c r="C1" s="6">
        <f>MATCH($B$1,Assumptions!$C$7:$F$7,0)</f>
        <v>1</v>
      </c>
      <c r="D1" s="4" t="s">
        <v>127</v>
      </c>
      <c r="E1" s="4"/>
    </row>
    <row r="2" spans="1:49" x14ac:dyDescent="0.2">
      <c r="A2" s="1" t="s">
        <v>108</v>
      </c>
      <c r="E2" s="4" t="s">
        <v>721</v>
      </c>
      <c r="J2" s="7">
        <f ca="1">MAX(OFFSET(Assumptions!$B$8,0,$C$1)+OFFSET(Assumptions!$B$68,0,$C$1)-J$6,0)/(OFFSET(Assumptions!$B$68,0,$C$1)*(OFFSET(Assumptions!$B$68,0,$C$1)+1)/2)</f>
        <v>0.33333333333333331</v>
      </c>
      <c r="K2" s="7">
        <f ca="1">MAX(OFFSET(Assumptions!$B$8,0,$C$1)+OFFSET(Assumptions!$B$68,0,$C$1)-K$6,0)/(OFFSET(Assumptions!$B$68,0,$C$1)*(OFFSET(Assumptions!$B$68,0,$C$1)+1)/2)</f>
        <v>0.26666666666666666</v>
      </c>
      <c r="L2" s="7">
        <f ca="1">MAX(OFFSET(Assumptions!$B$8,0,$C$1)+OFFSET(Assumptions!$B$68,0,$C$1)-L$6,0)/(OFFSET(Assumptions!$B$68,0,$C$1)*(OFFSET(Assumptions!$B$68,0,$C$1)+1)/2)</f>
        <v>0.2</v>
      </c>
      <c r="M2" s="7">
        <f ca="1">MAX(OFFSET(Assumptions!$B$8,0,$C$1)+OFFSET(Assumptions!$B$68,0,$C$1)-M$6,0)/(OFFSET(Assumptions!$B$68,0,$C$1)*(OFFSET(Assumptions!$B$68,0,$C$1)+1)/2)</f>
        <v>0.13333333333333333</v>
      </c>
      <c r="N2" s="7">
        <f ca="1">MAX(OFFSET(Assumptions!$B$8,0,$C$1)+OFFSET(Assumptions!$B$68,0,$C$1)-N$6,0)/(OFFSET(Assumptions!$B$68,0,$C$1)*(OFFSET(Assumptions!$B$68,0,$C$1)+1)/2)</f>
        <v>6.6666666666666666E-2</v>
      </c>
      <c r="O2" s="7">
        <f ca="1">MAX(OFFSET(Assumptions!$B$8,0,$C$1)+OFFSET(Assumptions!$B$68,0,$C$1)-O$6,0)/(OFFSET(Assumptions!$B$68,0,$C$1)*(OFFSET(Assumptions!$B$68,0,$C$1)+1)/2)</f>
        <v>0</v>
      </c>
      <c r="P2" s="7">
        <f ca="1">MAX(OFFSET(Assumptions!$B$8,0,$C$1)+OFFSET(Assumptions!$B$68,0,$C$1)-P$6,0)/(OFFSET(Assumptions!$B$68,0,$C$1)*(OFFSET(Assumptions!$B$68,0,$C$1)+1)/2)</f>
        <v>0</v>
      </c>
      <c r="Q2" s="7">
        <f ca="1">MAX(OFFSET(Assumptions!$B$8,0,$C$1)+OFFSET(Assumptions!$B$68,0,$C$1)-Q$6,0)/(OFFSET(Assumptions!$B$68,0,$C$1)*(OFFSET(Assumptions!$B$68,0,$C$1)+1)/2)</f>
        <v>0</v>
      </c>
      <c r="R2" s="7">
        <f ca="1">MAX(OFFSET(Assumptions!$B$8,0,$C$1)+OFFSET(Assumptions!$B$68,0,$C$1)-R$6,0)/(OFFSET(Assumptions!$B$68,0,$C$1)*(OFFSET(Assumptions!$B$68,0,$C$1)+1)/2)</f>
        <v>0</v>
      </c>
      <c r="S2" s="7">
        <f ca="1">MAX(OFFSET(Assumptions!$B$8,0,$C$1)+OFFSET(Assumptions!$B$68,0,$C$1)-S$6,0)/(OFFSET(Assumptions!$B$68,0,$C$1)*(OFFSET(Assumptions!$B$68,0,$C$1)+1)/2)</f>
        <v>0</v>
      </c>
      <c r="T2" s="7">
        <f ca="1">MAX(OFFSET(Assumptions!$B$8,0,$C$1)+OFFSET(Assumptions!$B$68,0,$C$1)-T$6,0)/(OFFSET(Assumptions!$B$68,0,$C$1)*(OFFSET(Assumptions!$B$68,0,$C$1)+1)/2)</f>
        <v>0</v>
      </c>
      <c r="U2" s="7">
        <f ca="1">MAX(OFFSET(Assumptions!$B$8,0,$C$1)+OFFSET(Assumptions!$B$68,0,$C$1)-U$6,0)/(OFFSET(Assumptions!$B$68,0,$C$1)*(OFFSET(Assumptions!$B$68,0,$C$1)+1)/2)</f>
        <v>0</v>
      </c>
      <c r="V2" s="7">
        <f ca="1">MAX(OFFSET(Assumptions!$B$8,0,$C$1)+OFFSET(Assumptions!$B$68,0,$C$1)-V$6,0)/(OFFSET(Assumptions!$B$68,0,$C$1)*(OFFSET(Assumptions!$B$68,0,$C$1)+1)/2)</f>
        <v>0</v>
      </c>
      <c r="W2" s="7">
        <f ca="1">MAX(OFFSET(Assumptions!$B$8,0,$C$1)+OFFSET(Assumptions!$B$68,0,$C$1)-W$6,0)/(OFFSET(Assumptions!$B$68,0,$C$1)*(OFFSET(Assumptions!$B$68,0,$C$1)+1)/2)</f>
        <v>0</v>
      </c>
      <c r="X2" s="7">
        <f ca="1">MAX(OFFSET(Assumptions!$B$8,0,$C$1)+OFFSET(Assumptions!$B$68,0,$C$1)-X$6,0)/(OFFSET(Assumptions!$B$68,0,$C$1)*(OFFSET(Assumptions!$B$68,0,$C$1)+1)/2)</f>
        <v>0</v>
      </c>
      <c r="Y2" s="7">
        <f ca="1">MAX(OFFSET(Assumptions!$B$8,0,$C$1)+OFFSET(Assumptions!$B$68,0,$C$1)-Y$6,0)/(OFFSET(Assumptions!$B$68,0,$C$1)*(OFFSET(Assumptions!$B$68,0,$C$1)+1)/2)</f>
        <v>0</v>
      </c>
      <c r="Z2" s="7">
        <f ca="1">MAX(OFFSET(Assumptions!$B$8,0,$C$1)+OFFSET(Assumptions!$B$68,0,$C$1)-Z$6,0)/(OFFSET(Assumptions!$B$68,0,$C$1)*(OFFSET(Assumptions!$B$68,0,$C$1)+1)/2)</f>
        <v>0</v>
      </c>
      <c r="AA2" s="7">
        <f ca="1">MAX(OFFSET(Assumptions!$B$8,0,$C$1)+OFFSET(Assumptions!$B$68,0,$C$1)-AA$6,0)/(OFFSET(Assumptions!$B$68,0,$C$1)*(OFFSET(Assumptions!$B$68,0,$C$1)+1)/2)</f>
        <v>0</v>
      </c>
      <c r="AB2" s="7">
        <f ca="1">MAX(OFFSET(Assumptions!$B$8,0,$C$1)+OFFSET(Assumptions!$B$68,0,$C$1)-AB$6,0)/(OFFSET(Assumptions!$B$68,0,$C$1)*(OFFSET(Assumptions!$B$68,0,$C$1)+1)/2)</f>
        <v>0</v>
      </c>
      <c r="AC2" s="7">
        <f ca="1">MAX(OFFSET(Assumptions!$B$8,0,$C$1)+OFFSET(Assumptions!$B$68,0,$C$1)-AC$6,0)/(OFFSET(Assumptions!$B$68,0,$C$1)*(OFFSET(Assumptions!$B$68,0,$C$1)+1)/2)</f>
        <v>0</v>
      </c>
      <c r="AD2" s="7">
        <f ca="1">MAX(OFFSET(Assumptions!$B$8,0,$C$1)+OFFSET(Assumptions!$B$68,0,$C$1)-AD$6,0)/(OFFSET(Assumptions!$B$68,0,$C$1)*(OFFSET(Assumptions!$B$68,0,$C$1)+1)/2)</f>
        <v>0</v>
      </c>
      <c r="AE2" s="7">
        <f ca="1">MAX(OFFSET(Assumptions!$B$8,0,$C$1)+OFFSET(Assumptions!$B$68,0,$C$1)-AE$6,0)/(OFFSET(Assumptions!$B$68,0,$C$1)*(OFFSET(Assumptions!$B$68,0,$C$1)+1)/2)</f>
        <v>0</v>
      </c>
      <c r="AF2" s="7">
        <f ca="1">MAX(OFFSET(Assumptions!$B$8,0,$C$1)+OFFSET(Assumptions!$B$68,0,$C$1)-AF$6,0)/(OFFSET(Assumptions!$B$68,0,$C$1)*(OFFSET(Assumptions!$B$68,0,$C$1)+1)/2)</f>
        <v>0</v>
      </c>
      <c r="AG2" s="7">
        <f ca="1">MAX(OFFSET(Assumptions!$B$8,0,$C$1)+OFFSET(Assumptions!$B$68,0,$C$1)-AG$6,0)/(OFFSET(Assumptions!$B$68,0,$C$1)*(OFFSET(Assumptions!$B$68,0,$C$1)+1)/2)</f>
        <v>0</v>
      </c>
      <c r="AH2" s="7">
        <f ca="1">MAX(OFFSET(Assumptions!$B$8,0,$C$1)+OFFSET(Assumptions!$B$68,0,$C$1)-AH$6,0)/(OFFSET(Assumptions!$B$68,0,$C$1)*(OFFSET(Assumptions!$B$68,0,$C$1)+1)/2)</f>
        <v>0</v>
      </c>
      <c r="AI2" s="7">
        <f ca="1">MAX(OFFSET(Assumptions!$B$8,0,$C$1)+OFFSET(Assumptions!$B$68,0,$C$1)-AI$6,0)/(OFFSET(Assumptions!$B$68,0,$C$1)*(OFFSET(Assumptions!$B$68,0,$C$1)+1)/2)</f>
        <v>0</v>
      </c>
      <c r="AJ2" s="7">
        <f ca="1">MAX(OFFSET(Assumptions!$B$8,0,$C$1)+OFFSET(Assumptions!$B$68,0,$C$1)-AJ$6,0)/(OFFSET(Assumptions!$B$68,0,$C$1)*(OFFSET(Assumptions!$B$68,0,$C$1)+1)/2)</f>
        <v>0</v>
      </c>
      <c r="AK2" s="7">
        <f ca="1">MAX(OFFSET(Assumptions!$B$8,0,$C$1)+OFFSET(Assumptions!$B$68,0,$C$1)-AK$6,0)/(OFFSET(Assumptions!$B$68,0,$C$1)*(OFFSET(Assumptions!$B$68,0,$C$1)+1)/2)</f>
        <v>0</v>
      </c>
      <c r="AL2" s="7">
        <f ca="1">MAX(OFFSET(Assumptions!$B$8,0,$C$1)+OFFSET(Assumptions!$B$68,0,$C$1)-AL$6,0)/(OFFSET(Assumptions!$B$68,0,$C$1)*(OFFSET(Assumptions!$B$68,0,$C$1)+1)/2)</f>
        <v>0</v>
      </c>
      <c r="AM2" s="7">
        <f ca="1">MAX(OFFSET(Assumptions!$B$8,0,$C$1)+OFFSET(Assumptions!$B$68,0,$C$1)-AM$6,0)/(OFFSET(Assumptions!$B$68,0,$C$1)*(OFFSET(Assumptions!$B$68,0,$C$1)+1)/2)</f>
        <v>0</v>
      </c>
      <c r="AN2" s="7">
        <f ca="1">MAX(OFFSET(Assumptions!$B$8,0,$C$1)+OFFSET(Assumptions!$B$68,0,$C$1)-AN$6,0)/(OFFSET(Assumptions!$B$68,0,$C$1)*(OFFSET(Assumptions!$B$68,0,$C$1)+1)/2)</f>
        <v>0</v>
      </c>
      <c r="AO2" s="7">
        <f ca="1">MAX(OFFSET(Assumptions!$B$8,0,$C$1)+OFFSET(Assumptions!$B$68,0,$C$1)-AO$6,0)/(OFFSET(Assumptions!$B$68,0,$C$1)*(OFFSET(Assumptions!$B$68,0,$C$1)+1)/2)</f>
        <v>0</v>
      </c>
      <c r="AP2" s="7">
        <f ca="1">MAX(OFFSET(Assumptions!$B$8,0,$C$1)+OFFSET(Assumptions!$B$68,0,$C$1)-AP$6,0)/(OFFSET(Assumptions!$B$68,0,$C$1)*(OFFSET(Assumptions!$B$68,0,$C$1)+1)/2)</f>
        <v>0</v>
      </c>
      <c r="AQ2" s="7">
        <f ca="1">MAX(OFFSET(Assumptions!$B$8,0,$C$1)+OFFSET(Assumptions!$B$68,0,$C$1)-AQ$6,0)/(OFFSET(Assumptions!$B$68,0,$C$1)*(OFFSET(Assumptions!$B$68,0,$C$1)+1)/2)</f>
        <v>0</v>
      </c>
      <c r="AR2" s="7">
        <f ca="1">MAX(OFFSET(Assumptions!$B$8,0,$C$1)+OFFSET(Assumptions!$B$68,0,$C$1)-AR$6,0)/(OFFSET(Assumptions!$B$68,0,$C$1)*(OFFSET(Assumptions!$B$68,0,$C$1)+1)/2)</f>
        <v>0</v>
      </c>
      <c r="AS2" s="7">
        <f ca="1">MAX(OFFSET(Assumptions!$B$8,0,$C$1)+OFFSET(Assumptions!$B$68,0,$C$1)-AS$6,0)/(OFFSET(Assumptions!$B$68,0,$C$1)*(OFFSET(Assumptions!$B$68,0,$C$1)+1)/2)</f>
        <v>0</v>
      </c>
      <c r="AT2" s="7">
        <f ca="1">MAX(OFFSET(Assumptions!$B$8,0,$C$1)+OFFSET(Assumptions!$B$68,0,$C$1)-AT$6,0)/(OFFSET(Assumptions!$B$68,0,$C$1)*(OFFSET(Assumptions!$B$68,0,$C$1)+1)/2)</f>
        <v>0</v>
      </c>
      <c r="AU2" s="7">
        <f ca="1">MAX(OFFSET(Assumptions!$B$8,0,$C$1)+OFFSET(Assumptions!$B$68,0,$C$1)-AU$6,0)/(OFFSET(Assumptions!$B$68,0,$C$1)*(OFFSET(Assumptions!$B$68,0,$C$1)+1)/2)</f>
        <v>0</v>
      </c>
      <c r="AV2" s="7">
        <f ca="1">MAX(OFFSET(Assumptions!$B$8,0,$C$1)+OFFSET(Assumptions!$B$68,0,$C$1)-AV$6,0)/(OFFSET(Assumptions!$B$68,0,$C$1)*(OFFSET(Assumptions!$B$68,0,$C$1)+1)/2)</f>
        <v>0</v>
      </c>
      <c r="AW2" s="7">
        <f ca="1">MAX(OFFSET(Assumptions!$B$8,0,$C$1)+OFFSET(Assumptions!$B$68,0,$C$1)-AW$6,0)/(OFFSET(Assumptions!$B$68,0,$C$1)*(OFFSET(Assumptions!$B$68,0,$C$1)+1)/2)</f>
        <v>0</v>
      </c>
    </row>
    <row r="3" spans="1:49" ht="15" x14ac:dyDescent="0.25">
      <c r="A3" s="1" t="s">
        <v>128</v>
      </c>
      <c r="D3" s="36" t="s">
        <v>783</v>
      </c>
      <c r="E3" s="38" t="s">
        <v>117</v>
      </c>
      <c r="F3" s="29"/>
      <c r="G3" s="29"/>
      <c r="H3" s="29"/>
      <c r="I3" s="29"/>
      <c r="J3" s="2" t="s">
        <v>309</v>
      </c>
    </row>
    <row r="4" spans="1:49" ht="15" x14ac:dyDescent="0.25">
      <c r="D4" s="36" t="s">
        <v>784</v>
      </c>
      <c r="F4" s="29" t="s">
        <v>146</v>
      </c>
      <c r="J4" s="1" t="s">
        <v>147</v>
      </c>
    </row>
    <row r="5" spans="1:49" ht="15" x14ac:dyDescent="0.25">
      <c r="A5" s="17" t="s">
        <v>129</v>
      </c>
      <c r="D5" s="35" t="s">
        <v>23</v>
      </c>
      <c r="E5" s="37" t="s">
        <v>25</v>
      </c>
      <c r="F5" s="37" t="s">
        <v>26</v>
      </c>
      <c r="G5" s="37" t="s">
        <v>27</v>
      </c>
      <c r="H5" s="37" t="s">
        <v>28</v>
      </c>
      <c r="I5" s="37" t="s">
        <v>29</v>
      </c>
      <c r="J5" s="6" t="s">
        <v>30</v>
      </c>
      <c r="K5" s="6" t="s">
        <v>31</v>
      </c>
      <c r="L5" s="6" t="s">
        <v>32</v>
      </c>
      <c r="M5" s="6" t="s">
        <v>33</v>
      </c>
      <c r="N5" s="6" t="s">
        <v>34</v>
      </c>
      <c r="O5" s="6" t="s">
        <v>35</v>
      </c>
      <c r="P5" s="6" t="s">
        <v>36</v>
      </c>
      <c r="Q5" s="6" t="s">
        <v>37</v>
      </c>
      <c r="R5" s="6" t="s">
        <v>38</v>
      </c>
      <c r="S5" s="6" t="s">
        <v>39</v>
      </c>
      <c r="T5" s="6" t="s">
        <v>40</v>
      </c>
      <c r="U5" s="6" t="s">
        <v>41</v>
      </c>
      <c r="V5" s="6" t="s">
        <v>42</v>
      </c>
      <c r="W5" s="6" t="s">
        <v>43</v>
      </c>
      <c r="X5" s="6" t="s">
        <v>44</v>
      </c>
      <c r="Y5" s="6" t="s">
        <v>45</v>
      </c>
      <c r="Z5" s="6" t="s">
        <v>46</v>
      </c>
      <c r="AA5" s="6" t="s">
        <v>47</v>
      </c>
      <c r="AB5" s="6" t="s">
        <v>48</v>
      </c>
      <c r="AC5" s="6" t="s">
        <v>49</v>
      </c>
      <c r="AD5" s="6" t="s">
        <v>50</v>
      </c>
      <c r="AE5" s="6" t="s">
        <v>51</v>
      </c>
      <c r="AF5" s="6" t="s">
        <v>52</v>
      </c>
      <c r="AG5" s="6" t="s">
        <v>53</v>
      </c>
      <c r="AH5" s="6" t="s">
        <v>54</v>
      </c>
      <c r="AI5" s="6" t="s">
        <v>55</v>
      </c>
      <c r="AJ5" s="6" t="s">
        <v>56</v>
      </c>
      <c r="AK5" s="6" t="s">
        <v>57</v>
      </c>
      <c r="AL5" s="6" t="s">
        <v>58</v>
      </c>
      <c r="AM5" s="6" t="s">
        <v>59</v>
      </c>
      <c r="AN5" s="6" t="s">
        <v>60</v>
      </c>
      <c r="AO5" s="6" t="s">
        <v>61</v>
      </c>
      <c r="AP5" s="6" t="s">
        <v>62</v>
      </c>
      <c r="AQ5" s="6" t="s">
        <v>63</v>
      </c>
      <c r="AR5" s="6" t="s">
        <v>64</v>
      </c>
      <c r="AS5" s="6" t="s">
        <v>65</v>
      </c>
      <c r="AT5" s="6" t="s">
        <v>66</v>
      </c>
      <c r="AU5" s="6" t="s">
        <v>67</v>
      </c>
      <c r="AV5" s="6" t="s">
        <v>68</v>
      </c>
      <c r="AW5" s="6" t="s">
        <v>69</v>
      </c>
    </row>
    <row r="6" spans="1:49" ht="15" x14ac:dyDescent="0.25">
      <c r="A6" s="17" t="s">
        <v>761</v>
      </c>
      <c r="D6" s="36">
        <v>2015</v>
      </c>
      <c r="E6" s="38">
        <v>2016</v>
      </c>
      <c r="F6" s="38">
        <v>2017</v>
      </c>
      <c r="G6" s="38">
        <v>2018</v>
      </c>
      <c r="H6" s="38">
        <v>2019</v>
      </c>
      <c r="I6" s="38">
        <v>2020</v>
      </c>
      <c r="J6" s="2">
        <v>2021</v>
      </c>
      <c r="K6" s="2">
        <v>2022</v>
      </c>
      <c r="L6" s="2">
        <v>2023</v>
      </c>
      <c r="M6" s="2">
        <v>2024</v>
      </c>
      <c r="N6" s="2">
        <v>2025</v>
      </c>
      <c r="O6" s="2">
        <v>2026</v>
      </c>
      <c r="P6" s="2">
        <v>2027</v>
      </c>
      <c r="Q6" s="2">
        <v>2028</v>
      </c>
      <c r="R6" s="2">
        <v>2029</v>
      </c>
      <c r="S6" s="2">
        <v>2030</v>
      </c>
      <c r="T6" s="2">
        <v>2031</v>
      </c>
      <c r="U6" s="2">
        <v>2032</v>
      </c>
      <c r="V6" s="2">
        <v>2033</v>
      </c>
      <c r="W6" s="2">
        <v>2034</v>
      </c>
      <c r="X6" s="2">
        <v>2035</v>
      </c>
      <c r="Y6" s="2">
        <v>2036</v>
      </c>
      <c r="Z6" s="2">
        <v>2037</v>
      </c>
      <c r="AA6" s="2">
        <v>2038</v>
      </c>
      <c r="AB6" s="2">
        <v>2039</v>
      </c>
      <c r="AC6" s="2">
        <v>2040</v>
      </c>
      <c r="AD6" s="2">
        <v>2041</v>
      </c>
      <c r="AE6" s="2">
        <v>2042</v>
      </c>
      <c r="AF6" s="2">
        <v>2043</v>
      </c>
      <c r="AG6" s="2">
        <v>2044</v>
      </c>
      <c r="AH6" s="2">
        <v>2045</v>
      </c>
      <c r="AI6" s="2">
        <v>2046</v>
      </c>
      <c r="AJ6" s="2">
        <v>2047</v>
      </c>
      <c r="AK6" s="2">
        <v>2048</v>
      </c>
      <c r="AL6" s="2">
        <v>2049</v>
      </c>
      <c r="AM6" s="2">
        <v>2050</v>
      </c>
      <c r="AN6" s="2">
        <v>2051</v>
      </c>
      <c r="AO6" s="2">
        <v>2052</v>
      </c>
      <c r="AP6" s="2">
        <v>2053</v>
      </c>
      <c r="AQ6" s="2">
        <v>2054</v>
      </c>
      <c r="AR6" s="2">
        <v>2055</v>
      </c>
      <c r="AS6" s="2">
        <v>2056</v>
      </c>
      <c r="AT6" s="2">
        <v>2057</v>
      </c>
      <c r="AU6" s="2">
        <v>2058</v>
      </c>
      <c r="AV6" s="2">
        <v>2059</v>
      </c>
      <c r="AW6" s="2">
        <v>2060</v>
      </c>
    </row>
    <row r="7" spans="1:49" ht="15" x14ac:dyDescent="0.25">
      <c r="A7" s="17"/>
      <c r="D7" s="47">
        <f ca="1">OFFSET(D$1,Display!$C$1-1,0)</f>
        <v>60.631000000000007</v>
      </c>
      <c r="E7" s="44">
        <f ca="1">OFFSET(E$1,Display!$C$1-1,0)</f>
        <v>62.272000000000006</v>
      </c>
      <c r="F7" s="44">
        <f ca="1">OFFSET(F$1,Display!$C$1-1,0)</f>
        <v>66.334000000000003</v>
      </c>
      <c r="G7" s="44">
        <f ca="1">OFFSET(G$1,Display!$C$1-1,0)</f>
        <v>68.307999999999993</v>
      </c>
      <c r="H7" s="44">
        <f ca="1">OFFSET(H$1,Display!$C$1-1,0)</f>
        <v>66.277999999999992</v>
      </c>
      <c r="I7" s="44">
        <f ca="1">OFFSET(I$1,Display!$C$1-1,0)</f>
        <v>62.349000000000011</v>
      </c>
      <c r="J7" s="8">
        <f ca="1">OFFSET(J$1,Display!$C$1-1,0)</f>
        <v>63.956004220709815</v>
      </c>
      <c r="K7" s="8">
        <f ca="1">OFFSET(K$1,Display!$C$1-1,0)</f>
        <v>67.353969213965897</v>
      </c>
      <c r="L7" s="8">
        <f ca="1">OFFSET(L$1,Display!$C$1-1,0)</f>
        <v>72.207852169782399</v>
      </c>
      <c r="M7" s="8">
        <f ca="1">OFFSET(M$1,Display!$C$1-1,0)</f>
        <v>78.415391382043765</v>
      </c>
      <c r="N7" s="8">
        <f ca="1">OFFSET(N$1,Display!$C$1-1,0)</f>
        <v>85.852527182177823</v>
      </c>
      <c r="O7" s="8">
        <f ca="1">OFFSET(O$1,Display!$C$1-1,0)</f>
        <v>94.902681269870513</v>
      </c>
      <c r="P7" s="8">
        <f ca="1">OFFSET(P$1,Display!$C$1-1,0)</f>
        <v>105.48096356061396</v>
      </c>
      <c r="Q7" s="8">
        <f ca="1">OFFSET(Q$1,Display!$C$1-1,0)</f>
        <v>117.56592868566501</v>
      </c>
      <c r="R7" s="8">
        <f ca="1">OFFSET(R$1,Display!$C$1-1,0)</f>
        <v>131.43299119479502</v>
      </c>
      <c r="S7" s="8">
        <f ca="1">OFFSET(S$1,Display!$C$1-1,0)</f>
        <v>147.25689172718583</v>
      </c>
      <c r="T7" s="8">
        <f ca="1">OFFSET(T$1,Display!$C$1-1,0)</f>
        <v>165.25512069487144</v>
      </c>
      <c r="U7" s="8">
        <f ca="1">OFFSET(U$1,Display!$C$1-1,0)</f>
        <v>185.68909088105013</v>
      </c>
      <c r="V7" s="8">
        <f ca="1">OFFSET(V$1,Display!$C$1-1,0)</f>
        <v>208.78537357054537</v>
      </c>
      <c r="W7" s="8">
        <f ca="1">OFFSET(W$1,Display!$C$1-1,0)</f>
        <v>234.60223400246809</v>
      </c>
      <c r="X7" s="8">
        <f ca="1">OFFSET(X$1,Display!$C$1-1,0)</f>
        <v>263.27949113485852</v>
      </c>
      <c r="Y7" s="8">
        <f ca="1">OFFSET(Y$1,Display!$C$1-1,0)</f>
        <v>295.07474508058345</v>
      </c>
      <c r="Z7" s="8">
        <f ca="1">OFFSET(Z$1,Display!$C$1-1,0)</f>
        <v>330.24509625996757</v>
      </c>
      <c r="AA7" s="8">
        <f ca="1">OFFSET(AA$1,Display!$C$1-1,0)</f>
        <v>369.06726482887132</v>
      </c>
      <c r="AB7" s="8">
        <f ca="1">OFFSET(AB$1,Display!$C$1-1,0)</f>
        <v>411.80928813510695</v>
      </c>
      <c r="AC7" s="8">
        <f ca="1">OFFSET(AC$1,Display!$C$1-1,0)</f>
        <v>458.74758263276658</v>
      </c>
      <c r="AD7" s="8">
        <f ca="1">OFFSET(AD$1,Display!$C$1-1,0)</f>
        <v>510.15792595215163</v>
      </c>
      <c r="AE7" s="8">
        <f ca="1">OFFSET(AE$1,Display!$C$1-1,0)</f>
        <v>566.37986115885417</v>
      </c>
      <c r="AF7" s="8">
        <f ca="1">OFFSET(AF$1,Display!$C$1-1,0)</f>
        <v>627.74231234008607</v>
      </c>
      <c r="AG7" s="8">
        <f ca="1">OFFSET(AG$1,Display!$C$1-1,0)</f>
        <v>694.60799598595565</v>
      </c>
      <c r="AH7" s="8">
        <f ca="1">OFFSET(AH$1,Display!$C$1-1,0)</f>
        <v>767.37100261013188</v>
      </c>
      <c r="AI7" s="8">
        <f ca="1">OFFSET(AI$1,Display!$C$1-1,0)</f>
        <v>846.45371330398916</v>
      </c>
      <c r="AJ7" s="8">
        <f ca="1">OFFSET(AJ$1,Display!$C$1-1,0)</f>
        <v>932.32372156045744</v>
      </c>
      <c r="AK7" s="8">
        <f ca="1">OFFSET(AK$1,Display!$C$1-1,0)</f>
        <v>1025.4971892353497</v>
      </c>
      <c r="AL7" s="8">
        <f ca="1">OFFSET(AL$1,Display!$C$1-1,0)</f>
        <v>1126.510723397914</v>
      </c>
      <c r="AM7" s="8">
        <f ca="1">OFFSET(AM$1,Display!$C$1-1,0)</f>
        <v>1235.9581708254418</v>
      </c>
      <c r="AN7" s="8">
        <f ca="1">OFFSET(AN$1,Display!$C$1-1,0)</f>
        <v>1354.4796791355914</v>
      </c>
      <c r="AO7" s="8">
        <f ca="1">OFFSET(AO$1,Display!$C$1-1,0)</f>
        <v>1482.8539586416382</v>
      </c>
      <c r="AP7" s="8">
        <f ca="1">OFFSET(AP$1,Display!$C$1-1,0)</f>
        <v>1621.8761461161976</v>
      </c>
      <c r="AQ7" s="8">
        <f ca="1">OFFSET(AQ$1,Display!$C$1-1,0)</f>
        <v>1772.4230286958318</v>
      </c>
      <c r="AR7" s="8">
        <f ca="1">OFFSET(AR$1,Display!$C$1-1,0)</f>
        <v>1935.4556445308278</v>
      </c>
      <c r="AS7" s="8">
        <f ca="1">OFFSET(AS$1,Display!$C$1-1,0)</f>
        <v>2111.9944321662406</v>
      </c>
      <c r="AT7" s="8">
        <f ca="1">OFFSET(AT$1,Display!$C$1-1,0)</f>
        <v>2303.0216302318049</v>
      </c>
      <c r="AU7" s="8">
        <f ca="1">OFFSET(AU$1,Display!$C$1-1,0)</f>
        <v>2509.6394704534437</v>
      </c>
      <c r="AV7" s="8">
        <f ca="1">OFFSET(AV$1,Display!$C$1-1,0)</f>
        <v>2733.0110435966117</v>
      </c>
      <c r="AW7" s="8">
        <f ca="1">OFFSET(AW$1,Display!$C$1-1,0)</f>
        <v>2974.420379981223</v>
      </c>
    </row>
    <row r="8" spans="1:49" ht="15" x14ac:dyDescent="0.25">
      <c r="A8" s="17" t="s">
        <v>771</v>
      </c>
      <c r="D8" s="64">
        <f t="shared" ref="D8:AW8" ca="1" si="0">D$7/D$14</f>
        <v>0.25097690206142892</v>
      </c>
      <c r="E8" s="66">
        <f t="shared" ca="1" si="0"/>
        <v>0.24896252288846424</v>
      </c>
      <c r="F8" s="66">
        <f t="shared" ca="1" si="0"/>
        <v>0.25591031141014164</v>
      </c>
      <c r="G8" s="66">
        <f t="shared" ca="1" si="0"/>
        <v>0.24964731852436606</v>
      </c>
      <c r="H8" s="66">
        <f t="shared" ca="1" si="0"/>
        <v>0.23057307557166659</v>
      </c>
      <c r="I8" s="66">
        <f t="shared" ca="1" si="0"/>
        <v>0.20839266018249278</v>
      </c>
      <c r="J8" s="65">
        <f t="shared" ca="1" si="0"/>
        <v>0.20512064513167771</v>
      </c>
      <c r="K8" s="65">
        <f t="shared" ca="1" si="0"/>
        <v>0.2073533129773098</v>
      </c>
      <c r="L8" s="65">
        <f t="shared" ca="1" si="0"/>
        <v>0.21306109352161789</v>
      </c>
      <c r="M8" s="65">
        <f t="shared" ca="1" si="0"/>
        <v>0.22179450076739676</v>
      </c>
      <c r="N8" s="65">
        <f t="shared" ca="1" si="0"/>
        <v>0.23279044908493904</v>
      </c>
      <c r="O8" s="65">
        <f t="shared" ca="1" si="0"/>
        <v>0.24679520036911345</v>
      </c>
      <c r="P8" s="65">
        <f t="shared" ca="1" si="0"/>
        <v>0.26317473958853732</v>
      </c>
      <c r="Q8" s="65">
        <f t="shared" ca="1" si="0"/>
        <v>0.28155103696868167</v>
      </c>
      <c r="R8" s="65">
        <f t="shared" ca="1" si="0"/>
        <v>0.30227161712060352</v>
      </c>
      <c r="S8" s="65">
        <f t="shared" ca="1" si="0"/>
        <v>0.3253479086859874</v>
      </c>
      <c r="T8" s="65">
        <f t="shared" ca="1" si="0"/>
        <v>0.35088989302724238</v>
      </c>
      <c r="U8" s="65">
        <f t="shared" ca="1" si="0"/>
        <v>0.37901714913838169</v>
      </c>
      <c r="V8" s="65">
        <f t="shared" ca="1" si="0"/>
        <v>0.40974601963666368</v>
      </c>
      <c r="W8" s="65">
        <f t="shared" ca="1" si="0"/>
        <v>0.4427345084357589</v>
      </c>
      <c r="X8" s="65">
        <f t="shared" ca="1" si="0"/>
        <v>0.47780087590717846</v>
      </c>
      <c r="Y8" s="65">
        <f t="shared" ca="1" si="0"/>
        <v>0.51502277584690781</v>
      </c>
      <c r="Z8" s="65">
        <f t="shared" ca="1" si="0"/>
        <v>0.55434410890566044</v>
      </c>
      <c r="AA8" s="65">
        <f t="shared" ca="1" si="0"/>
        <v>0.5957741707973111</v>
      </c>
      <c r="AB8" s="65">
        <f t="shared" ca="1" si="0"/>
        <v>0.63924580175191825</v>
      </c>
      <c r="AC8" s="65">
        <f t="shared" ca="1" si="0"/>
        <v>0.68465512373702364</v>
      </c>
      <c r="AD8" s="65">
        <f t="shared" ca="1" si="0"/>
        <v>0.73193983721480171</v>
      </c>
      <c r="AE8" s="65">
        <f t="shared" ca="1" si="0"/>
        <v>0.7811662857695052</v>
      </c>
      <c r="AF8" s="65">
        <f t="shared" ca="1" si="0"/>
        <v>0.83225349521862158</v>
      </c>
      <c r="AG8" s="65">
        <f t="shared" ca="1" si="0"/>
        <v>0.88520794052220453</v>
      </c>
      <c r="AH8" s="65">
        <f t="shared" ca="1" si="0"/>
        <v>0.94001572579401793</v>
      </c>
      <c r="AI8" s="65">
        <f t="shared" ca="1" si="0"/>
        <v>0.99679185180106833</v>
      </c>
      <c r="AJ8" s="65">
        <f t="shared" ca="1" si="0"/>
        <v>1.0554920319976715</v>
      </c>
      <c r="AK8" s="65">
        <f t="shared" ca="1" si="0"/>
        <v>1.1162505707906687</v>
      </c>
      <c r="AL8" s="65">
        <f t="shared" ca="1" si="0"/>
        <v>1.179194102992134</v>
      </c>
      <c r="AM8" s="65">
        <f t="shared" ca="1" si="0"/>
        <v>1.2443815780587579</v>
      </c>
      <c r="AN8" s="65">
        <f t="shared" ca="1" si="0"/>
        <v>1.3118756885705078</v>
      </c>
      <c r="AO8" s="65">
        <f t="shared" ca="1" si="0"/>
        <v>1.3820953373930578</v>
      </c>
      <c r="AP8" s="65">
        <f t="shared" ca="1" si="0"/>
        <v>1.455009759279464</v>
      </c>
      <c r="AQ8" s="65">
        <f t="shared" ca="1" si="0"/>
        <v>1.530983480904347</v>
      </c>
      <c r="AR8" s="65">
        <f t="shared" ca="1" si="0"/>
        <v>1.6101877743387816</v>
      </c>
      <c r="AS8" s="65">
        <f t="shared" ca="1" si="0"/>
        <v>1.6927112913897202</v>
      </c>
      <c r="AT8" s="65">
        <f t="shared" ca="1" si="0"/>
        <v>1.7786455108312553</v>
      </c>
      <c r="AU8" s="65">
        <f t="shared" ca="1" si="0"/>
        <v>1.8680913366802125</v>
      </c>
      <c r="AV8" s="65">
        <f t="shared" ca="1" si="0"/>
        <v>1.9610178908566769</v>
      </c>
      <c r="AW8" s="65">
        <f t="shared" ca="1" si="0"/>
        <v>2.0576748705269381</v>
      </c>
    </row>
    <row r="9" spans="1:49" ht="16.5" x14ac:dyDescent="0.25">
      <c r="A9" s="63" t="s">
        <v>130</v>
      </c>
    </row>
    <row r="10" spans="1:49" ht="15" x14ac:dyDescent="0.25">
      <c r="A10" s="2"/>
    </row>
    <row r="11" spans="1:49" ht="15" x14ac:dyDescent="0.25">
      <c r="A11" s="22" t="s">
        <v>300</v>
      </c>
      <c r="D11" s="2"/>
      <c r="E11" s="2"/>
      <c r="F11" s="2"/>
      <c r="G11" s="2"/>
      <c r="H11" s="2"/>
    </row>
    <row r="12" spans="1:49" ht="15" x14ac:dyDescent="0.25">
      <c r="A12" s="2" t="s">
        <v>301</v>
      </c>
      <c r="B12" s="4" t="s">
        <v>131</v>
      </c>
      <c r="D12" s="18">
        <f>Economic!M$6</f>
        <v>221.03700000000001</v>
      </c>
      <c r="E12" s="19">
        <f>Economic!N$6</f>
        <v>226.702</v>
      </c>
      <c r="F12" s="19">
        <f>Economic!O$6</f>
        <v>233.34100000000001</v>
      </c>
      <c r="G12" s="19">
        <f>Economic!P$6</f>
        <v>240.898</v>
      </c>
      <c r="H12" s="19">
        <f>Economic!Q$6</f>
        <v>247.67099999999999</v>
      </c>
      <c r="I12" s="19">
        <f>Economic!R$6</f>
        <v>253.83500000000001</v>
      </c>
      <c r="J12" s="7">
        <f t="shared" ref="J12:AV12" ca="1" si="1">I$12*(1+J$29)*J$19*(1-J$26)*J$27/(I$19*(1-I$26)*I$27)</f>
        <v>259.34400168963214</v>
      </c>
      <c r="K12" s="7">
        <f t="shared" ca="1" si="1"/>
        <v>264.88435166621531</v>
      </c>
      <c r="L12" s="7">
        <f t="shared" ca="1" si="1"/>
        <v>270.94690273524128</v>
      </c>
      <c r="M12" s="7">
        <f t="shared" ca="1" si="1"/>
        <v>277.11133092353401</v>
      </c>
      <c r="N12" s="7">
        <f t="shared" ca="1" si="1"/>
        <v>283.39455229431417</v>
      </c>
      <c r="O12" s="7">
        <f t="shared" ca="1" si="1"/>
        <v>289.69778422098523</v>
      </c>
      <c r="P12" s="7">
        <f t="shared" ca="1" si="1"/>
        <v>296.02822078643135</v>
      </c>
      <c r="Q12" s="7">
        <f t="shared" ca="1" si="1"/>
        <v>302.36213569773702</v>
      </c>
      <c r="R12" s="7">
        <f t="shared" ca="1" si="1"/>
        <v>308.68100622319366</v>
      </c>
      <c r="S12" s="7">
        <f t="shared" ca="1" si="1"/>
        <v>315.01433914329999</v>
      </c>
      <c r="T12" s="7">
        <f t="shared" ca="1" si="1"/>
        <v>321.35614430278747</v>
      </c>
      <c r="U12" s="7">
        <f t="shared" ca="1" si="1"/>
        <v>327.74033925078783</v>
      </c>
      <c r="V12" s="7">
        <f t="shared" ca="1" si="1"/>
        <v>334.18544078635421</v>
      </c>
      <c r="W12" s="7">
        <f t="shared" ca="1" si="1"/>
        <v>340.71464048745673</v>
      </c>
      <c r="X12" s="7">
        <f t="shared" ca="1" si="1"/>
        <v>347.35371065428683</v>
      </c>
      <c r="Y12" s="7">
        <f t="shared" ca="1" si="1"/>
        <v>354.08480322049655</v>
      </c>
      <c r="Z12" s="7">
        <f t="shared" ca="1" si="1"/>
        <v>360.95947957571593</v>
      </c>
      <c r="AA12" s="7">
        <f t="shared" ca="1" si="1"/>
        <v>367.98082982174139</v>
      </c>
      <c r="AB12" s="7">
        <f t="shared" ca="1" si="1"/>
        <v>375.17113787060015</v>
      </c>
      <c r="AC12" s="7">
        <f t="shared" ca="1" si="1"/>
        <v>382.56296229130197</v>
      </c>
      <c r="AD12" s="7">
        <f t="shared" ca="1" si="1"/>
        <v>390.14862171127913</v>
      </c>
      <c r="AE12" s="7">
        <f t="shared" ca="1" si="1"/>
        <v>397.89177643690243</v>
      </c>
      <c r="AF12" s="7">
        <f t="shared" ca="1" si="1"/>
        <v>405.81328032775497</v>
      </c>
      <c r="AG12" s="7">
        <f t="shared" ca="1" si="1"/>
        <v>413.89938954137659</v>
      </c>
      <c r="AH12" s="7">
        <f t="shared" ca="1" si="1"/>
        <v>422.15350718691104</v>
      </c>
      <c r="AI12" s="7">
        <f t="shared" ca="1" si="1"/>
        <v>430.52532202757953</v>
      </c>
      <c r="AJ12" s="7">
        <f t="shared" ca="1" si="1"/>
        <v>439.04756047340351</v>
      </c>
      <c r="AK12" s="7">
        <f t="shared" ca="1" si="1"/>
        <v>447.68485415918263</v>
      </c>
      <c r="AL12" s="7">
        <f t="shared" ca="1" si="1"/>
        <v>456.40404118108705</v>
      </c>
      <c r="AM12" s="7">
        <f t="shared" ca="1" si="1"/>
        <v>465.21046713415819</v>
      </c>
      <c r="AN12" s="7">
        <f t="shared" ca="1" si="1"/>
        <v>474.10978216981835</v>
      </c>
      <c r="AO12" s="7">
        <f t="shared" ca="1" si="1"/>
        <v>483.0135491500892</v>
      </c>
      <c r="AP12" s="7">
        <f t="shared" ca="1" si="1"/>
        <v>491.98350562782457</v>
      </c>
      <c r="AQ12" s="7">
        <f t="shared" ca="1" si="1"/>
        <v>500.95125642802969</v>
      </c>
      <c r="AR12" s="7">
        <f t="shared" ca="1" si="1"/>
        <v>509.92360578480265</v>
      </c>
      <c r="AS12" s="7">
        <f t="shared" ca="1" si="1"/>
        <v>518.92921916022578</v>
      </c>
      <c r="AT12" s="7">
        <f t="shared" ca="1" si="1"/>
        <v>527.96689501402307</v>
      </c>
      <c r="AU12" s="7">
        <f t="shared" ca="1" si="1"/>
        <v>537.04556384677937</v>
      </c>
      <c r="AV12" s="7">
        <f t="shared" ca="1" si="1"/>
        <v>546.20737877936654</v>
      </c>
      <c r="AW12" s="7">
        <f ca="1">AV$12*(1+AW$29)*AW$19*(1-AW$26)*AW$27/(AV$19*(1-AV$26)*AV$27)</f>
        <v>555.42209806345943</v>
      </c>
    </row>
    <row r="13" spans="1:49" x14ac:dyDescent="0.2">
      <c r="A13" s="4" t="s">
        <v>132</v>
      </c>
      <c r="B13" s="4"/>
      <c r="D13" s="21"/>
      <c r="E13" s="20">
        <f t="shared" ref="E13:I13" si="2">E$12/D$12-1</f>
        <v>2.5629193302478814E-2</v>
      </c>
      <c r="F13" s="20">
        <f t="shared" si="2"/>
        <v>2.9285140845691782E-2</v>
      </c>
      <c r="G13" s="20">
        <f t="shared" si="2"/>
        <v>3.2386078743126934E-2</v>
      </c>
      <c r="H13" s="20">
        <f t="shared" si="2"/>
        <v>2.8115634002772838E-2</v>
      </c>
      <c r="I13" s="20">
        <f t="shared" si="2"/>
        <v>2.4887855259598579E-2</v>
      </c>
      <c r="J13" s="14">
        <f t="shared" ref="J13:AW13" ca="1" si="3">J$12/I$12-1</f>
        <v>2.1703081488495091E-2</v>
      </c>
      <c r="K13" s="14">
        <f t="shared" ca="1" si="3"/>
        <v>2.1362938569959855E-2</v>
      </c>
      <c r="L13" s="14">
        <f t="shared" ca="1" si="3"/>
        <v>2.2887539527685963E-2</v>
      </c>
      <c r="M13" s="14">
        <f t="shared" ca="1" si="3"/>
        <v>2.2751425190921548E-2</v>
      </c>
      <c r="N13" s="14">
        <f t="shared" ca="1" si="3"/>
        <v>2.2673996584116285E-2</v>
      </c>
      <c r="O13" s="14">
        <f t="shared" ca="1" si="3"/>
        <v>2.2241895179851534E-2</v>
      </c>
      <c r="P13" s="14">
        <f t="shared" ca="1" si="3"/>
        <v>2.1851863943209038E-2</v>
      </c>
      <c r="Q13" s="14">
        <f t="shared" ca="1" si="3"/>
        <v>2.1396321250990669E-2</v>
      </c>
      <c r="R13" s="14">
        <f t="shared" ca="1" si="3"/>
        <v>2.089835260250128E-2</v>
      </c>
      <c r="S13" s="14">
        <f t="shared" ca="1" si="3"/>
        <v>2.0517404026883845E-2</v>
      </c>
      <c r="T13" s="14">
        <f t="shared" ca="1" si="3"/>
        <v>2.0131798370621512E-2</v>
      </c>
      <c r="U13" s="14">
        <f t="shared" ca="1" si="3"/>
        <v>1.9866416314682445E-2</v>
      </c>
      <c r="V13" s="14">
        <f t="shared" ca="1" si="3"/>
        <v>1.9665267785771601E-2</v>
      </c>
      <c r="W13" s="14">
        <f t="shared" ca="1" si="3"/>
        <v>1.9537654560112028E-2</v>
      </c>
      <c r="X13" s="14">
        <f t="shared" ca="1" si="3"/>
        <v>1.9485720241817717E-2</v>
      </c>
      <c r="Y13" s="14">
        <f t="shared" ca="1" si="3"/>
        <v>1.9378208321226165E-2</v>
      </c>
      <c r="Z13" s="14">
        <f t="shared" ca="1" si="3"/>
        <v>1.9415338621404654E-2</v>
      </c>
      <c r="AA13" s="14">
        <f t="shared" ca="1" si="3"/>
        <v>1.9451907051391437E-2</v>
      </c>
      <c r="AB13" s="14">
        <f t="shared" ca="1" si="3"/>
        <v>1.9539898457052507E-2</v>
      </c>
      <c r="AC13" s="14">
        <f t="shared" ca="1" si="3"/>
        <v>1.9702540186476991E-2</v>
      </c>
      <c r="AD13" s="14">
        <f t="shared" ca="1" si="3"/>
        <v>1.9828525413291498E-2</v>
      </c>
      <c r="AE13" s="14">
        <f t="shared" ca="1" si="3"/>
        <v>1.9846679687499869E-2</v>
      </c>
      <c r="AF13" s="14">
        <f t="shared" ca="1" si="3"/>
        <v>1.990868964870085E-2</v>
      </c>
      <c r="AG13" s="14">
        <f t="shared" ca="1" si="3"/>
        <v>1.9925688994433255E-2</v>
      </c>
      <c r="AH13" s="14">
        <f t="shared" ca="1" si="3"/>
        <v>1.994232862889822E-2</v>
      </c>
      <c r="AI13" s="14">
        <f t="shared" ca="1" si="3"/>
        <v>1.9831209970172736E-2</v>
      </c>
      <c r="AJ13" s="14">
        <f t="shared" ca="1" si="3"/>
        <v>1.9794976067117442E-2</v>
      </c>
      <c r="AK13" s="14">
        <f t="shared" ca="1" si="3"/>
        <v>1.967279735358507E-2</v>
      </c>
      <c r="AL13" s="14">
        <f t="shared" ca="1" si="3"/>
        <v>1.9476171554385857E-2</v>
      </c>
      <c r="AM13" s="14">
        <f t="shared" ca="1" si="3"/>
        <v>1.929524096737123E-2</v>
      </c>
      <c r="AN13" s="14">
        <f t="shared" ca="1" si="3"/>
        <v>1.9129653488844989E-2</v>
      </c>
      <c r="AO13" s="14">
        <f t="shared" ca="1" si="3"/>
        <v>1.8779968933612334E-2</v>
      </c>
      <c r="AP13" s="14">
        <f t="shared" ca="1" si="3"/>
        <v>1.8570817513336557E-2</v>
      </c>
      <c r="AQ13" s="14">
        <f t="shared" ca="1" si="3"/>
        <v>1.8227746860662197E-2</v>
      </c>
      <c r="AR13" s="14">
        <f t="shared" ca="1" si="3"/>
        <v>1.7910623522035207E-2</v>
      </c>
      <c r="AS13" s="14">
        <f t="shared" ca="1" si="3"/>
        <v>1.7660710885433417E-2</v>
      </c>
      <c r="AT13" s="14">
        <f t="shared" ca="1" si="3"/>
        <v>1.7416008812189743E-2</v>
      </c>
      <c r="AU13" s="14">
        <f t="shared" ca="1" si="3"/>
        <v>1.7195526686413221E-2</v>
      </c>
      <c r="AV13" s="14">
        <f t="shared" ca="1" si="3"/>
        <v>1.7059660388892173E-2</v>
      </c>
      <c r="AW13" s="14">
        <f t="shared" ca="1" si="3"/>
        <v>1.6870367633416761E-2</v>
      </c>
    </row>
    <row r="14" spans="1:49" ht="15" x14ac:dyDescent="0.25">
      <c r="A14" s="2" t="s">
        <v>134</v>
      </c>
      <c r="B14" s="4" t="str">
        <f>$B$12</f>
        <v>From Economic</v>
      </c>
      <c r="D14" s="18">
        <f>Economic!M$7</f>
        <v>241.58</v>
      </c>
      <c r="E14" s="19">
        <f>Economic!N$7</f>
        <v>250.126</v>
      </c>
      <c r="F14" s="19">
        <f>Economic!O$7</f>
        <v>259.20800000000003</v>
      </c>
      <c r="G14" s="19">
        <f>Economic!P$7</f>
        <v>273.61799999999999</v>
      </c>
      <c r="H14" s="19">
        <f>Economic!Q$7</f>
        <v>287.44900000000001</v>
      </c>
      <c r="I14" s="19">
        <f>Economic!R$7</f>
        <v>299.19</v>
      </c>
      <c r="J14" s="7">
        <f t="shared" ref="J14:AV14" ca="1" si="4">I$14*(1+J$34)*J$12/I$12</f>
        <v>311.79701184955371</v>
      </c>
      <c r="K14" s="7">
        <f t="shared" ca="1" si="4"/>
        <v>324.82707050519269</v>
      </c>
      <c r="L14" s="7">
        <f t="shared" ca="1" si="4"/>
        <v>338.90679417946359</v>
      </c>
      <c r="M14" s="7">
        <f t="shared" ca="1" si="4"/>
        <v>353.54975488901135</v>
      </c>
      <c r="N14" s="7">
        <f t="shared" ca="1" si="4"/>
        <v>368.79746364015358</v>
      </c>
      <c r="O14" s="7">
        <f t="shared" ca="1" si="4"/>
        <v>384.54022253241368</v>
      </c>
      <c r="P14" s="7">
        <f t="shared" ca="1" si="4"/>
        <v>400.802006019001</v>
      </c>
      <c r="Q14" s="7">
        <f t="shared" ca="1" si="4"/>
        <v>417.56524838778148</v>
      </c>
      <c r="R14" s="7">
        <f t="shared" ca="1" si="4"/>
        <v>434.81750766680324</v>
      </c>
      <c r="S14" s="7">
        <f t="shared" ca="1" si="4"/>
        <v>452.61361083255713</v>
      </c>
      <c r="T14" s="7">
        <f t="shared" ca="1" si="4"/>
        <v>470.96004752134985</v>
      </c>
      <c r="U14" s="7">
        <f t="shared" ca="1" si="4"/>
        <v>489.92266261085143</v>
      </c>
      <c r="V14" s="7">
        <f t="shared" ca="1" si="4"/>
        <v>509.54826542472034</v>
      </c>
      <c r="W14" s="7">
        <f t="shared" ca="1" si="4"/>
        <v>529.89371628461856</v>
      </c>
      <c r="X14" s="7">
        <f t="shared" ca="1" si="4"/>
        <v>551.02345853799852</v>
      </c>
      <c r="Y14" s="7">
        <f t="shared" ca="1" si="4"/>
        <v>572.93533202557899</v>
      </c>
      <c r="Z14" s="7">
        <f t="shared" ca="1" si="4"/>
        <v>595.74024681512299</v>
      </c>
      <c r="AA14" s="7">
        <f t="shared" ca="1" si="4"/>
        <v>619.47510133740263</v>
      </c>
      <c r="AB14" s="7">
        <f t="shared" ca="1" si="4"/>
        <v>644.21117355249203</v>
      </c>
      <c r="AC14" s="7">
        <f t="shared" ca="1" si="4"/>
        <v>670.04184548974729</v>
      </c>
      <c r="AD14" s="7">
        <f t="shared" ca="1" si="4"/>
        <v>696.99434299602967</v>
      </c>
      <c r="AE14" s="7">
        <f t="shared" ca="1" si="4"/>
        <v>725.04391379478068</v>
      </c>
      <c r="AF14" s="7">
        <f t="shared" ca="1" si="4"/>
        <v>754.26815981732443</v>
      </c>
      <c r="AG14" s="7">
        <f t="shared" ca="1" si="4"/>
        <v>784.68342204001294</v>
      </c>
      <c r="AH14" s="7">
        <f t="shared" ca="1" si="4"/>
        <v>816.33847344622291</v>
      </c>
      <c r="AI14" s="7">
        <f t="shared" ca="1" si="4"/>
        <v>849.17800218226262</v>
      </c>
      <c r="AJ14" s="7">
        <f t="shared" ca="1" si="4"/>
        <v>883.30720962042676</v>
      </c>
      <c r="AK14" s="7">
        <f t="shared" ca="1" si="4"/>
        <v>918.69802002337508</v>
      </c>
      <c r="AL14" s="7">
        <f t="shared" ca="1" si="4"/>
        <v>955.32255507338527</v>
      </c>
      <c r="AM14" s="7">
        <f t="shared" ca="1" si="4"/>
        <v>993.23084865459305</v>
      </c>
      <c r="AN14" s="7">
        <f t="shared" ca="1" si="4"/>
        <v>1032.4756308362626</v>
      </c>
      <c r="AO14" s="7">
        <f t="shared" ca="1" si="4"/>
        <v>1072.902800930241</v>
      </c>
      <c r="AP14" s="7">
        <f t="shared" ca="1" si="4"/>
        <v>1114.6840327169816</v>
      </c>
      <c r="AQ14" s="7">
        <f t="shared" ca="1" si="4"/>
        <v>1157.7022553168681</v>
      </c>
      <c r="AR14" s="7">
        <f t="shared" ca="1" si="4"/>
        <v>1202.0061730537088</v>
      </c>
      <c r="AS14" s="7">
        <f t="shared" ca="1" si="4"/>
        <v>1247.6991456896869</v>
      </c>
      <c r="AT14" s="7">
        <f t="shared" ca="1" si="4"/>
        <v>1294.8176667060998</v>
      </c>
      <c r="AU14" s="7">
        <f t="shared" ca="1" si="4"/>
        <v>1343.4243932169436</v>
      </c>
      <c r="AV14" s="7">
        <f t="shared" ca="1" si="4"/>
        <v>1393.6696122658459</v>
      </c>
      <c r="AW14" s="7">
        <f ca="1">AV$14*(1+AW$34)*AW$12/AV$12</f>
        <v>1445.524957603978</v>
      </c>
    </row>
    <row r="15" spans="1:49" x14ac:dyDescent="0.2">
      <c r="A15" s="4" t="str">
        <f>$A$13</f>
        <v>Annual percentage growth</v>
      </c>
      <c r="D15" s="21"/>
      <c r="E15" s="20">
        <f t="shared" ref="E15:I15" si="5">E$14/D$14-1</f>
        <v>3.5375444987167715E-2</v>
      </c>
      <c r="F15" s="20">
        <f t="shared" si="5"/>
        <v>3.6309699911244886E-2</v>
      </c>
      <c r="G15" s="20">
        <f t="shared" si="5"/>
        <v>5.5592419987037234E-2</v>
      </c>
      <c r="H15" s="20">
        <f t="shared" si="5"/>
        <v>5.0548575020649356E-2</v>
      </c>
      <c r="I15" s="20">
        <f t="shared" si="5"/>
        <v>4.084550650724128E-2</v>
      </c>
      <c r="J15" s="14">
        <f t="shared" ref="J15:AW15" ca="1" si="6">J$14/I$14-1</f>
        <v>4.2137143118265108E-2</v>
      </c>
      <c r="K15" s="14">
        <f t="shared" ca="1" si="6"/>
        <v>4.1790197341359248E-2</v>
      </c>
      <c r="L15" s="14">
        <f t="shared" ca="1" si="6"/>
        <v>4.3345290318239638E-2</v>
      </c>
      <c r="M15" s="14">
        <f t="shared" ca="1" si="6"/>
        <v>4.3206453694740077E-2</v>
      </c>
      <c r="N15" s="14">
        <f t="shared" ca="1" si="6"/>
        <v>4.3127476515798735E-2</v>
      </c>
      <c r="O15" s="14">
        <f t="shared" ca="1" si="6"/>
        <v>4.2686733083448614E-2</v>
      </c>
      <c r="P15" s="14">
        <f t="shared" ca="1" si="6"/>
        <v>4.2288901222073294E-2</v>
      </c>
      <c r="Q15" s="14">
        <f t="shared" ca="1" si="6"/>
        <v>4.1824247676010229E-2</v>
      </c>
      <c r="R15" s="14">
        <f t="shared" ca="1" si="6"/>
        <v>4.1316319654551403E-2</v>
      </c>
      <c r="S15" s="14">
        <f t="shared" ca="1" si="6"/>
        <v>4.0927752107421833E-2</v>
      </c>
      <c r="T15" s="14">
        <f t="shared" ca="1" si="6"/>
        <v>4.0534434338033831E-2</v>
      </c>
      <c r="U15" s="14">
        <f t="shared" ca="1" si="6"/>
        <v>4.0263744640976151E-2</v>
      </c>
      <c r="V15" s="14">
        <f t="shared" ca="1" si="6"/>
        <v>4.0058573141487086E-2</v>
      </c>
      <c r="W15" s="14">
        <f t="shared" ca="1" si="6"/>
        <v>3.9928407651314002E-2</v>
      </c>
      <c r="X15" s="14">
        <f t="shared" ca="1" si="6"/>
        <v>3.9875434646654107E-2</v>
      </c>
      <c r="Y15" s="14">
        <f t="shared" ca="1" si="6"/>
        <v>3.9765772487650786E-2</v>
      </c>
      <c r="Z15" s="14">
        <f t="shared" ca="1" si="6"/>
        <v>3.9803645393832854E-2</v>
      </c>
      <c r="AA15" s="14">
        <f t="shared" ca="1" si="6"/>
        <v>3.9840945192419319E-2</v>
      </c>
      <c r="AB15" s="14">
        <f t="shared" ca="1" si="6"/>
        <v>3.9930696426193624E-2</v>
      </c>
      <c r="AC15" s="14">
        <f t="shared" ca="1" si="6"/>
        <v>4.0096590990206682E-2</v>
      </c>
      <c r="AD15" s="14">
        <f t="shared" ca="1" si="6"/>
        <v>4.0225095921557319E-2</v>
      </c>
      <c r="AE15" s="14">
        <f t="shared" ca="1" si="6"/>
        <v>4.0243613281249813E-2</v>
      </c>
      <c r="AF15" s="14">
        <f t="shared" ca="1" si="6"/>
        <v>4.0306863441675E-2</v>
      </c>
      <c r="AG15" s="14">
        <f t="shared" ca="1" si="6"/>
        <v>4.0324202774322027E-2</v>
      </c>
      <c r="AH15" s="14">
        <f t="shared" ca="1" si="6"/>
        <v>4.0341175201476176E-2</v>
      </c>
      <c r="AI15" s="14">
        <f t="shared" ca="1" si="6"/>
        <v>4.0227834169576315E-2</v>
      </c>
      <c r="AJ15" s="14">
        <f t="shared" ca="1" si="6"/>
        <v>4.0190875588459685E-2</v>
      </c>
      <c r="AK15" s="14">
        <f t="shared" ca="1" si="6"/>
        <v>4.0066253300656829E-2</v>
      </c>
      <c r="AL15" s="14">
        <f t="shared" ca="1" si="6"/>
        <v>3.9865694985473432E-2</v>
      </c>
      <c r="AM15" s="14">
        <f t="shared" ca="1" si="6"/>
        <v>3.9681145786718774E-2</v>
      </c>
      <c r="AN15" s="14">
        <f t="shared" ca="1" si="6"/>
        <v>3.9512246558621955E-2</v>
      </c>
      <c r="AO15" s="14">
        <f t="shared" ca="1" si="6"/>
        <v>3.9155568312284617E-2</v>
      </c>
      <c r="AP15" s="14">
        <f t="shared" ca="1" si="6"/>
        <v>3.8942233863603404E-2</v>
      </c>
      <c r="AQ15" s="14">
        <f t="shared" ca="1" si="6"/>
        <v>3.8592301797875317E-2</v>
      </c>
      <c r="AR15" s="14">
        <f t="shared" ca="1" si="6"/>
        <v>3.826883599247588E-2</v>
      </c>
      <c r="AS15" s="14">
        <f t="shared" ca="1" si="6"/>
        <v>3.8013925103141943E-2</v>
      </c>
      <c r="AT15" s="14">
        <f t="shared" ca="1" si="6"/>
        <v>3.7764328988433515E-2</v>
      </c>
      <c r="AU15" s="14">
        <f t="shared" ca="1" si="6"/>
        <v>3.7539437220141636E-2</v>
      </c>
      <c r="AV15" s="14">
        <f t="shared" ca="1" si="6"/>
        <v>3.7400853596670114E-2</v>
      </c>
      <c r="AW15" s="14">
        <f t="shared" ca="1" si="6"/>
        <v>3.7207774986085074E-2</v>
      </c>
    </row>
    <row r="16" spans="1:49" x14ac:dyDescent="0.2">
      <c r="A16" s="4" t="s">
        <v>303</v>
      </c>
      <c r="D16" s="18">
        <f t="shared" ref="D16:I16" si="7">1/D$14</f>
        <v>4.1394155145293484E-3</v>
      </c>
      <c r="E16" s="19">
        <f t="shared" si="7"/>
        <v>3.9979850155521619E-3</v>
      </c>
      <c r="F16" s="19">
        <f t="shared" si="7"/>
        <v>3.8579056201969073E-3</v>
      </c>
      <c r="G16" s="19">
        <f t="shared" si="7"/>
        <v>3.6547303174498755E-3</v>
      </c>
      <c r="H16" s="19">
        <f t="shared" si="7"/>
        <v>3.4788779922699329E-3</v>
      </c>
      <c r="I16" s="19">
        <f t="shared" si="7"/>
        <v>3.3423576991209601E-3</v>
      </c>
      <c r="J16" s="7">
        <f t="shared" ref="J16:AW16" ca="1" si="8">1/J$14</f>
        <v>3.2072148288660109E-3</v>
      </c>
      <c r="K16" s="7">
        <f t="shared" ca="1" si="8"/>
        <v>3.078561150844766E-3</v>
      </c>
      <c r="L16" s="7">
        <f t="shared" ca="1" si="8"/>
        <v>2.9506637729737081E-3</v>
      </c>
      <c r="M16" s="7">
        <f t="shared" ca="1" si="8"/>
        <v>2.8284562106793893E-3</v>
      </c>
      <c r="N16" s="7">
        <f t="shared" ca="1" si="8"/>
        <v>2.7115153941940583E-3</v>
      </c>
      <c r="O16" s="7">
        <f t="shared" ca="1" si="8"/>
        <v>2.6005081949930686E-3</v>
      </c>
      <c r="P16" s="7">
        <f t="shared" ca="1" si="8"/>
        <v>2.4949974924840883E-3</v>
      </c>
      <c r="Q16" s="7">
        <f t="shared" ca="1" si="8"/>
        <v>2.3948353074423646E-3</v>
      </c>
      <c r="R16" s="7">
        <f t="shared" ca="1" si="8"/>
        <v>2.2998153992600753E-3</v>
      </c>
      <c r="S16" s="7">
        <f t="shared" ca="1" si="8"/>
        <v>2.2093900317327105E-3</v>
      </c>
      <c r="T16" s="7">
        <f t="shared" ca="1" si="8"/>
        <v>2.123322360915694E-3</v>
      </c>
      <c r="U16" s="7">
        <f t="shared" ca="1" si="8"/>
        <v>2.0411384822879813E-3</v>
      </c>
      <c r="V16" s="7">
        <f t="shared" ca="1" si="8"/>
        <v>1.962522626127432E-3</v>
      </c>
      <c r="W16" s="7">
        <f t="shared" ca="1" si="8"/>
        <v>1.8871708972349394E-3</v>
      </c>
      <c r="X16" s="7">
        <f t="shared" ca="1" si="8"/>
        <v>1.8148047683001504E-3</v>
      </c>
      <c r="Y16" s="7">
        <f t="shared" ca="1" si="8"/>
        <v>1.745397681208731E-3</v>
      </c>
      <c r="Z16" s="7">
        <f t="shared" ca="1" si="8"/>
        <v>1.6785839220131314E-3</v>
      </c>
      <c r="AA16" s="7">
        <f t="shared" ca="1" si="8"/>
        <v>1.6142698840374233E-3</v>
      </c>
      <c r="AB16" s="7">
        <f t="shared" ca="1" si="8"/>
        <v>1.5522860221214671E-3</v>
      </c>
      <c r="AC16" s="7">
        <f t="shared" ca="1" si="8"/>
        <v>1.4924441014114269E-3</v>
      </c>
      <c r="AD16" s="7">
        <f t="shared" ca="1" si="8"/>
        <v>1.434731874151949E-3</v>
      </c>
      <c r="AE16" s="7">
        <f t="shared" ca="1" si="8"/>
        <v>1.3792268040236856E-3</v>
      </c>
      <c r="AF16" s="7">
        <f t="shared" ca="1" si="8"/>
        <v>1.3257884307912311E-3</v>
      </c>
      <c r="AG16" s="7">
        <f t="shared" ca="1" si="8"/>
        <v>1.2743992951962831E-3</v>
      </c>
      <c r="AH16" s="7">
        <f t="shared" ca="1" si="8"/>
        <v>1.224982078546952E-3</v>
      </c>
      <c r="AI16" s="7">
        <f t="shared" ca="1" si="8"/>
        <v>1.1776094027755629E-3</v>
      </c>
      <c r="AJ16" s="7">
        <f t="shared" ca="1" si="8"/>
        <v>1.1321089527048221E-3</v>
      </c>
      <c r="AK16" s="7">
        <f t="shared" ca="1" si="8"/>
        <v>1.0884969578736617E-3</v>
      </c>
      <c r="AL16" s="7">
        <f t="shared" ca="1" si="8"/>
        <v>1.046766869147335E-3</v>
      </c>
      <c r="AM16" s="7">
        <f t="shared" ca="1" si="8"/>
        <v>1.0068152850413138E-3</v>
      </c>
      <c r="AN16" s="7">
        <f t="shared" ca="1" si="8"/>
        <v>9.685458621333671E-4</v>
      </c>
      <c r="AO16" s="7">
        <f t="shared" ca="1" si="8"/>
        <v>9.3205088022229785E-4</v>
      </c>
      <c r="AP16" s="7">
        <f t="shared" ca="1" si="8"/>
        <v>8.9711520991518504E-4</v>
      </c>
      <c r="AQ16" s="7">
        <f t="shared" ca="1" si="8"/>
        <v>8.6377995327157383E-4</v>
      </c>
      <c r="AR16" s="7">
        <f t="shared" ca="1" si="8"/>
        <v>8.3194248284057472E-4</v>
      </c>
      <c r="AS16" s="7">
        <f t="shared" ca="1" si="8"/>
        <v>8.0147526224940465E-4</v>
      </c>
      <c r="AT16" s="7">
        <f t="shared" ca="1" si="8"/>
        <v>7.7230951176617045E-4</v>
      </c>
      <c r="AU16" s="7">
        <f t="shared" ca="1" si="8"/>
        <v>7.4436641544479867E-4</v>
      </c>
      <c r="AV16" s="7">
        <f t="shared" ca="1" si="8"/>
        <v>7.1753017443939757E-4</v>
      </c>
      <c r="AW16" s="7">
        <f t="shared" ca="1" si="8"/>
        <v>6.9179020032801412E-4</v>
      </c>
    </row>
    <row r="17" spans="1:49" x14ac:dyDescent="0.2">
      <c r="A17" s="4"/>
      <c r="D17" s="18"/>
      <c r="E17" s="19"/>
      <c r="F17" s="19"/>
      <c r="G17" s="19"/>
      <c r="H17" s="19"/>
      <c r="I17" s="1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row>
    <row r="18" spans="1:49" x14ac:dyDescent="0.2">
      <c r="A18" s="22" t="s">
        <v>302</v>
      </c>
      <c r="D18" s="21"/>
      <c r="E18" s="20"/>
      <c r="F18" s="20"/>
      <c r="G18" s="20"/>
      <c r="H18" s="20"/>
      <c r="I18" s="20"/>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row>
    <row r="19" spans="1:49" ht="15" x14ac:dyDescent="0.25">
      <c r="A19" s="2" t="s">
        <v>305</v>
      </c>
      <c r="B19" s="4" t="str">
        <f>$B$12</f>
        <v>From Economic</v>
      </c>
      <c r="D19" s="18">
        <f>Economic!M$8</f>
        <v>2.4834999999999998</v>
      </c>
      <c r="E19" s="19">
        <f>Economic!N$8</f>
        <v>2.5139999999999998</v>
      </c>
      <c r="F19" s="19">
        <f>Economic!O$8</f>
        <v>2.5703</v>
      </c>
      <c r="G19" s="19">
        <f>Economic!P$8</f>
        <v>2.6090999999999998</v>
      </c>
      <c r="H19" s="19">
        <f>Economic!Q$8</f>
        <v>2.6486000000000001</v>
      </c>
      <c r="I19" s="19">
        <f>Economic!R$8</f>
        <v>2.6809000000000003</v>
      </c>
      <c r="J19" s="7">
        <f ca="1">I$19*(1+I$20+MIN(OFFSET(Assumptions!$B$19,0,$C$1),ABS(LabourForce!H$6-I$20))*SIGN(LabourForce!H$6-I$20))</f>
        <v>2.7082321024390246</v>
      </c>
      <c r="K19" s="7">
        <f ca="1">J$19*(1+J$20+MIN(OFFSET(Assumptions!$B$19,0,$C$1),ABS(LabourForce!I$6-J$20))*SIGN(LabourForce!I$6-J$20))</f>
        <v>2.7304263947907201</v>
      </c>
      <c r="L19" s="7">
        <f ca="1">K$19*(1+K$20+MIN(OFFSET(Assumptions!$B$19,0,$C$1),ABS(LabourForce!J$6-K$20))*SIGN(LabourForce!J$6-K$20))</f>
        <v>2.7516444697821978</v>
      </c>
      <c r="M19" s="7">
        <f ca="1">L$19*(1+L$20+MIN(OFFSET(Assumptions!$B$19,0,$C$1),ABS(LabourForce!K$6-L$20))*SIGN(LabourForce!K$6-L$20))</f>
        <v>2.7726584266881389</v>
      </c>
      <c r="N19" s="7">
        <f ca="1">M$19*(1+M$20+MIN(OFFSET(Assumptions!$B$19,0,$C$1),ABS(LabourForce!L$6-M$20))*SIGN(LabourForce!L$6-M$20))</f>
        <v>2.7936213540726964</v>
      </c>
      <c r="O19" s="7">
        <f ca="1">N$19*(1+N$20+MIN(OFFSET(Assumptions!$B$19,0,$C$1),ABS(LabourForce!M$6-N$20))*SIGN(LabourForce!M$6-N$20))</f>
        <v>2.8135534851252961</v>
      </c>
      <c r="P19" s="7">
        <f ca="1">O$19*(1+O$20+MIN(OFFSET(Assumptions!$B$19,0,$C$1),ABS(LabourForce!N$6-O$20))*SIGN(LabourForce!N$6-O$20))</f>
        <v>2.8325466729844297</v>
      </c>
      <c r="Q19" s="7">
        <f ca="1">P$19*(1+P$20+MIN(OFFSET(Assumptions!$B$19,0,$C$1),ABS(LabourForce!O$6-P$20))*SIGN(LabourForce!O$6-P$20))</f>
        <v>2.8503967995645616</v>
      </c>
      <c r="R19" s="7">
        <f ca="1">Q$19*(1+Q$20+MIN(OFFSET(Assumptions!$B$19,0,$C$1),ABS(LabourForce!P$6-Q$20))*SIGN(LabourForce!P$6-Q$20))</f>
        <v>2.866960982205816</v>
      </c>
      <c r="S19" s="7">
        <f ca="1">R$19*(1+R$20+MIN(OFFSET(Assumptions!$B$19,0,$C$1),ABS(LabourForce!Q$6-R$20))*SIGN(LabourForce!Q$6-R$20))</f>
        <v>2.882545398036497</v>
      </c>
      <c r="T19" s="7">
        <f ca="1">S$19*(1+S$20+MIN(OFFSET(Assumptions!$B$19,0,$C$1),ABS(LabourForce!R$6-S$20))*SIGN(LabourForce!R$6-S$20))</f>
        <v>2.8971194293437743</v>
      </c>
      <c r="U19" s="7">
        <f ca="1">T$19*(1+T$20+MIN(OFFSET(Assumptions!$B$19,0,$C$1),ABS(LabourForce!S$6-T$20))*SIGN(LabourForce!S$6-T$20))</f>
        <v>2.9110096650645056</v>
      </c>
      <c r="V19" s="7">
        <f ca="1">U$19*(1+U$20+MIN(OFFSET(Assumptions!$B$19,0,$C$1),ABS(LabourForce!T$6-U$20))*SIGN(LabourForce!T$6-U$20))</f>
        <v>2.9243896055713972</v>
      </c>
      <c r="W19" s="7">
        <f ca="1">V$19*(1+V$20+MIN(OFFSET(Assumptions!$B$19,0,$C$1),ABS(LabourForce!U$6-V$20))*SIGN(LabourForce!U$6-V$20))</f>
        <v>2.9374633689499841</v>
      </c>
      <c r="X19" s="7">
        <f ca="1">W$19*(1+W$20+MIN(OFFSET(Assumptions!$B$19,0,$C$1),ABS(LabourForce!V$6-W$20))*SIGN(LabourForce!V$6-W$20))</f>
        <v>2.9504452791900797</v>
      </c>
      <c r="Y19" s="7">
        <f ca="1">X$19*(1+X$20+MIN(OFFSET(Assumptions!$B$19,0,$C$1),ABS(LabourForce!W$6-X$20))*SIGN(LabourForce!W$6-X$20))</f>
        <v>2.9631720418232552</v>
      </c>
      <c r="Z19" s="7">
        <f ca="1">Y$19*(1+Y$20+MIN(OFFSET(Assumptions!$B$19,0,$C$1),ABS(LabourForce!X$6-Y$20))*SIGN(LabourForce!X$6-Y$20))</f>
        <v>2.9760620989248601</v>
      </c>
      <c r="AA19" s="7">
        <f ca="1">Z$19*(1+Z$20+MIN(OFFSET(Assumptions!$B$19,0,$C$1),ABS(LabourForce!Y$6-Z$20))*SIGN(LabourForce!Y$6-Z$20))</f>
        <v>2.9891154504948929</v>
      </c>
      <c r="AB19" s="7">
        <f ca="1">AA$19*(1+AA$20+MIN(OFFSET(Assumptions!$B$19,0,$C$1),ABS(LabourForce!Z$6-AA$20))*SIGN(LabourForce!Z$6-AA$20))</f>
        <v>3.0024851850975076</v>
      </c>
      <c r="AC19" s="7">
        <f ca="1">AB$19*(1+AB$20+MIN(OFFSET(Assumptions!$B$19,0,$C$1),ABS(LabourForce!AA$6-AB$20))*SIGN(LabourForce!AA$6-AB$20))</f>
        <v>3.0163958326267926</v>
      </c>
      <c r="AD19" s="7">
        <f ca="1">AC$19*(1+AC$20+MIN(OFFSET(Assumptions!$B$19,0,$C$1),ABS(LabourForce!AB$6-AC$20))*SIGN(LabourForce!AB$6-AC$20))</f>
        <v>3.0307453340399801</v>
      </c>
      <c r="AE19" s="7">
        <f ca="1">AD$19*(1+AD$20+MIN(OFFSET(Assumptions!$B$19,0,$C$1),ABS(LabourForce!AC$6-AD$20))*SIGN(LabourForce!AC$6-AD$20))</f>
        <v>3.0452173063044894</v>
      </c>
      <c r="AF19" s="7">
        <f ca="1">AE$19*(1+AE$20+MIN(OFFSET(Assumptions!$B$19,0,$C$1),ABS(LabourForce!AD$6-AE$20))*SIGN(LabourForce!AD$6-AE$20))</f>
        <v>3.0599444261759188</v>
      </c>
      <c r="AG19" s="7">
        <f ca="1">AF$19*(1+AF$20+MIN(OFFSET(Assumptions!$B$19,0,$C$1),ABS(LabourForce!AE$6-AF$20))*SIGN(LabourForce!AE$6-AF$20))</f>
        <v>3.0747940168986698</v>
      </c>
      <c r="AH19" s="7">
        <f ca="1">AG$19*(1+AG$20+MIN(OFFSET(Assumptions!$B$19,0,$C$1),ABS(LabourForce!AF$6-AG$20))*SIGN(LabourForce!AF$6-AG$20))</f>
        <v>3.0897660784727421</v>
      </c>
      <c r="AI19" s="7">
        <f ca="1">AH$19*(1+AH$20+MIN(OFFSET(Assumptions!$B$19,0,$C$1),ABS(LabourForce!AG$6-AH$20))*SIGN(LabourForce!AG$6-AH$20))</f>
        <v>3.1044727865356183</v>
      </c>
      <c r="AJ19" s="7">
        <f ca="1">AI$19*(1+AI$20+MIN(OFFSET(Assumptions!$B$19,0,$C$1),ABS(LabourForce!AH$6-AI$20))*SIGN(LabourForce!AH$6-AI$20))</f>
        <v>3.1191386709813873</v>
      </c>
      <c r="AK19" s="7">
        <f ca="1">AJ$19*(1+AJ$20+MIN(OFFSET(Assumptions!$B$19,0,$C$1),ABS(LabourForce!AI$6-AJ$20))*SIGN(LabourForce!AI$6-AJ$20))</f>
        <v>3.1334983782988517</v>
      </c>
      <c r="AL19" s="7">
        <f ca="1">AK$19*(1+AK$20+MIN(OFFSET(Assumptions!$B$19,0,$C$1),ABS(LabourForce!AJ$6-AK$20))*SIGN(LabourForce!AJ$6-AK$20))</f>
        <v>3.1473171726896454</v>
      </c>
      <c r="AM19" s="7">
        <f ca="1">AL$19*(1+AL$20+MIN(OFFSET(Assumptions!$B$19,0,$C$1),ABS(LabourForce!AK$6-AL$20))*SIGN(LabourForce!AK$6-AL$20))</f>
        <v>3.1606358777708756</v>
      </c>
      <c r="AN19" s="7">
        <f ca="1">AM$19*(1+AM$20+MIN(OFFSET(Assumptions!$B$19,0,$C$1),ABS(LabourForce!AL$6-AM$20))*SIGN(LabourForce!AL$6-AM$20))</f>
        <v>3.1734953171596496</v>
      </c>
      <c r="AO19" s="7">
        <f ca="1">AN$19*(1+AN$20+MIN(OFFSET(Assumptions!$B$19,0,$C$1),ABS(LabourForce!AM$6-AN$20))*SIGN(LabourForce!AM$6-AN$20))</f>
        <v>3.1853137543121899</v>
      </c>
      <c r="AP19" s="7">
        <f ca="1">AO$19*(1+AO$20+MIN(OFFSET(Assumptions!$B$19,0,$C$1),ABS(LabourForce!AN$6-AO$20))*SIGN(LabourForce!AN$6-AO$20))</f>
        <v>3.1965198372081214</v>
      </c>
      <c r="AQ19" s="7">
        <f ca="1">AP$19*(1+AP$20+MIN(OFFSET(Assumptions!$B$19,0,$C$1),ABS(LabourForce!AO$6-AP$20))*SIGN(LabourForce!AO$6-AP$20))</f>
        <v>3.2066849178678192</v>
      </c>
      <c r="AR19" s="7">
        <f ca="1">AQ$19*(1+AQ$20+MIN(OFFSET(Assumptions!$B$19,0,$C$1),ABS(LabourForce!AP$6-AQ$20))*SIGN(LabourForce!AP$6-AQ$20))</f>
        <v>3.21588043762122</v>
      </c>
      <c r="AS19" s="7">
        <f ca="1">AR$19*(1+AR$20+MIN(OFFSET(Assumptions!$B$19,0,$C$1),ABS(LabourForce!AQ$6-AR$20))*SIGN(LabourForce!AQ$6-AR$20))</f>
        <v>3.2243105145538613</v>
      </c>
      <c r="AT19" s="7">
        <f ca="1">AS$19*(1+AS$20+MIN(OFFSET(Assumptions!$B$19,0,$C$1),ABS(LabourForce!AR$6-AS$20))*SIGN(LabourForce!AR$6-AS$20))</f>
        <v>3.2319853545700181</v>
      </c>
      <c r="AU19" s="7">
        <f ca="1">AT$19*(1+AT$20+MIN(OFFSET(Assumptions!$B$19,0,$C$1),ABS(LabourForce!AS$6-AT$20))*SIGN(LabourForce!AS$6-AT$20))</f>
        <v>3.2389763989996294</v>
      </c>
      <c r="AV19" s="7">
        <f ca="1">AU$19*(1+AU$20+MIN(OFFSET(Assumptions!$B$19,0,$C$1),ABS(LabourForce!AT$6-AU$20))*SIGN(LabourForce!AT$6-AU$20))</f>
        <v>3.2455490013538917</v>
      </c>
      <c r="AW19" s="7">
        <f ca="1">AV$19*(1+AV$20+MIN(OFFSET(Assumptions!$B$19,0,$C$1),ABS(LabourForce!AU$6-AV$20))*SIGN(LabourForce!AU$6-AV$20))</f>
        <v>3.2515296612600992</v>
      </c>
    </row>
    <row r="20" spans="1:49" x14ac:dyDescent="0.2">
      <c r="A20" s="4" t="str">
        <f>$A$13</f>
        <v>Annual percentage growth</v>
      </c>
      <c r="D20" s="21"/>
      <c r="E20" s="20">
        <f t="shared" ref="E20:I20" si="9">E$19/D$19-1</f>
        <v>1.2281054962754112E-2</v>
      </c>
      <c r="F20" s="20">
        <f t="shared" si="9"/>
        <v>2.2394590294351646E-2</v>
      </c>
      <c r="G20" s="20">
        <f t="shared" si="9"/>
        <v>1.5095514142317912E-2</v>
      </c>
      <c r="H20" s="20">
        <f t="shared" si="9"/>
        <v>1.513932007205554E-2</v>
      </c>
      <c r="I20" s="20">
        <f t="shared" si="9"/>
        <v>1.2195121951219523E-2</v>
      </c>
      <c r="J20" s="14">
        <f t="shared" ref="J20:AS20" ca="1" si="10">J$19/I$19-1</f>
        <v>1.0195121951219521E-2</v>
      </c>
      <c r="K20" s="14">
        <f t="shared" ca="1" si="10"/>
        <v>8.1951219512195195E-3</v>
      </c>
      <c r="L20" s="14">
        <f t="shared" ca="1" si="10"/>
        <v>7.7709749041243725E-3</v>
      </c>
      <c r="M20" s="14">
        <f t="shared" ca="1" si="10"/>
        <v>7.6368721092825442E-3</v>
      </c>
      <c r="N20" s="14">
        <f t="shared" ca="1" si="10"/>
        <v>7.560587767602156E-3</v>
      </c>
      <c r="O20" s="14">
        <f t="shared" ca="1" si="10"/>
        <v>7.1348720983757108E-3</v>
      </c>
      <c r="P20" s="14">
        <f t="shared" ca="1" si="10"/>
        <v>6.7506048701568844E-3</v>
      </c>
      <c r="Q20" s="14">
        <f t="shared" ca="1" si="10"/>
        <v>6.3017943359515716E-3</v>
      </c>
      <c r="R20" s="14">
        <f t="shared" ca="1" si="10"/>
        <v>5.8111848300506086E-3</v>
      </c>
      <c r="S20" s="14">
        <f t="shared" ca="1" si="10"/>
        <v>5.4358660363387212E-3</v>
      </c>
      <c r="T20" s="14">
        <f t="shared" ca="1" si="10"/>
        <v>5.0559589858341081E-3</v>
      </c>
      <c r="U20" s="14">
        <f t="shared" ca="1" si="10"/>
        <v>4.7944988321995119E-3</v>
      </c>
      <c r="V20" s="14">
        <f t="shared" ca="1" si="10"/>
        <v>4.5963229416468021E-3</v>
      </c>
      <c r="W20" s="14">
        <f t="shared" ca="1" si="10"/>
        <v>4.4705956257262702E-3</v>
      </c>
      <c r="X20" s="14">
        <f t="shared" ca="1" si="10"/>
        <v>4.4194288096726098E-3</v>
      </c>
      <c r="Y20" s="14">
        <f t="shared" ca="1" si="10"/>
        <v>4.3135057351983974E-3</v>
      </c>
      <c r="Z20" s="14">
        <f t="shared" ca="1" si="10"/>
        <v>4.3500873117288119E-3</v>
      </c>
      <c r="AA20" s="14">
        <f t="shared" ca="1" si="10"/>
        <v>4.3861153215682958E-3</v>
      </c>
      <c r="AB20" s="14">
        <f t="shared" ca="1" si="10"/>
        <v>4.4728063616281677E-3</v>
      </c>
      <c r="AC20" s="14">
        <f t="shared" ca="1" si="10"/>
        <v>4.6330445186970604E-3</v>
      </c>
      <c r="AD20" s="14">
        <f t="shared" ca="1" si="10"/>
        <v>4.7571678948685747E-3</v>
      </c>
      <c r="AE20" s="14">
        <f t="shared" ca="1" si="10"/>
        <v>4.7750538793103203E-3</v>
      </c>
      <c r="AF20" s="14">
        <f t="shared" ca="1" si="10"/>
        <v>4.8361474371434454E-3</v>
      </c>
      <c r="AG20" s="14">
        <f t="shared" ca="1" si="10"/>
        <v>4.8528955610180891E-3</v>
      </c>
      <c r="AH20" s="14">
        <f t="shared" ca="1" si="10"/>
        <v>4.86928928955499E-3</v>
      </c>
      <c r="AI20" s="14">
        <f t="shared" ca="1" si="10"/>
        <v>4.7598127784953537E-3</v>
      </c>
      <c r="AJ20" s="14">
        <f t="shared" ca="1" si="10"/>
        <v>4.7241143518397255E-3</v>
      </c>
      <c r="AK20" s="14">
        <f t="shared" ca="1" si="10"/>
        <v>4.6037412350590223E-3</v>
      </c>
      <c r="AL20" s="14">
        <f t="shared" ca="1" si="10"/>
        <v>4.410021235848216E-3</v>
      </c>
      <c r="AM20" s="14">
        <f t="shared" ca="1" si="10"/>
        <v>4.2317644998735027E-3</v>
      </c>
      <c r="AN20" s="14">
        <f t="shared" ca="1" si="10"/>
        <v>4.0686241269409784E-3</v>
      </c>
      <c r="AO20" s="14">
        <f t="shared" ca="1" si="10"/>
        <v>3.724107323756165E-3</v>
      </c>
      <c r="AP20" s="14">
        <f t="shared" ca="1" si="10"/>
        <v>3.5180468111692953E-3</v>
      </c>
      <c r="AQ20" s="14">
        <f t="shared" ca="1" si="10"/>
        <v>3.1800461681401604E-3</v>
      </c>
      <c r="AR20" s="14">
        <f t="shared" ca="1" si="10"/>
        <v>2.8676093813155834E-3</v>
      </c>
      <c r="AS20" s="14">
        <f t="shared" ca="1" si="10"/>
        <v>2.6213900349096875E-3</v>
      </c>
      <c r="AT20" s="14">
        <f ca="1">AT$19/AS$19-1</f>
        <v>2.3803042484631387E-3</v>
      </c>
      <c r="AU20" s="14">
        <f ca="1">AU$19/AT$19-1</f>
        <v>2.1630804792249769E-3</v>
      </c>
      <c r="AV20" s="14">
        <f ca="1">AV$19/AU$19-1</f>
        <v>2.0292220580218068E-3</v>
      </c>
      <c r="AW20" s="14">
        <f ca="1">AW$19/AV$19-1</f>
        <v>1.8427267324303553E-3</v>
      </c>
    </row>
    <row r="21" spans="1:49" ht="15" x14ac:dyDescent="0.25">
      <c r="A21" s="2" t="s">
        <v>306</v>
      </c>
      <c r="B21" s="4" t="str">
        <f>$B$12</f>
        <v>From Economic</v>
      </c>
      <c r="D21" s="18">
        <f>Economic!M$9</f>
        <v>3.5855999999999999</v>
      </c>
      <c r="E21" s="19">
        <f>Economic!N$9</f>
        <v>3.6703000000000001</v>
      </c>
      <c r="F21" s="19">
        <f>Economic!O$9</f>
        <v>3.7545000000000002</v>
      </c>
      <c r="G21" s="19">
        <f>Economic!P$9</f>
        <v>3.8096000000000001</v>
      </c>
      <c r="H21" s="19">
        <f>Economic!Q$9</f>
        <v>3.8504</v>
      </c>
      <c r="I21" s="19">
        <f>Economic!R$9</f>
        <v>3.8898999999999999</v>
      </c>
      <c r="J21" s="7">
        <f>I$21*(1+Popn!Q$207)</f>
        <v>3.9294504186602874</v>
      </c>
      <c r="K21" s="7">
        <f>J$21*(1+Popn!R$207)</f>
        <v>3.97124745287184</v>
      </c>
      <c r="L21" s="7">
        <f>K$21*(1+Popn!S$207)</f>
        <v>4.0149915538944905</v>
      </c>
      <c r="M21" s="7">
        <f>L$21*(1+Popn!T$207)</f>
        <v>4.0577870839066064</v>
      </c>
      <c r="N21" s="7">
        <f>M$21*(1+Popn!U$207)</f>
        <v>4.100912117532908</v>
      </c>
      <c r="O21" s="7">
        <f>N$21*(1+Popn!V$207)</f>
        <v>4.1417206409019043</v>
      </c>
      <c r="P21" s="7">
        <f>O$21*(1+Popn!W$207)</f>
        <v>4.1808716612419667</v>
      </c>
      <c r="Q21" s="7">
        <f>P$21*(1+Popn!X$207)</f>
        <v>4.2181455094769706</v>
      </c>
      <c r="R21" s="7">
        <f>Q$21*(1+Popn!Y$207)</f>
        <v>4.2530129828326189</v>
      </c>
      <c r="S21" s="7">
        <f>R$21*(1+Popn!Z$207)</f>
        <v>4.2862029832433217</v>
      </c>
      <c r="T21" s="7">
        <f>S$21*(1+Popn!AA$207)</f>
        <v>4.3194129535700361</v>
      </c>
      <c r="U21" s="7">
        <f>T$21*(1+Popn!AB$207)</f>
        <v>4.3524831344846717</v>
      </c>
      <c r="V21" s="7">
        <f>U$21*(1+Popn!AC$207)</f>
        <v>4.3852937064911606</v>
      </c>
      <c r="W21" s="7">
        <f>V$21*(1+Popn!AD$207)</f>
        <v>4.4175551058073399</v>
      </c>
      <c r="X21" s="7">
        <f>W$21*(1+Popn!AE$207)</f>
        <v>4.4495968360473954</v>
      </c>
      <c r="Y21" s="7">
        <f>X$21*(1+Popn!AF$207)</f>
        <v>4.4811193484711591</v>
      </c>
      <c r="Z21" s="7">
        <f>Y$21*(1+Popn!AG$207)</f>
        <v>4.5121825528266637</v>
      </c>
      <c r="AA21" s="7">
        <f>Z$21*(1+Popn!AH$207)</f>
        <v>4.5428763137359605</v>
      </c>
      <c r="AB21" s="7">
        <f>AA$21*(1+Popn!AI$207)</f>
        <v>4.5727712780048071</v>
      </c>
      <c r="AC21" s="7">
        <f>AB$21*(1+Popn!AJ$207)</f>
        <v>4.6020471748773044</v>
      </c>
      <c r="AD21" s="7">
        <f>AC$21*(1+Popn!AK$207)</f>
        <v>4.6305043051933401</v>
      </c>
      <c r="AE21" s="7">
        <f>AD$21*(1+Popn!AL$207)</f>
        <v>4.6583124132390097</v>
      </c>
      <c r="AF21" s="7">
        <f>AE$21*(1+Popn!AM$207)</f>
        <v>4.6852618148961964</v>
      </c>
      <c r="AG21" s="7">
        <f>AF$21*(1+Popn!AN$207)</f>
        <v>4.7114723296609657</v>
      </c>
      <c r="AH21" s="7">
        <f>AG$21*(1+Popn!AO$207)</f>
        <v>4.7368840477852858</v>
      </c>
      <c r="AI21" s="7">
        <f>AH$21*(1+Popn!AP$207)</f>
        <v>4.7612872851510373</v>
      </c>
      <c r="AJ21" s="7">
        <f>AI$21*(1+Popn!AQ$207)</f>
        <v>4.7847719063802705</v>
      </c>
      <c r="AK21" s="7">
        <f>AJ$21*(1+Popn!AR$207)</f>
        <v>4.8076075053391385</v>
      </c>
      <c r="AL21" s="7">
        <f>AK$21*(1+Popn!AS$207)</f>
        <v>4.8296243377415449</v>
      </c>
      <c r="AM21" s="7">
        <f>AL$21*(1+Popn!AT$207)</f>
        <v>4.8507924487134728</v>
      </c>
      <c r="AN21" s="7">
        <f>AM$21*(1+Popn!AU$207)</f>
        <v>4.8714712967431257</v>
      </c>
      <c r="AO21" s="7">
        <f>AN$21*(1+Popn!AV$207)</f>
        <v>4.8915410623344355</v>
      </c>
      <c r="AP21" s="7">
        <f>AO$21*(1+Popn!AW$207)</f>
        <v>4.9112813243115587</v>
      </c>
      <c r="AQ21" s="7">
        <f>AP$21*(1+Popn!AX$207)</f>
        <v>4.9306721127584865</v>
      </c>
      <c r="AR21" s="7">
        <f>AQ$21*(1+Popn!AY$207)</f>
        <v>4.9497433825492338</v>
      </c>
      <c r="AS21" s="7">
        <f>AR$21*(1+Popn!AZ$207)</f>
        <v>4.9685849983058512</v>
      </c>
      <c r="AT21" s="7">
        <f>AS$21*(1+Popn!BA$207)</f>
        <v>4.987476538852496</v>
      </c>
      <c r="AU21" s="7">
        <f>AT$21*(1+Popn!BB$207)</f>
        <v>5.0062881997350965</v>
      </c>
      <c r="AV21" s="7">
        <f>AU$21*(1+Popn!BC$207)</f>
        <v>5.0249600712056184</v>
      </c>
      <c r="AW21" s="7">
        <f>AV$21*(1+Popn!BD$207)</f>
        <v>5.04370183738218</v>
      </c>
    </row>
    <row r="22" spans="1:49" x14ac:dyDescent="0.2">
      <c r="A22" s="4" t="str">
        <f>$A$13</f>
        <v>Annual percentage growth</v>
      </c>
      <c r="D22" s="21"/>
      <c r="E22" s="20">
        <f t="shared" ref="E22:I22" si="11">E$21/D$21-1</f>
        <v>2.3622266845158446E-2</v>
      </c>
      <c r="F22" s="20">
        <f t="shared" si="11"/>
        <v>2.294090401329596E-2</v>
      </c>
      <c r="G22" s="20">
        <f t="shared" si="11"/>
        <v>1.4675722466373609E-2</v>
      </c>
      <c r="H22" s="20">
        <f t="shared" si="11"/>
        <v>1.0709785804283944E-2</v>
      </c>
      <c r="I22" s="20">
        <f t="shared" si="11"/>
        <v>1.0258674423436531E-2</v>
      </c>
      <c r="J22" s="14">
        <f>J$21/I$21-1</f>
        <v>1.0167464114832603E-2</v>
      </c>
      <c r="K22" s="14">
        <f t="shared" ref="K22:AV22" si="12">K$21/J$21-1</f>
        <v>1.0636865148639041E-2</v>
      </c>
      <c r="L22" s="14">
        <f t="shared" si="12"/>
        <v>1.101520404904921E-2</v>
      </c>
      <c r="M22" s="14">
        <f t="shared" si="12"/>
        <v>1.0658934007122589E-2</v>
      </c>
      <c r="N22" s="14">
        <f t="shared" si="12"/>
        <v>1.062772213883223E-2</v>
      </c>
      <c r="O22" s="14">
        <f t="shared" si="12"/>
        <v>9.9510845878711951E-3</v>
      </c>
      <c r="P22" s="14">
        <f t="shared" si="12"/>
        <v>9.4528394680759575E-3</v>
      </c>
      <c r="Q22" s="14">
        <f t="shared" si="12"/>
        <v>8.9153294468578004E-3</v>
      </c>
      <c r="R22" s="14">
        <f t="shared" si="12"/>
        <v>8.2660669901764017E-3</v>
      </c>
      <c r="S22" s="14">
        <f t="shared" si="12"/>
        <v>7.8038794014207991E-3</v>
      </c>
      <c r="T22" s="14">
        <f t="shared" si="12"/>
        <v>7.7481095637670361E-3</v>
      </c>
      <c r="U22" s="14">
        <f t="shared" si="12"/>
        <v>7.6561748714725208E-3</v>
      </c>
      <c r="V22" s="14">
        <f t="shared" si="12"/>
        <v>7.5383570694464996E-3</v>
      </c>
      <c r="W22" s="14">
        <f t="shared" si="12"/>
        <v>7.3567248798924734E-3</v>
      </c>
      <c r="X22" s="14">
        <f t="shared" si="12"/>
        <v>7.2532723356260043E-3</v>
      </c>
      <c r="Y22" s="14">
        <f t="shared" si="12"/>
        <v>7.084352489733714E-3</v>
      </c>
      <c r="Z22" s="14">
        <f t="shared" si="12"/>
        <v>6.9320189755941453E-3</v>
      </c>
      <c r="AA22" s="14">
        <f t="shared" si="12"/>
        <v>6.8024200151362013E-3</v>
      </c>
      <c r="AB22" s="14">
        <f t="shared" si="12"/>
        <v>6.5806247417423691E-3</v>
      </c>
      <c r="AC22" s="14">
        <f t="shared" si="12"/>
        <v>6.4022219990129692E-3</v>
      </c>
      <c r="AD22" s="14">
        <f t="shared" si="12"/>
        <v>6.1835807488859196E-3</v>
      </c>
      <c r="AE22" s="14">
        <f t="shared" si="12"/>
        <v>6.0054167349508081E-3</v>
      </c>
      <c r="AF22" s="14">
        <f t="shared" si="12"/>
        <v>5.785228483301319E-3</v>
      </c>
      <c r="AG22" s="14">
        <f t="shared" si="12"/>
        <v>5.5942476216455095E-3</v>
      </c>
      <c r="AH22" s="14">
        <f t="shared" si="12"/>
        <v>5.3935832254263794E-3</v>
      </c>
      <c r="AI22" s="14">
        <f t="shared" si="12"/>
        <v>5.1517489386638804E-3</v>
      </c>
      <c r="AJ22" s="14">
        <f t="shared" si="12"/>
        <v>4.9324100443328689E-3</v>
      </c>
      <c r="AK22" s="14">
        <f t="shared" si="12"/>
        <v>4.7725574814585503E-3</v>
      </c>
      <c r="AL22" s="14">
        <f t="shared" si="12"/>
        <v>4.5795819184397679E-3</v>
      </c>
      <c r="AM22" s="14">
        <f t="shared" si="12"/>
        <v>4.3829725650725848E-3</v>
      </c>
      <c r="AN22" s="14">
        <f t="shared" si="12"/>
        <v>4.262983470904258E-3</v>
      </c>
      <c r="AO22" s="14">
        <f t="shared" si="12"/>
        <v>4.1198570963001391E-3</v>
      </c>
      <c r="AP22" s="14">
        <f t="shared" si="12"/>
        <v>4.0355915907823725E-3</v>
      </c>
      <c r="AQ22" s="14">
        <f t="shared" si="12"/>
        <v>3.9482137484041502E-3</v>
      </c>
      <c r="AR22" s="14">
        <f t="shared" si="12"/>
        <v>3.8678844089832243E-3</v>
      </c>
      <c r="AS22" s="14">
        <f t="shared" si="12"/>
        <v>3.8065843621399864E-3</v>
      </c>
      <c r="AT22" s="14">
        <f t="shared" si="12"/>
        <v>3.8021973163560041E-3</v>
      </c>
      <c r="AU22" s="14">
        <f t="shared" si="12"/>
        <v>3.7717793228815299E-3</v>
      </c>
      <c r="AV22" s="14">
        <f t="shared" si="12"/>
        <v>3.729683694899899E-3</v>
      </c>
      <c r="AW22" s="14">
        <f>AW$21/AV$21-1</f>
        <v>3.729734348329794E-3</v>
      </c>
    </row>
    <row r="23" spans="1:49" ht="15" x14ac:dyDescent="0.25">
      <c r="A23" s="2" t="s">
        <v>307</v>
      </c>
      <c r="D23" s="21">
        <f t="shared" ref="D23:I23" si="13">D$19/D$21</f>
        <v>0.69263163766175806</v>
      </c>
      <c r="E23" s="20">
        <f t="shared" si="13"/>
        <v>0.68495763289104428</v>
      </c>
      <c r="F23" s="20">
        <f t="shared" si="13"/>
        <v>0.68459182314555866</v>
      </c>
      <c r="G23" s="20">
        <f t="shared" si="13"/>
        <v>0.68487505249894998</v>
      </c>
      <c r="H23" s="20">
        <f t="shared" si="13"/>
        <v>0.68787658425098697</v>
      </c>
      <c r="I23" s="20">
        <f t="shared" si="13"/>
        <v>0.68919509498958853</v>
      </c>
      <c r="J23" s="14">
        <f t="shared" ref="J23:AV23" ca="1" si="14">J$19/J$21</f>
        <v>0.68921396477687924</v>
      </c>
      <c r="K23" s="14">
        <f t="shared" ca="1" si="14"/>
        <v>0.68754879346946507</v>
      </c>
      <c r="L23" s="14">
        <f t="shared" ca="1" si="14"/>
        <v>0.68534253007659207</v>
      </c>
      <c r="M23" s="14">
        <f t="shared" ca="1" si="14"/>
        <v>0.68329322592716746</v>
      </c>
      <c r="N23" s="14">
        <f t="shared" ca="1" si="14"/>
        <v>0.6812195126369418</v>
      </c>
      <c r="O23" s="14">
        <f t="shared" ca="1" si="14"/>
        <v>0.67931995638233456</v>
      </c>
      <c r="P23" s="14">
        <f t="shared" ca="1" si="14"/>
        <v>0.67750146440586878</v>
      </c>
      <c r="Q23" s="14">
        <f t="shared" ca="1" si="14"/>
        <v>0.67574643718679983</v>
      </c>
      <c r="R23" s="14">
        <f t="shared" ca="1" si="14"/>
        <v>0.67410115929068815</v>
      </c>
      <c r="S23" s="14">
        <f t="shared" ca="1" si="14"/>
        <v>0.67251723945544628</v>
      </c>
      <c r="T23" s="14">
        <f t="shared" ca="1" si="14"/>
        <v>0.67072064201439163</v>
      </c>
      <c r="U23" s="14">
        <f t="shared" ca="1" si="14"/>
        <v>0.6688158403189689</v>
      </c>
      <c r="V23" s="14">
        <f t="shared" ca="1" si="14"/>
        <v>0.66686288337829758</v>
      </c>
      <c r="W23" s="14">
        <f t="shared" ca="1" si="14"/>
        <v>0.66495228663664663</v>
      </c>
      <c r="X23" s="14">
        <f t="shared" ca="1" si="14"/>
        <v>0.66308148533541722</v>
      </c>
      <c r="Y23" s="14">
        <f t="shared" ca="1" si="14"/>
        <v>0.66125711265293841</v>
      </c>
      <c r="Z23" s="14">
        <f t="shared" ca="1" si="14"/>
        <v>0.65956154567826641</v>
      </c>
      <c r="AA23" s="14">
        <f t="shared" ca="1" si="14"/>
        <v>0.65797861180083739</v>
      </c>
      <c r="AB23" s="14">
        <f t="shared" ca="1" si="14"/>
        <v>0.65660077938723249</v>
      </c>
      <c r="AC23" s="14">
        <f t="shared" ca="1" si="14"/>
        <v>0.65544652586209373</v>
      </c>
      <c r="AD23" s="14">
        <f t="shared" ca="1" si="14"/>
        <v>0.65451733424388547</v>
      </c>
      <c r="AE23" s="14">
        <f t="shared" ca="1" si="14"/>
        <v>0.65371684768284877</v>
      </c>
      <c r="AF23" s="14">
        <f t="shared" ca="1" si="14"/>
        <v>0.65309998609836772</v>
      </c>
      <c r="AG23" s="14">
        <f t="shared" ca="1" si="14"/>
        <v>0.65261850261570564</v>
      </c>
      <c r="AH23" s="14">
        <f t="shared" ca="1" si="14"/>
        <v>0.652278174281541</v>
      </c>
      <c r="AI23" s="14">
        <f t="shared" ca="1" si="14"/>
        <v>0.65202383318005108</v>
      </c>
      <c r="AJ23" s="14">
        <f t="shared" ca="1" si="14"/>
        <v>0.65188868602538008</v>
      </c>
      <c r="AK23" s="14">
        <f t="shared" ca="1" si="14"/>
        <v>0.65177915934670472</v>
      </c>
      <c r="AL23" s="14">
        <f t="shared" ca="1" si="14"/>
        <v>0.651669147037927</v>
      </c>
      <c r="AM23" s="14">
        <f t="shared" ca="1" si="14"/>
        <v>0.65157103941009464</v>
      </c>
      <c r="AN23" s="14">
        <f t="shared" ca="1" si="14"/>
        <v>0.65144493805830772</v>
      </c>
      <c r="AO23" s="14">
        <f t="shared" ca="1" si="14"/>
        <v>0.65118818665135214</v>
      </c>
      <c r="AP23" s="14">
        <f t="shared" ca="1" si="14"/>
        <v>0.65085252220940426</v>
      </c>
      <c r="AQ23" s="14">
        <f t="shared" ca="1" si="14"/>
        <v>0.65035452460330501</v>
      </c>
      <c r="AR23" s="14">
        <f t="shared" ca="1" si="14"/>
        <v>0.64970649770634492</v>
      </c>
      <c r="AS23" s="14">
        <f t="shared" ca="1" si="14"/>
        <v>0.64893938931371031</v>
      </c>
      <c r="AT23" s="14">
        <f t="shared" ca="1" si="14"/>
        <v>0.6480201619782705</v>
      </c>
      <c r="AU23" s="14">
        <f t="shared" ca="1" si="14"/>
        <v>0.64698160988235098</v>
      </c>
      <c r="AV23" s="14">
        <f t="shared" ca="1" si="14"/>
        <v>0.64588553050436481</v>
      </c>
      <c r="AW23" s="14">
        <f ca="1">AW$19/AW$21</f>
        <v>0.64467126846414313</v>
      </c>
    </row>
    <row r="24" spans="1:49" ht="15" x14ac:dyDescent="0.25">
      <c r="A24" s="2" t="s">
        <v>109</v>
      </c>
      <c r="B24" s="4" t="str">
        <f>$B$12</f>
        <v>From Economic</v>
      </c>
      <c r="D24" s="18">
        <f>Economic!M$10</f>
        <v>4.5655000000000001</v>
      </c>
      <c r="E24" s="19">
        <f>Economic!N$10</f>
        <v>4.6615000000000002</v>
      </c>
      <c r="F24" s="19">
        <f>Economic!O$10</f>
        <v>4.7511000000000001</v>
      </c>
      <c r="G24" s="19">
        <f>Economic!P$10</f>
        <v>4.8083999999999998</v>
      </c>
      <c r="H24" s="19">
        <f>Economic!Q$10</f>
        <v>4.8523000000000005</v>
      </c>
      <c r="I24" s="19">
        <f>Economic!R$10</f>
        <v>4.8951000000000002</v>
      </c>
      <c r="J24" s="7">
        <f>I$24*(1+Popn!Q$7)</f>
        <v>4.9379654820187744</v>
      </c>
      <c r="K24" s="7">
        <f>J$24*(1+Popn!R$7)</f>
        <v>4.9806990077822215</v>
      </c>
      <c r="L24" s="7">
        <f>K$24*(1+Popn!S$7)</f>
        <v>5.0233614801774165</v>
      </c>
      <c r="M24" s="7">
        <f>L$24*(1+Popn!T$7)</f>
        <v>5.0656686857313478</v>
      </c>
      <c r="N24" s="7">
        <f>M$24*(1+Popn!U$7)</f>
        <v>5.107651075887552</v>
      </c>
      <c r="O24" s="7">
        <f>N$24*(1+Popn!V$7)</f>
        <v>5.1490751895789133</v>
      </c>
      <c r="P24" s="7">
        <f>O$24*(1+Popn!W$7)</f>
        <v>5.1900729830607588</v>
      </c>
      <c r="Q24" s="7">
        <f>P$24*(1+Popn!X$7)</f>
        <v>5.2303805438224344</v>
      </c>
      <c r="R24" s="7">
        <f>Q$24*(1+Popn!Y$7)</f>
        <v>5.2700080223451184</v>
      </c>
      <c r="S24" s="7">
        <f>R$24*(1+Popn!Z$7)</f>
        <v>5.3085697003440107</v>
      </c>
      <c r="T24" s="7">
        <f>S$24*(1+Popn!AA$7)</f>
        <v>5.3462584369615129</v>
      </c>
      <c r="U24" s="7">
        <f>T$24*(1+Popn!AB$7)</f>
        <v>5.3830031788293704</v>
      </c>
      <c r="V24" s="7">
        <f>U$24*(1+Popn!AC$7)</f>
        <v>5.4187024211357953</v>
      </c>
      <c r="W24" s="7">
        <f>V$24*(1+Popn!AD$7)</f>
        <v>5.4531430037760273</v>
      </c>
      <c r="X24" s="7">
        <f>W$24*(1+Popn!AE$7)</f>
        <v>5.4867715479219417</v>
      </c>
      <c r="Y24" s="7">
        <f>X$24*(1+Popn!AF$7)</f>
        <v>5.5193241410628859</v>
      </c>
      <c r="Z24" s="7">
        <f>Y$24*(1+Popn!AG$7)</f>
        <v>5.5509631908977237</v>
      </c>
      <c r="AA24" s="7">
        <f>Z$24*(1+Popn!AH$7)</f>
        <v>5.5819526099371073</v>
      </c>
      <c r="AB24" s="7">
        <f>AA$24*(1+Popn!AI$7)</f>
        <v>5.6118660779715208</v>
      </c>
      <c r="AC24" s="7">
        <f>AB$24*(1+Popn!AJ$7)</f>
        <v>5.6410487113610479</v>
      </c>
      <c r="AD24" s="7">
        <f>AC$24*(1+Popn!AK$7)</f>
        <v>5.6693787043315433</v>
      </c>
      <c r="AE24" s="7">
        <f>AD$24*(1+Popn!AL$7)</f>
        <v>5.6970286150630471</v>
      </c>
      <c r="AF24" s="7">
        <f>AE$24*(1+Popn!AM$7)</f>
        <v>5.7238969387437697</v>
      </c>
      <c r="AG24" s="7">
        <f>AF$24*(1+Popn!AN$7)</f>
        <v>5.7500953306666824</v>
      </c>
      <c r="AH24" s="7">
        <f>AG$24*(1+Popn!AO$7)</f>
        <v>5.7756643927564983</v>
      </c>
      <c r="AI24" s="7">
        <f>AH$24*(1+Popn!AP$7)</f>
        <v>5.8003706639461026</v>
      </c>
      <c r="AJ24" s="7">
        <f>AI$24*(1+Popn!AQ$7)</f>
        <v>5.8243359500096421</v>
      </c>
      <c r="AK24" s="7">
        <f>AJ$24*(1+Popn!AR$7)</f>
        <v>5.8478140129765919</v>
      </c>
      <c r="AL24" s="7">
        <f>AK$24*(1+Popn!AS$7)</f>
        <v>5.8706728965916239</v>
      </c>
      <c r="AM24" s="7">
        <f>AL$24*(1+Popn!AT$7)</f>
        <v>5.8928415474864861</v>
      </c>
      <c r="AN24" s="7">
        <f>AM$24*(1+Popn!AU$7)</f>
        <v>5.9146549315400838</v>
      </c>
      <c r="AO24" s="7">
        <f>AN$24*(1+Popn!AV$7)</f>
        <v>5.9359607915347326</v>
      </c>
      <c r="AP24" s="7">
        <f>AO$24*(1+Popn!AW$7)</f>
        <v>5.9570230399810873</v>
      </c>
      <c r="AQ24" s="7">
        <f>AP$24*(1+Popn!AX$7)</f>
        <v>5.9777706235108941</v>
      </c>
      <c r="AR24" s="7">
        <f>AQ$24*(1+Popn!AY$7)</f>
        <v>5.9983050469359425</v>
      </c>
      <c r="AS24" s="7">
        <f>AR$24*(1+Popn!AZ$7)</f>
        <v>6.0186466112185908</v>
      </c>
      <c r="AT24" s="7">
        <f>AS$24*(1+Popn!BA$7)</f>
        <v>6.0390592288694913</v>
      </c>
      <c r="AU24" s="7">
        <f>AT$24*(1+Popn!BB$7)</f>
        <v>6.0594413950768553</v>
      </c>
      <c r="AV24" s="7">
        <f>AU$24*(1+Popn!BC$7)</f>
        <v>6.0797119059912506</v>
      </c>
      <c r="AW24" s="7">
        <f>AV$24*(1+Popn!BD$7)</f>
        <v>6.1001245236421511</v>
      </c>
    </row>
    <row r="25" spans="1:49" x14ac:dyDescent="0.2">
      <c r="A25" s="4" t="str">
        <f>$A$13</f>
        <v>Annual percentage growth</v>
      </c>
      <c r="D25" s="21"/>
      <c r="E25" s="20">
        <f t="shared" ref="E25:I25" si="15">E$24/D$24-1</f>
        <v>2.1027269740444554E-2</v>
      </c>
      <c r="F25" s="20">
        <f t="shared" si="15"/>
        <v>1.9221280703636046E-2</v>
      </c>
      <c r="G25" s="20">
        <f t="shared" si="15"/>
        <v>1.206036496811258E-2</v>
      </c>
      <c r="H25" s="20">
        <f t="shared" si="15"/>
        <v>9.1298560851844623E-3</v>
      </c>
      <c r="I25" s="20">
        <f t="shared" si="15"/>
        <v>8.8205593223831258E-3</v>
      </c>
      <c r="J25" s="14">
        <f>J$24/I$24-1</f>
        <v>8.7568143692211553E-3</v>
      </c>
      <c r="K25" s="14">
        <f t="shared" ref="K25:AV25" si="16">K$24/J$24-1</f>
        <v>8.6540754322925739E-3</v>
      </c>
      <c r="L25" s="14">
        <f t="shared" si="16"/>
        <v>8.5655592374755951E-3</v>
      </c>
      <c r="M25" s="14">
        <f t="shared" si="16"/>
        <v>8.4220906102177029E-3</v>
      </c>
      <c r="N25" s="14">
        <f t="shared" si="16"/>
        <v>8.2876304710683968E-3</v>
      </c>
      <c r="O25" s="14">
        <f t="shared" si="16"/>
        <v>8.1102082103685635E-3</v>
      </c>
      <c r="P25" s="14">
        <f t="shared" si="16"/>
        <v>7.962166403166826E-3</v>
      </c>
      <c r="Q25" s="14">
        <f t="shared" si="16"/>
        <v>7.7662801454296826E-3</v>
      </c>
      <c r="R25" s="14">
        <f t="shared" si="16"/>
        <v>7.576404468215614E-3</v>
      </c>
      <c r="S25" s="14">
        <f t="shared" si="16"/>
        <v>7.3171953126804912E-3</v>
      </c>
      <c r="T25" s="14">
        <f t="shared" si="16"/>
        <v>7.0996028581973292E-3</v>
      </c>
      <c r="U25" s="14">
        <f t="shared" si="16"/>
        <v>6.8729827226123863E-3</v>
      </c>
      <c r="V25" s="14">
        <f t="shared" si="16"/>
        <v>6.6318449238196298E-3</v>
      </c>
      <c r="W25" s="14">
        <f t="shared" si="16"/>
        <v>6.3558726727446224E-3</v>
      </c>
      <c r="X25" s="14">
        <f t="shared" si="16"/>
        <v>6.1668186810117653E-3</v>
      </c>
      <c r="Y25" s="14">
        <f t="shared" si="16"/>
        <v>5.932923005200319E-3</v>
      </c>
      <c r="Z25" s="14">
        <f t="shared" si="16"/>
        <v>5.732413793103408E-3</v>
      </c>
      <c r="AA25" s="14">
        <f t="shared" si="16"/>
        <v>5.5827102385039851E-3</v>
      </c>
      <c r="AB25" s="14">
        <f t="shared" si="16"/>
        <v>5.3589613034623618E-3</v>
      </c>
      <c r="AC25" s="14">
        <f t="shared" si="16"/>
        <v>5.2001656818003728E-3</v>
      </c>
      <c r="AD25" s="14">
        <f t="shared" si="16"/>
        <v>5.0221145783475585E-3</v>
      </c>
      <c r="AE25" s="14">
        <f t="shared" si="16"/>
        <v>4.8770618745892502E-3</v>
      </c>
      <c r="AF25" s="14">
        <f t="shared" si="16"/>
        <v>4.7161995306961302E-3</v>
      </c>
      <c r="AG25" s="14">
        <f t="shared" si="16"/>
        <v>4.5770202020203321E-3</v>
      </c>
      <c r="AH25" s="14">
        <f t="shared" si="16"/>
        <v>4.4467196836632805E-3</v>
      </c>
      <c r="AI25" s="14">
        <f t="shared" si="16"/>
        <v>4.2776500692438546E-3</v>
      </c>
      <c r="AJ25" s="14">
        <f t="shared" si="16"/>
        <v>4.1316818272498779E-3</v>
      </c>
      <c r="AK25" s="14">
        <f t="shared" si="16"/>
        <v>4.0310282869089331E-3</v>
      </c>
      <c r="AL25" s="14">
        <f t="shared" si="16"/>
        <v>3.9089621462493618E-3</v>
      </c>
      <c r="AM25" s="14">
        <f t="shared" si="16"/>
        <v>3.7761686412016715E-3</v>
      </c>
      <c r="AN25" s="14">
        <f t="shared" si="16"/>
        <v>3.701674969166957E-3</v>
      </c>
      <c r="AO25" s="14">
        <f t="shared" si="16"/>
        <v>3.6022152164845167E-3</v>
      </c>
      <c r="AP25" s="14">
        <f t="shared" si="16"/>
        <v>3.5482458840347952E-3</v>
      </c>
      <c r="AQ25" s="14">
        <f t="shared" si="16"/>
        <v>3.4828778385709303E-3</v>
      </c>
      <c r="AR25" s="14">
        <f t="shared" si="16"/>
        <v>3.4351307064686143E-3</v>
      </c>
      <c r="AS25" s="14">
        <f t="shared" si="16"/>
        <v>3.3912187065310295E-3</v>
      </c>
      <c r="AT25" s="14">
        <f t="shared" si="16"/>
        <v>3.3915627498135592E-3</v>
      </c>
      <c r="AU25" s="14">
        <f t="shared" si="16"/>
        <v>3.3750565170693747E-3</v>
      </c>
      <c r="AV25" s="14">
        <f t="shared" si="16"/>
        <v>3.3452771621595989E-3</v>
      </c>
      <c r="AW25" s="14">
        <f>AW$24/AV$24-1</f>
        <v>3.3574975206942526E-3</v>
      </c>
    </row>
    <row r="26" spans="1:49" ht="15" x14ac:dyDescent="0.25">
      <c r="A26" s="2" t="s">
        <v>115</v>
      </c>
      <c r="B26" s="4" t="str">
        <f>$B$12</f>
        <v>From Economic</v>
      </c>
      <c r="D26" s="21">
        <f>Economic!M$11</f>
        <v>5.7500000000000002E-2</v>
      </c>
      <c r="E26" s="20">
        <f>Economic!N$11</f>
        <v>5.62E-2</v>
      </c>
      <c r="F26" s="20">
        <f>Economic!O$11</f>
        <v>5.6799999999999996E-2</v>
      </c>
      <c r="G26" s="20">
        <f>Economic!P$11</f>
        <v>5.28E-2</v>
      </c>
      <c r="H26" s="20">
        <f>Economic!Q$11</f>
        <v>4.7800000000000002E-2</v>
      </c>
      <c r="I26" s="20">
        <f>Economic!R$11</f>
        <v>4.5599999999999995E-2</v>
      </c>
      <c r="J26" s="14">
        <f ca="1">I$26+MIN(OFFSET(Assumptions!$B$20,0,$C$1),ABS(OFFSET(Assumptions!$B$13,0,$C$1)-I$26))*SIGN(OFFSET(Assumptions!$B$13,0,$C$1)-I$26)</f>
        <v>4.4999999999999998E-2</v>
      </c>
      <c r="K26" s="14">
        <f ca="1">J$26+MIN(OFFSET(Assumptions!$B$20,0,$C$1),ABS(OFFSET(Assumptions!$B$13,0,$C$1)-J$26))*SIGN(OFFSET(Assumptions!$B$13,0,$C$1)-J$26)</f>
        <v>4.4999999999999998E-2</v>
      </c>
      <c r="L26" s="14">
        <f ca="1">K$26+MIN(OFFSET(Assumptions!$B$20,0,$C$1),ABS(OFFSET(Assumptions!$B$13,0,$C$1)-K$26))*SIGN(OFFSET(Assumptions!$B$13,0,$C$1)-K$26)</f>
        <v>4.4999999999999998E-2</v>
      </c>
      <c r="M26" s="14">
        <f ca="1">L$26+MIN(OFFSET(Assumptions!$B$20,0,$C$1),ABS(OFFSET(Assumptions!$B$13,0,$C$1)-L$26))*SIGN(OFFSET(Assumptions!$B$13,0,$C$1)-L$26)</f>
        <v>4.4999999999999998E-2</v>
      </c>
      <c r="N26" s="14">
        <f ca="1">M$26+MIN(OFFSET(Assumptions!$B$20,0,$C$1),ABS(OFFSET(Assumptions!$B$13,0,$C$1)-M$26))*SIGN(OFFSET(Assumptions!$B$13,0,$C$1)-M$26)</f>
        <v>4.4999999999999998E-2</v>
      </c>
      <c r="O26" s="14">
        <f ca="1">N$26+MIN(OFFSET(Assumptions!$B$20,0,$C$1),ABS(OFFSET(Assumptions!$B$13,0,$C$1)-N$26))*SIGN(OFFSET(Assumptions!$B$13,0,$C$1)-N$26)</f>
        <v>4.4999999999999998E-2</v>
      </c>
      <c r="P26" s="14">
        <f ca="1">O$26+MIN(OFFSET(Assumptions!$B$20,0,$C$1),ABS(OFFSET(Assumptions!$B$13,0,$C$1)-O$26))*SIGN(OFFSET(Assumptions!$B$13,0,$C$1)-O$26)</f>
        <v>4.4999999999999998E-2</v>
      </c>
      <c r="Q26" s="14">
        <f ca="1">P$26+MIN(OFFSET(Assumptions!$B$20,0,$C$1),ABS(OFFSET(Assumptions!$B$13,0,$C$1)-P$26))*SIGN(OFFSET(Assumptions!$B$13,0,$C$1)-P$26)</f>
        <v>4.4999999999999998E-2</v>
      </c>
      <c r="R26" s="14">
        <f ca="1">Q$26+MIN(OFFSET(Assumptions!$B$20,0,$C$1),ABS(OFFSET(Assumptions!$B$13,0,$C$1)-Q$26))*SIGN(OFFSET(Assumptions!$B$13,0,$C$1)-Q$26)</f>
        <v>4.4999999999999998E-2</v>
      </c>
      <c r="S26" s="14">
        <f ca="1">R$26+MIN(OFFSET(Assumptions!$B$20,0,$C$1),ABS(OFFSET(Assumptions!$B$13,0,$C$1)-R$26))*SIGN(OFFSET(Assumptions!$B$13,0,$C$1)-R$26)</f>
        <v>4.4999999999999998E-2</v>
      </c>
      <c r="T26" s="14">
        <f ca="1">S$26+MIN(OFFSET(Assumptions!$B$20,0,$C$1),ABS(OFFSET(Assumptions!$B$13,0,$C$1)-S$26))*SIGN(OFFSET(Assumptions!$B$13,0,$C$1)-S$26)</f>
        <v>4.4999999999999998E-2</v>
      </c>
      <c r="U26" s="14">
        <f ca="1">T$26+MIN(OFFSET(Assumptions!$B$20,0,$C$1),ABS(OFFSET(Assumptions!$B$13,0,$C$1)-T$26))*SIGN(OFFSET(Assumptions!$B$13,0,$C$1)-T$26)</f>
        <v>4.4999999999999998E-2</v>
      </c>
      <c r="V26" s="14">
        <f ca="1">U$26+MIN(OFFSET(Assumptions!$B$20,0,$C$1),ABS(OFFSET(Assumptions!$B$13,0,$C$1)-U$26))*SIGN(OFFSET(Assumptions!$B$13,0,$C$1)-U$26)</f>
        <v>4.4999999999999998E-2</v>
      </c>
      <c r="W26" s="14">
        <f ca="1">V$26+MIN(OFFSET(Assumptions!$B$20,0,$C$1),ABS(OFFSET(Assumptions!$B$13,0,$C$1)-V$26))*SIGN(OFFSET(Assumptions!$B$13,0,$C$1)-V$26)</f>
        <v>4.4999999999999998E-2</v>
      </c>
      <c r="X26" s="14">
        <f ca="1">W$26+MIN(OFFSET(Assumptions!$B$20,0,$C$1),ABS(OFFSET(Assumptions!$B$13,0,$C$1)-W$26))*SIGN(OFFSET(Assumptions!$B$13,0,$C$1)-W$26)</f>
        <v>4.4999999999999998E-2</v>
      </c>
      <c r="Y26" s="14">
        <f ca="1">X$26+MIN(OFFSET(Assumptions!$B$20,0,$C$1),ABS(OFFSET(Assumptions!$B$13,0,$C$1)-X$26))*SIGN(OFFSET(Assumptions!$B$13,0,$C$1)-X$26)</f>
        <v>4.4999999999999998E-2</v>
      </c>
      <c r="Z26" s="14">
        <f ca="1">Y$26+MIN(OFFSET(Assumptions!$B$20,0,$C$1),ABS(OFFSET(Assumptions!$B$13,0,$C$1)-Y$26))*SIGN(OFFSET(Assumptions!$B$13,0,$C$1)-Y$26)</f>
        <v>4.4999999999999998E-2</v>
      </c>
      <c r="AA26" s="14">
        <f ca="1">Z$26+MIN(OFFSET(Assumptions!$B$20,0,$C$1),ABS(OFFSET(Assumptions!$B$13,0,$C$1)-Z$26))*SIGN(OFFSET(Assumptions!$B$13,0,$C$1)-Z$26)</f>
        <v>4.4999999999999998E-2</v>
      </c>
      <c r="AB26" s="14">
        <f ca="1">AA$26+MIN(OFFSET(Assumptions!$B$20,0,$C$1),ABS(OFFSET(Assumptions!$B$13,0,$C$1)-AA$26))*SIGN(OFFSET(Assumptions!$B$13,0,$C$1)-AA$26)</f>
        <v>4.4999999999999998E-2</v>
      </c>
      <c r="AC26" s="14">
        <f ca="1">AB$26+MIN(OFFSET(Assumptions!$B$20,0,$C$1),ABS(OFFSET(Assumptions!$B$13,0,$C$1)-AB$26))*SIGN(OFFSET(Assumptions!$B$13,0,$C$1)-AB$26)</f>
        <v>4.4999999999999998E-2</v>
      </c>
      <c r="AD26" s="14">
        <f ca="1">AC$26+MIN(OFFSET(Assumptions!$B$20,0,$C$1),ABS(OFFSET(Assumptions!$B$13,0,$C$1)-AC$26))*SIGN(OFFSET(Assumptions!$B$13,0,$C$1)-AC$26)</f>
        <v>4.4999999999999998E-2</v>
      </c>
      <c r="AE26" s="14">
        <f ca="1">AD$26+MIN(OFFSET(Assumptions!$B$20,0,$C$1),ABS(OFFSET(Assumptions!$B$13,0,$C$1)-AD$26))*SIGN(OFFSET(Assumptions!$B$13,0,$C$1)-AD$26)</f>
        <v>4.4999999999999998E-2</v>
      </c>
      <c r="AF26" s="14">
        <f ca="1">AE$26+MIN(OFFSET(Assumptions!$B$20,0,$C$1),ABS(OFFSET(Assumptions!$B$13,0,$C$1)-AE$26))*SIGN(OFFSET(Assumptions!$B$13,0,$C$1)-AE$26)</f>
        <v>4.4999999999999998E-2</v>
      </c>
      <c r="AG26" s="14">
        <f ca="1">AF$26+MIN(OFFSET(Assumptions!$B$20,0,$C$1),ABS(OFFSET(Assumptions!$B$13,0,$C$1)-AF$26))*SIGN(OFFSET(Assumptions!$B$13,0,$C$1)-AF$26)</f>
        <v>4.4999999999999998E-2</v>
      </c>
      <c r="AH26" s="14">
        <f ca="1">AG$26+MIN(OFFSET(Assumptions!$B$20,0,$C$1),ABS(OFFSET(Assumptions!$B$13,0,$C$1)-AG$26))*SIGN(OFFSET(Assumptions!$B$13,0,$C$1)-AG$26)</f>
        <v>4.4999999999999998E-2</v>
      </c>
      <c r="AI26" s="14">
        <f ca="1">AH$26+MIN(OFFSET(Assumptions!$B$20,0,$C$1),ABS(OFFSET(Assumptions!$B$13,0,$C$1)-AH$26))*SIGN(OFFSET(Assumptions!$B$13,0,$C$1)-AH$26)</f>
        <v>4.4999999999999998E-2</v>
      </c>
      <c r="AJ26" s="14">
        <f ca="1">AI$26+MIN(OFFSET(Assumptions!$B$20,0,$C$1),ABS(OFFSET(Assumptions!$B$13,0,$C$1)-AI$26))*SIGN(OFFSET(Assumptions!$B$13,0,$C$1)-AI$26)</f>
        <v>4.4999999999999998E-2</v>
      </c>
      <c r="AK26" s="14">
        <f ca="1">AJ$26+MIN(OFFSET(Assumptions!$B$20,0,$C$1),ABS(OFFSET(Assumptions!$B$13,0,$C$1)-AJ$26))*SIGN(OFFSET(Assumptions!$B$13,0,$C$1)-AJ$26)</f>
        <v>4.4999999999999998E-2</v>
      </c>
      <c r="AL26" s="14">
        <f ca="1">AK$26+MIN(OFFSET(Assumptions!$B$20,0,$C$1),ABS(OFFSET(Assumptions!$B$13,0,$C$1)-AK$26))*SIGN(OFFSET(Assumptions!$B$13,0,$C$1)-AK$26)</f>
        <v>4.4999999999999998E-2</v>
      </c>
      <c r="AM26" s="14">
        <f ca="1">AL$26+MIN(OFFSET(Assumptions!$B$20,0,$C$1),ABS(OFFSET(Assumptions!$B$13,0,$C$1)-AL$26))*SIGN(OFFSET(Assumptions!$B$13,0,$C$1)-AL$26)</f>
        <v>4.4999999999999998E-2</v>
      </c>
      <c r="AN26" s="14">
        <f ca="1">AM$26+MIN(OFFSET(Assumptions!$B$20,0,$C$1),ABS(OFFSET(Assumptions!$B$13,0,$C$1)-AM$26))*SIGN(OFFSET(Assumptions!$B$13,0,$C$1)-AM$26)</f>
        <v>4.4999999999999998E-2</v>
      </c>
      <c r="AO26" s="14">
        <f ca="1">AN$26+MIN(OFFSET(Assumptions!$B$20,0,$C$1),ABS(OFFSET(Assumptions!$B$13,0,$C$1)-AN$26))*SIGN(OFFSET(Assumptions!$B$13,0,$C$1)-AN$26)</f>
        <v>4.4999999999999998E-2</v>
      </c>
      <c r="AP26" s="14">
        <f ca="1">AO$26+MIN(OFFSET(Assumptions!$B$20,0,$C$1),ABS(OFFSET(Assumptions!$B$13,0,$C$1)-AO$26))*SIGN(OFFSET(Assumptions!$B$13,0,$C$1)-AO$26)</f>
        <v>4.4999999999999998E-2</v>
      </c>
      <c r="AQ26" s="14">
        <f ca="1">AP$26+MIN(OFFSET(Assumptions!$B$20,0,$C$1),ABS(OFFSET(Assumptions!$B$13,0,$C$1)-AP$26))*SIGN(OFFSET(Assumptions!$B$13,0,$C$1)-AP$26)</f>
        <v>4.4999999999999998E-2</v>
      </c>
      <c r="AR26" s="14">
        <f ca="1">AQ$26+MIN(OFFSET(Assumptions!$B$20,0,$C$1),ABS(OFFSET(Assumptions!$B$13,0,$C$1)-AQ$26))*SIGN(OFFSET(Assumptions!$B$13,0,$C$1)-AQ$26)</f>
        <v>4.4999999999999998E-2</v>
      </c>
      <c r="AS26" s="14">
        <f ca="1">AR$26+MIN(OFFSET(Assumptions!$B$20,0,$C$1),ABS(OFFSET(Assumptions!$B$13,0,$C$1)-AR$26))*SIGN(OFFSET(Assumptions!$B$13,0,$C$1)-AR$26)</f>
        <v>4.4999999999999998E-2</v>
      </c>
      <c r="AT26" s="14">
        <f ca="1">AS$26+MIN(OFFSET(Assumptions!$B$20,0,$C$1),ABS(OFFSET(Assumptions!$B$13,0,$C$1)-AS$26))*SIGN(OFFSET(Assumptions!$B$13,0,$C$1)-AS$26)</f>
        <v>4.4999999999999998E-2</v>
      </c>
      <c r="AU26" s="14">
        <f ca="1">AT$26+MIN(OFFSET(Assumptions!$B$20,0,$C$1),ABS(OFFSET(Assumptions!$B$13,0,$C$1)-AT$26))*SIGN(OFFSET(Assumptions!$B$13,0,$C$1)-AT$26)</f>
        <v>4.4999999999999998E-2</v>
      </c>
      <c r="AV26" s="14">
        <f ca="1">AU$26+MIN(OFFSET(Assumptions!$B$20,0,$C$1),ABS(OFFSET(Assumptions!$B$13,0,$C$1)-AU$26))*SIGN(OFFSET(Assumptions!$B$13,0,$C$1)-AU$26)</f>
        <v>4.4999999999999998E-2</v>
      </c>
      <c r="AW26" s="14">
        <f ca="1">AV$26+MIN(OFFSET(Assumptions!$B$20,0,$C$1),ABS(OFFSET(Assumptions!$B$13,0,$C$1)-AV$26))*SIGN(OFFSET(Assumptions!$B$13,0,$C$1)-AV$26)</f>
        <v>4.4999999999999998E-2</v>
      </c>
    </row>
    <row r="27" spans="1:49" ht="15" x14ac:dyDescent="0.25">
      <c r="A27" s="2" t="s">
        <v>118</v>
      </c>
      <c r="B27" s="4" t="str">
        <f>$B$12</f>
        <v>From Economic</v>
      </c>
      <c r="D27" s="24">
        <f>Economic!M$12</f>
        <v>33.22</v>
      </c>
      <c r="E27" s="25">
        <f>Economic!N$12</f>
        <v>33.36</v>
      </c>
      <c r="F27" s="25">
        <f>Economic!O$12</f>
        <v>33.270000000000003</v>
      </c>
      <c r="G27" s="25">
        <f>Economic!P$12</f>
        <v>33.19</v>
      </c>
      <c r="H27" s="25">
        <f>Economic!Q$12</f>
        <v>33.17</v>
      </c>
      <c r="I27" s="25">
        <f>Economic!R$12</f>
        <v>33.17</v>
      </c>
      <c r="J27" s="13">
        <f t="shared" ref="J27:AU27" ca="1" si="17">I$27*J$28/I$28</f>
        <v>33.119420555047277</v>
      </c>
      <c r="K27" s="13">
        <f t="shared" ca="1" si="17"/>
        <v>33.078956999085094</v>
      </c>
      <c r="L27" s="13">
        <f t="shared" ca="1" si="17"/>
        <v>33.078956999085094</v>
      </c>
      <c r="M27" s="13">
        <f t="shared" ca="1" si="17"/>
        <v>33.078956999085094</v>
      </c>
      <c r="N27" s="13">
        <f t="shared" ca="1" si="17"/>
        <v>33.078956999085094</v>
      </c>
      <c r="O27" s="13">
        <f t="shared" ca="1" si="17"/>
        <v>33.078956999085094</v>
      </c>
      <c r="P27" s="13">
        <f t="shared" ca="1" si="17"/>
        <v>33.078956999085094</v>
      </c>
      <c r="Q27" s="13">
        <f t="shared" ca="1" si="17"/>
        <v>33.078956999085094</v>
      </c>
      <c r="R27" s="13">
        <f t="shared" ca="1" si="17"/>
        <v>33.078956999085094</v>
      </c>
      <c r="S27" s="13">
        <f t="shared" ca="1" si="17"/>
        <v>33.078956999085094</v>
      </c>
      <c r="T27" s="13">
        <f t="shared" ca="1" si="17"/>
        <v>33.078956999085094</v>
      </c>
      <c r="U27" s="13">
        <f t="shared" ca="1" si="17"/>
        <v>33.078956999085094</v>
      </c>
      <c r="V27" s="13">
        <f t="shared" ca="1" si="17"/>
        <v>33.078956999085094</v>
      </c>
      <c r="W27" s="13">
        <f t="shared" ca="1" si="17"/>
        <v>33.078956999085094</v>
      </c>
      <c r="X27" s="13">
        <f t="shared" ca="1" si="17"/>
        <v>33.078956999085094</v>
      </c>
      <c r="Y27" s="13">
        <f t="shared" ca="1" si="17"/>
        <v>33.078956999085094</v>
      </c>
      <c r="Z27" s="13">
        <f t="shared" ca="1" si="17"/>
        <v>33.078956999085094</v>
      </c>
      <c r="AA27" s="13">
        <f t="shared" ca="1" si="17"/>
        <v>33.078956999085094</v>
      </c>
      <c r="AB27" s="13">
        <f t="shared" ca="1" si="17"/>
        <v>33.078956999085094</v>
      </c>
      <c r="AC27" s="13">
        <f t="shared" ca="1" si="17"/>
        <v>33.078956999085094</v>
      </c>
      <c r="AD27" s="13">
        <f t="shared" ca="1" si="17"/>
        <v>33.078956999085094</v>
      </c>
      <c r="AE27" s="13">
        <f t="shared" ca="1" si="17"/>
        <v>33.078956999085094</v>
      </c>
      <c r="AF27" s="13">
        <f t="shared" ca="1" si="17"/>
        <v>33.078956999085094</v>
      </c>
      <c r="AG27" s="13">
        <f t="shared" ca="1" si="17"/>
        <v>33.078956999085094</v>
      </c>
      <c r="AH27" s="13">
        <f t="shared" ca="1" si="17"/>
        <v>33.078956999085094</v>
      </c>
      <c r="AI27" s="13">
        <f t="shared" ca="1" si="17"/>
        <v>33.078956999085094</v>
      </c>
      <c r="AJ27" s="13">
        <f t="shared" ca="1" si="17"/>
        <v>33.078956999085094</v>
      </c>
      <c r="AK27" s="13">
        <f t="shared" ca="1" si="17"/>
        <v>33.078956999085094</v>
      </c>
      <c r="AL27" s="13">
        <f t="shared" ca="1" si="17"/>
        <v>33.078956999085094</v>
      </c>
      <c r="AM27" s="13">
        <f t="shared" ca="1" si="17"/>
        <v>33.078956999085094</v>
      </c>
      <c r="AN27" s="13">
        <f t="shared" ca="1" si="17"/>
        <v>33.078956999085094</v>
      </c>
      <c r="AO27" s="13">
        <f t="shared" ca="1" si="17"/>
        <v>33.078956999085094</v>
      </c>
      <c r="AP27" s="13">
        <f t="shared" ca="1" si="17"/>
        <v>33.078956999085094</v>
      </c>
      <c r="AQ27" s="13">
        <f t="shared" ca="1" si="17"/>
        <v>33.078956999085094</v>
      </c>
      <c r="AR27" s="13">
        <f t="shared" ca="1" si="17"/>
        <v>33.078956999085094</v>
      </c>
      <c r="AS27" s="13">
        <f t="shared" ca="1" si="17"/>
        <v>33.078956999085094</v>
      </c>
      <c r="AT27" s="13">
        <f t="shared" ca="1" si="17"/>
        <v>33.078956999085094</v>
      </c>
      <c r="AU27" s="13">
        <f t="shared" ca="1" si="17"/>
        <v>33.078956999085094</v>
      </c>
      <c r="AV27" s="13">
        <f ca="1">AU$27*AV$28/AU$28</f>
        <v>33.078956999085094</v>
      </c>
      <c r="AW27" s="13">
        <f ca="1">AV$27*AW$28/AV$28</f>
        <v>33.078956999085094</v>
      </c>
    </row>
    <row r="28" spans="1:49" ht="15" x14ac:dyDescent="0.25">
      <c r="A28" s="2" t="s">
        <v>116</v>
      </c>
      <c r="B28" s="4" t="str">
        <f t="shared" ref="B28:B35" si="18">$B$12</f>
        <v>From Economic</v>
      </c>
      <c r="D28" s="24">
        <f>Economic!M$13</f>
        <v>32.840000000000003</v>
      </c>
      <c r="E28" s="25">
        <f>Economic!N$13</f>
        <v>32.99</v>
      </c>
      <c r="F28" s="25">
        <f>Economic!O$13</f>
        <v>32.89</v>
      </c>
      <c r="G28" s="25">
        <f>Economic!P$13</f>
        <v>32.82</v>
      </c>
      <c r="H28" s="25">
        <f>Economic!Q$13</f>
        <v>32.799999999999997</v>
      </c>
      <c r="I28" s="25">
        <f>Economic!R$13</f>
        <v>32.79</v>
      </c>
      <c r="J28" s="13">
        <f ca="1">I$28+MIN(OFFSET(Assumptions!$B$21,0,$C$1),ABS(OFFSET(Assumptions!$B$14,0,$C$1)-I$28))*SIGN(OFFSET(Assumptions!$B$14,0,$C$1)-I$28)</f>
        <v>32.74</v>
      </c>
      <c r="K28" s="13">
        <f ca="1">J$28+MIN(OFFSET(Assumptions!$B$21,0,$C$1),ABS(OFFSET(Assumptions!$B$14,0,$C$1)-J$28))*SIGN(OFFSET(Assumptions!$B$14,0,$C$1)-J$28)</f>
        <v>32.700000000000003</v>
      </c>
      <c r="L28" s="13">
        <f ca="1">K$28+MIN(OFFSET(Assumptions!$B$21,0,$C$1),ABS(OFFSET(Assumptions!$B$14,0,$C$1)-K$28))*SIGN(OFFSET(Assumptions!$B$14,0,$C$1)-K$28)</f>
        <v>32.700000000000003</v>
      </c>
      <c r="M28" s="13">
        <f ca="1">L$28+MIN(OFFSET(Assumptions!$B$21,0,$C$1),ABS(OFFSET(Assumptions!$B$14,0,$C$1)-L$28))*SIGN(OFFSET(Assumptions!$B$14,0,$C$1)-L$28)</f>
        <v>32.700000000000003</v>
      </c>
      <c r="N28" s="13">
        <f ca="1">M$28+MIN(OFFSET(Assumptions!$B$21,0,$C$1),ABS(OFFSET(Assumptions!$B$14,0,$C$1)-M$28))*SIGN(OFFSET(Assumptions!$B$14,0,$C$1)-M$28)</f>
        <v>32.700000000000003</v>
      </c>
      <c r="O28" s="13">
        <f ca="1">N$28+MIN(OFFSET(Assumptions!$B$21,0,$C$1),ABS(OFFSET(Assumptions!$B$14,0,$C$1)-N$28))*SIGN(OFFSET(Assumptions!$B$14,0,$C$1)-N$28)</f>
        <v>32.700000000000003</v>
      </c>
      <c r="P28" s="13">
        <f ca="1">O$28+MIN(OFFSET(Assumptions!$B$21,0,$C$1),ABS(OFFSET(Assumptions!$B$14,0,$C$1)-O$28))*SIGN(OFFSET(Assumptions!$B$14,0,$C$1)-O$28)</f>
        <v>32.700000000000003</v>
      </c>
      <c r="Q28" s="13">
        <f ca="1">P$28+MIN(OFFSET(Assumptions!$B$21,0,$C$1),ABS(OFFSET(Assumptions!$B$14,0,$C$1)-P$28))*SIGN(OFFSET(Assumptions!$B$14,0,$C$1)-P$28)</f>
        <v>32.700000000000003</v>
      </c>
      <c r="R28" s="13">
        <f ca="1">Q$28+MIN(OFFSET(Assumptions!$B$21,0,$C$1),ABS(OFFSET(Assumptions!$B$14,0,$C$1)-Q$28))*SIGN(OFFSET(Assumptions!$B$14,0,$C$1)-Q$28)</f>
        <v>32.700000000000003</v>
      </c>
      <c r="S28" s="13">
        <f ca="1">R$28+MIN(OFFSET(Assumptions!$B$21,0,$C$1),ABS(OFFSET(Assumptions!$B$14,0,$C$1)-R$28))*SIGN(OFFSET(Assumptions!$B$14,0,$C$1)-R$28)</f>
        <v>32.700000000000003</v>
      </c>
      <c r="T28" s="13">
        <f ca="1">S$28+MIN(OFFSET(Assumptions!$B$21,0,$C$1),ABS(OFFSET(Assumptions!$B$14,0,$C$1)-S$28))*SIGN(OFFSET(Assumptions!$B$14,0,$C$1)-S$28)</f>
        <v>32.700000000000003</v>
      </c>
      <c r="U28" s="13">
        <f ca="1">T$28+MIN(OFFSET(Assumptions!$B$21,0,$C$1),ABS(OFFSET(Assumptions!$B$14,0,$C$1)-T$28))*SIGN(OFFSET(Assumptions!$B$14,0,$C$1)-T$28)</f>
        <v>32.700000000000003</v>
      </c>
      <c r="V28" s="13">
        <f ca="1">U$28+MIN(OFFSET(Assumptions!$B$21,0,$C$1),ABS(OFFSET(Assumptions!$B$14,0,$C$1)-U$28))*SIGN(OFFSET(Assumptions!$B$14,0,$C$1)-U$28)</f>
        <v>32.700000000000003</v>
      </c>
      <c r="W28" s="13">
        <f ca="1">V$28+MIN(OFFSET(Assumptions!$B$21,0,$C$1),ABS(OFFSET(Assumptions!$B$14,0,$C$1)-V$28))*SIGN(OFFSET(Assumptions!$B$14,0,$C$1)-V$28)</f>
        <v>32.700000000000003</v>
      </c>
      <c r="X28" s="13">
        <f ca="1">W$28+MIN(OFFSET(Assumptions!$B$21,0,$C$1),ABS(OFFSET(Assumptions!$B$14,0,$C$1)-W$28))*SIGN(OFFSET(Assumptions!$B$14,0,$C$1)-W$28)</f>
        <v>32.700000000000003</v>
      </c>
      <c r="Y28" s="13">
        <f ca="1">X$28+MIN(OFFSET(Assumptions!$B$21,0,$C$1),ABS(OFFSET(Assumptions!$B$14,0,$C$1)-X$28))*SIGN(OFFSET(Assumptions!$B$14,0,$C$1)-X$28)</f>
        <v>32.700000000000003</v>
      </c>
      <c r="Z28" s="13">
        <f ca="1">Y$28+MIN(OFFSET(Assumptions!$B$21,0,$C$1),ABS(OFFSET(Assumptions!$B$14,0,$C$1)-Y$28))*SIGN(OFFSET(Assumptions!$B$14,0,$C$1)-Y$28)</f>
        <v>32.700000000000003</v>
      </c>
      <c r="AA28" s="13">
        <f ca="1">Z$28+MIN(OFFSET(Assumptions!$B$21,0,$C$1),ABS(OFFSET(Assumptions!$B$14,0,$C$1)-Z$28))*SIGN(OFFSET(Assumptions!$B$14,0,$C$1)-Z$28)</f>
        <v>32.700000000000003</v>
      </c>
      <c r="AB28" s="13">
        <f ca="1">AA$28+MIN(OFFSET(Assumptions!$B$21,0,$C$1),ABS(OFFSET(Assumptions!$B$14,0,$C$1)-AA$28))*SIGN(OFFSET(Assumptions!$B$14,0,$C$1)-AA$28)</f>
        <v>32.700000000000003</v>
      </c>
      <c r="AC28" s="13">
        <f ca="1">AB$28+MIN(OFFSET(Assumptions!$B$21,0,$C$1),ABS(OFFSET(Assumptions!$B$14,0,$C$1)-AB$28))*SIGN(OFFSET(Assumptions!$B$14,0,$C$1)-AB$28)</f>
        <v>32.700000000000003</v>
      </c>
      <c r="AD28" s="13">
        <f ca="1">AC$28+MIN(OFFSET(Assumptions!$B$21,0,$C$1),ABS(OFFSET(Assumptions!$B$14,0,$C$1)-AC$28))*SIGN(OFFSET(Assumptions!$B$14,0,$C$1)-AC$28)</f>
        <v>32.700000000000003</v>
      </c>
      <c r="AE28" s="13">
        <f ca="1">AD$28+MIN(OFFSET(Assumptions!$B$21,0,$C$1),ABS(OFFSET(Assumptions!$B$14,0,$C$1)-AD$28))*SIGN(OFFSET(Assumptions!$B$14,0,$C$1)-AD$28)</f>
        <v>32.700000000000003</v>
      </c>
      <c r="AF28" s="13">
        <f ca="1">AE$28+MIN(OFFSET(Assumptions!$B$21,0,$C$1),ABS(OFFSET(Assumptions!$B$14,0,$C$1)-AE$28))*SIGN(OFFSET(Assumptions!$B$14,0,$C$1)-AE$28)</f>
        <v>32.700000000000003</v>
      </c>
      <c r="AG28" s="13">
        <f ca="1">AF$28+MIN(OFFSET(Assumptions!$B$21,0,$C$1),ABS(OFFSET(Assumptions!$B$14,0,$C$1)-AF$28))*SIGN(OFFSET(Assumptions!$B$14,0,$C$1)-AF$28)</f>
        <v>32.700000000000003</v>
      </c>
      <c r="AH28" s="13">
        <f ca="1">AG$28+MIN(OFFSET(Assumptions!$B$21,0,$C$1),ABS(OFFSET(Assumptions!$B$14,0,$C$1)-AG$28))*SIGN(OFFSET(Assumptions!$B$14,0,$C$1)-AG$28)</f>
        <v>32.700000000000003</v>
      </c>
      <c r="AI28" s="13">
        <f ca="1">AH$28+MIN(OFFSET(Assumptions!$B$21,0,$C$1),ABS(OFFSET(Assumptions!$B$14,0,$C$1)-AH$28))*SIGN(OFFSET(Assumptions!$B$14,0,$C$1)-AH$28)</f>
        <v>32.700000000000003</v>
      </c>
      <c r="AJ28" s="13">
        <f ca="1">AI$28+MIN(OFFSET(Assumptions!$B$21,0,$C$1),ABS(OFFSET(Assumptions!$B$14,0,$C$1)-AI$28))*SIGN(OFFSET(Assumptions!$B$14,0,$C$1)-AI$28)</f>
        <v>32.700000000000003</v>
      </c>
      <c r="AK28" s="13">
        <f ca="1">AJ$28+MIN(OFFSET(Assumptions!$B$21,0,$C$1),ABS(OFFSET(Assumptions!$B$14,0,$C$1)-AJ$28))*SIGN(OFFSET(Assumptions!$B$14,0,$C$1)-AJ$28)</f>
        <v>32.700000000000003</v>
      </c>
      <c r="AL28" s="13">
        <f ca="1">AK$28+MIN(OFFSET(Assumptions!$B$21,0,$C$1),ABS(OFFSET(Assumptions!$B$14,0,$C$1)-AK$28))*SIGN(OFFSET(Assumptions!$B$14,0,$C$1)-AK$28)</f>
        <v>32.700000000000003</v>
      </c>
      <c r="AM28" s="13">
        <f ca="1">AL$28+MIN(OFFSET(Assumptions!$B$21,0,$C$1),ABS(OFFSET(Assumptions!$B$14,0,$C$1)-AL$28))*SIGN(OFFSET(Assumptions!$B$14,0,$C$1)-AL$28)</f>
        <v>32.700000000000003</v>
      </c>
      <c r="AN28" s="13">
        <f ca="1">AM$28+MIN(OFFSET(Assumptions!$B$21,0,$C$1),ABS(OFFSET(Assumptions!$B$14,0,$C$1)-AM$28))*SIGN(OFFSET(Assumptions!$B$14,0,$C$1)-AM$28)</f>
        <v>32.700000000000003</v>
      </c>
      <c r="AO28" s="13">
        <f ca="1">AN$28+MIN(OFFSET(Assumptions!$B$21,0,$C$1),ABS(OFFSET(Assumptions!$B$14,0,$C$1)-AN$28))*SIGN(OFFSET(Assumptions!$B$14,0,$C$1)-AN$28)</f>
        <v>32.700000000000003</v>
      </c>
      <c r="AP28" s="13">
        <f ca="1">AO$28+MIN(OFFSET(Assumptions!$B$21,0,$C$1),ABS(OFFSET(Assumptions!$B$14,0,$C$1)-AO$28))*SIGN(OFFSET(Assumptions!$B$14,0,$C$1)-AO$28)</f>
        <v>32.700000000000003</v>
      </c>
      <c r="AQ28" s="13">
        <f ca="1">AP$28+MIN(OFFSET(Assumptions!$B$21,0,$C$1),ABS(OFFSET(Assumptions!$B$14,0,$C$1)-AP$28))*SIGN(OFFSET(Assumptions!$B$14,0,$C$1)-AP$28)</f>
        <v>32.700000000000003</v>
      </c>
      <c r="AR28" s="13">
        <f ca="1">AQ$28+MIN(OFFSET(Assumptions!$B$21,0,$C$1),ABS(OFFSET(Assumptions!$B$14,0,$C$1)-AQ$28))*SIGN(OFFSET(Assumptions!$B$14,0,$C$1)-AQ$28)</f>
        <v>32.700000000000003</v>
      </c>
      <c r="AS28" s="13">
        <f ca="1">AR$28+MIN(OFFSET(Assumptions!$B$21,0,$C$1),ABS(OFFSET(Assumptions!$B$14,0,$C$1)-AR$28))*SIGN(OFFSET(Assumptions!$B$14,0,$C$1)-AR$28)</f>
        <v>32.700000000000003</v>
      </c>
      <c r="AT28" s="13">
        <f ca="1">AS$28+MIN(OFFSET(Assumptions!$B$21,0,$C$1),ABS(OFFSET(Assumptions!$B$14,0,$C$1)-AS$28))*SIGN(OFFSET(Assumptions!$B$14,0,$C$1)-AS$28)</f>
        <v>32.700000000000003</v>
      </c>
      <c r="AU28" s="13">
        <f ca="1">AT$28+MIN(OFFSET(Assumptions!$B$21,0,$C$1),ABS(OFFSET(Assumptions!$B$14,0,$C$1)-AT$28))*SIGN(OFFSET(Assumptions!$B$14,0,$C$1)-AT$28)</f>
        <v>32.700000000000003</v>
      </c>
      <c r="AV28" s="13">
        <f ca="1">AU$28+MIN(OFFSET(Assumptions!$B$21,0,$C$1),ABS(OFFSET(Assumptions!$B$14,0,$C$1)-AU$28))*SIGN(OFFSET(Assumptions!$B$14,0,$C$1)-AU$28)</f>
        <v>32.700000000000003</v>
      </c>
      <c r="AW28" s="13">
        <f ca="1">AV$28+MIN(OFFSET(Assumptions!$B$21,0,$C$1),ABS(OFFSET(Assumptions!$B$14,0,$C$1)-AV$28))*SIGN(OFFSET(Assumptions!$B$14,0,$C$1)-AV$28)</f>
        <v>32.700000000000003</v>
      </c>
    </row>
    <row r="29" spans="1:49" ht="15" x14ac:dyDescent="0.25">
      <c r="A29" s="2" t="s">
        <v>110</v>
      </c>
      <c r="B29" s="4" t="str">
        <f t="shared" si="18"/>
        <v>From Economic</v>
      </c>
      <c r="D29" s="21">
        <f>Economic!M$14</f>
        <v>7.0000000000000001E-3</v>
      </c>
      <c r="E29" s="20">
        <f>Economic!N$14</f>
        <v>7.6E-3</v>
      </c>
      <c r="F29" s="20">
        <f>Economic!O$14</f>
        <v>1.0200000000000001E-2</v>
      </c>
      <c r="G29" s="20">
        <f>Economic!P$14</f>
        <v>1.52E-2</v>
      </c>
      <c r="H29" s="20">
        <f>Economic!Q$14</f>
        <v>8.0000000000000002E-3</v>
      </c>
      <c r="I29" s="20">
        <f>Economic!R$14</f>
        <v>1.03E-2</v>
      </c>
      <c r="J29" s="14">
        <f ca="1">I$29+MIN(OFFSET(Assumptions!$B$22,0,$C$1),ABS(OFFSET(Assumptions!$B$15,0,$C$1)-I$29))*SIGN(OFFSET(Assumptions!$B$15,0,$C$1)-I$29)</f>
        <v>1.23E-2</v>
      </c>
      <c r="K29" s="14">
        <f ca="1">J$29+MIN(OFFSET(Assumptions!$B$22,0,$C$1),ABS(OFFSET(Assumptions!$B$15,0,$C$1)-J$29))*SIGN(OFFSET(Assumptions!$B$15,0,$C$1)-J$29)</f>
        <v>1.43E-2</v>
      </c>
      <c r="L29" s="14">
        <f ca="1">K$29+MIN(OFFSET(Assumptions!$B$22,0,$C$1),ABS(OFFSET(Assumptions!$B$15,0,$C$1)-K$29))*SIGN(OFFSET(Assumptions!$B$15,0,$C$1)-K$29)</f>
        <v>1.4999999999999999E-2</v>
      </c>
      <c r="M29" s="14">
        <f ca="1">L$29+MIN(OFFSET(Assumptions!$B$22,0,$C$1),ABS(OFFSET(Assumptions!$B$15,0,$C$1)-L$29))*SIGN(OFFSET(Assumptions!$B$15,0,$C$1)-L$29)</f>
        <v>1.4999999999999999E-2</v>
      </c>
      <c r="N29" s="14">
        <f ca="1">M$29+MIN(OFFSET(Assumptions!$B$22,0,$C$1),ABS(OFFSET(Assumptions!$B$15,0,$C$1)-M$29))*SIGN(OFFSET(Assumptions!$B$15,0,$C$1)-M$29)</f>
        <v>1.4999999999999999E-2</v>
      </c>
      <c r="O29" s="14">
        <f ca="1">N$29+MIN(OFFSET(Assumptions!$B$22,0,$C$1),ABS(OFFSET(Assumptions!$B$15,0,$C$1)-N$29))*SIGN(OFFSET(Assumptions!$B$15,0,$C$1)-N$29)</f>
        <v>1.4999999999999999E-2</v>
      </c>
      <c r="P29" s="14">
        <f ca="1">O$29+MIN(OFFSET(Assumptions!$B$22,0,$C$1),ABS(OFFSET(Assumptions!$B$15,0,$C$1)-O$29))*SIGN(OFFSET(Assumptions!$B$15,0,$C$1)-O$29)</f>
        <v>1.4999999999999999E-2</v>
      </c>
      <c r="Q29" s="14">
        <f ca="1">P$29+MIN(OFFSET(Assumptions!$B$22,0,$C$1),ABS(OFFSET(Assumptions!$B$15,0,$C$1)-P$29))*SIGN(OFFSET(Assumptions!$B$15,0,$C$1)-P$29)</f>
        <v>1.4999999999999999E-2</v>
      </c>
      <c r="R29" s="14">
        <f ca="1">Q$29+MIN(OFFSET(Assumptions!$B$22,0,$C$1),ABS(OFFSET(Assumptions!$B$15,0,$C$1)-Q$29))*SIGN(OFFSET(Assumptions!$B$15,0,$C$1)-Q$29)</f>
        <v>1.4999999999999999E-2</v>
      </c>
      <c r="S29" s="14">
        <f ca="1">R$29+MIN(OFFSET(Assumptions!$B$22,0,$C$1),ABS(OFFSET(Assumptions!$B$15,0,$C$1)-R$29))*SIGN(OFFSET(Assumptions!$B$15,0,$C$1)-R$29)</f>
        <v>1.4999999999999999E-2</v>
      </c>
      <c r="T29" s="14">
        <f ca="1">S$29+MIN(OFFSET(Assumptions!$B$22,0,$C$1),ABS(OFFSET(Assumptions!$B$15,0,$C$1)-S$29))*SIGN(OFFSET(Assumptions!$B$15,0,$C$1)-S$29)</f>
        <v>1.4999999999999999E-2</v>
      </c>
      <c r="U29" s="14">
        <f ca="1">T$29+MIN(OFFSET(Assumptions!$B$22,0,$C$1),ABS(OFFSET(Assumptions!$B$15,0,$C$1)-T$29))*SIGN(OFFSET(Assumptions!$B$15,0,$C$1)-T$29)</f>
        <v>1.4999999999999999E-2</v>
      </c>
      <c r="V29" s="14">
        <f ca="1">U$29+MIN(OFFSET(Assumptions!$B$22,0,$C$1),ABS(OFFSET(Assumptions!$B$15,0,$C$1)-U$29))*SIGN(OFFSET(Assumptions!$B$15,0,$C$1)-U$29)</f>
        <v>1.4999999999999999E-2</v>
      </c>
      <c r="W29" s="14">
        <f ca="1">V$29+MIN(OFFSET(Assumptions!$B$22,0,$C$1),ABS(OFFSET(Assumptions!$B$15,0,$C$1)-V$29))*SIGN(OFFSET(Assumptions!$B$15,0,$C$1)-V$29)</f>
        <v>1.4999999999999999E-2</v>
      </c>
      <c r="X29" s="14">
        <f ca="1">W$29+MIN(OFFSET(Assumptions!$B$22,0,$C$1),ABS(OFFSET(Assumptions!$B$15,0,$C$1)-W$29))*SIGN(OFFSET(Assumptions!$B$15,0,$C$1)-W$29)</f>
        <v>1.4999999999999999E-2</v>
      </c>
      <c r="Y29" s="14">
        <f ca="1">X$29+MIN(OFFSET(Assumptions!$B$22,0,$C$1),ABS(OFFSET(Assumptions!$B$15,0,$C$1)-X$29))*SIGN(OFFSET(Assumptions!$B$15,0,$C$1)-X$29)</f>
        <v>1.4999999999999999E-2</v>
      </c>
      <c r="Z29" s="14">
        <f ca="1">Y$29+MIN(OFFSET(Assumptions!$B$22,0,$C$1),ABS(OFFSET(Assumptions!$B$15,0,$C$1)-Y$29))*SIGN(OFFSET(Assumptions!$B$15,0,$C$1)-Y$29)</f>
        <v>1.4999999999999999E-2</v>
      </c>
      <c r="AA29" s="14">
        <f ca="1">Z$29+MIN(OFFSET(Assumptions!$B$22,0,$C$1),ABS(OFFSET(Assumptions!$B$15,0,$C$1)-Z$29))*SIGN(OFFSET(Assumptions!$B$15,0,$C$1)-Z$29)</f>
        <v>1.4999999999999999E-2</v>
      </c>
      <c r="AB29" s="14">
        <f ca="1">AA$29+MIN(OFFSET(Assumptions!$B$22,0,$C$1),ABS(OFFSET(Assumptions!$B$15,0,$C$1)-AA$29))*SIGN(OFFSET(Assumptions!$B$15,0,$C$1)-AA$29)</f>
        <v>1.4999999999999999E-2</v>
      </c>
      <c r="AC29" s="14">
        <f ca="1">AB$29+MIN(OFFSET(Assumptions!$B$22,0,$C$1),ABS(OFFSET(Assumptions!$B$15,0,$C$1)-AB$29))*SIGN(OFFSET(Assumptions!$B$15,0,$C$1)-AB$29)</f>
        <v>1.4999999999999999E-2</v>
      </c>
      <c r="AD29" s="14">
        <f ca="1">AC$29+MIN(OFFSET(Assumptions!$B$22,0,$C$1),ABS(OFFSET(Assumptions!$B$15,0,$C$1)-AC$29))*SIGN(OFFSET(Assumptions!$B$15,0,$C$1)-AC$29)</f>
        <v>1.4999999999999999E-2</v>
      </c>
      <c r="AE29" s="14">
        <f ca="1">AD$29+MIN(OFFSET(Assumptions!$B$22,0,$C$1),ABS(OFFSET(Assumptions!$B$15,0,$C$1)-AD$29))*SIGN(OFFSET(Assumptions!$B$15,0,$C$1)-AD$29)</f>
        <v>1.4999999999999999E-2</v>
      </c>
      <c r="AF29" s="14">
        <f ca="1">AE$29+MIN(OFFSET(Assumptions!$B$22,0,$C$1),ABS(OFFSET(Assumptions!$B$15,0,$C$1)-AE$29))*SIGN(OFFSET(Assumptions!$B$15,0,$C$1)-AE$29)</f>
        <v>1.4999999999999999E-2</v>
      </c>
      <c r="AG29" s="14">
        <f ca="1">AF$29+MIN(OFFSET(Assumptions!$B$22,0,$C$1),ABS(OFFSET(Assumptions!$B$15,0,$C$1)-AF$29))*SIGN(OFFSET(Assumptions!$B$15,0,$C$1)-AF$29)</f>
        <v>1.4999999999999999E-2</v>
      </c>
      <c r="AH29" s="14">
        <f ca="1">AG$29+MIN(OFFSET(Assumptions!$B$22,0,$C$1),ABS(OFFSET(Assumptions!$B$15,0,$C$1)-AG$29))*SIGN(OFFSET(Assumptions!$B$15,0,$C$1)-AG$29)</f>
        <v>1.4999999999999999E-2</v>
      </c>
      <c r="AI29" s="14">
        <f ca="1">AH$29+MIN(OFFSET(Assumptions!$B$22,0,$C$1),ABS(OFFSET(Assumptions!$B$15,0,$C$1)-AH$29))*SIGN(OFFSET(Assumptions!$B$15,0,$C$1)-AH$29)</f>
        <v>1.4999999999999999E-2</v>
      </c>
      <c r="AJ29" s="14">
        <f ca="1">AI$29+MIN(OFFSET(Assumptions!$B$22,0,$C$1),ABS(OFFSET(Assumptions!$B$15,0,$C$1)-AI$29))*SIGN(OFFSET(Assumptions!$B$15,0,$C$1)-AI$29)</f>
        <v>1.4999999999999999E-2</v>
      </c>
      <c r="AK29" s="14">
        <f ca="1">AJ$29+MIN(OFFSET(Assumptions!$B$22,0,$C$1),ABS(OFFSET(Assumptions!$B$15,0,$C$1)-AJ$29))*SIGN(OFFSET(Assumptions!$B$15,0,$C$1)-AJ$29)</f>
        <v>1.4999999999999999E-2</v>
      </c>
      <c r="AL29" s="14">
        <f ca="1">AK$29+MIN(OFFSET(Assumptions!$B$22,0,$C$1),ABS(OFFSET(Assumptions!$B$15,0,$C$1)-AK$29))*SIGN(OFFSET(Assumptions!$B$15,0,$C$1)-AK$29)</f>
        <v>1.4999999999999999E-2</v>
      </c>
      <c r="AM29" s="14">
        <f ca="1">AL$29+MIN(OFFSET(Assumptions!$B$22,0,$C$1),ABS(OFFSET(Assumptions!$B$15,0,$C$1)-AL$29))*SIGN(OFFSET(Assumptions!$B$15,0,$C$1)-AL$29)</f>
        <v>1.4999999999999999E-2</v>
      </c>
      <c r="AN29" s="14">
        <f ca="1">AM$29+MIN(OFFSET(Assumptions!$B$22,0,$C$1),ABS(OFFSET(Assumptions!$B$15,0,$C$1)-AM$29))*SIGN(OFFSET(Assumptions!$B$15,0,$C$1)-AM$29)</f>
        <v>1.4999999999999999E-2</v>
      </c>
      <c r="AO29" s="14">
        <f ca="1">AN$29+MIN(OFFSET(Assumptions!$B$22,0,$C$1),ABS(OFFSET(Assumptions!$B$15,0,$C$1)-AN$29))*SIGN(OFFSET(Assumptions!$B$15,0,$C$1)-AN$29)</f>
        <v>1.4999999999999999E-2</v>
      </c>
      <c r="AP29" s="14">
        <f ca="1">AO$29+MIN(OFFSET(Assumptions!$B$22,0,$C$1),ABS(OFFSET(Assumptions!$B$15,0,$C$1)-AO$29))*SIGN(OFFSET(Assumptions!$B$15,0,$C$1)-AO$29)</f>
        <v>1.4999999999999999E-2</v>
      </c>
      <c r="AQ29" s="14">
        <f ca="1">AP$29+MIN(OFFSET(Assumptions!$B$22,0,$C$1),ABS(OFFSET(Assumptions!$B$15,0,$C$1)-AP$29))*SIGN(OFFSET(Assumptions!$B$15,0,$C$1)-AP$29)</f>
        <v>1.4999999999999999E-2</v>
      </c>
      <c r="AR29" s="14">
        <f ca="1">AQ$29+MIN(OFFSET(Assumptions!$B$22,0,$C$1),ABS(OFFSET(Assumptions!$B$15,0,$C$1)-AQ$29))*SIGN(OFFSET(Assumptions!$B$15,0,$C$1)-AQ$29)</f>
        <v>1.4999999999999999E-2</v>
      </c>
      <c r="AS29" s="14">
        <f ca="1">AR$29+MIN(OFFSET(Assumptions!$B$22,0,$C$1),ABS(OFFSET(Assumptions!$B$15,0,$C$1)-AR$29))*SIGN(OFFSET(Assumptions!$B$15,0,$C$1)-AR$29)</f>
        <v>1.4999999999999999E-2</v>
      </c>
      <c r="AT29" s="14">
        <f ca="1">AS$29+MIN(OFFSET(Assumptions!$B$22,0,$C$1),ABS(OFFSET(Assumptions!$B$15,0,$C$1)-AS$29))*SIGN(OFFSET(Assumptions!$B$15,0,$C$1)-AS$29)</f>
        <v>1.4999999999999999E-2</v>
      </c>
      <c r="AU29" s="14">
        <f ca="1">AT$29+MIN(OFFSET(Assumptions!$B$22,0,$C$1),ABS(OFFSET(Assumptions!$B$15,0,$C$1)-AT$29))*SIGN(OFFSET(Assumptions!$B$15,0,$C$1)-AT$29)</f>
        <v>1.4999999999999999E-2</v>
      </c>
      <c r="AV29" s="14">
        <f ca="1">AU$29+MIN(OFFSET(Assumptions!$B$22,0,$C$1),ABS(OFFSET(Assumptions!$B$15,0,$C$1)-AU$29))*SIGN(OFFSET(Assumptions!$B$15,0,$C$1)-AU$29)</f>
        <v>1.4999999999999999E-2</v>
      </c>
      <c r="AW29" s="14">
        <f ca="1">AV$29+MIN(OFFSET(Assumptions!$B$22,0,$C$1),ABS(OFFSET(Assumptions!$B$15,0,$C$1)-AV$29))*SIGN(OFFSET(Assumptions!$B$15,0,$C$1)-AV$29)</f>
        <v>1.4999999999999999E-2</v>
      </c>
    </row>
    <row r="30" spans="1:49" ht="15" x14ac:dyDescent="0.25">
      <c r="A30" s="2" t="s">
        <v>112</v>
      </c>
      <c r="B30" s="4" t="str">
        <f t="shared" si="18"/>
        <v>From Economic</v>
      </c>
      <c r="D30" s="21">
        <f>Economic!M$16</f>
        <v>2.4500000000000001E-2</v>
      </c>
      <c r="E30" s="20">
        <f>Economic!N$16</f>
        <v>2.0400000000000001E-2</v>
      </c>
      <c r="F30" s="20">
        <f>Economic!O$16</f>
        <v>1.6299999999999999E-2</v>
      </c>
      <c r="G30" s="20">
        <f>Economic!P$16</f>
        <v>1.7100000000000001E-2</v>
      </c>
      <c r="H30" s="20">
        <f>Economic!Q$16</f>
        <v>2.1399999999999999E-2</v>
      </c>
      <c r="I30" s="20">
        <f>Economic!R$16</f>
        <v>2.6599999999999999E-2</v>
      </c>
      <c r="J30" s="14">
        <f t="shared" ref="J30:AW30" ca="1" si="19">(1+J$29)*(1+J$34)-1</f>
        <v>3.2545999999999964E-2</v>
      </c>
      <c r="K30" s="14">
        <f t="shared" ca="1" si="19"/>
        <v>3.4586000000000006E-2</v>
      </c>
      <c r="L30" s="14">
        <f t="shared" ca="1" si="19"/>
        <v>3.5299999999999887E-2</v>
      </c>
      <c r="M30" s="14">
        <f t="shared" ca="1" si="19"/>
        <v>3.5299999999999887E-2</v>
      </c>
      <c r="N30" s="14">
        <f t="shared" ca="1" si="19"/>
        <v>3.5299999999999887E-2</v>
      </c>
      <c r="O30" s="14">
        <f t="shared" ca="1" si="19"/>
        <v>3.5299999999999887E-2</v>
      </c>
      <c r="P30" s="14">
        <f t="shared" ca="1" si="19"/>
        <v>3.5299999999999887E-2</v>
      </c>
      <c r="Q30" s="14">
        <f t="shared" ca="1" si="19"/>
        <v>3.5299999999999887E-2</v>
      </c>
      <c r="R30" s="14">
        <f t="shared" ca="1" si="19"/>
        <v>3.5299999999999887E-2</v>
      </c>
      <c r="S30" s="14">
        <f t="shared" ca="1" si="19"/>
        <v>3.5299999999999887E-2</v>
      </c>
      <c r="T30" s="14">
        <f t="shared" ca="1" si="19"/>
        <v>3.5299999999999887E-2</v>
      </c>
      <c r="U30" s="14">
        <f t="shared" ca="1" si="19"/>
        <v>3.5299999999999887E-2</v>
      </c>
      <c r="V30" s="14">
        <f t="shared" ca="1" si="19"/>
        <v>3.5299999999999887E-2</v>
      </c>
      <c r="W30" s="14">
        <f t="shared" ca="1" si="19"/>
        <v>3.5299999999999887E-2</v>
      </c>
      <c r="X30" s="14">
        <f t="shared" ca="1" si="19"/>
        <v>3.5299999999999887E-2</v>
      </c>
      <c r="Y30" s="14">
        <f t="shared" ca="1" si="19"/>
        <v>3.5299999999999887E-2</v>
      </c>
      <c r="Z30" s="14">
        <f t="shared" ca="1" si="19"/>
        <v>3.5299999999999887E-2</v>
      </c>
      <c r="AA30" s="14">
        <f t="shared" ca="1" si="19"/>
        <v>3.5299999999999887E-2</v>
      </c>
      <c r="AB30" s="14">
        <f t="shared" ca="1" si="19"/>
        <v>3.5299999999999887E-2</v>
      </c>
      <c r="AC30" s="14">
        <f t="shared" ca="1" si="19"/>
        <v>3.5299999999999887E-2</v>
      </c>
      <c r="AD30" s="14">
        <f t="shared" ca="1" si="19"/>
        <v>3.5299999999999887E-2</v>
      </c>
      <c r="AE30" s="14">
        <f t="shared" ca="1" si="19"/>
        <v>3.5299999999999887E-2</v>
      </c>
      <c r="AF30" s="14">
        <f t="shared" ca="1" si="19"/>
        <v>3.5299999999999887E-2</v>
      </c>
      <c r="AG30" s="14">
        <f t="shared" ca="1" si="19"/>
        <v>3.5299999999999887E-2</v>
      </c>
      <c r="AH30" s="14">
        <f t="shared" ca="1" si="19"/>
        <v>3.5299999999999887E-2</v>
      </c>
      <c r="AI30" s="14">
        <f t="shared" ca="1" si="19"/>
        <v>3.5299999999999887E-2</v>
      </c>
      <c r="AJ30" s="14">
        <f t="shared" ca="1" si="19"/>
        <v>3.5299999999999887E-2</v>
      </c>
      <c r="AK30" s="14">
        <f t="shared" ca="1" si="19"/>
        <v>3.5299999999999887E-2</v>
      </c>
      <c r="AL30" s="14">
        <f t="shared" ca="1" si="19"/>
        <v>3.5299999999999887E-2</v>
      </c>
      <c r="AM30" s="14">
        <f t="shared" ca="1" si="19"/>
        <v>3.5299999999999887E-2</v>
      </c>
      <c r="AN30" s="14">
        <f t="shared" ca="1" si="19"/>
        <v>3.5299999999999887E-2</v>
      </c>
      <c r="AO30" s="14">
        <f t="shared" ca="1" si="19"/>
        <v>3.5299999999999887E-2</v>
      </c>
      <c r="AP30" s="14">
        <f t="shared" ca="1" si="19"/>
        <v>3.5299999999999887E-2</v>
      </c>
      <c r="AQ30" s="14">
        <f t="shared" ca="1" si="19"/>
        <v>3.5299999999999887E-2</v>
      </c>
      <c r="AR30" s="14">
        <f t="shared" ca="1" si="19"/>
        <v>3.5299999999999887E-2</v>
      </c>
      <c r="AS30" s="14">
        <f t="shared" ca="1" si="19"/>
        <v>3.5299999999999887E-2</v>
      </c>
      <c r="AT30" s="14">
        <f t="shared" ca="1" si="19"/>
        <v>3.5299999999999887E-2</v>
      </c>
      <c r="AU30" s="14">
        <f t="shared" ca="1" si="19"/>
        <v>3.5299999999999887E-2</v>
      </c>
      <c r="AV30" s="14">
        <f t="shared" ca="1" si="19"/>
        <v>3.5299999999999887E-2</v>
      </c>
      <c r="AW30" s="14">
        <f t="shared" ca="1" si="19"/>
        <v>3.5299999999999887E-2</v>
      </c>
    </row>
    <row r="31" spans="1:49" ht="15" x14ac:dyDescent="0.25">
      <c r="A31" s="2"/>
      <c r="B31" s="4"/>
      <c r="D31" s="21"/>
      <c r="E31" s="20"/>
      <c r="F31" s="20"/>
      <c r="G31" s="20"/>
      <c r="H31" s="20"/>
      <c r="I31" s="20"/>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row>
    <row r="32" spans="1:49" x14ac:dyDescent="0.2">
      <c r="A32" s="22" t="s">
        <v>304</v>
      </c>
      <c r="B32" s="4"/>
      <c r="D32" s="21"/>
      <c r="E32" s="20"/>
      <c r="F32" s="20"/>
      <c r="G32" s="20"/>
      <c r="H32" s="20"/>
      <c r="I32" s="20"/>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row>
    <row r="33" spans="1:49" ht="15" x14ac:dyDescent="0.25">
      <c r="A33" s="2" t="s">
        <v>308</v>
      </c>
      <c r="B33" s="4" t="str">
        <f t="shared" si="18"/>
        <v>From Economic</v>
      </c>
      <c r="D33" s="26">
        <f>Economic!M$15</f>
        <v>1200</v>
      </c>
      <c r="E33" s="27">
        <f>Economic!N$15</f>
        <v>1201</v>
      </c>
      <c r="F33" s="27">
        <f>Economic!O$15</f>
        <v>1219</v>
      </c>
      <c r="G33" s="27">
        <f>Economic!P$15</f>
        <v>1243</v>
      </c>
      <c r="H33" s="27">
        <f>Economic!Q$15</f>
        <v>1267</v>
      </c>
      <c r="I33" s="27">
        <f>Economic!R$15</f>
        <v>1294</v>
      </c>
      <c r="J33" s="3">
        <f ca="1">I$33*(1+I$34+MIN(OFFSET(Assumptions!$B$23,0,$C$1),ABS(OFFSET(Assumptions!$B$16,0,$C$1)-I$34))*SIGN(OFFSET(Assumptions!$B$16,0,$C$1)-I$34))</f>
        <v>1319.88</v>
      </c>
      <c r="K33" s="3">
        <f ca="1">J$33*(1+J$34+MIN(OFFSET(Assumptions!$B$23,0,$C$1),ABS(OFFSET(Assumptions!$B$16,0,$C$1)-J$34))*SIGN(OFFSET(Assumptions!$B$16,0,$C$1)-J$34))</f>
        <v>1346.2776000000001</v>
      </c>
      <c r="L33" s="3">
        <f ca="1">K$33*(1+K$34+MIN(OFFSET(Assumptions!$B$23,0,$C$1),ABS(OFFSET(Assumptions!$B$16,0,$C$1)-K$34))*SIGN(OFFSET(Assumptions!$B$16,0,$C$1)-K$34))</f>
        <v>1373.203152</v>
      </c>
      <c r="M33" s="3">
        <f ca="1">L$33*(1+L$34+MIN(OFFSET(Assumptions!$B$23,0,$C$1),ABS(OFFSET(Assumptions!$B$16,0,$C$1)-L$34))*SIGN(OFFSET(Assumptions!$B$16,0,$C$1)-L$34))</f>
        <v>1400.66721504</v>
      </c>
      <c r="N33" s="3">
        <f ca="1">M$33*(1+M$34+MIN(OFFSET(Assumptions!$B$23,0,$C$1),ABS(OFFSET(Assumptions!$B$16,0,$C$1)-M$34))*SIGN(OFFSET(Assumptions!$B$16,0,$C$1)-M$34))</f>
        <v>1428.6805593408001</v>
      </c>
      <c r="O33" s="3">
        <f ca="1">N$33*(1+N$34+MIN(OFFSET(Assumptions!$B$23,0,$C$1),ABS(OFFSET(Assumptions!$B$16,0,$C$1)-N$34))*SIGN(OFFSET(Assumptions!$B$16,0,$C$1)-N$34))</f>
        <v>1457.254170527616</v>
      </c>
      <c r="P33" s="3">
        <f ca="1">O$33*(1+O$34+MIN(OFFSET(Assumptions!$B$23,0,$C$1),ABS(OFFSET(Assumptions!$B$16,0,$C$1)-O$34))*SIGN(OFFSET(Assumptions!$B$16,0,$C$1)-O$34))</f>
        <v>1486.3992539381684</v>
      </c>
      <c r="Q33" s="3">
        <f ca="1">P$33*(1+P$34+MIN(OFFSET(Assumptions!$B$23,0,$C$1),ABS(OFFSET(Assumptions!$B$16,0,$C$1)-P$34))*SIGN(OFFSET(Assumptions!$B$16,0,$C$1)-P$34))</f>
        <v>1516.1272390169318</v>
      </c>
      <c r="R33" s="3">
        <f ca="1">Q$33*(1+Q$34+MIN(OFFSET(Assumptions!$B$23,0,$C$1),ABS(OFFSET(Assumptions!$B$16,0,$C$1)-Q$34))*SIGN(OFFSET(Assumptions!$B$16,0,$C$1)-Q$34))</f>
        <v>1546.4497837972704</v>
      </c>
      <c r="S33" s="3">
        <f ca="1">R$33*(1+R$34+MIN(OFFSET(Assumptions!$B$23,0,$C$1),ABS(OFFSET(Assumptions!$B$16,0,$C$1)-R$34))*SIGN(OFFSET(Assumptions!$B$16,0,$C$1)-R$34))</f>
        <v>1577.3787794732159</v>
      </c>
      <c r="T33" s="3">
        <f ca="1">S$33*(1+S$34+MIN(OFFSET(Assumptions!$B$23,0,$C$1),ABS(OFFSET(Assumptions!$B$16,0,$C$1)-S$34))*SIGN(OFFSET(Assumptions!$B$16,0,$C$1)-S$34))</f>
        <v>1608.9263550626802</v>
      </c>
      <c r="U33" s="3">
        <f ca="1">T$33*(1+T$34+MIN(OFFSET(Assumptions!$B$23,0,$C$1),ABS(OFFSET(Assumptions!$B$16,0,$C$1)-T$34))*SIGN(OFFSET(Assumptions!$B$16,0,$C$1)-T$34))</f>
        <v>1641.1048821639338</v>
      </c>
      <c r="V33" s="3">
        <f ca="1">U$33*(1+U$34+MIN(OFFSET(Assumptions!$B$23,0,$C$1),ABS(OFFSET(Assumptions!$B$16,0,$C$1)-U$34))*SIGN(OFFSET(Assumptions!$B$16,0,$C$1)-U$34))</f>
        <v>1673.9269798072125</v>
      </c>
      <c r="W33" s="3">
        <f ca="1">V$33*(1+V$34+MIN(OFFSET(Assumptions!$B$23,0,$C$1),ABS(OFFSET(Assumptions!$B$16,0,$C$1)-V$34))*SIGN(OFFSET(Assumptions!$B$16,0,$C$1)-V$34))</f>
        <v>1707.4055194033567</v>
      </c>
      <c r="X33" s="3">
        <f ca="1">W$33*(1+W$34+MIN(OFFSET(Assumptions!$B$23,0,$C$1),ABS(OFFSET(Assumptions!$B$16,0,$C$1)-W$34))*SIGN(OFFSET(Assumptions!$B$16,0,$C$1)-W$34))</f>
        <v>1741.5536297914239</v>
      </c>
      <c r="Y33" s="3">
        <f ca="1">X$33*(1+X$34+MIN(OFFSET(Assumptions!$B$23,0,$C$1),ABS(OFFSET(Assumptions!$B$16,0,$C$1)-X$34))*SIGN(OFFSET(Assumptions!$B$16,0,$C$1)-X$34))</f>
        <v>1776.3847023872524</v>
      </c>
      <c r="Z33" s="3">
        <f ca="1">Y$33*(1+Y$34+MIN(OFFSET(Assumptions!$B$23,0,$C$1),ABS(OFFSET(Assumptions!$B$16,0,$C$1)-Y$34))*SIGN(OFFSET(Assumptions!$B$16,0,$C$1)-Y$34))</f>
        <v>1811.9123964349976</v>
      </c>
      <c r="AA33" s="3">
        <f ca="1">Z$33*(1+Z$34+MIN(OFFSET(Assumptions!$B$23,0,$C$1),ABS(OFFSET(Assumptions!$B$16,0,$C$1)-Z$34))*SIGN(OFFSET(Assumptions!$B$16,0,$C$1)-Z$34))</f>
        <v>1848.1506443636977</v>
      </c>
      <c r="AB33" s="3">
        <f ca="1">AA$33*(1+AA$34+MIN(OFFSET(Assumptions!$B$23,0,$C$1),ABS(OFFSET(Assumptions!$B$16,0,$C$1)-AA$34))*SIGN(OFFSET(Assumptions!$B$16,0,$C$1)-AA$34))</f>
        <v>1885.1136572509718</v>
      </c>
      <c r="AC33" s="3">
        <f ca="1">AB$33*(1+AB$34+MIN(OFFSET(Assumptions!$B$23,0,$C$1),ABS(OFFSET(Assumptions!$B$16,0,$C$1)-AB$34))*SIGN(OFFSET(Assumptions!$B$16,0,$C$1)-AB$34))</f>
        <v>1922.8159303959912</v>
      </c>
      <c r="AD33" s="3">
        <f ca="1">AC$33*(1+AC$34+MIN(OFFSET(Assumptions!$B$23,0,$C$1),ABS(OFFSET(Assumptions!$B$16,0,$C$1)-AC$34))*SIGN(OFFSET(Assumptions!$B$16,0,$C$1)-AC$34))</f>
        <v>1961.2722490039112</v>
      </c>
      <c r="AE33" s="3">
        <f ca="1">AD$33*(1+AD$34+MIN(OFFSET(Assumptions!$B$23,0,$C$1),ABS(OFFSET(Assumptions!$B$16,0,$C$1)-AD$34))*SIGN(OFFSET(Assumptions!$B$16,0,$C$1)-AD$34))</f>
        <v>2000.4976939839894</v>
      </c>
      <c r="AF33" s="3">
        <f ca="1">AE$33*(1+AE$34+MIN(OFFSET(Assumptions!$B$23,0,$C$1),ABS(OFFSET(Assumptions!$B$16,0,$C$1)-AE$34))*SIGN(OFFSET(Assumptions!$B$16,0,$C$1)-AE$34))</f>
        <v>2040.5076478636693</v>
      </c>
      <c r="AG33" s="3">
        <f ca="1">AF$33*(1+AF$34+MIN(OFFSET(Assumptions!$B$23,0,$C$1),ABS(OFFSET(Assumptions!$B$16,0,$C$1)-AF$34))*SIGN(OFFSET(Assumptions!$B$16,0,$C$1)-AF$34))</f>
        <v>2081.3178008209425</v>
      </c>
      <c r="AH33" s="3">
        <f ca="1">AG$33*(1+AG$34+MIN(OFFSET(Assumptions!$B$23,0,$C$1),ABS(OFFSET(Assumptions!$B$16,0,$C$1)-AG$34))*SIGN(OFFSET(Assumptions!$B$16,0,$C$1)-AG$34))</f>
        <v>2122.9441568373613</v>
      </c>
      <c r="AI33" s="3">
        <f ca="1">AH$33*(1+AH$34+MIN(OFFSET(Assumptions!$B$23,0,$C$1),ABS(OFFSET(Assumptions!$B$16,0,$C$1)-AH$34))*SIGN(OFFSET(Assumptions!$B$16,0,$C$1)-AH$34))</f>
        <v>2165.4030399741087</v>
      </c>
      <c r="AJ33" s="3">
        <f ca="1">AI$33*(1+AI$34+MIN(OFFSET(Assumptions!$B$23,0,$C$1),ABS(OFFSET(Assumptions!$B$16,0,$C$1)-AI$34))*SIGN(OFFSET(Assumptions!$B$16,0,$C$1)-AI$34))</f>
        <v>2208.7111007735907</v>
      </c>
      <c r="AK33" s="3">
        <f ca="1">AJ$33*(1+AJ$34+MIN(OFFSET(Assumptions!$B$23,0,$C$1),ABS(OFFSET(Assumptions!$B$16,0,$C$1)-AJ$34))*SIGN(OFFSET(Assumptions!$B$16,0,$C$1)-AJ$34))</f>
        <v>2252.8853227890627</v>
      </c>
      <c r="AL33" s="3">
        <f ca="1">AK$33*(1+AK$34+MIN(OFFSET(Assumptions!$B$23,0,$C$1),ABS(OFFSET(Assumptions!$B$16,0,$C$1)-AK$34))*SIGN(OFFSET(Assumptions!$B$16,0,$C$1)-AK$34))</f>
        <v>2297.9430292448442</v>
      </c>
      <c r="AM33" s="3">
        <f ca="1">AL$33*(1+AL$34+MIN(OFFSET(Assumptions!$B$23,0,$C$1),ABS(OFFSET(Assumptions!$B$16,0,$C$1)-AL$34))*SIGN(OFFSET(Assumptions!$B$16,0,$C$1)-AL$34))</f>
        <v>2343.9018898297413</v>
      </c>
      <c r="AN33" s="3">
        <f ca="1">AM$33*(1+AM$34+MIN(OFFSET(Assumptions!$B$23,0,$C$1),ABS(OFFSET(Assumptions!$B$16,0,$C$1)-AM$34))*SIGN(OFFSET(Assumptions!$B$16,0,$C$1)-AM$34))</f>
        <v>2390.7799276263363</v>
      </c>
      <c r="AO33" s="3">
        <f ca="1">AN$33*(1+AN$34+MIN(OFFSET(Assumptions!$B$23,0,$C$1),ABS(OFFSET(Assumptions!$B$16,0,$C$1)-AN$34))*SIGN(OFFSET(Assumptions!$B$16,0,$C$1)-AN$34))</f>
        <v>2438.5955261788631</v>
      </c>
      <c r="AP33" s="3">
        <f ca="1">AO$33*(1+AO$34+MIN(OFFSET(Assumptions!$B$23,0,$C$1),ABS(OFFSET(Assumptions!$B$16,0,$C$1)-AO$34))*SIGN(OFFSET(Assumptions!$B$16,0,$C$1)-AO$34))</f>
        <v>2487.3674367024405</v>
      </c>
      <c r="AQ33" s="3">
        <f ca="1">AP$33*(1+AP$34+MIN(OFFSET(Assumptions!$B$23,0,$C$1),ABS(OFFSET(Assumptions!$B$16,0,$C$1)-AP$34))*SIGN(OFFSET(Assumptions!$B$16,0,$C$1)-AP$34))</f>
        <v>2537.1147854364895</v>
      </c>
      <c r="AR33" s="3">
        <f ca="1">AQ$33*(1+AQ$34+MIN(OFFSET(Assumptions!$B$23,0,$C$1),ABS(OFFSET(Assumptions!$B$16,0,$C$1)-AQ$34))*SIGN(OFFSET(Assumptions!$B$16,0,$C$1)-AQ$34))</f>
        <v>2587.8570811452191</v>
      </c>
      <c r="AS33" s="3">
        <f ca="1">AR$33*(1+AR$34+MIN(OFFSET(Assumptions!$B$23,0,$C$1),ABS(OFFSET(Assumptions!$B$16,0,$C$1)-AR$34))*SIGN(OFFSET(Assumptions!$B$16,0,$C$1)-AR$34))</f>
        <v>2639.6142227681235</v>
      </c>
      <c r="AT33" s="3">
        <f ca="1">AS$33*(1+AS$34+MIN(OFFSET(Assumptions!$B$23,0,$C$1),ABS(OFFSET(Assumptions!$B$16,0,$C$1)-AS$34))*SIGN(OFFSET(Assumptions!$B$16,0,$C$1)-AS$34))</f>
        <v>2692.4065072234862</v>
      </c>
      <c r="AU33" s="3">
        <f ca="1">AT$33*(1+AT$34+MIN(OFFSET(Assumptions!$B$23,0,$C$1),ABS(OFFSET(Assumptions!$B$16,0,$C$1)-AT$34))*SIGN(OFFSET(Assumptions!$B$16,0,$C$1)-AT$34))</f>
        <v>2746.2546373679561</v>
      </c>
      <c r="AV33" s="3">
        <f ca="1">AU$33*(1+AU$34+MIN(OFFSET(Assumptions!$B$23,0,$C$1),ABS(OFFSET(Assumptions!$B$16,0,$C$1)-AU$34))*SIGN(OFFSET(Assumptions!$B$16,0,$C$1)-AU$34))</f>
        <v>2801.1797301153151</v>
      </c>
      <c r="AW33" s="3">
        <f ca="1">AV$33*(1+AV$34+MIN(OFFSET(Assumptions!$B$23,0,$C$1),ABS(OFFSET(Assumptions!$B$16,0,$C$1)-AV$34))*SIGN(OFFSET(Assumptions!$B$16,0,$C$1)-AV$34))</f>
        <v>2857.2033247176214</v>
      </c>
    </row>
    <row r="34" spans="1:49" x14ac:dyDescent="0.2">
      <c r="A34" s="4" t="str">
        <f>$A$13</f>
        <v>Annual percentage growth</v>
      </c>
      <c r="D34" s="21"/>
      <c r="E34" s="20">
        <f t="shared" ref="E34:I34" si="20">E$33/D$33-1</f>
        <v>8.3333333333324155E-4</v>
      </c>
      <c r="F34" s="20">
        <f t="shared" si="20"/>
        <v>1.4987510407993287E-2</v>
      </c>
      <c r="G34" s="20">
        <f t="shared" si="20"/>
        <v>1.9688269073010689E-2</v>
      </c>
      <c r="H34" s="20">
        <f t="shared" si="20"/>
        <v>1.9308125502815798E-2</v>
      </c>
      <c r="I34" s="20">
        <f t="shared" si="20"/>
        <v>2.1310181531176031E-2</v>
      </c>
      <c r="J34" s="14">
        <f t="shared" ref="J34:AW34" ca="1" si="21">J$33/I$33-1</f>
        <v>2.0000000000000018E-2</v>
      </c>
      <c r="K34" s="14">
        <f t="shared" ca="1" si="21"/>
        <v>2.0000000000000018E-2</v>
      </c>
      <c r="L34" s="14">
        <f t="shared" ca="1" si="21"/>
        <v>2.0000000000000018E-2</v>
      </c>
      <c r="M34" s="14">
        <f t="shared" ca="1" si="21"/>
        <v>2.0000000000000018E-2</v>
      </c>
      <c r="N34" s="14">
        <f t="shared" ca="1" si="21"/>
        <v>2.0000000000000018E-2</v>
      </c>
      <c r="O34" s="14">
        <f t="shared" ca="1" si="21"/>
        <v>2.0000000000000018E-2</v>
      </c>
      <c r="P34" s="14">
        <f t="shared" ca="1" si="21"/>
        <v>2.0000000000000018E-2</v>
      </c>
      <c r="Q34" s="14">
        <f t="shared" ca="1" si="21"/>
        <v>2.0000000000000018E-2</v>
      </c>
      <c r="R34" s="14">
        <f t="shared" ca="1" si="21"/>
        <v>2.0000000000000018E-2</v>
      </c>
      <c r="S34" s="14">
        <f t="shared" ca="1" si="21"/>
        <v>2.0000000000000018E-2</v>
      </c>
      <c r="T34" s="14">
        <f t="shared" ca="1" si="21"/>
        <v>2.0000000000000018E-2</v>
      </c>
      <c r="U34" s="14">
        <f t="shared" ca="1" si="21"/>
        <v>2.0000000000000018E-2</v>
      </c>
      <c r="V34" s="14">
        <f t="shared" ca="1" si="21"/>
        <v>2.0000000000000018E-2</v>
      </c>
      <c r="W34" s="14">
        <f t="shared" ca="1" si="21"/>
        <v>2.0000000000000018E-2</v>
      </c>
      <c r="X34" s="14">
        <f t="shared" ca="1" si="21"/>
        <v>2.0000000000000018E-2</v>
      </c>
      <c r="Y34" s="14">
        <f t="shared" ca="1" si="21"/>
        <v>2.0000000000000018E-2</v>
      </c>
      <c r="Z34" s="14">
        <f t="shared" ca="1" si="21"/>
        <v>2.0000000000000018E-2</v>
      </c>
      <c r="AA34" s="14">
        <f t="shared" ca="1" si="21"/>
        <v>2.0000000000000018E-2</v>
      </c>
      <c r="AB34" s="14">
        <f t="shared" ca="1" si="21"/>
        <v>2.0000000000000018E-2</v>
      </c>
      <c r="AC34" s="14">
        <f t="shared" ca="1" si="21"/>
        <v>2.0000000000000018E-2</v>
      </c>
      <c r="AD34" s="14">
        <f t="shared" ca="1" si="21"/>
        <v>2.0000000000000018E-2</v>
      </c>
      <c r="AE34" s="14">
        <f t="shared" ca="1" si="21"/>
        <v>2.0000000000000018E-2</v>
      </c>
      <c r="AF34" s="14">
        <f t="shared" ca="1" si="21"/>
        <v>2.0000000000000018E-2</v>
      </c>
      <c r="AG34" s="14">
        <f t="shared" ca="1" si="21"/>
        <v>2.0000000000000018E-2</v>
      </c>
      <c r="AH34" s="14">
        <f t="shared" ca="1" si="21"/>
        <v>2.0000000000000018E-2</v>
      </c>
      <c r="AI34" s="14">
        <f t="shared" ca="1" si="21"/>
        <v>2.0000000000000018E-2</v>
      </c>
      <c r="AJ34" s="14">
        <f t="shared" ca="1" si="21"/>
        <v>2.0000000000000018E-2</v>
      </c>
      <c r="AK34" s="14">
        <f t="shared" ca="1" si="21"/>
        <v>2.0000000000000018E-2</v>
      </c>
      <c r="AL34" s="14">
        <f t="shared" ca="1" si="21"/>
        <v>2.0000000000000018E-2</v>
      </c>
      <c r="AM34" s="14">
        <f t="shared" ca="1" si="21"/>
        <v>2.0000000000000018E-2</v>
      </c>
      <c r="AN34" s="14">
        <f t="shared" ca="1" si="21"/>
        <v>2.0000000000000018E-2</v>
      </c>
      <c r="AO34" s="14">
        <f t="shared" ca="1" si="21"/>
        <v>2.0000000000000018E-2</v>
      </c>
      <c r="AP34" s="14">
        <f t="shared" ca="1" si="21"/>
        <v>2.0000000000000018E-2</v>
      </c>
      <c r="AQ34" s="14">
        <f t="shared" ca="1" si="21"/>
        <v>2.0000000000000018E-2</v>
      </c>
      <c r="AR34" s="14">
        <f t="shared" ca="1" si="21"/>
        <v>2.0000000000000018E-2</v>
      </c>
      <c r="AS34" s="14">
        <f t="shared" ca="1" si="21"/>
        <v>2.0000000000000018E-2</v>
      </c>
      <c r="AT34" s="14">
        <f t="shared" ca="1" si="21"/>
        <v>2.0000000000000018E-2</v>
      </c>
      <c r="AU34" s="14">
        <f t="shared" ca="1" si="21"/>
        <v>2.0000000000000018E-2</v>
      </c>
      <c r="AV34" s="14">
        <f t="shared" ca="1" si="21"/>
        <v>2.0000000000000018E-2</v>
      </c>
      <c r="AW34" s="14">
        <f t="shared" ca="1" si="21"/>
        <v>2.0000000000000018E-2</v>
      </c>
    </row>
    <row r="35" spans="1:49" ht="15" x14ac:dyDescent="0.25">
      <c r="A35" s="2" t="s">
        <v>113</v>
      </c>
      <c r="B35" s="4" t="str">
        <f t="shared" si="18"/>
        <v>From Economic</v>
      </c>
      <c r="D35" s="21">
        <f>Economic!M$17</f>
        <v>3.7699999999999997E-2</v>
      </c>
      <c r="E35" s="20">
        <f>Economic!N$17</f>
        <v>3.2500000000000001E-2</v>
      </c>
      <c r="F35" s="20">
        <f>Economic!O$17</f>
        <v>3.1099999999999999E-2</v>
      </c>
      <c r="G35" s="20">
        <f>Economic!P$17</f>
        <v>3.5900000000000001E-2</v>
      </c>
      <c r="H35" s="20">
        <f>Economic!Q$17</f>
        <v>4.1299999999999996E-2</v>
      </c>
      <c r="I35" s="20">
        <f>Economic!R$17</f>
        <v>4.3499999999999997E-2</v>
      </c>
      <c r="J35" s="14">
        <f ca="1">I$35+MIN(OFFSET(Assumptions!$B$24,0,$C$1),ABS(OFFSET(Assumptions!$B$17,0,$C$1)-I$35))*SIGN(OFFSET(Assumptions!$B$17,0,$C$1)-I$35)</f>
        <v>4.5499999999999999E-2</v>
      </c>
      <c r="K35" s="14">
        <f ca="1">J$35+MIN(OFFSET(Assumptions!$B$24,0,$C$1),ABS(OFFSET(Assumptions!$B$17,0,$C$1)-J$35))*SIGN(OFFSET(Assumptions!$B$17,0,$C$1)-J$35)</f>
        <v>4.7500000000000001E-2</v>
      </c>
      <c r="L35" s="14">
        <f ca="1">K$35+MIN(OFFSET(Assumptions!$B$24,0,$C$1),ABS(OFFSET(Assumptions!$B$17,0,$C$1)-K$35))*SIGN(OFFSET(Assumptions!$B$17,0,$C$1)-K$35)</f>
        <v>4.9500000000000002E-2</v>
      </c>
      <c r="M35" s="14">
        <f ca="1">L$35+MIN(OFFSET(Assumptions!$B$24,0,$C$1),ABS(OFFSET(Assumptions!$B$17,0,$C$1)-L$35))*SIGN(OFFSET(Assumptions!$B$17,0,$C$1)-L$35)</f>
        <v>5.1500000000000004E-2</v>
      </c>
      <c r="N35" s="14">
        <f ca="1">M$35+MIN(OFFSET(Assumptions!$B$24,0,$C$1),ABS(OFFSET(Assumptions!$B$17,0,$C$1)-M$35))*SIGN(OFFSET(Assumptions!$B$17,0,$C$1)-M$35)</f>
        <v>5.2999999999999999E-2</v>
      </c>
      <c r="O35" s="14">
        <f ca="1">N$35+MIN(OFFSET(Assumptions!$B$24,0,$C$1),ABS(OFFSET(Assumptions!$B$17,0,$C$1)-N$35))*SIGN(OFFSET(Assumptions!$B$17,0,$C$1)-N$35)</f>
        <v>5.2999999999999999E-2</v>
      </c>
      <c r="P35" s="14">
        <f ca="1">O$35+MIN(OFFSET(Assumptions!$B$24,0,$C$1),ABS(OFFSET(Assumptions!$B$17,0,$C$1)-O$35))*SIGN(OFFSET(Assumptions!$B$17,0,$C$1)-O$35)</f>
        <v>5.2999999999999999E-2</v>
      </c>
      <c r="Q35" s="14">
        <f ca="1">P$35+MIN(OFFSET(Assumptions!$B$24,0,$C$1),ABS(OFFSET(Assumptions!$B$17,0,$C$1)-P$35))*SIGN(OFFSET(Assumptions!$B$17,0,$C$1)-P$35)</f>
        <v>5.2999999999999999E-2</v>
      </c>
      <c r="R35" s="14">
        <f ca="1">Q$35+MIN(OFFSET(Assumptions!$B$24,0,$C$1),ABS(OFFSET(Assumptions!$B$17,0,$C$1)-Q$35))*SIGN(OFFSET(Assumptions!$B$17,0,$C$1)-Q$35)</f>
        <v>5.2999999999999999E-2</v>
      </c>
      <c r="S35" s="14">
        <f ca="1">R$35+MIN(OFFSET(Assumptions!$B$24,0,$C$1),ABS(OFFSET(Assumptions!$B$17,0,$C$1)-R$35))*SIGN(OFFSET(Assumptions!$B$17,0,$C$1)-R$35)</f>
        <v>5.2999999999999999E-2</v>
      </c>
      <c r="T35" s="14">
        <f ca="1">S$35+MIN(OFFSET(Assumptions!$B$24,0,$C$1),ABS(OFFSET(Assumptions!$B$17,0,$C$1)-S$35))*SIGN(OFFSET(Assumptions!$B$17,0,$C$1)-S$35)</f>
        <v>5.2999999999999999E-2</v>
      </c>
      <c r="U35" s="14">
        <f ca="1">T$35+MIN(OFFSET(Assumptions!$B$24,0,$C$1),ABS(OFFSET(Assumptions!$B$17,0,$C$1)-T$35))*SIGN(OFFSET(Assumptions!$B$17,0,$C$1)-T$35)</f>
        <v>5.2999999999999999E-2</v>
      </c>
      <c r="V35" s="14">
        <f ca="1">U$35+MIN(OFFSET(Assumptions!$B$24,0,$C$1),ABS(OFFSET(Assumptions!$B$17,0,$C$1)-U$35))*SIGN(OFFSET(Assumptions!$B$17,0,$C$1)-U$35)</f>
        <v>5.2999999999999999E-2</v>
      </c>
      <c r="W35" s="14">
        <f ca="1">V$35+MIN(OFFSET(Assumptions!$B$24,0,$C$1),ABS(OFFSET(Assumptions!$B$17,0,$C$1)-V$35))*SIGN(OFFSET(Assumptions!$B$17,0,$C$1)-V$35)</f>
        <v>5.2999999999999999E-2</v>
      </c>
      <c r="X35" s="14">
        <f ca="1">W$35+MIN(OFFSET(Assumptions!$B$24,0,$C$1),ABS(OFFSET(Assumptions!$B$17,0,$C$1)-W$35))*SIGN(OFFSET(Assumptions!$B$17,0,$C$1)-W$35)</f>
        <v>5.2999999999999999E-2</v>
      </c>
      <c r="Y35" s="14">
        <f ca="1">X$35+MIN(OFFSET(Assumptions!$B$24,0,$C$1),ABS(OFFSET(Assumptions!$B$17,0,$C$1)-X$35))*SIGN(OFFSET(Assumptions!$B$17,0,$C$1)-X$35)</f>
        <v>5.2999999999999999E-2</v>
      </c>
      <c r="Z35" s="14">
        <f ca="1">Y$35+MIN(OFFSET(Assumptions!$B$24,0,$C$1),ABS(OFFSET(Assumptions!$B$17,0,$C$1)-Y$35))*SIGN(OFFSET(Assumptions!$B$17,0,$C$1)-Y$35)</f>
        <v>5.2999999999999999E-2</v>
      </c>
      <c r="AA35" s="14">
        <f ca="1">Z$35+MIN(OFFSET(Assumptions!$B$24,0,$C$1),ABS(OFFSET(Assumptions!$B$17,0,$C$1)-Z$35))*SIGN(OFFSET(Assumptions!$B$17,0,$C$1)-Z$35)</f>
        <v>5.2999999999999999E-2</v>
      </c>
      <c r="AB35" s="14">
        <f ca="1">AA$35+MIN(OFFSET(Assumptions!$B$24,0,$C$1),ABS(OFFSET(Assumptions!$B$17,0,$C$1)-AA$35))*SIGN(OFFSET(Assumptions!$B$17,0,$C$1)-AA$35)</f>
        <v>5.2999999999999999E-2</v>
      </c>
      <c r="AC35" s="14">
        <f ca="1">AB$35+MIN(OFFSET(Assumptions!$B$24,0,$C$1),ABS(OFFSET(Assumptions!$B$17,0,$C$1)-AB$35))*SIGN(OFFSET(Assumptions!$B$17,0,$C$1)-AB$35)</f>
        <v>5.2999999999999999E-2</v>
      </c>
      <c r="AD35" s="14">
        <f ca="1">AC$35+MIN(OFFSET(Assumptions!$B$24,0,$C$1),ABS(OFFSET(Assumptions!$B$17,0,$C$1)-AC$35))*SIGN(OFFSET(Assumptions!$B$17,0,$C$1)-AC$35)</f>
        <v>5.2999999999999999E-2</v>
      </c>
      <c r="AE35" s="14">
        <f ca="1">AD$35+MIN(OFFSET(Assumptions!$B$24,0,$C$1),ABS(OFFSET(Assumptions!$B$17,0,$C$1)-AD$35))*SIGN(OFFSET(Assumptions!$B$17,0,$C$1)-AD$35)</f>
        <v>5.2999999999999999E-2</v>
      </c>
      <c r="AF35" s="14">
        <f ca="1">AE$35+MIN(OFFSET(Assumptions!$B$24,0,$C$1),ABS(OFFSET(Assumptions!$B$17,0,$C$1)-AE$35))*SIGN(OFFSET(Assumptions!$B$17,0,$C$1)-AE$35)</f>
        <v>5.2999999999999999E-2</v>
      </c>
      <c r="AG35" s="14">
        <f ca="1">AF$35+MIN(OFFSET(Assumptions!$B$24,0,$C$1),ABS(OFFSET(Assumptions!$B$17,0,$C$1)-AF$35))*SIGN(OFFSET(Assumptions!$B$17,0,$C$1)-AF$35)</f>
        <v>5.2999999999999999E-2</v>
      </c>
      <c r="AH35" s="14">
        <f ca="1">AG$35+MIN(OFFSET(Assumptions!$B$24,0,$C$1),ABS(OFFSET(Assumptions!$B$17,0,$C$1)-AG$35))*SIGN(OFFSET(Assumptions!$B$17,0,$C$1)-AG$35)</f>
        <v>5.2999999999999999E-2</v>
      </c>
      <c r="AI35" s="14">
        <f ca="1">AH$35+MIN(OFFSET(Assumptions!$B$24,0,$C$1),ABS(OFFSET(Assumptions!$B$17,0,$C$1)-AH$35))*SIGN(OFFSET(Assumptions!$B$17,0,$C$1)-AH$35)</f>
        <v>5.2999999999999999E-2</v>
      </c>
      <c r="AJ35" s="14">
        <f ca="1">AI$35+MIN(OFFSET(Assumptions!$B$24,0,$C$1),ABS(OFFSET(Assumptions!$B$17,0,$C$1)-AI$35))*SIGN(OFFSET(Assumptions!$B$17,0,$C$1)-AI$35)</f>
        <v>5.2999999999999999E-2</v>
      </c>
      <c r="AK35" s="14">
        <f ca="1">AJ$35+MIN(OFFSET(Assumptions!$B$24,0,$C$1),ABS(OFFSET(Assumptions!$B$17,0,$C$1)-AJ$35))*SIGN(OFFSET(Assumptions!$B$17,0,$C$1)-AJ$35)</f>
        <v>5.2999999999999999E-2</v>
      </c>
      <c r="AL35" s="14">
        <f ca="1">AK$35+MIN(OFFSET(Assumptions!$B$24,0,$C$1),ABS(OFFSET(Assumptions!$B$17,0,$C$1)-AK$35))*SIGN(OFFSET(Assumptions!$B$17,0,$C$1)-AK$35)</f>
        <v>5.2999999999999999E-2</v>
      </c>
      <c r="AM35" s="14">
        <f ca="1">AL$35+MIN(OFFSET(Assumptions!$B$24,0,$C$1),ABS(OFFSET(Assumptions!$B$17,0,$C$1)-AL$35))*SIGN(OFFSET(Assumptions!$B$17,0,$C$1)-AL$35)</f>
        <v>5.2999999999999999E-2</v>
      </c>
      <c r="AN35" s="14">
        <f ca="1">AM$35+MIN(OFFSET(Assumptions!$B$24,0,$C$1),ABS(OFFSET(Assumptions!$B$17,0,$C$1)-AM$35))*SIGN(OFFSET(Assumptions!$B$17,0,$C$1)-AM$35)</f>
        <v>5.2999999999999999E-2</v>
      </c>
      <c r="AO35" s="14">
        <f ca="1">AN$35+MIN(OFFSET(Assumptions!$B$24,0,$C$1),ABS(OFFSET(Assumptions!$B$17,0,$C$1)-AN$35))*SIGN(OFFSET(Assumptions!$B$17,0,$C$1)-AN$35)</f>
        <v>5.2999999999999999E-2</v>
      </c>
      <c r="AP35" s="14">
        <f ca="1">AO$35+MIN(OFFSET(Assumptions!$B$24,0,$C$1),ABS(OFFSET(Assumptions!$B$17,0,$C$1)-AO$35))*SIGN(OFFSET(Assumptions!$B$17,0,$C$1)-AO$35)</f>
        <v>5.2999999999999999E-2</v>
      </c>
      <c r="AQ35" s="14">
        <f ca="1">AP$35+MIN(OFFSET(Assumptions!$B$24,0,$C$1),ABS(OFFSET(Assumptions!$B$17,0,$C$1)-AP$35))*SIGN(OFFSET(Assumptions!$B$17,0,$C$1)-AP$35)</f>
        <v>5.2999999999999999E-2</v>
      </c>
      <c r="AR35" s="14">
        <f ca="1">AQ$35+MIN(OFFSET(Assumptions!$B$24,0,$C$1),ABS(OFFSET(Assumptions!$B$17,0,$C$1)-AQ$35))*SIGN(OFFSET(Assumptions!$B$17,0,$C$1)-AQ$35)</f>
        <v>5.2999999999999999E-2</v>
      </c>
      <c r="AS35" s="14">
        <f ca="1">AR$35+MIN(OFFSET(Assumptions!$B$24,0,$C$1),ABS(OFFSET(Assumptions!$B$17,0,$C$1)-AR$35))*SIGN(OFFSET(Assumptions!$B$17,0,$C$1)-AR$35)</f>
        <v>5.2999999999999999E-2</v>
      </c>
      <c r="AT35" s="14">
        <f ca="1">AS$35+MIN(OFFSET(Assumptions!$B$24,0,$C$1),ABS(OFFSET(Assumptions!$B$17,0,$C$1)-AS$35))*SIGN(OFFSET(Assumptions!$B$17,0,$C$1)-AS$35)</f>
        <v>5.2999999999999999E-2</v>
      </c>
      <c r="AU35" s="14">
        <f ca="1">AT$35+MIN(OFFSET(Assumptions!$B$24,0,$C$1),ABS(OFFSET(Assumptions!$B$17,0,$C$1)-AT$35))*SIGN(OFFSET(Assumptions!$B$17,0,$C$1)-AT$35)</f>
        <v>5.2999999999999999E-2</v>
      </c>
      <c r="AV35" s="14">
        <f ca="1">AU$35+MIN(OFFSET(Assumptions!$B$24,0,$C$1),ABS(OFFSET(Assumptions!$B$17,0,$C$1)-AU$35))*SIGN(OFFSET(Assumptions!$B$17,0,$C$1)-AU$35)</f>
        <v>5.2999999999999999E-2</v>
      </c>
      <c r="AW35" s="14">
        <f ca="1">AV$35+MIN(OFFSET(Assumptions!$B$24,0,$C$1),ABS(OFFSET(Assumptions!$B$17,0,$C$1)-AV$35))*SIGN(OFFSET(Assumptions!$B$17,0,$C$1)-AV$35)</f>
        <v>5.2999999999999999E-2</v>
      </c>
    </row>
    <row r="36" spans="1:49" ht="15" x14ac:dyDescent="0.25">
      <c r="A36" s="2"/>
      <c r="B36" s="4"/>
      <c r="D36" s="21"/>
      <c r="E36" s="20"/>
      <c r="F36" s="20"/>
      <c r="G36" s="20"/>
      <c r="H36" s="20"/>
      <c r="I36" s="20"/>
      <c r="J36" s="14"/>
      <c r="K36" s="14"/>
      <c r="L36" s="14"/>
      <c r="M36" s="14"/>
      <c r="N36" s="14"/>
      <c r="O36" s="14"/>
      <c r="P36" s="14"/>
      <c r="Q36" s="14"/>
      <c r="R36" s="14"/>
      <c r="S36" s="14"/>
    </row>
    <row r="38" spans="1:49" ht="16.5" x14ac:dyDescent="0.25">
      <c r="A38" s="63" t="s">
        <v>299</v>
      </c>
    </row>
    <row r="39" spans="1:49" ht="15" x14ac:dyDescent="0.25">
      <c r="A39" s="2"/>
    </row>
    <row r="40" spans="1:49" x14ac:dyDescent="0.2">
      <c r="A40" s="22" t="s">
        <v>149</v>
      </c>
    </row>
    <row r="41" spans="1:49" x14ac:dyDescent="0.2">
      <c r="A41" s="1" t="s">
        <v>692</v>
      </c>
      <c r="B41" s="4"/>
      <c r="D41" s="18">
        <f t="shared" ref="D41:I41" si="22">SUM(D$137,D$145,D$149,D$159,D$163)</f>
        <v>95.013000000000005</v>
      </c>
      <c r="E41" s="19">
        <f t="shared" si="22"/>
        <v>97.762</v>
      </c>
      <c r="F41" s="19">
        <f t="shared" si="22"/>
        <v>100.95499999999998</v>
      </c>
      <c r="G41" s="19">
        <f t="shared" si="22"/>
        <v>105.74900000000001</v>
      </c>
      <c r="H41" s="19">
        <f t="shared" si="22"/>
        <v>111.22199999999999</v>
      </c>
      <c r="I41" s="19">
        <f t="shared" si="22"/>
        <v>116.211</v>
      </c>
      <c r="J41" s="7">
        <f t="shared" ref="J41:AW41" ca="1" si="23">SUM(J$137,J$145,J$149,J$159,J$163)</f>
        <v>121.5061257846684</v>
      </c>
      <c r="K41" s="7">
        <f t="shared" ca="1" si="23"/>
        <v>127.16293554077222</v>
      </c>
      <c r="L41" s="7">
        <f t="shared" ca="1" si="23"/>
        <v>133.02283946936703</v>
      </c>
      <c r="M41" s="7">
        <f t="shared" ca="1" si="23"/>
        <v>138.96689528028676</v>
      </c>
      <c r="N41" s="7">
        <f t="shared" ca="1" si="23"/>
        <v>145.12047656394964</v>
      </c>
      <c r="O41" s="7">
        <f t="shared" ca="1" si="23"/>
        <v>151.37434942264468</v>
      </c>
      <c r="P41" s="7">
        <f t="shared" ca="1" si="23"/>
        <v>158.03195861251294</v>
      </c>
      <c r="Q41" s="7">
        <f t="shared" ca="1" si="23"/>
        <v>164.77722568571269</v>
      </c>
      <c r="R41" s="7">
        <f t="shared" ca="1" si="23"/>
        <v>171.63047300700728</v>
      </c>
      <c r="S41" s="7">
        <f t="shared" ca="1" si="23"/>
        <v>178.69214147216013</v>
      </c>
      <c r="T41" s="7">
        <f t="shared" ca="1" si="23"/>
        <v>185.98700736258283</v>
      </c>
      <c r="U41" s="7">
        <f t="shared" ca="1" si="23"/>
        <v>193.52007621564147</v>
      </c>
      <c r="V41" s="7">
        <f t="shared" ca="1" si="23"/>
        <v>201.32224734857201</v>
      </c>
      <c r="W41" s="7">
        <f t="shared" ca="1" si="23"/>
        <v>209.41218836505595</v>
      </c>
      <c r="X41" s="7">
        <f t="shared" ca="1" si="23"/>
        <v>217.81456577606477</v>
      </c>
      <c r="Y41" s="7">
        <f t="shared" ca="1" si="23"/>
        <v>226.50644245965279</v>
      </c>
      <c r="Z41" s="7">
        <f t="shared" ca="1" si="23"/>
        <v>235.58504969895438</v>
      </c>
      <c r="AA41" s="7">
        <f t="shared" ca="1" si="23"/>
        <v>245.02866142882885</v>
      </c>
      <c r="AB41" s="7">
        <f t="shared" ca="1" si="23"/>
        <v>254.8698721734568</v>
      </c>
      <c r="AC41" s="7">
        <f t="shared" ca="1" si="23"/>
        <v>265.14089903152433</v>
      </c>
      <c r="AD41" s="7">
        <f t="shared" ca="1" si="23"/>
        <v>275.89897218784802</v>
      </c>
      <c r="AE41" s="7">
        <f t="shared" ca="1" si="23"/>
        <v>287.09459260442492</v>
      </c>
      <c r="AF41" s="7">
        <f t="shared" ca="1" si="23"/>
        <v>298.75014902412488</v>
      </c>
      <c r="AG41" s="7">
        <f t="shared" ca="1" si="23"/>
        <v>310.91634945631745</v>
      </c>
      <c r="AH41" s="7">
        <f t="shared" ca="1" si="23"/>
        <v>323.5761452642933</v>
      </c>
      <c r="AI41" s="7">
        <f t="shared" ca="1" si="23"/>
        <v>336.70676263614365</v>
      </c>
      <c r="AJ41" s="7">
        <f t="shared" ca="1" si="23"/>
        <v>350.3879543710363</v>
      </c>
      <c r="AK41" s="7">
        <f t="shared" ca="1" si="23"/>
        <v>364.58773305147662</v>
      </c>
      <c r="AL41" s="7">
        <f t="shared" ca="1" si="23"/>
        <v>379.30419302816898</v>
      </c>
      <c r="AM41" s="7">
        <f t="shared" ca="1" si="23"/>
        <v>394.54719717390276</v>
      </c>
      <c r="AN41" s="7">
        <f t="shared" ca="1" si="23"/>
        <v>410.34835363299993</v>
      </c>
      <c r="AO41" s="7">
        <f t="shared" ca="1" si="23"/>
        <v>426.64609953360895</v>
      </c>
      <c r="AP41" s="7">
        <f t="shared" ca="1" si="23"/>
        <v>443.50952661186409</v>
      </c>
      <c r="AQ41" s="7">
        <f t="shared" ca="1" si="23"/>
        <v>460.89195610157566</v>
      </c>
      <c r="AR41" s="7">
        <f t="shared" ca="1" si="23"/>
        <v>478.82774349017905</v>
      </c>
      <c r="AS41" s="7">
        <f t="shared" ca="1" si="23"/>
        <v>497.36400037100952</v>
      </c>
      <c r="AT41" s="7">
        <f t="shared" ca="1" si="23"/>
        <v>516.4650845909523</v>
      </c>
      <c r="AU41" s="7">
        <f t="shared" ca="1" si="23"/>
        <v>536.17945116275268</v>
      </c>
      <c r="AV41" s="7">
        <f t="shared" ca="1" si="23"/>
        <v>556.56619524842074</v>
      </c>
      <c r="AW41" s="7">
        <f t="shared" ca="1" si="23"/>
        <v>577.6223996238632</v>
      </c>
    </row>
    <row r="42" spans="1:49" x14ac:dyDescent="0.2">
      <c r="A42" s="1" t="s">
        <v>693</v>
      </c>
      <c r="B42" s="4"/>
      <c r="D42" s="18">
        <f t="shared" ref="D42" si="24">SUM(D$177,D$196,D$202,D$209,D$216,D$224,D$229,D$231)</f>
        <v>94.271999999999991</v>
      </c>
      <c r="E42" s="19">
        <f t="shared" ref="E42:AW42" ca="1" si="25">SUM(E$177,E$196,E$202,E$209,E$216,E$224,E$229,E$231)</f>
        <v>96.590999999999994</v>
      </c>
      <c r="F42" s="19">
        <f t="shared" ca="1" si="25"/>
        <v>99.719000000000023</v>
      </c>
      <c r="G42" s="19">
        <f t="shared" ca="1" si="25"/>
        <v>102.73400000000001</v>
      </c>
      <c r="H42" s="19">
        <f t="shared" ca="1" si="25"/>
        <v>105.65900000000001</v>
      </c>
      <c r="I42" s="19">
        <f t="shared" ca="1" si="25"/>
        <v>108.88800000000001</v>
      </c>
      <c r="J42" s="7">
        <f t="shared" ca="1" si="25"/>
        <v>116.14605301550293</v>
      </c>
      <c r="K42" s="7">
        <f t="shared" ca="1" si="25"/>
        <v>123.37156345261279</v>
      </c>
      <c r="L42" s="7">
        <f t="shared" ca="1" si="25"/>
        <v>130.56287802065822</v>
      </c>
      <c r="M42" s="7">
        <f t="shared" ca="1" si="25"/>
        <v>137.77918564771824</v>
      </c>
      <c r="N42" s="7">
        <f t="shared" ca="1" si="25"/>
        <v>145.06670237350309</v>
      </c>
      <c r="O42" s="7">
        <f t="shared" ca="1" si="25"/>
        <v>152.89637478145761</v>
      </c>
      <c r="P42" s="7">
        <f t="shared" ca="1" si="25"/>
        <v>161.0619614788279</v>
      </c>
      <c r="Q42" s="7">
        <f t="shared" ca="1" si="25"/>
        <v>169.31336120812185</v>
      </c>
      <c r="R42" s="7">
        <f t="shared" ca="1" si="25"/>
        <v>177.91544569278096</v>
      </c>
      <c r="S42" s="7">
        <f t="shared" ca="1" si="25"/>
        <v>186.86564939487755</v>
      </c>
      <c r="T42" s="7">
        <f t="shared" ca="1" si="25"/>
        <v>196.23220468600459</v>
      </c>
      <c r="U42" s="7">
        <f t="shared" ca="1" si="25"/>
        <v>206.0959402196807</v>
      </c>
      <c r="V42" s="7">
        <f t="shared" ca="1" si="25"/>
        <v>216.45173337049206</v>
      </c>
      <c r="W42" s="7">
        <f t="shared" ca="1" si="25"/>
        <v>227.14953607013896</v>
      </c>
      <c r="X42" s="7">
        <f t="shared" ca="1" si="25"/>
        <v>238.27951020624434</v>
      </c>
      <c r="Y42" s="7">
        <f t="shared" ca="1" si="25"/>
        <v>249.99522240681796</v>
      </c>
      <c r="Z42" s="7">
        <f t="shared" ca="1" si="25"/>
        <v>262.25056938868039</v>
      </c>
      <c r="AA42" s="7">
        <f t="shared" ca="1" si="25"/>
        <v>275.03460461541573</v>
      </c>
      <c r="AB42" s="7">
        <f t="shared" ca="1" si="25"/>
        <v>288.37785746031295</v>
      </c>
      <c r="AC42" s="7">
        <f t="shared" ca="1" si="25"/>
        <v>302.30236563862758</v>
      </c>
      <c r="AD42" s="7">
        <f t="shared" ca="1" si="25"/>
        <v>316.80822107854061</v>
      </c>
      <c r="AE42" s="7">
        <f t="shared" ca="1" si="25"/>
        <v>332.01290291470252</v>
      </c>
      <c r="AF42" s="7">
        <f t="shared" ca="1" si="25"/>
        <v>347.90372512422977</v>
      </c>
      <c r="AG42" s="7">
        <f t="shared" ca="1" si="25"/>
        <v>364.6260453576574</v>
      </c>
      <c r="AH42" s="7">
        <f t="shared" ca="1" si="25"/>
        <v>382.18699551310999</v>
      </c>
      <c r="AI42" s="7">
        <f t="shared" ca="1" si="25"/>
        <v>400.60974617724395</v>
      </c>
      <c r="AJ42" s="7">
        <f t="shared" ca="1" si="25"/>
        <v>419.94674502209597</v>
      </c>
      <c r="AK42" s="7">
        <f t="shared" ca="1" si="25"/>
        <v>440.29686325193785</v>
      </c>
      <c r="AL42" s="7">
        <f t="shared" ca="1" si="25"/>
        <v>461.64404663177186</v>
      </c>
      <c r="AM42" s="7">
        <f t="shared" ca="1" si="25"/>
        <v>484.05979431233823</v>
      </c>
      <c r="AN42" s="7">
        <f t="shared" ca="1" si="25"/>
        <v>507.67817882158346</v>
      </c>
      <c r="AO42" s="7">
        <f t="shared" ca="1" si="25"/>
        <v>532.55409971406391</v>
      </c>
      <c r="AP42" s="7">
        <f t="shared" ca="1" si="25"/>
        <v>558.86687740956881</v>
      </c>
      <c r="AQ42" s="7">
        <f t="shared" ca="1" si="25"/>
        <v>586.64437454072799</v>
      </c>
      <c r="AR42" s="7">
        <f t="shared" ca="1" si="25"/>
        <v>616.02873509110646</v>
      </c>
      <c r="AS42" s="7">
        <f t="shared" ca="1" si="25"/>
        <v>647.08872303080284</v>
      </c>
      <c r="AT42" s="7">
        <f t="shared" ca="1" si="25"/>
        <v>679.65715409964639</v>
      </c>
      <c r="AU42" s="7">
        <f t="shared" ca="1" si="25"/>
        <v>713.90781458892593</v>
      </c>
      <c r="AV42" s="7">
        <f t="shared" ca="1" si="25"/>
        <v>749.88942856210292</v>
      </c>
      <c r="AW42" s="7">
        <f t="shared" ca="1" si="25"/>
        <v>787.76735713719188</v>
      </c>
    </row>
    <row r="43" spans="1:49" x14ac:dyDescent="0.2">
      <c r="A43" s="1" t="s">
        <v>695</v>
      </c>
      <c r="B43" s="4" t="s">
        <v>310</v>
      </c>
      <c r="D43" s="18">
        <f>Fiscal!D$24</f>
        <v>0.32700000000000001</v>
      </c>
      <c r="E43" s="19">
        <f>Fiscal!E$24</f>
        <v>0.503</v>
      </c>
      <c r="F43" s="19">
        <f>Fiscal!F$24</f>
        <v>0.51700000000000002</v>
      </c>
      <c r="G43" s="19">
        <f>Fiscal!G$24</f>
        <v>0.56000000000000005</v>
      </c>
      <c r="H43" s="19">
        <f>Fiscal!H$24</f>
        <v>0.59099999999999997</v>
      </c>
      <c r="I43" s="19">
        <f>Fiscal!I$24</f>
        <v>0.64200000000000002</v>
      </c>
      <c r="J43" s="7">
        <f ca="1">IF(J$6=OFFSET(Assumptions!$B$8,0,$C$1),AVERAGE(G$43/G$407,H$43/H$407,I$43/I$407),I$43/I$407)*J$407</f>
        <v>0.61206832000864209</v>
      </c>
      <c r="K43" s="7">
        <f ca="1">IF(K$6=OFFSET(Assumptions!$B$8,0,$C$1),AVERAGE(H$43/H$407,I$43/I$407,J$43/J$407),J$43/J$407)*K$407</f>
        <v>0.6184904472493058</v>
      </c>
      <c r="L43" s="7">
        <f ca="1">IF(L$6=OFFSET(Assumptions!$B$8,0,$C$1),AVERAGE(I$43/I$407,J$43/J$407,K$43/K$407),K$43/K$407)*L$407</f>
        <v>0.62590384027160106</v>
      </c>
      <c r="M43" s="7">
        <f ca="1">IF(M$6=OFFSET(Assumptions!$B$8,0,$C$1),AVERAGE(J$43/J$407,K$43/K$407,L$43/L$407),L$43/L$407)*M$407</f>
        <v>0.63432099327657021</v>
      </c>
      <c r="N43" s="7">
        <f ca="1">IF(N$6=OFFSET(Assumptions!$B$8,0,$C$1),AVERAGE(K$43/K$407,L$43/L$407,M$43/M$407),M$43/M$407)*N$407</f>
        <v>0.64375736911460735</v>
      </c>
      <c r="O43" s="7">
        <f ca="1">IF(O$6=OFFSET(Assumptions!$B$8,0,$C$1),AVERAGE(L$43/L$407,M$43/M$407,N$43/N$407),N$43/N$407)*O$407</f>
        <v>0.65421824603970913</v>
      </c>
      <c r="P43" s="7">
        <f ca="1">IF(P$6=OFFSET(Assumptions!$B$8,0,$C$1),AVERAGE(M$43/M$407,N$43/N$407,O$43/O$407),O$43/O$407)*P$407</f>
        <v>0.66571225960302205</v>
      </c>
      <c r="Q43" s="7">
        <f ca="1">IF(Q$6=OFFSET(Assumptions!$B$8,0,$C$1),AVERAGE(N$43/N$407,O$43/O$407,P$43/P$407),P$43/P$407)*Q$407</f>
        <v>0.67824622682261759</v>
      </c>
      <c r="R43" s="7">
        <f ca="1">IF(R$6=OFFSET(Assumptions!$B$8,0,$C$1),AVERAGE(O$43/O$407,P$43/P$407,Q$43/Q$407),Q$43/Q$407)*R$407</f>
        <v>0.69182565194877221</v>
      </c>
      <c r="S43" s="7">
        <f ca="1">IF(S$6=OFFSET(Assumptions!$B$8,0,$C$1),AVERAGE(P$43/P$407,Q$43/Q$407,R$43/R$407),R$43/R$407)*S$407</f>
        <v>0.7064605714462604</v>
      </c>
      <c r="T43" s="7">
        <f ca="1">IF(T$6=OFFSET(Assumptions!$B$8,0,$C$1),AVERAGE(Q$43/Q$407,R$43/R$407,S$43/S$407),S$43/S$407)*T$407</f>
        <v>0.72216122749498457</v>
      </c>
      <c r="U43" s="7">
        <f ca="1">IF(U$6=OFFSET(Assumptions!$B$8,0,$C$1),AVERAGE(R$43/R$407,S$43/S$407,T$43/T$407),T$43/T$407)*U$407</f>
        <v>0.73894317728061354</v>
      </c>
      <c r="V43" s="7">
        <f ca="1">IF(V$6=OFFSET(Assumptions!$B$8,0,$C$1),AVERAGE(S$43/S$407,T$43/T$407,U$43/U$407),U$43/U$407)*V$407</f>
        <v>0.75682546478066592</v>
      </c>
      <c r="W43" s="7">
        <f ca="1">IF(W$6=OFFSET(Assumptions!$B$8,0,$C$1),AVERAGE(T$43/T$407,U$43/U$407,V$43/V$407),V$43/V$407)*W$407</f>
        <v>0.77583136429931532</v>
      </c>
      <c r="X43" s="7">
        <f ca="1">IF(X$6=OFFSET(Assumptions!$B$8,0,$C$1),AVERAGE(U$43/U$407,V$43/V$407,W$43/W$407),W$43/W$407)*X$407</f>
        <v>0.79598888505444942</v>
      </c>
      <c r="Y43" s="7">
        <f ca="1">IF(Y$6=OFFSET(Assumptions!$B$8,0,$C$1),AVERAGE(V$43/V$407,W$43/W$407,X$43/X$407),X$43/X$407)*Y$407</f>
        <v>0.81732486295472073</v>
      </c>
      <c r="Z43" s="7">
        <f ca="1">IF(Z$6=OFFSET(Assumptions!$B$8,0,$C$1),AVERAGE(W$43/W$407,X$43/X$407,Y$43/Y$407),Y$43/Y$407)*Z$407</f>
        <v>0.83987474882880919</v>
      </c>
      <c r="AA43" s="7">
        <f ca="1">IF(AA$6=OFFSET(Assumptions!$B$8,0,$C$1),AVERAGE(X$43/X$407,Y$43/Y$407,Z$43/Z$407),Z$43/Z$407)*AA$407</f>
        <v>0.86367592486788491</v>
      </c>
      <c r="AB43" s="7">
        <f ca="1">IF(AB$6=OFFSET(Assumptions!$B$8,0,$C$1),AVERAGE(Y$43/Y$407,Z$43/Z$407,AA$43/AA$407),AA$43/AA$407)*AB$407</f>
        <v>0.88877060014478837</v>
      </c>
      <c r="AC43" s="7">
        <f ca="1">IF(AC$6=OFFSET(Assumptions!$B$8,0,$C$1),AVERAGE(Z$43/Z$407,AA$43/AA$407,AB$43/AB$407),AB$43/AB$407)*AC$407</f>
        <v>0.91520754592030684</v>
      </c>
      <c r="AD43" s="7">
        <f ca="1">IF(AD$6=OFFSET(Assumptions!$B$8,0,$C$1),AVERAGE(AA$43/AA$407,AB$43/AB$407,AC$43/AC$407),AC$43/AC$407)*AD$407</f>
        <v>0.94303616158377712</v>
      </c>
      <c r="AE43" s="7">
        <f ca="1">IF(AE$6=OFFSET(Assumptions!$B$8,0,$C$1),AVERAGE(AB$43/AB$407,AC$43/AC$407,AD$43/AD$407),AD$43/AD$407)*AE$407</f>
        <v>0.97230197189848622</v>
      </c>
      <c r="AF43" s="7">
        <f ca="1">IF(AF$6=OFFSET(Assumptions!$B$8,0,$C$1),AVERAGE(AC$43/AC$407,AD$43/AD$407,AE$43/AE$407),AE$43/AE$407)*AF$407</f>
        <v>1.003055586688312</v>
      </c>
      <c r="AG43" s="7">
        <f ca="1">IF(AG$6=OFFSET(Assumptions!$B$8,0,$C$1),AVERAGE(AD$43/AD$407,AE$43/AE$407,AF$43/AF$407),AF$43/AF$407)*AG$407</f>
        <v>1.0353472408135571</v>
      </c>
      <c r="AH43" s="7">
        <f ca="1">IF(AH$6=OFFSET(Assumptions!$B$8,0,$C$1),AVERAGE(AE$43/AE$407,AF$43/AF$407,AG$43/AG$407),AG$43/AG$407)*AH$407</f>
        <v>1.0692296030892219</v>
      </c>
      <c r="AI43" s="7">
        <f ca="1">IF(AI$6=OFFSET(Assumptions!$B$8,0,$C$1),AVERAGE(AF$43/AF$407,AG$43/AG$407,AH$43/AH$407),AH$43/AH$407)*AI$407</f>
        <v>1.1047487181867237</v>
      </c>
      <c r="AJ43" s="7">
        <f ca="1">IF(AJ$6=OFFSET(Assumptions!$B$8,0,$C$1),AVERAGE(AG$43/AG$407,AH$43/AH$407,AI$43/AI$407),AI$43/AI$407)*AJ$407</f>
        <v>1.1419580766424731</v>
      </c>
      <c r="AK43" s="7">
        <f ca="1">IF(AK$6=OFFSET(Assumptions!$B$8,0,$C$1),AVERAGE(AH$43/AH$407,AI$43/AI$407,AJ$43/AJ$407),AJ$43/AJ$407)*AK$407</f>
        <v>1.1809068636979103</v>
      </c>
      <c r="AL43" s="7">
        <f ca="1">IF(AL$6=OFFSET(Assumptions!$B$8,0,$C$1),AVERAGE(AI$43/AI$407,AJ$43/AJ$407,AK$43/AK$407),AK$43/AK$407)*AL$407</f>
        <v>1.2216401280444162</v>
      </c>
      <c r="AM43" s="7">
        <f ca="1">IF(AM$6=OFFSET(Assumptions!$B$8,0,$C$1),AVERAGE(AJ$43/AJ$407,AK$43/AK$407,AL$43/AL$407),AL$43/AL$407)*AM$407</f>
        <v>1.2642056437908908</v>
      </c>
      <c r="AN43" s="7">
        <f ca="1">IF(AN$6=OFFSET(Assumptions!$B$8,0,$C$1),AVERAGE(AK$43/AK$407,AL$43/AL$407,AM$43/AM$407),AM$43/AM$407)*AN$407</f>
        <v>1.3086540468312993</v>
      </c>
      <c r="AO43" s="7">
        <f ca="1">IF(AO$6=OFFSET(Assumptions!$B$8,0,$C$1),AVERAGE(AL$43/AL$407,AM$43/AM$407,AN$43/AN$407),AN$43/AN$407)*AO$407</f>
        <v>1.3550209047651209</v>
      </c>
      <c r="AP43" s="7">
        <f ca="1">IF(AP$6=OFFSET(Assumptions!$B$8,0,$C$1),AVERAGE(AM$43/AM$407,AN$43/AN$407,AO$43/AO$407),AO$43/AO$407)*AP$407</f>
        <v>1.4033553303436199</v>
      </c>
      <c r="AQ43" s="7">
        <f ca="1">IF(AQ$6=OFFSET(Assumptions!$B$8,0,$C$1),AVERAGE(AN$43/AN$407,AO$43/AO$407,AP$43/AP$407),AP$43/AP$407)*AQ$407</f>
        <v>1.4536946137455895</v>
      </c>
      <c r="AR43" s="7">
        <f ca="1">IF(AR$6=OFFSET(Assumptions!$B$8,0,$C$1),AVERAGE(AO$43/AO$407,AP$43/AP$407,AQ$43/AQ$407),AQ$43/AQ$407)*AR$407</f>
        <v>1.5060789293816212</v>
      </c>
      <c r="AS43" s="7">
        <f ca="1">IF(AS$6=OFFSET(Assumptions!$B$8,0,$C$1),AVERAGE(AP$43/AP$407,AQ$43/AQ$407,AR$43/AR$407),AR$43/AR$407)*AS$407</f>
        <v>1.560555945656213</v>
      </c>
      <c r="AT43" s="7">
        <f ca="1">IF(AT$6=OFFSET(Assumptions!$B$8,0,$C$1),AVERAGE(AQ$43/AQ$407,AR$43/AR$407,AS$43/AS$407),AS$43/AS$407)*AT$407</f>
        <v>1.6171747968578181</v>
      </c>
      <c r="AU43" s="7">
        <f ca="1">IF(AU$6=OFFSET(Assumptions!$B$8,0,$C$1),AVERAGE(AR$43/AR$407,AS$43/AS$407,AT$43/AT$407),AT$43/AT$407)*AU$407</f>
        <v>1.6759882868556872</v>
      </c>
      <c r="AV43" s="7">
        <f ca="1">IF(AV$6=OFFSET(Assumptions!$B$8,0,$C$1),AVERAGE(AS$43/AS$407,AT$43/AT$407,AU$43/AU$407),AU$43/AU$407)*AV$407</f>
        <v>1.7370603136517999</v>
      </c>
      <c r="AW43" s="7">
        <f ca="1">IF(AW$6=OFFSET(Assumptions!$B$8,0,$C$1),AVERAGE(AT$43/AT$407,AU$43/AU$407,AV$43/AV$407),AV$43/AV$407)*AW$407</f>
        <v>1.8004500781312118</v>
      </c>
    </row>
    <row r="44" spans="1:49" ht="15" x14ac:dyDescent="0.25">
      <c r="A44" s="2" t="s">
        <v>701</v>
      </c>
      <c r="B44" s="4"/>
      <c r="D44" s="40">
        <f t="shared" ref="D44" si="26">D$41-D$42-D$43</f>
        <v>0.41400000000001386</v>
      </c>
      <c r="E44" s="39">
        <f t="shared" ref="E44:AW44" ca="1" si="27">E$41-E$42-E$43</f>
        <v>0.66800000000000648</v>
      </c>
      <c r="F44" s="39">
        <f t="shared" ca="1" si="27"/>
        <v>0.71899999999996156</v>
      </c>
      <c r="G44" s="39">
        <f t="shared" ca="1" si="27"/>
        <v>2.4550000000000005</v>
      </c>
      <c r="H44" s="39">
        <f t="shared" ca="1" si="27"/>
        <v>4.971999999999988</v>
      </c>
      <c r="I44" s="39">
        <f t="shared" ca="1" si="27"/>
        <v>6.6809999999999929</v>
      </c>
      <c r="J44" s="43">
        <f t="shared" ca="1" si="27"/>
        <v>4.7480044491568272</v>
      </c>
      <c r="K44" s="43">
        <f t="shared" ca="1" si="27"/>
        <v>3.1728816409101288</v>
      </c>
      <c r="L44" s="43">
        <f t="shared" ca="1" si="27"/>
        <v>1.8340576084372093</v>
      </c>
      <c r="M44" s="43">
        <f t="shared" ca="1" si="27"/>
        <v>0.55338863929195703</v>
      </c>
      <c r="N44" s="43">
        <f t="shared" ca="1" si="27"/>
        <v>-0.58998317866806105</v>
      </c>
      <c r="O44" s="43">
        <f t="shared" ca="1" si="27"/>
        <v>-2.1762436048526346</v>
      </c>
      <c r="P44" s="43">
        <f t="shared" ca="1" si="27"/>
        <v>-3.6957151259179808</v>
      </c>
      <c r="Q44" s="43">
        <f t="shared" ca="1" si="27"/>
        <v>-5.2143817492317712</v>
      </c>
      <c r="R44" s="43">
        <f t="shared" ca="1" si="27"/>
        <v>-6.9767983377224532</v>
      </c>
      <c r="S44" s="43">
        <f t="shared" ca="1" si="27"/>
        <v>-8.8799684941636805</v>
      </c>
      <c r="T44" s="43">
        <f t="shared" ca="1" si="27"/>
        <v>-10.967358550916748</v>
      </c>
      <c r="U44" s="43">
        <f t="shared" ca="1" si="27"/>
        <v>-13.314807181319846</v>
      </c>
      <c r="V44" s="43">
        <f t="shared" ca="1" si="27"/>
        <v>-15.886311486700725</v>
      </c>
      <c r="W44" s="43">
        <f t="shared" ca="1" si="27"/>
        <v>-18.513179069382325</v>
      </c>
      <c r="X44" s="43">
        <f t="shared" ca="1" si="27"/>
        <v>-21.26093331523402</v>
      </c>
      <c r="Y44" s="43">
        <f t="shared" ca="1" si="27"/>
        <v>-24.306104810119891</v>
      </c>
      <c r="Z44" s="43">
        <f t="shared" ca="1" si="27"/>
        <v>-27.50539443855482</v>
      </c>
      <c r="AA44" s="43">
        <f t="shared" ca="1" si="27"/>
        <v>-30.86961911145476</v>
      </c>
      <c r="AB44" s="43">
        <f t="shared" ca="1" si="27"/>
        <v>-34.396755887000943</v>
      </c>
      <c r="AC44" s="43">
        <f t="shared" ca="1" si="27"/>
        <v>-38.076674153023561</v>
      </c>
      <c r="AD44" s="43">
        <f t="shared" ca="1" si="27"/>
        <v>-41.852285052276372</v>
      </c>
      <c r="AE44" s="43">
        <f t="shared" ca="1" si="27"/>
        <v>-45.890612282176093</v>
      </c>
      <c r="AF44" s="43">
        <f t="shared" ca="1" si="27"/>
        <v>-50.156631686793197</v>
      </c>
      <c r="AG44" s="43">
        <f t="shared" ca="1" si="27"/>
        <v>-54.745043142153513</v>
      </c>
      <c r="AH44" s="43">
        <f t="shared" ca="1" si="27"/>
        <v>-59.680079851905909</v>
      </c>
      <c r="AI44" s="43">
        <f t="shared" ca="1" si="27"/>
        <v>-65.007732259287025</v>
      </c>
      <c r="AJ44" s="43">
        <f t="shared" ca="1" si="27"/>
        <v>-70.700748727702134</v>
      </c>
      <c r="AK44" s="43">
        <f t="shared" ca="1" si="27"/>
        <v>-76.890037064159145</v>
      </c>
      <c r="AL44" s="43">
        <f t="shared" ca="1" si="27"/>
        <v>-83.561493731647289</v>
      </c>
      <c r="AM44" s="43">
        <f t="shared" ca="1" si="27"/>
        <v>-90.776802782226355</v>
      </c>
      <c r="AN44" s="43">
        <f t="shared" ca="1" si="27"/>
        <v>-98.63847923541482</v>
      </c>
      <c r="AO44" s="43">
        <f t="shared" ca="1" si="27"/>
        <v>-107.26302108522009</v>
      </c>
      <c r="AP44" s="43">
        <f t="shared" ca="1" si="27"/>
        <v>-116.76070612804834</v>
      </c>
      <c r="AQ44" s="43">
        <f t="shared" ca="1" si="27"/>
        <v>-127.20611305289792</v>
      </c>
      <c r="AR44" s="43">
        <f t="shared" ca="1" si="27"/>
        <v>-138.70707053030904</v>
      </c>
      <c r="AS44" s="43">
        <f t="shared" ca="1" si="27"/>
        <v>-151.28527860544952</v>
      </c>
      <c r="AT44" s="43">
        <f t="shared" ca="1" si="27"/>
        <v>-164.80924430555191</v>
      </c>
      <c r="AU44" s="43">
        <f t="shared" ca="1" si="27"/>
        <v>-179.40435171302894</v>
      </c>
      <c r="AV44" s="43">
        <f t="shared" ca="1" si="27"/>
        <v>-195.06029362733398</v>
      </c>
      <c r="AW44" s="43">
        <f t="shared" ca="1" si="27"/>
        <v>-211.94540759145988</v>
      </c>
    </row>
    <row r="45" spans="1:49" x14ac:dyDescent="0.2">
      <c r="A45" s="1" t="s">
        <v>694</v>
      </c>
      <c r="D45" s="18">
        <f t="shared" ref="D45:I45" si="28">D$325</f>
        <v>4.5469999999999997</v>
      </c>
      <c r="E45" s="19">
        <f t="shared" si="28"/>
        <v>-3.4550000000000005</v>
      </c>
      <c r="F45" s="19">
        <f t="shared" si="28"/>
        <v>2.0570000000000004</v>
      </c>
      <c r="G45" s="19">
        <f t="shared" si="28"/>
        <v>2.2280000000000002</v>
      </c>
      <c r="H45" s="19">
        <f t="shared" si="28"/>
        <v>2.351</v>
      </c>
      <c r="I45" s="19">
        <f t="shared" si="28"/>
        <v>2.633</v>
      </c>
      <c r="J45" s="7">
        <f t="shared" ref="J45:AW45" ca="1" si="29">J$325</f>
        <v>2.367319290806599</v>
      </c>
      <c r="K45" s="7">
        <f t="shared" ca="1" si="29"/>
        <v>2.6899986987703763</v>
      </c>
      <c r="L45" s="7">
        <f t="shared" ca="1" si="29"/>
        <v>3.0374234830580384</v>
      </c>
      <c r="M45" s="7">
        <f t="shared" ca="1" si="29"/>
        <v>3.4095638063490661</v>
      </c>
      <c r="N45" s="7">
        <f t="shared" ca="1" si="29"/>
        <v>3.7857898144786883</v>
      </c>
      <c r="O45" s="7">
        <f t="shared" ca="1" si="29"/>
        <v>4.1146052922075951</v>
      </c>
      <c r="P45" s="7">
        <f t="shared" ca="1" si="29"/>
        <v>4.4474064112467353</v>
      </c>
      <c r="Q45" s="7">
        <f t="shared" ca="1" si="29"/>
        <v>4.782448050242933</v>
      </c>
      <c r="R45" s="7">
        <f t="shared" ca="1" si="29"/>
        <v>5.1194175736491667</v>
      </c>
      <c r="S45" s="7">
        <f t="shared" ca="1" si="29"/>
        <v>5.4596309232597138</v>
      </c>
      <c r="T45" s="7">
        <f t="shared" ca="1" si="29"/>
        <v>5.8045217229448252</v>
      </c>
      <c r="U45" s="7">
        <f t="shared" ca="1" si="29"/>
        <v>6.1543019798070695</v>
      </c>
      <c r="V45" s="7">
        <f t="shared" ca="1" si="29"/>
        <v>6.508517800692613</v>
      </c>
      <c r="W45" s="7">
        <f t="shared" ca="1" si="29"/>
        <v>6.8666766313626173</v>
      </c>
      <c r="X45" s="7">
        <f t="shared" ca="1" si="29"/>
        <v>7.2289045291724294</v>
      </c>
      <c r="Y45" s="7">
        <f t="shared" ca="1" si="29"/>
        <v>7.594725813186133</v>
      </c>
      <c r="Z45" s="7">
        <f t="shared" ca="1" si="29"/>
        <v>7.9643185673482577</v>
      </c>
      <c r="AA45" s="7">
        <f t="shared" ca="1" si="29"/>
        <v>8.340691057763415</v>
      </c>
      <c r="AB45" s="7">
        <f t="shared" ca="1" si="29"/>
        <v>8.728151984712083</v>
      </c>
      <c r="AC45" s="7">
        <f t="shared" ca="1" si="29"/>
        <v>9.1320602527217627</v>
      </c>
      <c r="AD45" s="7">
        <f t="shared" ca="1" si="29"/>
        <v>9.5588012389692274</v>
      </c>
      <c r="AE45" s="7">
        <f t="shared" ca="1" si="29"/>
        <v>10.01358039840027</v>
      </c>
      <c r="AF45" s="7">
        <f t="shared" ca="1" si="29"/>
        <v>10.500717939074811</v>
      </c>
      <c r="AG45" s="7">
        <f t="shared" ca="1" si="29"/>
        <v>11.023942488889746</v>
      </c>
      <c r="AH45" s="7">
        <f t="shared" ca="1" si="29"/>
        <v>11.585977860018568</v>
      </c>
      <c r="AI45" s="7">
        <f t="shared" ca="1" si="29"/>
        <v>12.190036099692572</v>
      </c>
      <c r="AJ45" s="7">
        <f t="shared" ca="1" si="29"/>
        <v>12.83912913020052</v>
      </c>
      <c r="AK45" s="7">
        <f t="shared" ca="1" si="29"/>
        <v>13.535493494491288</v>
      </c>
      <c r="AL45" s="7">
        <f t="shared" ca="1" si="29"/>
        <v>14.281226377035756</v>
      </c>
      <c r="AM45" s="7">
        <f t="shared" ca="1" si="29"/>
        <v>15.079328426436136</v>
      </c>
      <c r="AN45" s="7">
        <f t="shared" ca="1" si="29"/>
        <v>15.931747484002432</v>
      </c>
      <c r="AO45" s="7">
        <f t="shared" ca="1" si="29"/>
        <v>16.838683144348011</v>
      </c>
      <c r="AP45" s="7">
        <f t="shared" ca="1" si="29"/>
        <v>17.798010073079915</v>
      </c>
      <c r="AQ45" s="7">
        <f t="shared" ca="1" si="29"/>
        <v>18.805933411317987</v>
      </c>
      <c r="AR45" s="7">
        <f t="shared" ca="1" si="29"/>
        <v>19.857323409828897</v>
      </c>
      <c r="AS45" s="7">
        <f t="shared" ca="1" si="29"/>
        <v>20.945668780069941</v>
      </c>
      <c r="AT45" s="7">
        <f t="shared" ca="1" si="29"/>
        <v>22.065774569826484</v>
      </c>
      <c r="AU45" s="7">
        <f t="shared" ca="1" si="29"/>
        <v>23.22010818673877</v>
      </c>
      <c r="AV45" s="7">
        <f t="shared" ca="1" si="29"/>
        <v>24.409156433422432</v>
      </c>
      <c r="AW45" s="7">
        <f t="shared" ca="1" si="29"/>
        <v>25.632983881632946</v>
      </c>
    </row>
    <row r="46" spans="1:49" x14ac:dyDescent="0.2">
      <c r="A46" s="1" t="s">
        <v>696</v>
      </c>
      <c r="B46" s="4" t="str">
        <f t="shared" ref="B46" si="30">$B$43</f>
        <v>From Fiscal</v>
      </c>
      <c r="D46" s="18">
        <f>Fiscal!D$29</f>
        <v>0.218</v>
      </c>
      <c r="E46" s="19">
        <f>Fiscal!E$29</f>
        <v>6.2E-2</v>
      </c>
      <c r="F46" s="19">
        <f>Fiscal!F$29</f>
        <v>4.0000000000000001E-3</v>
      </c>
      <c r="G46" s="19">
        <f>Fiscal!G$29</f>
        <v>1.0999999999999999E-2</v>
      </c>
      <c r="H46" s="19">
        <f>Fiscal!H$29</f>
        <v>4.0000000000000001E-3</v>
      </c>
      <c r="I46" s="19">
        <f>Fiscal!I$29</f>
        <v>4.0000000000000001E-3</v>
      </c>
      <c r="J46" s="7">
        <f ca="1">IF(J$6=OFFSET(Assumptions!$B$8,0,$C$1),AVERAGE(G$46/G$407,H$46/H$407,I$46/I$407),I$46/I$407)*J$407</f>
        <v>6.497454889961801E-3</v>
      </c>
      <c r="K46" s="7">
        <f ca="1">IF(K$6=OFFSET(Assumptions!$B$8,0,$C$1),AVERAGE(H$46/H$407,I$46/I$407,J$46/J$407),J$46/J$407)*K$407</f>
        <v>6.5656294395663589E-3</v>
      </c>
      <c r="L46" s="7">
        <f ca="1">IF(L$6=OFFSET(Assumptions!$B$8,0,$C$1),AVERAGE(I$46/I$407,J$46/J$407,K$46/K$407),K$46/K$407)*L$407</f>
        <v>6.6443268417505485E-3</v>
      </c>
      <c r="M46" s="7">
        <f ca="1">IF(M$6=OFFSET(Assumptions!$B$8,0,$C$1),AVERAGE(J$46/J$407,K$46/K$407,L$46/L$407),L$46/L$407)*M$407</f>
        <v>6.7336797295963384E-3</v>
      </c>
      <c r="N46" s="7">
        <f ca="1">IF(N$6=OFFSET(Assumptions!$B$8,0,$C$1),AVERAGE(K$46/K$407,L$46/L$407,M$46/M$407),M$46/M$407)*N$407</f>
        <v>6.8338522500945506E-3</v>
      </c>
      <c r="O46" s="7">
        <f ca="1">IF(O$6=OFFSET(Assumptions!$B$8,0,$C$1),AVERAGE(L$46/L$407,M$46/M$407,N$46/N$407),N$46/N$407)*O$407</f>
        <v>6.9449004349268111E-3</v>
      </c>
      <c r="P46" s="7">
        <f ca="1">IF(P$6=OFFSET(Assumptions!$B$8,0,$C$1),AVERAGE(M$46/M$407,N$46/N$407,O$46/O$407),O$46/O$407)*P$407</f>
        <v>7.0669159554020092E-3</v>
      </c>
      <c r="Q46" s="7">
        <f ca="1">IF(Q$6=OFFSET(Assumptions!$B$8,0,$C$1),AVERAGE(N$46/N$407,O$46/O$407,P$46/P$407),P$46/P$407)*Q$407</f>
        <v>7.1999711780615198E-3</v>
      </c>
      <c r="R46" s="7">
        <f ca="1">IF(R$6=OFFSET(Assumptions!$B$8,0,$C$1),AVERAGE(O$46/O$407,P$46/P$407,Q$46/Q$407),Q$46/Q$407)*R$407</f>
        <v>7.3441245336665897E-3</v>
      </c>
      <c r="S46" s="7">
        <f ca="1">IF(S$6=OFFSET(Assumptions!$B$8,0,$C$1),AVERAGE(P$46/P$407,Q$46/Q$407,R$46/R$407),R$46/R$407)*S$407</f>
        <v>7.4994825650246079E-3</v>
      </c>
      <c r="T46" s="7">
        <f ca="1">IF(T$6=OFFSET(Assumptions!$B$8,0,$C$1),AVERAGE(Q$46/Q$407,R$46/R$407,S$46/S$407),S$46/S$407)*T$407</f>
        <v>7.6661539987265687E-3</v>
      </c>
      <c r="U46" s="7">
        <f ca="1">IF(U$6=OFFSET(Assumptions!$B$8,0,$C$1),AVERAGE(R$46/R$407,S$46/S$407,T$46/T$407),T$46/T$407)*U$407</f>
        <v>7.8443039831861284E-3</v>
      </c>
      <c r="V46" s="7">
        <f ca="1">IF(V$6=OFFSET(Assumptions!$B$8,0,$C$1),AVERAGE(S$46/S$407,T$46/T$407,U$46/U$407),U$46/U$407)*V$407</f>
        <v>8.0341346811044229E-3</v>
      </c>
      <c r="W46" s="7">
        <f ca="1">IF(W$6=OFFSET(Assumptions!$B$8,0,$C$1),AVERAGE(T$46/T$407,U$46/U$407,V$46/V$407),V$46/V$407)*W$407</f>
        <v>8.2358931625168049E-3</v>
      </c>
      <c r="X46" s="7">
        <f ca="1">IF(X$6=OFFSET(Assumptions!$B$8,0,$C$1),AVERAGE(U$46/U$407,V$46/V$407,W$46/W$407),W$46/W$407)*X$407</f>
        <v>8.4498767612727465E-3</v>
      </c>
      <c r="Y46" s="7">
        <f ca="1">IF(Y$6=OFFSET(Assumptions!$B$8,0,$C$1),AVERAGE(V$46/V$407,W$46/W$407,X$46/X$407),X$46/X$407)*Y$407</f>
        <v>8.6763703558738799E-3</v>
      </c>
      <c r="Z46" s="7">
        <f ca="1">IF(Z$6=OFFSET(Assumptions!$B$8,0,$C$1),AVERAGE(W$46/W$407,X$46/X$407,Y$46/Y$407),Y$46/Y$407)*Z$407</f>
        <v>8.915750277119612E-3</v>
      </c>
      <c r="AA46" s="7">
        <f ca="1">IF(AA$6=OFFSET(Assumptions!$B$8,0,$C$1),AVERAGE(X$46/X$407,Y$46/Y$407,Z$46/Z$407),Z$46/Z$407)*AA$407</f>
        <v>9.1684133583255639E-3</v>
      </c>
      <c r="AB46" s="7">
        <f ca="1">IF(AB$6=OFFSET(Assumptions!$B$8,0,$C$1),AVERAGE(Y$46/Y$407,Z$46/Z$407,AA$46/AA$407),AA$46/AA$407)*AB$407</f>
        <v>9.4348076729138738E-3</v>
      </c>
      <c r="AC46" s="7">
        <f ca="1">IF(AC$6=OFFSET(Assumptions!$B$8,0,$C$1),AVERAGE(Z$46/Z$407,AA$46/AA$407,AB$46/AB$407),AB$46/AB$407)*AC$407</f>
        <v>9.715450955680693E-3</v>
      </c>
      <c r="AD46" s="7">
        <f ca="1">IF(AD$6=OFFSET(Assumptions!$B$8,0,$C$1),AVERAGE(AA$46/AA$407,AB$46/AB$407,AC$46/AC$407),AC$46/AC$407)*AD$407</f>
        <v>1.0010867609365579E-2</v>
      </c>
      <c r="AE46" s="7">
        <f ca="1">IF(AE$6=OFFSET(Assumptions!$B$8,0,$C$1),AVERAGE(AB$46/AB$407,AC$46/AC$407,AD$46/AD$407),AD$46/AD$407)*AE$407</f>
        <v>1.0321540905339002E-2</v>
      </c>
      <c r="AF46" s="7">
        <f ca="1">IF(AF$6=OFFSET(Assumptions!$B$8,0,$C$1),AVERAGE(AC$46/AC$407,AD$46/AD$407,AE$46/AE$407),AE$46/AE$407)*AF$407</f>
        <v>1.064800809579469E-2</v>
      </c>
      <c r="AG46" s="7">
        <f ca="1">IF(AG$6=OFFSET(Assumptions!$B$8,0,$C$1),AVERAGE(AD$46/AD$407,AE$46/AE$407,AF$46/AF$407),AF$46/AF$407)*AG$407</f>
        <v>1.0990802452473806E-2</v>
      </c>
      <c r="AH46" s="7">
        <f ca="1">IF(AH$6=OFFSET(Assumptions!$B$8,0,$C$1),AVERAGE(AE$46/AE$407,AF$46/AF$407,AG$46/AG$407),AG$46/AG$407)*AH$407</f>
        <v>1.1350483084937135E-2</v>
      </c>
      <c r="AI46" s="7">
        <f ca="1">IF(AI$6=OFFSET(Assumptions!$B$8,0,$C$1),AVERAGE(AF$46/AF$407,AG$46/AG$407,AH$46/AH$407),AH$46/AH$407)*AI$407</f>
        <v>1.1727538783676975E-2</v>
      </c>
      <c r="AJ46" s="7">
        <f ca="1">IF(AJ$6=OFFSET(Assumptions!$B$8,0,$C$1),AVERAGE(AG$46/AG$407,AH$46/AH$407,AI$46/AI$407),AI$46/AI$407)*AJ$407</f>
        <v>1.2122537381296334E-2</v>
      </c>
      <c r="AK46" s="7">
        <f ca="1">IF(AK$6=OFFSET(Assumptions!$B$8,0,$C$1),AVERAGE(AH$46/AH$407,AI$46/AI$407,AJ$46/AJ$407),AJ$46/AJ$407)*AK$407</f>
        <v>1.2536001007232501E-2</v>
      </c>
      <c r="AL46" s="7">
        <f ca="1">IF(AL$6=OFFSET(Assumptions!$B$8,0,$C$1),AVERAGE(AI$46/AI$407,AJ$46/AJ$407,AK$46/AK$407),AK$46/AK$407)*AL$407</f>
        <v>1.2968407879080688E-2</v>
      </c>
      <c r="AM46" s="7">
        <f ca="1">IF(AM$6=OFFSET(Assumptions!$B$8,0,$C$1),AVERAGE(AJ$46/AJ$407,AK$46/AK$407,AL$46/AL$407),AL$46/AL$407)*AM$407</f>
        <v>1.3420265146300094E-2</v>
      </c>
      <c r="AN46" s="7">
        <f ca="1">IF(AN$6=OFFSET(Assumptions!$B$8,0,$C$1),AVERAGE(AK$46/AK$407,AL$46/AL$407,AM$46/AM$407),AM$46/AM$407)*AN$407</f>
        <v>1.3892110337833316E-2</v>
      </c>
      <c r="AO46" s="7">
        <f ca="1">IF(AO$6=OFFSET(Assumptions!$B$8,0,$C$1),AVERAGE(AL$46/AL$407,AM$46/AM$407,AN$46/AN$407),AN$46/AN$407)*AO$407</f>
        <v>1.4384321024068506E-2</v>
      </c>
      <c r="AP46" s="7">
        <f ca="1">IF(AP$6=OFFSET(Assumptions!$B$8,0,$C$1),AVERAGE(AM$46/AM$407,AN$46/AN$407,AO$46/AO$407),AO$46/AO$407)*AP$407</f>
        <v>1.4897418564918323E-2</v>
      </c>
      <c r="AQ46" s="7">
        <f ca="1">IF(AQ$6=OFFSET(Assumptions!$B$8,0,$C$1),AVERAGE(AN$46/AN$407,AO$46/AO$407,AP$46/AP$407),AP$46/AP$407)*AQ$407</f>
        <v>1.543179881693444E-2</v>
      </c>
      <c r="AR46" s="7">
        <f ca="1">IF(AR$6=OFFSET(Assumptions!$B$8,0,$C$1),AVERAGE(AO$46/AO$407,AP$46/AP$407,AQ$46/AQ$407),AQ$46/AQ$407)*AR$407</f>
        <v>1.5987888254436828E-2</v>
      </c>
      <c r="AS46" s="7">
        <f ca="1">IF(AS$6=OFFSET(Assumptions!$B$8,0,$C$1),AVERAGE(AP$46/AP$407,AQ$46/AQ$407,AR$46/AR$407),AR$46/AR$407)*AS$407</f>
        <v>1.656619290477207E-2</v>
      </c>
      <c r="AT46" s="7">
        <f ca="1">IF(AT$6=OFFSET(Assumptions!$B$8,0,$C$1),AVERAGE(AQ$46/AQ$407,AR$46/AR$407,AS$46/AS$407),AS$46/AS$407)*AT$407</f>
        <v>1.7167234356482385E-2</v>
      </c>
      <c r="AU46" s="7">
        <f ca="1">IF(AU$6=OFFSET(Assumptions!$B$8,0,$C$1),AVERAGE(AR$46/AR$407,AS$46/AS$407,AT$46/AT$407),AT$46/AT$407)*AU$407</f>
        <v>1.7791573152806588E-2</v>
      </c>
      <c r="AV46" s="7">
        <f ca="1">IF(AV$6=OFFSET(Assumptions!$B$8,0,$C$1),AVERAGE(AS$46/AS$407,AT$46/AT$407,AU$46/AU$407),AU$46/AU$407)*AV$407</f>
        <v>1.8439887607540461E-2</v>
      </c>
      <c r="AW46" s="7">
        <f ca="1">IF(AW$6=OFFSET(Assumptions!$B$8,0,$C$1),AVERAGE(AT$46/AT$407,AU$46/AU$407,AV$46/AV$407),AV$46/AV$407)*AW$407</f>
        <v>1.9112806171900181E-2</v>
      </c>
    </row>
    <row r="47" spans="1:49" x14ac:dyDescent="0.2">
      <c r="A47" s="1" t="s">
        <v>283</v>
      </c>
      <c r="B47" s="4"/>
      <c r="D47" s="18">
        <f t="shared" ref="D47" si="31">D$329</f>
        <v>1.028</v>
      </c>
      <c r="E47" s="19">
        <f>E$329</f>
        <v>0.28399999999999997</v>
      </c>
      <c r="F47" s="19">
        <f t="shared" ref="F47:I47" si="32">F$329</f>
        <v>0.28599999999999998</v>
      </c>
      <c r="G47" s="19">
        <f t="shared" si="32"/>
        <v>0.28499999999999998</v>
      </c>
      <c r="H47" s="19">
        <f t="shared" si="32"/>
        <v>0.28699999999999998</v>
      </c>
      <c r="I47" s="19">
        <f t="shared" si="32"/>
        <v>0.28899999999999998</v>
      </c>
      <c r="J47" s="7">
        <f t="shared" ref="J47:AW47" ca="1" si="33">J$329</f>
        <v>0.31241826732297806</v>
      </c>
      <c r="K47" s="7">
        <f t="shared" ca="1" si="33"/>
        <v>0.32547428836745085</v>
      </c>
      <c r="L47" s="7">
        <f t="shared" ca="1" si="33"/>
        <v>0.33958206588786044</v>
      </c>
      <c r="M47" s="7">
        <f t="shared" ca="1" si="33"/>
        <v>0.3542542026932084</v>
      </c>
      <c r="N47" s="7">
        <f t="shared" ca="1" si="33"/>
        <v>0.3695322925004827</v>
      </c>
      <c r="O47" s="7">
        <f t="shared" ca="1" si="33"/>
        <v>0.38530641883616568</v>
      </c>
      <c r="P47" s="7">
        <f t="shared" ca="1" si="33"/>
        <v>0.40160060392255903</v>
      </c>
      <c r="Q47" s="7">
        <f t="shared" ca="1" si="33"/>
        <v>0.41839724704785153</v>
      </c>
      <c r="R47" s="7">
        <f t="shared" ca="1" si="33"/>
        <v>0.4356838814494649</v>
      </c>
      <c r="S47" s="7">
        <f t="shared" ca="1" si="33"/>
        <v>0.45351544334662797</v>
      </c>
      <c r="T47" s="7">
        <f t="shared" ca="1" si="33"/>
        <v>0.4718984353062462</v>
      </c>
      <c r="U47" s="7">
        <f t="shared" ca="1" si="33"/>
        <v>0.490898833401893</v>
      </c>
      <c r="V47" s="7">
        <f t="shared" ca="1" si="33"/>
        <v>0.51056354022479344</v>
      </c>
      <c r="W47" s="7">
        <f t="shared" ca="1" si="33"/>
        <v>0.53094952939078699</v>
      </c>
      <c r="X47" s="7">
        <f t="shared" ca="1" si="33"/>
        <v>0.55212137265068106</v>
      </c>
      <c r="Y47" s="7">
        <f t="shared" ca="1" si="33"/>
        <v>0.57407690554107749</v>
      </c>
      <c r="Z47" s="7">
        <f t="shared" ca="1" si="33"/>
        <v>0.59692725911802325</v>
      </c>
      <c r="AA47" s="7">
        <f t="shared" ca="1" si="33"/>
        <v>0.62070940533240548</v>
      </c>
      <c r="AB47" s="7">
        <f t="shared" ca="1" si="33"/>
        <v>0.64549476416561702</v>
      </c>
      <c r="AC47" s="7">
        <f t="shared" ca="1" si="33"/>
        <v>0.67137690371068559</v>
      </c>
      <c r="AD47" s="7">
        <f t="shared" ca="1" si="33"/>
        <v>0.69838310406196613</v>
      </c>
      <c r="AE47" s="7">
        <f t="shared" ca="1" si="33"/>
        <v>0.72648856362399472</v>
      </c>
      <c r="AF47" s="7">
        <f t="shared" ca="1" si="33"/>
        <v>0.7557710389499257</v>
      </c>
      <c r="AG47" s="7">
        <f t="shared" ca="1" si="33"/>
        <v>0.78624690357550253</v>
      </c>
      <c r="AH47" s="7">
        <f t="shared" ca="1" si="33"/>
        <v>0.81796502766425983</v>
      </c>
      <c r="AI47" s="7">
        <f t="shared" ca="1" si="33"/>
        <v>0.85086998915365042</v>
      </c>
      <c r="AJ47" s="7">
        <f t="shared" ca="1" si="33"/>
        <v>0.8850671990296789</v>
      </c>
      <c r="AK47" s="7">
        <f t="shared" ca="1" si="33"/>
        <v>0.92052852561410481</v>
      </c>
      <c r="AL47" s="7">
        <f t="shared" ca="1" si="33"/>
        <v>0.95722603504166426</v>
      </c>
      <c r="AM47" s="7">
        <f t="shared" ca="1" si="33"/>
        <v>0.99520986088899543</v>
      </c>
      <c r="AN47" s="7">
        <f t="shared" ca="1" si="33"/>
        <v>1.0345328382900132</v>
      </c>
      <c r="AO47" s="7">
        <f t="shared" ca="1" si="33"/>
        <v>1.0750405595109798</v>
      </c>
      <c r="AP47" s="7">
        <f t="shared" ca="1" si="33"/>
        <v>1.1169050403923153</v>
      </c>
      <c r="AQ47" s="7">
        <f t="shared" ca="1" si="33"/>
        <v>1.1600089767907038</v>
      </c>
      <c r="AR47" s="7">
        <f t="shared" ca="1" si="33"/>
        <v>1.2044011700733073</v>
      </c>
      <c r="AS47" s="7">
        <f t="shared" ca="1" si="33"/>
        <v>1.2501851859466107</v>
      </c>
      <c r="AT47" s="7">
        <f t="shared" ca="1" si="33"/>
        <v>1.2973975906051645</v>
      </c>
      <c r="AU47" s="7">
        <f t="shared" ca="1" si="33"/>
        <v>1.3461011660072499</v>
      </c>
      <c r="AV47" s="7">
        <f t="shared" ca="1" si="33"/>
        <v>1.396446498643394</v>
      </c>
      <c r="AW47" s="7">
        <f t="shared" ca="1" si="33"/>
        <v>1.4484051657450239</v>
      </c>
    </row>
    <row r="48" spans="1:49" ht="15" x14ac:dyDescent="0.25">
      <c r="A48" s="2" t="s">
        <v>702</v>
      </c>
      <c r="B48" s="4"/>
      <c r="D48" s="40">
        <f t="shared" ref="D48" si="34">D$44+D$45-D$46+D$47</f>
        <v>5.7710000000000132</v>
      </c>
      <c r="E48" s="39">
        <f t="shared" ref="E48:AW48" ca="1" si="35">E$44+E$45-E$46+E$47</f>
        <v>-2.5649999999999942</v>
      </c>
      <c r="F48" s="39">
        <f t="shared" ca="1" si="35"/>
        <v>3.0579999999999621</v>
      </c>
      <c r="G48" s="39">
        <f t="shared" ca="1" si="35"/>
        <v>4.9570000000000007</v>
      </c>
      <c r="H48" s="39">
        <f t="shared" ca="1" si="35"/>
        <v>7.6059999999999883</v>
      </c>
      <c r="I48" s="39">
        <f t="shared" ca="1" si="35"/>
        <v>9.5989999999999931</v>
      </c>
      <c r="J48" s="43">
        <f t="shared" ca="1" si="35"/>
        <v>7.4212445523964421</v>
      </c>
      <c r="K48" s="43">
        <f t="shared" ca="1" si="35"/>
        <v>6.1817889986083889</v>
      </c>
      <c r="L48" s="43">
        <f t="shared" ca="1" si="35"/>
        <v>5.2044188305413579</v>
      </c>
      <c r="M48" s="43">
        <f t="shared" ca="1" si="35"/>
        <v>4.3104729686046355</v>
      </c>
      <c r="N48" s="43">
        <f t="shared" ca="1" si="35"/>
        <v>3.5585050760610155</v>
      </c>
      <c r="O48" s="43">
        <f t="shared" ca="1" si="35"/>
        <v>2.3167232057561993</v>
      </c>
      <c r="P48" s="43">
        <f t="shared" ca="1" si="35"/>
        <v>1.1462249732959116</v>
      </c>
      <c r="Q48" s="43">
        <f t="shared" ca="1" si="35"/>
        <v>-2.0736423119048275E-2</v>
      </c>
      <c r="R48" s="43">
        <f t="shared" ca="1" si="35"/>
        <v>-1.4290410071574882</v>
      </c>
      <c r="S48" s="43">
        <f t="shared" ca="1" si="35"/>
        <v>-2.9743216101223631</v>
      </c>
      <c r="T48" s="43">
        <f t="shared" ca="1" si="35"/>
        <v>-4.6986045466644022</v>
      </c>
      <c r="U48" s="43">
        <f t="shared" ca="1" si="35"/>
        <v>-6.6774506720940696</v>
      </c>
      <c r="V48" s="43">
        <f t="shared" ca="1" si="35"/>
        <v>-8.8752642804644211</v>
      </c>
      <c r="W48" s="43">
        <f t="shared" ca="1" si="35"/>
        <v>-11.123788801791438</v>
      </c>
      <c r="X48" s="43">
        <f t="shared" ca="1" si="35"/>
        <v>-13.488357290172182</v>
      </c>
      <c r="Y48" s="43">
        <f t="shared" ca="1" si="35"/>
        <v>-16.145978461748555</v>
      </c>
      <c r="Z48" s="43">
        <f t="shared" ca="1" si="35"/>
        <v>-18.953064362365659</v>
      </c>
      <c r="AA48" s="43">
        <f t="shared" ca="1" si="35"/>
        <v>-21.917387061717264</v>
      </c>
      <c r="AB48" s="43">
        <f t="shared" ca="1" si="35"/>
        <v>-25.032543945796156</v>
      </c>
      <c r="AC48" s="43">
        <f t="shared" ca="1" si="35"/>
        <v>-28.282952447546791</v>
      </c>
      <c r="AD48" s="43">
        <f t="shared" ca="1" si="35"/>
        <v>-31.605111576854547</v>
      </c>
      <c r="AE48" s="43">
        <f t="shared" ca="1" si="35"/>
        <v>-35.160864861057163</v>
      </c>
      <c r="AF48" s="43">
        <f t="shared" ca="1" si="35"/>
        <v>-38.910790716864256</v>
      </c>
      <c r="AG48" s="43">
        <f t="shared" ca="1" si="35"/>
        <v>-42.945844552140741</v>
      </c>
      <c r="AH48" s="43">
        <f t="shared" ca="1" si="35"/>
        <v>-47.287487447308024</v>
      </c>
      <c r="AI48" s="43">
        <f t="shared" ca="1" si="35"/>
        <v>-51.978553709224478</v>
      </c>
      <c r="AJ48" s="43">
        <f t="shared" ca="1" si="35"/>
        <v>-56.988674935853233</v>
      </c>
      <c r="AK48" s="43">
        <f t="shared" ca="1" si="35"/>
        <v>-62.446551045060986</v>
      </c>
      <c r="AL48" s="43">
        <f t="shared" ca="1" si="35"/>
        <v>-68.336009727448953</v>
      </c>
      <c r="AM48" s="43">
        <f t="shared" ca="1" si="35"/>
        <v>-74.715684760047523</v>
      </c>
      <c r="AN48" s="43">
        <f t="shared" ca="1" si="35"/>
        <v>-81.686091023460207</v>
      </c>
      <c r="AO48" s="43">
        <f t="shared" ca="1" si="35"/>
        <v>-89.363681702385165</v>
      </c>
      <c r="AP48" s="43">
        <f t="shared" ca="1" si="35"/>
        <v>-97.860688433141036</v>
      </c>
      <c r="AQ48" s="43">
        <f t="shared" ca="1" si="35"/>
        <v>-107.25560246360617</v>
      </c>
      <c r="AR48" s="43">
        <f t="shared" ca="1" si="35"/>
        <v>-117.66133383866128</v>
      </c>
      <c r="AS48" s="43">
        <f t="shared" ca="1" si="35"/>
        <v>-129.10599083233774</v>
      </c>
      <c r="AT48" s="43">
        <f t="shared" ca="1" si="35"/>
        <v>-141.46323937947676</v>
      </c>
      <c r="AU48" s="43">
        <f t="shared" ca="1" si="35"/>
        <v>-154.85593393343572</v>
      </c>
      <c r="AV48" s="43">
        <f t="shared" ca="1" si="35"/>
        <v>-169.27313058287569</v>
      </c>
      <c r="AW48" s="43">
        <f t="shared" ca="1" si="35"/>
        <v>-184.88313135025382</v>
      </c>
    </row>
    <row r="49" spans="1:49" ht="15" x14ac:dyDescent="0.25">
      <c r="A49" s="30" t="s">
        <v>703</v>
      </c>
      <c r="D49" s="6" t="str">
        <f t="shared" ref="D49" si="36">IF(ROUND(D$42-SUM(D$183,D$216,D$229,D$231,D$236,D$242,D$260,D$272,D$276,D$280,D$287,D$293,D$297,D$301,D$305,D$309,D$313),3)=0,"OK","ERROR")</f>
        <v>OK</v>
      </c>
      <c r="E49" s="6" t="str">
        <f t="shared" ref="E49:AW49" ca="1" si="37">IF(ROUND(E$42-SUM(E$183,E$216,E$229,E$231,E$236,E$242,E$260,E$272,E$276,E$280,E$287,E$293,E$297,E$301,E$305,E$309,E$313),3)=0,"OK","ERROR")</f>
        <v>OK</v>
      </c>
      <c r="F49" s="6" t="str">
        <f t="shared" ca="1" si="37"/>
        <v>OK</v>
      </c>
      <c r="G49" s="6" t="str">
        <f t="shared" ca="1" si="37"/>
        <v>OK</v>
      </c>
      <c r="H49" s="6" t="str">
        <f t="shared" ca="1" si="37"/>
        <v>OK</v>
      </c>
      <c r="I49" s="6" t="str">
        <f t="shared" ca="1" si="37"/>
        <v>OK</v>
      </c>
      <c r="J49" s="6" t="str">
        <f t="shared" ca="1" si="37"/>
        <v>OK</v>
      </c>
      <c r="K49" s="6" t="str">
        <f t="shared" ca="1" si="37"/>
        <v>OK</v>
      </c>
      <c r="L49" s="6" t="str">
        <f t="shared" ca="1" si="37"/>
        <v>OK</v>
      </c>
      <c r="M49" s="6" t="str">
        <f t="shared" ca="1" si="37"/>
        <v>OK</v>
      </c>
      <c r="N49" s="6" t="str">
        <f t="shared" ca="1" si="37"/>
        <v>OK</v>
      </c>
      <c r="O49" s="6" t="str">
        <f t="shared" ca="1" si="37"/>
        <v>OK</v>
      </c>
      <c r="P49" s="6" t="str">
        <f t="shared" ca="1" si="37"/>
        <v>OK</v>
      </c>
      <c r="Q49" s="6" t="str">
        <f t="shared" ca="1" si="37"/>
        <v>OK</v>
      </c>
      <c r="R49" s="6" t="str">
        <f t="shared" ca="1" si="37"/>
        <v>OK</v>
      </c>
      <c r="S49" s="6" t="str">
        <f t="shared" ca="1" si="37"/>
        <v>OK</v>
      </c>
      <c r="T49" s="6" t="str">
        <f t="shared" ca="1" si="37"/>
        <v>OK</v>
      </c>
      <c r="U49" s="6" t="str">
        <f t="shared" ca="1" si="37"/>
        <v>OK</v>
      </c>
      <c r="V49" s="6" t="str">
        <f t="shared" ca="1" si="37"/>
        <v>OK</v>
      </c>
      <c r="W49" s="6" t="str">
        <f t="shared" ca="1" si="37"/>
        <v>OK</v>
      </c>
      <c r="X49" s="6" t="str">
        <f t="shared" ca="1" si="37"/>
        <v>OK</v>
      </c>
      <c r="Y49" s="6" t="str">
        <f t="shared" ca="1" si="37"/>
        <v>OK</v>
      </c>
      <c r="Z49" s="6" t="str">
        <f t="shared" ca="1" si="37"/>
        <v>OK</v>
      </c>
      <c r="AA49" s="6" t="str">
        <f t="shared" ca="1" si="37"/>
        <v>OK</v>
      </c>
      <c r="AB49" s="6" t="str">
        <f t="shared" ca="1" si="37"/>
        <v>OK</v>
      </c>
      <c r="AC49" s="6" t="str">
        <f t="shared" ca="1" si="37"/>
        <v>OK</v>
      </c>
      <c r="AD49" s="6" t="str">
        <f t="shared" ca="1" si="37"/>
        <v>OK</v>
      </c>
      <c r="AE49" s="6" t="str">
        <f t="shared" ca="1" si="37"/>
        <v>OK</v>
      </c>
      <c r="AF49" s="6" t="str">
        <f t="shared" ca="1" si="37"/>
        <v>OK</v>
      </c>
      <c r="AG49" s="6" t="str">
        <f t="shared" ca="1" si="37"/>
        <v>OK</v>
      </c>
      <c r="AH49" s="6" t="str">
        <f t="shared" ca="1" si="37"/>
        <v>OK</v>
      </c>
      <c r="AI49" s="6" t="str">
        <f t="shared" ca="1" si="37"/>
        <v>OK</v>
      </c>
      <c r="AJ49" s="6" t="str">
        <f t="shared" ca="1" si="37"/>
        <v>OK</v>
      </c>
      <c r="AK49" s="6" t="str">
        <f t="shared" ca="1" si="37"/>
        <v>OK</v>
      </c>
      <c r="AL49" s="6" t="str">
        <f t="shared" ca="1" si="37"/>
        <v>OK</v>
      </c>
      <c r="AM49" s="6" t="str">
        <f t="shared" ca="1" si="37"/>
        <v>OK</v>
      </c>
      <c r="AN49" s="6" t="str">
        <f t="shared" ca="1" si="37"/>
        <v>OK</v>
      </c>
      <c r="AO49" s="6" t="str">
        <f t="shared" ca="1" si="37"/>
        <v>OK</v>
      </c>
      <c r="AP49" s="6" t="str">
        <f t="shared" ca="1" si="37"/>
        <v>OK</v>
      </c>
      <c r="AQ49" s="6" t="str">
        <f t="shared" ca="1" si="37"/>
        <v>OK</v>
      </c>
      <c r="AR49" s="6" t="str">
        <f t="shared" ca="1" si="37"/>
        <v>OK</v>
      </c>
      <c r="AS49" s="6" t="str">
        <f t="shared" ca="1" si="37"/>
        <v>OK</v>
      </c>
      <c r="AT49" s="6" t="str">
        <f t="shared" ca="1" si="37"/>
        <v>OK</v>
      </c>
      <c r="AU49" s="6" t="str">
        <f t="shared" ca="1" si="37"/>
        <v>OK</v>
      </c>
      <c r="AV49" s="6" t="str">
        <f t="shared" ca="1" si="37"/>
        <v>OK</v>
      </c>
      <c r="AW49" s="6" t="str">
        <f t="shared" ca="1" si="37"/>
        <v>OK</v>
      </c>
    </row>
    <row r="50" spans="1:49" ht="15" x14ac:dyDescent="0.25">
      <c r="A50" s="1" t="s">
        <v>699</v>
      </c>
      <c r="D50" s="47">
        <f t="shared" ref="D50:I50" si="38">SUM(D$139,D$142,D$148,D$155,D$162)</f>
        <v>72.212999999999994</v>
      </c>
      <c r="E50" s="44">
        <f t="shared" si="38"/>
        <v>75.328999999999994</v>
      </c>
      <c r="F50" s="44">
        <f t="shared" si="38"/>
        <v>78.543999999999997</v>
      </c>
      <c r="G50" s="44">
        <f t="shared" si="38"/>
        <v>82.097999999999999</v>
      </c>
      <c r="H50" s="44">
        <f t="shared" si="38"/>
        <v>87.02000000000001</v>
      </c>
      <c r="I50" s="44">
        <f t="shared" si="38"/>
        <v>91.414000000000001</v>
      </c>
      <c r="J50" s="8">
        <f t="shared" ref="J50:AW50" ca="1" si="39">SUM(J$139,J$142,J$148,J$155,J$162)</f>
        <v>95.134689594366833</v>
      </c>
      <c r="K50" s="8">
        <f t="shared" ca="1" si="39"/>
        <v>99.661520331439633</v>
      </c>
      <c r="L50" s="8">
        <f t="shared" ca="1" si="39"/>
        <v>104.29404104011101</v>
      </c>
      <c r="M50" s="8">
        <f t="shared" ca="1" si="39"/>
        <v>108.97135338901252</v>
      </c>
      <c r="N50" s="8">
        <f t="shared" ca="1" si="39"/>
        <v>113.80932427296219</v>
      </c>
      <c r="O50" s="8">
        <f t="shared" ca="1" si="39"/>
        <v>118.72615328856307</v>
      </c>
      <c r="P50" s="8">
        <f t="shared" ca="1" si="39"/>
        <v>123.99288883611852</v>
      </c>
      <c r="Q50" s="8">
        <f t="shared" ca="1" si="39"/>
        <v>129.32129905748076</v>
      </c>
      <c r="R50" s="8">
        <f t="shared" ca="1" si="39"/>
        <v>134.70391290799458</v>
      </c>
      <c r="S50" s="8">
        <f t="shared" ca="1" si="39"/>
        <v>140.25569682168984</v>
      </c>
      <c r="T50" s="8">
        <f t="shared" ca="1" si="39"/>
        <v>145.97827518221612</v>
      </c>
      <c r="U50" s="8">
        <f t="shared" ca="1" si="39"/>
        <v>151.88554273421693</v>
      </c>
      <c r="V50" s="8">
        <f t="shared" ca="1" si="39"/>
        <v>157.99859524865911</v>
      </c>
      <c r="W50" s="8">
        <f t="shared" ca="1" si="39"/>
        <v>164.33147391397074</v>
      </c>
      <c r="X50" s="8">
        <f t="shared" ca="1" si="39"/>
        <v>170.90577884644165</v>
      </c>
      <c r="Y50" s="8">
        <f t="shared" ca="1" si="39"/>
        <v>177.71687851177344</v>
      </c>
      <c r="Z50" s="8">
        <f t="shared" ca="1" si="39"/>
        <v>184.80217797735989</v>
      </c>
      <c r="AA50" s="8">
        <f t="shared" ca="1" si="39"/>
        <v>192.17017841271579</v>
      </c>
      <c r="AB50" s="8">
        <f t="shared" ca="1" si="39"/>
        <v>199.85205818055817</v>
      </c>
      <c r="AC50" s="8">
        <f t="shared" ca="1" si="39"/>
        <v>207.86915387011837</v>
      </c>
      <c r="AD50" s="8">
        <f t="shared" ca="1" si="39"/>
        <v>216.24027094221668</v>
      </c>
      <c r="AE50" s="8">
        <f t="shared" ca="1" si="39"/>
        <v>224.95590717578528</v>
      </c>
      <c r="AF50" s="8">
        <f t="shared" ca="1" si="39"/>
        <v>234.0399714310789</v>
      </c>
      <c r="AG50" s="8">
        <f t="shared" ca="1" si="39"/>
        <v>243.50596564456103</v>
      </c>
      <c r="AH50" s="8">
        <f t="shared" ca="1" si="39"/>
        <v>253.35956868608821</v>
      </c>
      <c r="AI50" s="8">
        <f t="shared" ca="1" si="39"/>
        <v>263.59047005489214</v>
      </c>
      <c r="AJ50" s="8">
        <f t="shared" ca="1" si="39"/>
        <v>274.22924378043336</v>
      </c>
      <c r="AK50" s="8">
        <f t="shared" ca="1" si="39"/>
        <v>285.26747974177096</v>
      </c>
      <c r="AL50" s="8">
        <f t="shared" ca="1" si="39"/>
        <v>296.70540867867157</v>
      </c>
      <c r="AM50" s="8">
        <f t="shared" ca="1" si="39"/>
        <v>308.54506505410382</v>
      </c>
      <c r="AN50" s="8">
        <f t="shared" ca="1" si="39"/>
        <v>320.81512695251274</v>
      </c>
      <c r="AO50" s="8">
        <f t="shared" ca="1" si="39"/>
        <v>333.4613313786104</v>
      </c>
      <c r="AP50" s="8">
        <f t="shared" ca="1" si="39"/>
        <v>346.54000086256855</v>
      </c>
      <c r="AQ50" s="8">
        <f t="shared" ca="1" si="39"/>
        <v>360.0088583949879</v>
      </c>
      <c r="AR50" s="8">
        <f t="shared" ca="1" si="39"/>
        <v>373.88613638463687</v>
      </c>
      <c r="AS50" s="8">
        <f t="shared" ca="1" si="39"/>
        <v>388.19544735609031</v>
      </c>
      <c r="AT50" s="8">
        <f t="shared" ca="1" si="39"/>
        <v>402.95310349774508</v>
      </c>
      <c r="AU50" s="8">
        <f t="shared" ca="1" si="39"/>
        <v>418.17133542933669</v>
      </c>
      <c r="AV50" s="8">
        <f t="shared" ca="1" si="39"/>
        <v>433.89668187113347</v>
      </c>
      <c r="AW50" s="8">
        <f t="shared" ca="1" si="39"/>
        <v>450.12698591766195</v>
      </c>
    </row>
    <row r="51" spans="1:49" ht="15" x14ac:dyDescent="0.25">
      <c r="A51" s="1" t="s">
        <v>700</v>
      </c>
      <c r="D51" s="47">
        <f t="shared" ref="D51" si="40">SUM(D$178,D$192,D$199,D$205,D$212,D$221,D$229,D$231)</f>
        <v>72.363</v>
      </c>
      <c r="E51" s="44">
        <f t="shared" ref="E51:AW51" ca="1" si="41">SUM(E$178,E$192,E$199,E$205,E$212,E$221,E$229,E$231)</f>
        <v>74.382000000000005</v>
      </c>
      <c r="F51" s="44">
        <f t="shared" ca="1" si="41"/>
        <v>77.388000000000005</v>
      </c>
      <c r="G51" s="44">
        <f t="shared" ca="1" si="41"/>
        <v>79.718999999999994</v>
      </c>
      <c r="H51" s="44">
        <f t="shared" ca="1" si="41"/>
        <v>82.046999999999997</v>
      </c>
      <c r="I51" s="44">
        <f t="shared" ca="1" si="41"/>
        <v>84.817999999999998</v>
      </c>
      <c r="J51" s="8">
        <f t="shared" ca="1" si="41"/>
        <v>90.452732782266537</v>
      </c>
      <c r="K51" s="8">
        <f t="shared" ca="1" si="41"/>
        <v>96.677080660895342</v>
      </c>
      <c r="L51" s="8">
        <f t="shared" ca="1" si="41"/>
        <v>102.77233995447021</v>
      </c>
      <c r="M51" s="8">
        <f t="shared" ca="1" si="41"/>
        <v>108.83931991580691</v>
      </c>
      <c r="N51" s="8">
        <f t="shared" ca="1" si="41"/>
        <v>114.96823767163468</v>
      </c>
      <c r="O51" s="8">
        <f t="shared" ca="1" si="41"/>
        <v>121.60080269332259</v>
      </c>
      <c r="P51" s="8">
        <f t="shared" ca="1" si="41"/>
        <v>128.54517860003486</v>
      </c>
      <c r="Q51" s="8">
        <f t="shared" ca="1" si="41"/>
        <v>135.53289318507123</v>
      </c>
      <c r="R51" s="8">
        <f t="shared" ca="1" si="41"/>
        <v>142.83265234612594</v>
      </c>
      <c r="S51" s="8">
        <f t="shared" ca="1" si="41"/>
        <v>150.43866849098774</v>
      </c>
      <c r="T51" s="8">
        <f t="shared" ca="1" si="41"/>
        <v>158.41956555553918</v>
      </c>
      <c r="U51" s="8">
        <f t="shared" ca="1" si="41"/>
        <v>166.85197179496254</v>
      </c>
      <c r="V51" s="8">
        <f t="shared" ca="1" si="41"/>
        <v>175.72784845907549</v>
      </c>
      <c r="W51" s="8">
        <f t="shared" ca="1" si="41"/>
        <v>184.89340444583161</v>
      </c>
      <c r="X51" s="8">
        <f t="shared" ca="1" si="41"/>
        <v>194.43528681952026</v>
      </c>
      <c r="Y51" s="8">
        <f t="shared" ca="1" si="41"/>
        <v>204.50759600420699</v>
      </c>
      <c r="Z51" s="8">
        <f t="shared" ca="1" si="41"/>
        <v>215.05805368091842</v>
      </c>
      <c r="AA51" s="8">
        <f t="shared" ca="1" si="41"/>
        <v>226.07418738022417</v>
      </c>
      <c r="AB51" s="8">
        <f t="shared" ca="1" si="41"/>
        <v>237.58212180557166</v>
      </c>
      <c r="AC51" s="8">
        <f t="shared" ca="1" si="41"/>
        <v>249.59883189735234</v>
      </c>
      <c r="AD51" s="8">
        <f t="shared" ca="1" si="41"/>
        <v>262.1251384017487</v>
      </c>
      <c r="AE51" s="8">
        <f t="shared" ca="1" si="41"/>
        <v>275.28161738494543</v>
      </c>
      <c r="AF51" s="8">
        <f t="shared" ca="1" si="41"/>
        <v>289.05013518324637</v>
      </c>
      <c r="AG51" s="8">
        <f t="shared" ca="1" si="41"/>
        <v>303.57390773748978</v>
      </c>
      <c r="AH51" s="8">
        <f t="shared" ca="1" si="41"/>
        <v>318.85689457153183</v>
      </c>
      <c r="AI51" s="8">
        <f t="shared" ca="1" si="41"/>
        <v>334.92597717270979</v>
      </c>
      <c r="AJ51" s="8">
        <f t="shared" ca="1" si="41"/>
        <v>351.82724635019343</v>
      </c>
      <c r="AK51" s="8">
        <f t="shared" ca="1" si="41"/>
        <v>369.66204637466802</v>
      </c>
      <c r="AL51" s="8">
        <f t="shared" ca="1" si="41"/>
        <v>388.4163525222304</v>
      </c>
      <c r="AM51" s="8">
        <f t="shared" ca="1" si="41"/>
        <v>408.15900741388583</v>
      </c>
      <c r="AN51" s="8">
        <f t="shared" ca="1" si="41"/>
        <v>429.02140791850138</v>
      </c>
      <c r="AO51" s="8">
        <f t="shared" ca="1" si="41"/>
        <v>451.06842603555685</v>
      </c>
      <c r="AP51" s="8">
        <f t="shared" ca="1" si="41"/>
        <v>474.4689040709784</v>
      </c>
      <c r="AQ51" s="8">
        <f t="shared" ca="1" si="41"/>
        <v>499.25926397654763</v>
      </c>
      <c r="AR51" s="8">
        <f t="shared" ca="1" si="41"/>
        <v>525.57907873104318</v>
      </c>
      <c r="AS51" s="8">
        <f t="shared" ca="1" si="41"/>
        <v>553.49237019064697</v>
      </c>
      <c r="AT51" s="8">
        <f t="shared" ca="1" si="41"/>
        <v>582.84091267867905</v>
      </c>
      <c r="AU51" s="8">
        <f t="shared" ca="1" si="41"/>
        <v>613.79475040438501</v>
      </c>
      <c r="AV51" s="8">
        <f t="shared" ca="1" si="41"/>
        <v>646.39401869049595</v>
      </c>
      <c r="AW51" s="8">
        <f t="shared" ca="1" si="41"/>
        <v>680.8082502977237</v>
      </c>
    </row>
    <row r="52" spans="1:49" ht="15" x14ac:dyDescent="0.25">
      <c r="A52" s="1" t="s">
        <v>933</v>
      </c>
      <c r="D52" s="47">
        <f t="shared" ref="D52:AW52" si="42">SUM(D$178,D$192,D$199,D$205,D$221,D$229,D$231)</f>
        <v>68.58</v>
      </c>
      <c r="E52" s="44">
        <f t="shared" ca="1" si="42"/>
        <v>70.734999999999999</v>
      </c>
      <c r="F52" s="44">
        <f t="shared" ca="1" si="42"/>
        <v>73.706000000000003</v>
      </c>
      <c r="G52" s="44">
        <f t="shared" ca="1" si="42"/>
        <v>75.937999999999988</v>
      </c>
      <c r="H52" s="44">
        <f t="shared" ca="1" si="42"/>
        <v>78.308999999999997</v>
      </c>
      <c r="I52" s="44">
        <f t="shared" ca="1" si="42"/>
        <v>81.075000000000003</v>
      </c>
      <c r="J52" s="8">
        <f t="shared" ca="1" si="42"/>
        <v>86.50503110907691</v>
      </c>
      <c r="K52" s="8">
        <f t="shared" ca="1" si="42"/>
        <v>92.371299213264535</v>
      </c>
      <c r="L52" s="8">
        <f t="shared" ca="1" si="42"/>
        <v>98.031138622456012</v>
      </c>
      <c r="M52" s="8">
        <f t="shared" ca="1" si="42"/>
        <v>103.57103157566851</v>
      </c>
      <c r="N52" s="8">
        <f t="shared" ca="1" si="42"/>
        <v>109.08083223123465</v>
      </c>
      <c r="O52" s="8">
        <f t="shared" ca="1" si="42"/>
        <v>114.98868966274051</v>
      </c>
      <c r="P52" s="8">
        <f t="shared" ca="1" si="42"/>
        <v>121.08664013651396</v>
      </c>
      <c r="Q52" s="8">
        <f t="shared" ca="1" si="42"/>
        <v>127.37210974082674</v>
      </c>
      <c r="R52" s="8">
        <f t="shared" ca="1" si="42"/>
        <v>133.88591409002117</v>
      </c>
      <c r="S52" s="8">
        <f t="shared" ca="1" si="42"/>
        <v>140.60461917945611</v>
      </c>
      <c r="T52" s="8">
        <f t="shared" ca="1" si="42"/>
        <v>147.58601129485771</v>
      </c>
      <c r="U52" s="8">
        <f t="shared" ca="1" si="42"/>
        <v>154.89407721236574</v>
      </c>
      <c r="V52" s="8">
        <f t="shared" ca="1" si="42"/>
        <v>162.50754530242085</v>
      </c>
      <c r="W52" s="8">
        <f t="shared" ca="1" si="42"/>
        <v>170.26472526954615</v>
      </c>
      <c r="X52" s="8">
        <f t="shared" ca="1" si="42"/>
        <v>178.24658004268395</v>
      </c>
      <c r="Y52" s="8">
        <f t="shared" ca="1" si="42"/>
        <v>186.59669574225893</v>
      </c>
      <c r="Z52" s="8">
        <f t="shared" ca="1" si="42"/>
        <v>195.24898259127838</v>
      </c>
      <c r="AA52" s="8">
        <f t="shared" ca="1" si="42"/>
        <v>204.17605431957998</v>
      </c>
      <c r="AB52" s="8">
        <f t="shared" ca="1" si="42"/>
        <v>213.38915858879531</v>
      </c>
      <c r="AC52" s="8">
        <f t="shared" ca="1" si="42"/>
        <v>222.89014459289791</v>
      </c>
      <c r="AD52" s="8">
        <f t="shared" ca="1" si="42"/>
        <v>232.66443698727716</v>
      </c>
      <c r="AE52" s="8">
        <f t="shared" ca="1" si="42"/>
        <v>242.81623580559577</v>
      </c>
      <c r="AF52" s="8">
        <f t="shared" ca="1" si="42"/>
        <v>253.30947035038849</v>
      </c>
      <c r="AG52" s="8">
        <f t="shared" ca="1" si="42"/>
        <v>264.26870332682336</v>
      </c>
      <c r="AH52" s="8">
        <f t="shared" ca="1" si="42"/>
        <v>275.67756870742244</v>
      </c>
      <c r="AI52" s="8">
        <f t="shared" ca="1" si="42"/>
        <v>287.54107326040156</v>
      </c>
      <c r="AJ52" s="8">
        <f t="shared" ca="1" si="42"/>
        <v>299.88183085161188</v>
      </c>
      <c r="AK52" s="8">
        <f t="shared" ca="1" si="42"/>
        <v>312.77470142809329</v>
      </c>
      <c r="AL52" s="8">
        <f t="shared" ca="1" si="42"/>
        <v>326.17780931135582</v>
      </c>
      <c r="AM52" s="8">
        <f t="shared" ca="1" si="42"/>
        <v>340.1300646140586</v>
      </c>
      <c r="AN52" s="8">
        <f t="shared" ca="1" si="42"/>
        <v>354.72995848912353</v>
      </c>
      <c r="AO52" s="8">
        <f t="shared" ca="1" si="42"/>
        <v>370.00488739722169</v>
      </c>
      <c r="AP52" s="8">
        <f t="shared" ca="1" si="42"/>
        <v>386.08300134847366</v>
      </c>
      <c r="AQ52" s="8">
        <f t="shared" ca="1" si="42"/>
        <v>402.95589148371994</v>
      </c>
      <c r="AR52" s="8">
        <f t="shared" ca="1" si="42"/>
        <v>420.71557118530984</v>
      </c>
      <c r="AS52" s="8">
        <f t="shared" ca="1" si="42"/>
        <v>439.37361246564132</v>
      </c>
      <c r="AT52" s="8">
        <f t="shared" ca="1" si="42"/>
        <v>458.71786699448296</v>
      </c>
      <c r="AU52" s="8">
        <f t="shared" ca="1" si="42"/>
        <v>478.86315030221061</v>
      </c>
      <c r="AV52" s="8">
        <f t="shared" ca="1" si="42"/>
        <v>499.78914915298702</v>
      </c>
      <c r="AW52" s="8">
        <f t="shared" ca="1" si="42"/>
        <v>521.60021790366227</v>
      </c>
    </row>
    <row r="53" spans="1:49" ht="15" x14ac:dyDescent="0.25">
      <c r="A53" s="1" t="s">
        <v>284</v>
      </c>
      <c r="D53" s="47">
        <f t="shared" ref="D53" si="43">D$50-D$51+D$321+D$328</f>
        <v>3.8789999999999947</v>
      </c>
      <c r="E53" s="44">
        <f t="shared" ref="E53:AW53" ca="1" si="44">E$50-E$51+E$321+E$328</f>
        <v>-0.43700000000001149</v>
      </c>
      <c r="F53" s="44">
        <f t="shared" ca="1" si="44"/>
        <v>3.2169999999999916</v>
      </c>
      <c r="G53" s="44">
        <f t="shared" ca="1" si="44"/>
        <v>4.5480000000000054</v>
      </c>
      <c r="H53" s="44">
        <f t="shared" ca="1" si="44"/>
        <v>7.308000000000014</v>
      </c>
      <c r="I53" s="44">
        <f t="shared" ca="1" si="44"/>
        <v>9.1100000000000048</v>
      </c>
      <c r="J53" s="8">
        <f t="shared" ca="1" si="44"/>
        <v>6.8758536294187351</v>
      </c>
      <c r="K53" s="8">
        <f t="shared" ca="1" si="44"/>
        <v>5.512370301669832</v>
      </c>
      <c r="L53" s="8">
        <f t="shared" ca="1" si="44"/>
        <v>4.4108690711355614</v>
      </c>
      <c r="M53" s="8">
        <f t="shared" ca="1" si="44"/>
        <v>3.4090134920386603</v>
      </c>
      <c r="N53" s="8">
        <f t="shared" ca="1" si="44"/>
        <v>2.5102810339922565</v>
      </c>
      <c r="O53" s="8">
        <f t="shared" ca="1" si="44"/>
        <v>1.1340182828778418</v>
      </c>
      <c r="P53" s="8">
        <f t="shared" ca="1" si="44"/>
        <v>-0.20103038294872497</v>
      </c>
      <c r="Q53" s="8">
        <f t="shared" ca="1" si="44"/>
        <v>-1.5160073436257062</v>
      </c>
      <c r="R53" s="8">
        <f t="shared" ca="1" si="44"/>
        <v>-3.0872300315612771</v>
      </c>
      <c r="S53" s="8">
        <f t="shared" ca="1" si="44"/>
        <v>-4.7927259143431691</v>
      </c>
      <c r="T53" s="8">
        <f t="shared" ca="1" si="44"/>
        <v>-6.6980299486910715</v>
      </c>
      <c r="U53" s="8">
        <f t="shared" ca="1" si="44"/>
        <v>-8.8657216696692664</v>
      </c>
      <c r="V53" s="8">
        <f t="shared" ca="1" si="44"/>
        <v>-11.267232954255222</v>
      </c>
      <c r="W53" s="8">
        <f t="shared" ca="1" si="44"/>
        <v>-13.735363786197237</v>
      </c>
      <c r="X53" s="8">
        <f t="shared" ca="1" si="44"/>
        <v>-16.335080424652002</v>
      </c>
      <c r="Y53" s="8">
        <f t="shared" ca="1" si="44"/>
        <v>-19.225626730196517</v>
      </c>
      <c r="Z53" s="8">
        <f t="shared" ca="1" si="44"/>
        <v>-22.317252306899004</v>
      </c>
      <c r="AA53" s="8">
        <f t="shared" ca="1" si="44"/>
        <v>-25.585915199304321</v>
      </c>
      <c r="AB53" s="8">
        <f t="shared" ca="1" si="44"/>
        <v>-29.021892508634018</v>
      </c>
      <c r="AC53" s="8">
        <f t="shared" ca="1" si="44"/>
        <v>-32.614992942964278</v>
      </c>
      <c r="AD53" s="8">
        <f t="shared" ca="1" si="44"/>
        <v>-36.340480260215656</v>
      </c>
      <c r="AE53" s="8">
        <f t="shared" ca="1" si="44"/>
        <v>-40.323015437858864</v>
      </c>
      <c r="AF53" s="8">
        <f t="shared" ca="1" si="44"/>
        <v>-44.515847750933005</v>
      </c>
      <c r="AG53" s="8">
        <f t="shared" ca="1" si="44"/>
        <v>-49.044780503019616</v>
      </c>
      <c r="AH53" s="8">
        <f t="shared" ca="1" si="44"/>
        <v>-53.905347086683364</v>
      </c>
      <c r="AI53" s="8">
        <f t="shared" ca="1" si="44"/>
        <v>-59.131277618075316</v>
      </c>
      <c r="AJ53" s="8">
        <f t="shared" ca="1" si="44"/>
        <v>-64.734979230341253</v>
      </c>
      <c r="AK53" s="8">
        <f t="shared" ca="1" si="44"/>
        <v>-70.824107508771704</v>
      </c>
      <c r="AL53" s="8">
        <f t="shared" ca="1" si="44"/>
        <v>-77.382351565117773</v>
      </c>
      <c r="AM53" s="8">
        <f t="shared" ca="1" si="44"/>
        <v>-84.47345329901664</v>
      </c>
      <c r="AN53" s="8">
        <f t="shared" ca="1" si="44"/>
        <v>-92.19823760490678</v>
      </c>
      <c r="AO53" s="8">
        <f t="shared" ca="1" si="44"/>
        <v>-100.67593235072725</v>
      </c>
      <c r="AP53" s="8">
        <f t="shared" ca="1" si="44"/>
        <v>-110.02164495952006</v>
      </c>
      <c r="AQ53" s="8">
        <f t="shared" ca="1" si="44"/>
        <v>-120.31858324702164</v>
      </c>
      <c r="AR53" s="8">
        <f t="shared" ca="1" si="44"/>
        <v>-131.69410950735852</v>
      </c>
      <c r="AS53" s="8">
        <f t="shared" ca="1" si="44"/>
        <v>-144.19632478381664</v>
      </c>
      <c r="AT53" s="8">
        <f t="shared" ca="1" si="44"/>
        <v>-157.65355507547932</v>
      </c>
      <c r="AU53" s="8">
        <f t="shared" ca="1" si="44"/>
        <v>-172.22286608731758</v>
      </c>
      <c r="AV53" s="8">
        <f t="shared" ca="1" si="44"/>
        <v>-187.89754579858985</v>
      </c>
      <c r="AW53" s="8">
        <f t="shared" ca="1" si="44"/>
        <v>-204.84949463310414</v>
      </c>
    </row>
    <row r="54" spans="1:49" ht="15" x14ac:dyDescent="0.25">
      <c r="A54" s="1" t="s">
        <v>704</v>
      </c>
      <c r="B54" s="4"/>
      <c r="D54" s="47">
        <f t="shared" ref="D54" si="45">D$50-D$155-(D$51-D$212)</f>
        <v>1.1809999999999974</v>
      </c>
      <c r="E54" s="44">
        <f t="shared" ref="E54:AW54" ca="1" si="46">E$50-E$155-(E$51-E$212)</f>
        <v>2.1899999999999977</v>
      </c>
      <c r="F54" s="44">
        <f t="shared" ca="1" si="46"/>
        <v>1.583999999999989</v>
      </c>
      <c r="G54" s="44">
        <f t="shared" ca="1" si="46"/>
        <v>3.1710000000000065</v>
      </c>
      <c r="H54" s="44">
        <f t="shared" ca="1" si="46"/>
        <v>5.4690000000000083</v>
      </c>
      <c r="I54" s="44">
        <f t="shared" ca="1" si="46"/>
        <v>6.8529999999999944</v>
      </c>
      <c r="J54" s="8">
        <f t="shared" ca="1" si="46"/>
        <v>5.7137016724718421</v>
      </c>
      <c r="K54" s="8">
        <f t="shared" ca="1" si="46"/>
        <v>4.0920498136532615</v>
      </c>
      <c r="L54" s="8">
        <f t="shared" ca="1" si="46"/>
        <v>2.7688212796127942</v>
      </c>
      <c r="M54" s="8">
        <f t="shared" ca="1" si="46"/>
        <v>1.5841371263406501</v>
      </c>
      <c r="N54" s="8">
        <f t="shared" ca="1" si="46"/>
        <v>0.60941353948528842</v>
      </c>
      <c r="O54" s="8">
        <f t="shared" ca="1" si="46"/>
        <v>-0.60770712407219207</v>
      </c>
      <c r="P54" s="8">
        <f t="shared" ca="1" si="46"/>
        <v>-1.668210522574725</v>
      </c>
      <c r="Q54" s="8">
        <f t="shared" ca="1" si="46"/>
        <v>-2.863163980350393</v>
      </c>
      <c r="R54" s="8">
        <f t="shared" ca="1" si="46"/>
        <v>-4.2327169266537794</v>
      </c>
      <c r="S54" s="8">
        <f t="shared" ca="1" si="46"/>
        <v>-5.6450081026517296</v>
      </c>
      <c r="T54" s="8">
        <f t="shared" ca="1" si="46"/>
        <v>-7.1558887245739982</v>
      </c>
      <c r="U54" s="8">
        <f t="shared" ca="1" si="46"/>
        <v>-8.8097120470111463</v>
      </c>
      <c r="V54" s="8">
        <f t="shared" ca="1" si="46"/>
        <v>-10.571248910262199</v>
      </c>
      <c r="W54" s="8">
        <f t="shared" ca="1" si="46"/>
        <v>-12.261854498010479</v>
      </c>
      <c r="X54" s="8">
        <f t="shared" ca="1" si="46"/>
        <v>-13.943276123714242</v>
      </c>
      <c r="Y54" s="8">
        <f t="shared" ca="1" si="46"/>
        <v>-15.759744020678141</v>
      </c>
      <c r="Z54" s="8">
        <f t="shared" ca="1" si="46"/>
        <v>-17.612097423208382</v>
      </c>
      <c r="AA54" s="8">
        <f t="shared" ca="1" si="46"/>
        <v>-19.461947745376847</v>
      </c>
      <c r="AB54" s="8">
        <f t="shared" ca="1" si="46"/>
        <v>-21.299289099342133</v>
      </c>
      <c r="AC54" s="8">
        <f t="shared" ca="1" si="46"/>
        <v>-23.098126173163934</v>
      </c>
      <c r="AD54" s="8">
        <f t="shared" ca="1" si="46"/>
        <v>-24.835765462247849</v>
      </c>
      <c r="AE54" s="8">
        <f t="shared" ca="1" si="46"/>
        <v>-26.623787594957321</v>
      </c>
      <c r="AF54" s="8">
        <f t="shared" ca="1" si="46"/>
        <v>-28.402982652602446</v>
      </c>
      <c r="AG54" s="8">
        <f t="shared" ca="1" si="46"/>
        <v>-30.29304081385115</v>
      </c>
      <c r="AH54" s="8">
        <f t="shared" ca="1" si="46"/>
        <v>-32.263053000133027</v>
      </c>
      <c r="AI54" s="8">
        <f t="shared" ca="1" si="46"/>
        <v>-34.334518780771617</v>
      </c>
      <c r="AJ54" s="8">
        <f t="shared" ca="1" si="46"/>
        <v>-36.49868324270858</v>
      </c>
      <c r="AK54" s="8">
        <f t="shared" ca="1" si="46"/>
        <v>-38.838777911967327</v>
      </c>
      <c r="AL54" s="8">
        <f t="shared" ca="1" si="46"/>
        <v>-41.321239822771986</v>
      </c>
      <c r="AM54" s="8">
        <f t="shared" ca="1" si="46"/>
        <v>-43.970060063293772</v>
      </c>
      <c r="AN54" s="8">
        <f t="shared" ca="1" si="46"/>
        <v>-46.86800681774622</v>
      </c>
      <c r="AO54" s="8">
        <f t="shared" ca="1" si="46"/>
        <v>-50.088426046422569</v>
      </c>
      <c r="AP54" s="8">
        <f t="shared" ca="1" si="46"/>
        <v>-53.708278342935273</v>
      </c>
      <c r="AQ54" s="8">
        <f t="shared" ca="1" si="46"/>
        <v>-57.754062857966517</v>
      </c>
      <c r="AR54" s="8">
        <f t="shared" ca="1" si="46"/>
        <v>-62.303270395574714</v>
      </c>
      <c r="AS54" s="8">
        <f t="shared" ca="1" si="46"/>
        <v>-67.336653317640412</v>
      </c>
      <c r="AT54" s="8">
        <f t="shared" ca="1" si="46"/>
        <v>-72.631181725360534</v>
      </c>
      <c r="AU54" s="8">
        <f t="shared" ca="1" si="46"/>
        <v>-78.282988149895289</v>
      </c>
      <c r="AV54" s="8">
        <f t="shared" ca="1" si="46"/>
        <v>-84.226947002282657</v>
      </c>
      <c r="AW54" s="8">
        <f t="shared" ca="1" si="46"/>
        <v>-90.57587084261246</v>
      </c>
    </row>
    <row r="55" spans="1:49" ht="15" x14ac:dyDescent="0.25">
      <c r="A55" s="1" t="s">
        <v>705</v>
      </c>
      <c r="B55" s="4"/>
      <c r="D55" s="47">
        <f t="shared" ref="D55" si="47">D$487</f>
        <v>-1.8270000000000008</v>
      </c>
      <c r="E55" s="44">
        <f t="shared" ref="E55:AW55" ca="1" si="48">E$487</f>
        <v>-2.1150000000000047</v>
      </c>
      <c r="F55" s="44">
        <f t="shared" ca="1" si="48"/>
        <v>-4.1619999999999981</v>
      </c>
      <c r="G55" s="44">
        <f t="shared" ca="1" si="48"/>
        <v>-2.0720000000000045</v>
      </c>
      <c r="H55" s="44">
        <f t="shared" ca="1" si="48"/>
        <v>1.9590000000000103</v>
      </c>
      <c r="I55" s="44">
        <f t="shared" ca="1" si="48"/>
        <v>3.9000000000000021</v>
      </c>
      <c r="J55" s="8">
        <f t="shared" ca="1" si="48"/>
        <v>-1.9314167869065173</v>
      </c>
      <c r="K55" s="8">
        <f t="shared" ca="1" si="48"/>
        <v>-3.7265371250295392</v>
      </c>
      <c r="L55" s="8">
        <f t="shared" ca="1" si="48"/>
        <v>-5.1995975955045246</v>
      </c>
      <c r="M55" s="8">
        <f t="shared" ca="1" si="48"/>
        <v>-6.5582829573861581</v>
      </c>
      <c r="N55" s="8">
        <f t="shared" ca="1" si="48"/>
        <v>-7.7926532655506584</v>
      </c>
      <c r="O55" s="8">
        <f t="shared" ca="1" si="48"/>
        <v>-9.4069698010244807</v>
      </c>
      <c r="P55" s="8">
        <f t="shared" ca="1" si="48"/>
        <v>-10.943705637354803</v>
      </c>
      <c r="Q55" s="8">
        <f t="shared" ca="1" si="48"/>
        <v>-12.459462006913855</v>
      </c>
      <c r="R55" s="8">
        <f t="shared" ca="1" si="48"/>
        <v>-14.249933806333145</v>
      </c>
      <c r="S55" s="8">
        <f t="shared" ca="1" si="48"/>
        <v>-16.21586704054571</v>
      </c>
      <c r="T55" s="8">
        <f t="shared" ca="1" si="48"/>
        <v>-18.398863932410912</v>
      </c>
      <c r="U55" s="8">
        <f t="shared" ca="1" si="48"/>
        <v>-20.844117970962206</v>
      </c>
      <c r="V55" s="8">
        <f t="shared" ca="1" si="48"/>
        <v>-23.516290008464217</v>
      </c>
      <c r="W55" s="8">
        <f t="shared" ca="1" si="48"/>
        <v>-26.247261654960376</v>
      </c>
      <c r="X55" s="8">
        <f t="shared" ca="1" si="48"/>
        <v>-29.118731981681194</v>
      </c>
      <c r="Y55" s="8">
        <f t="shared" ca="1" si="48"/>
        <v>-32.246924597848839</v>
      </c>
      <c r="Z55" s="8">
        <f t="shared" ca="1" si="48"/>
        <v>-35.633817396072516</v>
      </c>
      <c r="AA55" s="8">
        <f t="shared" ca="1" si="48"/>
        <v>-39.297285261666218</v>
      </c>
      <c r="AB55" s="8">
        <f t="shared" ca="1" si="48"/>
        <v>-43.229342666151453</v>
      </c>
      <c r="AC55" s="8">
        <f t="shared" ca="1" si="48"/>
        <v>-47.438790737256305</v>
      </c>
      <c r="AD55" s="8">
        <f t="shared" ca="1" si="48"/>
        <v>-51.92341880995626</v>
      </c>
      <c r="AE55" s="8">
        <f t="shared" ca="1" si="48"/>
        <v>-56.745728551592535</v>
      </c>
      <c r="AF55" s="8">
        <f t="shared" ca="1" si="48"/>
        <v>-61.897310901924854</v>
      </c>
      <c r="AG55" s="8">
        <f t="shared" ca="1" si="48"/>
        <v>-67.410477139512764</v>
      </c>
      <c r="AH55" s="8">
        <f t="shared" ca="1" si="48"/>
        <v>-73.31722184925286</v>
      </c>
      <c r="AI55" s="8">
        <f t="shared" ca="1" si="48"/>
        <v>-79.643365626893058</v>
      </c>
      <c r="AJ55" s="8">
        <f t="shared" ca="1" si="48"/>
        <v>-86.437610900175201</v>
      </c>
      <c r="AK55" s="8">
        <f t="shared" ca="1" si="48"/>
        <v>-93.745376287319971</v>
      </c>
      <c r="AL55" s="8">
        <f t="shared" ca="1" si="48"/>
        <v>-101.58695225010925</v>
      </c>
      <c r="AM55" s="8">
        <f t="shared" ca="1" si="48"/>
        <v>-110.02116839312617</v>
      </c>
      <c r="AN55" s="8">
        <f t="shared" ca="1" si="48"/>
        <v>-119.0942069862252</v>
      </c>
      <c r="AO55" s="8">
        <f t="shared" ca="1" si="48"/>
        <v>-128.93975159547813</v>
      </c>
      <c r="AP55" s="8">
        <f t="shared" ca="1" si="48"/>
        <v>-139.58134668011101</v>
      </c>
      <c r="AQ55" s="8">
        <f t="shared" ca="1" si="48"/>
        <v>-151.09388328960773</v>
      </c>
      <c r="AR55" s="8">
        <f t="shared" ca="1" si="48"/>
        <v>-163.56507983323795</v>
      </c>
      <c r="AS55" s="8">
        <f t="shared" ca="1" si="48"/>
        <v>-177.05528255913487</v>
      </c>
      <c r="AT55" s="8">
        <f t="shared" ca="1" si="48"/>
        <v>-191.52448847069775</v>
      </c>
      <c r="AU55" s="8">
        <f t="shared" ca="1" si="48"/>
        <v>-207.09297575992613</v>
      </c>
      <c r="AV55" s="8">
        <f t="shared" ca="1" si="48"/>
        <v>-223.82325107630786</v>
      </c>
      <c r="AW55" s="8">
        <f t="shared" ca="1" si="48"/>
        <v>-241.83186625265051</v>
      </c>
    </row>
    <row r="56" spans="1:49" ht="15" x14ac:dyDescent="0.25">
      <c r="A56" s="30" t="s">
        <v>706</v>
      </c>
      <c r="D56" s="6" t="str">
        <f t="shared" ref="D56" si="49">IF(ROUND(D$51-SUM(D$180,D$212,D$229,D$231,D$235,D$239,D$257,D$271,D$275,D$279,D$283,D$292,D$296,D$300,D$304,D$308,D$312),3)=0,"OK","ERROR")</f>
        <v>OK</v>
      </c>
      <c r="E56" s="6" t="str">
        <f t="shared" ref="E56:AW56" ca="1" si="50">IF(ROUND(E$51-SUM(E$180,E$212,E$229,E$231,E$235,E$239,E$257,E$271,E$275,E$279,E$283,E$292,E$296,E$300,E$304,E$308,E$312),3)=0,"OK","ERROR")</f>
        <v>OK</v>
      </c>
      <c r="F56" s="6" t="str">
        <f t="shared" ca="1" si="50"/>
        <v>OK</v>
      </c>
      <c r="G56" s="6" t="str">
        <f t="shared" ca="1" si="50"/>
        <v>OK</v>
      </c>
      <c r="H56" s="6" t="str">
        <f t="shared" ca="1" si="50"/>
        <v>OK</v>
      </c>
      <c r="I56" s="6" t="str">
        <f t="shared" ca="1" si="50"/>
        <v>OK</v>
      </c>
      <c r="J56" s="6" t="str">
        <f t="shared" ca="1" si="50"/>
        <v>OK</v>
      </c>
      <c r="K56" s="6" t="str">
        <f t="shared" ca="1" si="50"/>
        <v>OK</v>
      </c>
      <c r="L56" s="6" t="str">
        <f t="shared" ca="1" si="50"/>
        <v>OK</v>
      </c>
      <c r="M56" s="6" t="str">
        <f t="shared" ca="1" si="50"/>
        <v>OK</v>
      </c>
      <c r="N56" s="6" t="str">
        <f t="shared" ca="1" si="50"/>
        <v>OK</v>
      </c>
      <c r="O56" s="6" t="str">
        <f t="shared" ca="1" si="50"/>
        <v>OK</v>
      </c>
      <c r="P56" s="6" t="str">
        <f t="shared" ca="1" si="50"/>
        <v>OK</v>
      </c>
      <c r="Q56" s="6" t="str">
        <f t="shared" ca="1" si="50"/>
        <v>OK</v>
      </c>
      <c r="R56" s="6" t="str">
        <f t="shared" ca="1" si="50"/>
        <v>OK</v>
      </c>
      <c r="S56" s="6" t="str">
        <f t="shared" ca="1" si="50"/>
        <v>OK</v>
      </c>
      <c r="T56" s="6" t="str">
        <f t="shared" ca="1" si="50"/>
        <v>OK</v>
      </c>
      <c r="U56" s="6" t="str">
        <f t="shared" ca="1" si="50"/>
        <v>OK</v>
      </c>
      <c r="V56" s="6" t="str">
        <f t="shared" ca="1" si="50"/>
        <v>OK</v>
      </c>
      <c r="W56" s="6" t="str">
        <f t="shared" ca="1" si="50"/>
        <v>OK</v>
      </c>
      <c r="X56" s="6" t="str">
        <f t="shared" ca="1" si="50"/>
        <v>OK</v>
      </c>
      <c r="Y56" s="6" t="str">
        <f t="shared" ca="1" si="50"/>
        <v>OK</v>
      </c>
      <c r="Z56" s="6" t="str">
        <f t="shared" ca="1" si="50"/>
        <v>OK</v>
      </c>
      <c r="AA56" s="6" t="str">
        <f t="shared" ca="1" si="50"/>
        <v>OK</v>
      </c>
      <c r="AB56" s="6" t="str">
        <f t="shared" ca="1" si="50"/>
        <v>OK</v>
      </c>
      <c r="AC56" s="6" t="str">
        <f t="shared" ca="1" si="50"/>
        <v>OK</v>
      </c>
      <c r="AD56" s="6" t="str">
        <f t="shared" ca="1" si="50"/>
        <v>OK</v>
      </c>
      <c r="AE56" s="6" t="str">
        <f t="shared" ca="1" si="50"/>
        <v>OK</v>
      </c>
      <c r="AF56" s="6" t="str">
        <f t="shared" ca="1" si="50"/>
        <v>OK</v>
      </c>
      <c r="AG56" s="6" t="str">
        <f t="shared" ca="1" si="50"/>
        <v>OK</v>
      </c>
      <c r="AH56" s="6" t="str">
        <f t="shared" ca="1" si="50"/>
        <v>OK</v>
      </c>
      <c r="AI56" s="6" t="str">
        <f t="shared" ca="1" si="50"/>
        <v>OK</v>
      </c>
      <c r="AJ56" s="6" t="str">
        <f t="shared" ca="1" si="50"/>
        <v>OK</v>
      </c>
      <c r="AK56" s="6" t="str">
        <f t="shared" ca="1" si="50"/>
        <v>OK</v>
      </c>
      <c r="AL56" s="6" t="str">
        <f t="shared" ca="1" si="50"/>
        <v>OK</v>
      </c>
      <c r="AM56" s="6" t="str">
        <f t="shared" ca="1" si="50"/>
        <v>OK</v>
      </c>
      <c r="AN56" s="6" t="str">
        <f t="shared" ca="1" si="50"/>
        <v>OK</v>
      </c>
      <c r="AO56" s="6" t="str">
        <f t="shared" ca="1" si="50"/>
        <v>OK</v>
      </c>
      <c r="AP56" s="6" t="str">
        <f t="shared" ca="1" si="50"/>
        <v>OK</v>
      </c>
      <c r="AQ56" s="6" t="str">
        <f t="shared" ca="1" si="50"/>
        <v>OK</v>
      </c>
      <c r="AR56" s="6" t="str">
        <f t="shared" ca="1" si="50"/>
        <v>OK</v>
      </c>
      <c r="AS56" s="6" t="str">
        <f t="shared" ca="1" si="50"/>
        <v>OK</v>
      </c>
      <c r="AT56" s="6" t="str">
        <f t="shared" ca="1" si="50"/>
        <v>OK</v>
      </c>
      <c r="AU56" s="6" t="str">
        <f t="shared" ca="1" si="50"/>
        <v>OK</v>
      </c>
      <c r="AV56" s="6" t="str">
        <f t="shared" ca="1" si="50"/>
        <v>OK</v>
      </c>
      <c r="AW56" s="6" t="str">
        <f t="shared" ca="1" si="50"/>
        <v>OK</v>
      </c>
    </row>
    <row r="57" spans="1:49" ht="15" x14ac:dyDescent="0.25">
      <c r="A57" s="30"/>
      <c r="D57" s="6"/>
      <c r="E57" s="6"/>
      <c r="F57" s="6"/>
      <c r="G57" s="6"/>
      <c r="H57" s="6"/>
      <c r="I57" s="6"/>
      <c r="J57" s="6"/>
      <c r="K57" s="6"/>
      <c r="L57" s="6"/>
      <c r="M57" s="6"/>
      <c r="N57" s="6"/>
      <c r="O57" s="6"/>
      <c r="P57" s="6"/>
      <c r="Q57" s="6"/>
      <c r="R57" s="6"/>
      <c r="S57" s="6"/>
    </row>
    <row r="58" spans="1:49" x14ac:dyDescent="0.2">
      <c r="A58" s="22" t="s">
        <v>231</v>
      </c>
    </row>
    <row r="59" spans="1:49" x14ac:dyDescent="0.2">
      <c r="A59" s="1" t="s">
        <v>707</v>
      </c>
      <c r="D59" s="18">
        <f t="shared" ref="D59:AW59" ca="1" si="51">SUM(D$335,D$342,D$351,D$360,D$383,D$396,D$400,D$408,D$421,D$427,D$439,D$440)</f>
        <v>278.70300000000003</v>
      </c>
      <c r="E59" s="19">
        <f t="shared" ca="1" si="51"/>
        <v>280.39300000000003</v>
      </c>
      <c r="F59" s="19">
        <f t="shared" ca="1" si="51"/>
        <v>291.58800000000002</v>
      </c>
      <c r="G59" s="19">
        <f t="shared" ca="1" si="51"/>
        <v>293.34699999999998</v>
      </c>
      <c r="H59" s="19">
        <f t="shared" ca="1" si="51"/>
        <v>298.72099999999995</v>
      </c>
      <c r="I59" s="19">
        <f t="shared" ca="1" si="51"/>
        <v>310.71800000000002</v>
      </c>
      <c r="J59" s="7">
        <f t="shared" ca="1" si="51"/>
        <v>322.91891227448292</v>
      </c>
      <c r="K59" s="7">
        <f t="shared" ca="1" si="51"/>
        <v>336.40041758731502</v>
      </c>
      <c r="L59" s="7">
        <f t="shared" ca="1" si="51"/>
        <v>350.56577218724084</v>
      </c>
      <c r="M59" s="7">
        <f t="shared" ca="1" si="51"/>
        <v>365.35796028133683</v>
      </c>
      <c r="N59" s="7">
        <f t="shared" ca="1" si="51"/>
        <v>380.79443474045246</v>
      </c>
      <c r="O59" s="7">
        <f t="shared" ca="1" si="51"/>
        <v>396.79769209193415</v>
      </c>
      <c r="P59" s="7">
        <f t="shared" ca="1" si="51"/>
        <v>413.30102855573978</v>
      </c>
      <c r="Q59" s="7">
        <f t="shared" ca="1" si="51"/>
        <v>430.29215761420994</v>
      </c>
      <c r="R59" s="7">
        <f t="shared" ca="1" si="51"/>
        <v>447.78863965430423</v>
      </c>
      <c r="S59" s="7">
        <f t="shared" ca="1" si="51"/>
        <v>465.84763922443318</v>
      </c>
      <c r="T59" s="7">
        <f t="shared" ca="1" si="51"/>
        <v>484.50090590318388</v>
      </c>
      <c r="U59" s="7">
        <f t="shared" ca="1" si="51"/>
        <v>503.76281882037244</v>
      </c>
      <c r="V59" s="7">
        <f t="shared" ca="1" si="51"/>
        <v>523.63836623520228</v>
      </c>
      <c r="W59" s="7">
        <f t="shared" ca="1" si="51"/>
        <v>544.14034985032299</v>
      </c>
      <c r="X59" s="7">
        <f t="shared" ca="1" si="51"/>
        <v>565.30016672748479</v>
      </c>
      <c r="Y59" s="7">
        <f t="shared" ca="1" si="51"/>
        <v>587.08582506335324</v>
      </c>
      <c r="Z59" s="7">
        <f t="shared" ca="1" si="51"/>
        <v>609.60204732127488</v>
      </c>
      <c r="AA59" s="7">
        <f t="shared" ca="1" si="51"/>
        <v>632.96958885025958</v>
      </c>
      <c r="AB59" s="7">
        <f t="shared" ca="1" si="51"/>
        <v>657.31951850141445</v>
      </c>
      <c r="AC59" s="7">
        <f t="shared" ca="1" si="51"/>
        <v>682.80901300419953</v>
      </c>
      <c r="AD59" s="7">
        <f t="shared" ca="1" si="51"/>
        <v>709.63499251105122</v>
      </c>
      <c r="AE59" s="7">
        <f t="shared" ca="1" si="51"/>
        <v>737.89418533425339</v>
      </c>
      <c r="AF59" s="7">
        <f t="shared" ca="1" si="51"/>
        <v>767.7359573117908</v>
      </c>
      <c r="AG59" s="7">
        <f t="shared" ca="1" si="51"/>
        <v>799.2243200026569</v>
      </c>
      <c r="AH59" s="7">
        <f t="shared" ca="1" si="51"/>
        <v>832.44884585328271</v>
      </c>
      <c r="AI59" s="7">
        <f t="shared" ca="1" si="51"/>
        <v>867.4720938483099</v>
      </c>
      <c r="AJ59" s="7">
        <f t="shared" ca="1" si="51"/>
        <v>904.43967974888392</v>
      </c>
      <c r="AK59" s="7">
        <f t="shared" ca="1" si="51"/>
        <v>943.4038500522546</v>
      </c>
      <c r="AL59" s="7">
        <f t="shared" ca="1" si="51"/>
        <v>984.45325935458868</v>
      </c>
      <c r="AM59" s="7">
        <f t="shared" ca="1" si="51"/>
        <v>1027.6820980284447</v>
      </c>
      <c r="AN59" s="7">
        <f t="shared" ca="1" si="51"/>
        <v>1073.1318519127356</v>
      </c>
      <c r="AO59" s="7">
        <f t="shared" ca="1" si="51"/>
        <v>1120.8244914523414</v>
      </c>
      <c r="AP59" s="7">
        <f t="shared" ca="1" si="51"/>
        <v>1170.7313153651726</v>
      </c>
      <c r="AQ59" s="7">
        <f t="shared" ca="1" si="51"/>
        <v>1222.7787060609019</v>
      </c>
      <c r="AR59" s="7">
        <f t="shared" ca="1" si="51"/>
        <v>1276.8788810812759</v>
      </c>
      <c r="AS59" s="7">
        <f t="shared" ca="1" si="51"/>
        <v>1332.9731209027116</v>
      </c>
      <c r="AT59" s="7">
        <f t="shared" ca="1" si="51"/>
        <v>1390.9249630198567</v>
      </c>
      <c r="AU59" s="7">
        <f t="shared" ca="1" si="51"/>
        <v>1450.864051816322</v>
      </c>
      <c r="AV59" s="7">
        <f t="shared" ca="1" si="51"/>
        <v>1512.9003276545743</v>
      </c>
      <c r="AW59" s="7">
        <f t="shared" ca="1" si="51"/>
        <v>1577.0567934814317</v>
      </c>
    </row>
    <row r="60" spans="1:49" x14ac:dyDescent="0.2">
      <c r="A60" s="1" t="s">
        <v>711</v>
      </c>
      <c r="D60" s="18">
        <f t="shared" ref="D60:I60" si="52">SUM(D$74,D$443,D$450,D$454,D$460,D$465,D$469)</f>
        <v>186.46700000000001</v>
      </c>
      <c r="E60" s="19">
        <f t="shared" si="52"/>
        <v>191.09100000000001</v>
      </c>
      <c r="F60" s="19">
        <f t="shared" si="52"/>
        <v>199.16300000000004</v>
      </c>
      <c r="G60" s="19">
        <f t="shared" si="52"/>
        <v>195.869</v>
      </c>
      <c r="H60" s="19">
        <f t="shared" si="52"/>
        <v>193.56</v>
      </c>
      <c r="I60" s="19">
        <f t="shared" si="52"/>
        <v>195.84699999999998</v>
      </c>
      <c r="J60" s="7">
        <f t="shared" ref="J60:AW60" ca="1" si="53">SUM(J$74,J$443,J$450,J$454,J$460,J$465,J$469)</f>
        <v>200.62666772208632</v>
      </c>
      <c r="K60" s="7">
        <f t="shared" ca="1" si="53"/>
        <v>207.92638403631017</v>
      </c>
      <c r="L60" s="7">
        <f t="shared" ca="1" si="53"/>
        <v>216.88731980569457</v>
      </c>
      <c r="M60" s="7">
        <f t="shared" ca="1" si="53"/>
        <v>227.36903493118595</v>
      </c>
      <c r="N60" s="7">
        <f t="shared" ca="1" si="53"/>
        <v>239.24700431424063</v>
      </c>
      <c r="O60" s="7">
        <f t="shared" ca="1" si="53"/>
        <v>252.93353845996606</v>
      </c>
      <c r="P60" s="7">
        <f t="shared" ca="1" si="53"/>
        <v>268.29064995047577</v>
      </c>
      <c r="Q60" s="7">
        <f t="shared" ca="1" si="53"/>
        <v>285.30251543206509</v>
      </c>
      <c r="R60" s="7">
        <f t="shared" ca="1" si="53"/>
        <v>304.22803847931675</v>
      </c>
      <c r="S60" s="7">
        <f t="shared" ca="1" si="53"/>
        <v>325.26135965956814</v>
      </c>
      <c r="T60" s="7">
        <f t="shared" ca="1" si="53"/>
        <v>348.61323088498318</v>
      </c>
      <c r="U60" s="7">
        <f t="shared" ca="1" si="53"/>
        <v>374.5525944742659</v>
      </c>
      <c r="V60" s="7">
        <f t="shared" ca="1" si="53"/>
        <v>403.30340616956011</v>
      </c>
      <c r="W60" s="7">
        <f t="shared" ca="1" si="53"/>
        <v>434.92917858647212</v>
      </c>
      <c r="X60" s="7">
        <f t="shared" ca="1" si="53"/>
        <v>469.577352753806</v>
      </c>
      <c r="Y60" s="7">
        <f t="shared" ca="1" si="53"/>
        <v>507.50898955142304</v>
      </c>
      <c r="Z60" s="7">
        <f t="shared" ca="1" si="53"/>
        <v>548.97827617171026</v>
      </c>
      <c r="AA60" s="7">
        <f t="shared" ca="1" si="53"/>
        <v>594.26320476241244</v>
      </c>
      <c r="AB60" s="7">
        <f t="shared" ca="1" si="53"/>
        <v>643.64567835936327</v>
      </c>
      <c r="AC60" s="7">
        <f t="shared" ca="1" si="53"/>
        <v>697.41812530969526</v>
      </c>
      <c r="AD60" s="7">
        <f t="shared" ca="1" si="53"/>
        <v>755.84921639340132</v>
      </c>
      <c r="AE60" s="7">
        <f t="shared" ca="1" si="53"/>
        <v>819.26927407766073</v>
      </c>
      <c r="AF60" s="7">
        <f t="shared" ca="1" si="53"/>
        <v>888.02183677206233</v>
      </c>
      <c r="AG60" s="7">
        <f t="shared" ca="1" si="53"/>
        <v>962.45604401506921</v>
      </c>
      <c r="AH60" s="7">
        <f t="shared" ca="1" si="53"/>
        <v>1042.9680573130029</v>
      </c>
      <c r="AI60" s="7">
        <f t="shared" ca="1" si="53"/>
        <v>1129.9698590172547</v>
      </c>
      <c r="AJ60" s="7">
        <f t="shared" ca="1" si="53"/>
        <v>1223.9261198536815</v>
      </c>
      <c r="AK60" s="7">
        <f t="shared" ca="1" si="53"/>
        <v>1325.3368412021132</v>
      </c>
      <c r="AL60" s="7">
        <f t="shared" ca="1" si="53"/>
        <v>1434.7222602318959</v>
      </c>
      <c r="AM60" s="7">
        <f t="shared" ca="1" si="53"/>
        <v>1552.6667836658</v>
      </c>
      <c r="AN60" s="7">
        <f t="shared" ca="1" si="53"/>
        <v>1679.8026285735505</v>
      </c>
      <c r="AO60" s="7">
        <f t="shared" ca="1" si="53"/>
        <v>1816.8589498155418</v>
      </c>
      <c r="AP60" s="7">
        <f t="shared" ca="1" si="53"/>
        <v>1964.6264621615139</v>
      </c>
      <c r="AQ60" s="7">
        <f t="shared" ca="1" si="53"/>
        <v>2123.9294553208492</v>
      </c>
      <c r="AR60" s="7">
        <f t="shared" ca="1" si="53"/>
        <v>2295.6909641798848</v>
      </c>
      <c r="AS60" s="7">
        <f t="shared" ca="1" si="53"/>
        <v>2480.8911948336577</v>
      </c>
      <c r="AT60" s="7">
        <f t="shared" ca="1" si="53"/>
        <v>2680.3062763302801</v>
      </c>
      <c r="AU60" s="7">
        <f t="shared" ca="1" si="53"/>
        <v>2895.1012990601816</v>
      </c>
      <c r="AV60" s="7">
        <f t="shared" ca="1" si="53"/>
        <v>3126.4107054813098</v>
      </c>
      <c r="AW60" s="7">
        <f t="shared" ca="1" si="53"/>
        <v>3375.4503026584212</v>
      </c>
    </row>
    <row r="61" spans="1:49" ht="15" x14ac:dyDescent="0.25">
      <c r="A61" s="2" t="s">
        <v>712</v>
      </c>
      <c r="B61" s="4"/>
      <c r="D61" s="40">
        <f t="shared" ref="D61:AW61" ca="1" si="54">D$59-D$60</f>
        <v>92.236000000000018</v>
      </c>
      <c r="E61" s="39">
        <f t="shared" ca="1" si="54"/>
        <v>89.302000000000021</v>
      </c>
      <c r="F61" s="39">
        <f t="shared" ca="1" si="54"/>
        <v>92.424999999999983</v>
      </c>
      <c r="G61" s="39">
        <f t="shared" ca="1" si="54"/>
        <v>97.47799999999998</v>
      </c>
      <c r="H61" s="39">
        <f t="shared" ca="1" si="54"/>
        <v>105.16099999999994</v>
      </c>
      <c r="I61" s="39">
        <f t="shared" ca="1" si="54"/>
        <v>114.87100000000004</v>
      </c>
      <c r="J61" s="43">
        <f t="shared" ca="1" si="54"/>
        <v>122.2922445523966</v>
      </c>
      <c r="K61" s="43">
        <f t="shared" ca="1" si="54"/>
        <v>128.47403355100485</v>
      </c>
      <c r="L61" s="43">
        <f t="shared" ca="1" si="54"/>
        <v>133.67845238154626</v>
      </c>
      <c r="M61" s="43">
        <f t="shared" ca="1" si="54"/>
        <v>137.98892535015088</v>
      </c>
      <c r="N61" s="43">
        <f t="shared" ca="1" si="54"/>
        <v>141.54743042621183</v>
      </c>
      <c r="O61" s="43">
        <f t="shared" ca="1" si="54"/>
        <v>143.86415363196809</v>
      </c>
      <c r="P61" s="43">
        <f t="shared" ca="1" si="54"/>
        <v>145.01037860526401</v>
      </c>
      <c r="Q61" s="43">
        <f t="shared" ca="1" si="54"/>
        <v>144.98964218214485</v>
      </c>
      <c r="R61" s="43">
        <f t="shared" ca="1" si="54"/>
        <v>143.56060117498748</v>
      </c>
      <c r="S61" s="43">
        <f t="shared" ca="1" si="54"/>
        <v>140.58627956486504</v>
      </c>
      <c r="T61" s="43">
        <f t="shared" ca="1" si="54"/>
        <v>135.8876750182007</v>
      </c>
      <c r="U61" s="43">
        <f t="shared" ca="1" si="54"/>
        <v>129.21022434610654</v>
      </c>
      <c r="V61" s="43">
        <f t="shared" ca="1" si="54"/>
        <v>120.33496006564218</v>
      </c>
      <c r="W61" s="43">
        <f t="shared" ca="1" si="54"/>
        <v>109.21117126385087</v>
      </c>
      <c r="X61" s="43">
        <f t="shared" ca="1" si="54"/>
        <v>95.722813973678797</v>
      </c>
      <c r="Y61" s="43">
        <f t="shared" ca="1" si="54"/>
        <v>79.576835511930199</v>
      </c>
      <c r="Z61" s="43">
        <f t="shared" ca="1" si="54"/>
        <v>60.623771149564618</v>
      </c>
      <c r="AA61" s="43">
        <f t="shared" ca="1" si="54"/>
        <v>38.706384087847141</v>
      </c>
      <c r="AB61" s="43">
        <f t="shared" ca="1" si="54"/>
        <v>13.673840142051176</v>
      </c>
      <c r="AC61" s="43">
        <f t="shared" ca="1" si="54"/>
        <v>-14.609112305495728</v>
      </c>
      <c r="AD61" s="43">
        <f t="shared" ca="1" si="54"/>
        <v>-46.214223882350097</v>
      </c>
      <c r="AE61" s="43">
        <f t="shared" ca="1" si="54"/>
        <v>-81.375088743407332</v>
      </c>
      <c r="AF61" s="43">
        <f t="shared" ca="1" si="54"/>
        <v>-120.28587946027153</v>
      </c>
      <c r="AG61" s="43">
        <f t="shared" ca="1" si="54"/>
        <v>-163.23172401241231</v>
      </c>
      <c r="AH61" s="43">
        <f t="shared" ca="1" si="54"/>
        <v>-210.51921145972017</v>
      </c>
      <c r="AI61" s="43">
        <f t="shared" ca="1" si="54"/>
        <v>-262.49776516894485</v>
      </c>
      <c r="AJ61" s="43">
        <f t="shared" ca="1" si="54"/>
        <v>-319.48644010479757</v>
      </c>
      <c r="AK61" s="43">
        <f t="shared" ca="1" si="54"/>
        <v>-381.93299114985859</v>
      </c>
      <c r="AL61" s="43">
        <f t="shared" ca="1" si="54"/>
        <v>-450.26900087730723</v>
      </c>
      <c r="AM61" s="43">
        <f t="shared" ca="1" si="54"/>
        <v>-524.98468563735537</v>
      </c>
      <c r="AN61" s="43">
        <f t="shared" ca="1" si="54"/>
        <v>-606.67077666081491</v>
      </c>
      <c r="AO61" s="43">
        <f t="shared" ca="1" si="54"/>
        <v>-696.03445836320043</v>
      </c>
      <c r="AP61" s="43">
        <f t="shared" ca="1" si="54"/>
        <v>-793.89514679634135</v>
      </c>
      <c r="AQ61" s="43">
        <f t="shared" ca="1" si="54"/>
        <v>-901.15074925994736</v>
      </c>
      <c r="AR61" s="43">
        <f t="shared" ca="1" si="54"/>
        <v>-1018.8120830986088</v>
      </c>
      <c r="AS61" s="43">
        <f t="shared" ca="1" si="54"/>
        <v>-1147.9180739309461</v>
      </c>
      <c r="AT61" s="43">
        <f t="shared" ca="1" si="54"/>
        <v>-1289.3813133104234</v>
      </c>
      <c r="AU61" s="43">
        <f t="shared" ca="1" si="54"/>
        <v>-1444.2372472438597</v>
      </c>
      <c r="AV61" s="43">
        <f t="shared" ca="1" si="54"/>
        <v>-1613.5103778267355</v>
      </c>
      <c r="AW61" s="43">
        <f t="shared" ca="1" si="54"/>
        <v>-1798.3935091769895</v>
      </c>
    </row>
    <row r="62" spans="1:49" x14ac:dyDescent="0.2">
      <c r="A62" s="1" t="s">
        <v>312</v>
      </c>
      <c r="B62" s="4" t="str">
        <f>$B$43</f>
        <v>From Fiscal</v>
      </c>
      <c r="D62" s="18">
        <f>Fiscal!D$137</f>
        <v>5.782</v>
      </c>
      <c r="E62" s="19">
        <f>Fiscal!E$137</f>
        <v>5.7549999999999999</v>
      </c>
      <c r="F62" s="19">
        <f>Fiscal!F$137</f>
        <v>5.7839999999999998</v>
      </c>
      <c r="G62" s="19">
        <f>Fiscal!G$137</f>
        <v>5.8520000000000003</v>
      </c>
      <c r="H62" s="19">
        <f>Fiscal!H$137</f>
        <v>5.8940000000000001</v>
      </c>
      <c r="I62" s="19">
        <f>Fiscal!I$137</f>
        <v>5.9589999999999996</v>
      </c>
      <c r="J62" s="7">
        <f ca="1">IF(J$6=OFFSET(Assumptions!$B$8,0,$C$1),AVERAGE(G$62/G$407,H$62/H$407,I$62/I$407),I$62/I$407)*J$407</f>
        <v>6.0449567035547309</v>
      </c>
      <c r="K62" s="7">
        <f ca="1">IF(K$6=OFFSET(Assumptions!$B$8,0,$C$1),AVERAGE(H$62/H$407,I$62/I$407,J$62/J$407),J$62/J$407)*K$407</f>
        <v>6.1083834156478893</v>
      </c>
      <c r="L62" s="7">
        <f ca="1">IF(L$6=OFFSET(Assumptions!$B$8,0,$C$1),AVERAGE(I$62/I$407,J$62/J$407,K$62/K$407),K$62/K$407)*L$407</f>
        <v>6.1816001438810666</v>
      </c>
      <c r="M62" s="7">
        <f ca="1">IF(M$6=OFFSET(Assumptions!$B$8,0,$C$1),AVERAGE(J$62/J$407,K$62/K$407,L$62/L$407),L$62/L$407)*M$407</f>
        <v>6.2647302844534707</v>
      </c>
      <c r="N62" s="7">
        <f ca="1">IF(N$6=OFFSET(Assumptions!$B$8,0,$C$1),AVERAGE(K$62/K$407,L$62/L$407,M$62/M$407),M$62/M$407)*N$407</f>
        <v>6.357926552769726</v>
      </c>
      <c r="O62" s="7">
        <f ca="1">IF(O$6=OFFSET(Assumptions!$B$8,0,$C$1),AVERAGE(L$62/L$407,M$62/M$407,N$62/N$407),N$62/N$407)*O$407</f>
        <v>6.4612410783321046</v>
      </c>
      <c r="P62" s="7">
        <f ca="1">IF(P$6=OFFSET(Assumptions!$B$8,0,$C$1),AVERAGE(M$62/M$407,N$62/N$407,O$62/O$407),O$62/O$407)*P$407</f>
        <v>6.5747591482418759</v>
      </c>
      <c r="Q62" s="7">
        <f ca="1">IF(Q$6=OFFSET(Assumptions!$B$8,0,$C$1),AVERAGE(N$62/N$407,O$62/O$407,P$62/P$407),P$62/P$407)*Q$407</f>
        <v>6.6985480892626423</v>
      </c>
      <c r="R62" s="7">
        <f ca="1">IF(R$6=OFFSET(Assumptions!$B$8,0,$C$1),AVERAGE(O$62/O$407,P$62/P$407,Q$62/Q$407),Q$62/Q$407)*R$407</f>
        <v>6.8326622628986984</v>
      </c>
      <c r="S62" s="7">
        <f ca="1">IF(S$6=OFFSET(Assumptions!$B$8,0,$C$1),AVERAGE(P$62/P$407,Q$62/Q$407,R$62/R$407),R$62/R$407)*S$407</f>
        <v>6.9772007920633445</v>
      </c>
      <c r="T62" s="7">
        <f ca="1">IF(T$6=OFFSET(Assumptions!$B$8,0,$C$1),AVERAGE(Q$62/Q$407,R$62/R$407,S$62/S$407),S$62/S$407)*T$407</f>
        <v>7.1322648313696133</v>
      </c>
      <c r="U62" s="7">
        <f ca="1">IF(U$6=OFFSET(Assumptions!$B$8,0,$C$1),AVERAGE(R$62/R$407,S$62/S$407,T$62/T$407),T$62/T$407)*U$407</f>
        <v>7.2980080279034976</v>
      </c>
      <c r="V62" s="7">
        <f ca="1">IF(V$6=OFFSET(Assumptions!$B$8,0,$C$1),AVERAGE(S$62/S$407,T$62/T$407,U$62/U$407),U$62/U$407)*V$407</f>
        <v>7.4746184652756007</v>
      </c>
      <c r="W62" s="7">
        <f ca="1">IF(W$6=OFFSET(Assumptions!$B$8,0,$C$1),AVERAGE(T$62/T$407,U$62/U$407,V$62/V$407),V$62/V$407)*W$407</f>
        <v>7.6623260069773593</v>
      </c>
      <c r="X62" s="7">
        <f ca="1">IF(X$6=OFFSET(Assumptions!$B$8,0,$C$1),AVERAGE(U$62/U$407,V$62/V$407,W$62/W$407),W$62/W$407)*X$407</f>
        <v>7.8614072798229646</v>
      </c>
      <c r="Y62" s="7">
        <f ca="1">IF(Y$6=OFFSET(Assumptions!$B$8,0,$C$1),AVERAGE(V$62/V$407,W$62/W$407,X$62/X$407),X$62/X$407)*Y$407</f>
        <v>8.0721273226987655</v>
      </c>
      <c r="Z62" s="7">
        <f ca="1">IF(Z$6=OFFSET(Assumptions!$B$8,0,$C$1),AVERAGE(W$62/W$407,X$62/X$407,Y$62/Y$407),Y$62/Y$407)*Z$407</f>
        <v>8.2948362578337189</v>
      </c>
      <c r="AA62" s="7">
        <f ca="1">IF(AA$6=OFFSET(Assumptions!$B$8,0,$C$1),AVERAGE(X$62/X$407,Y$62/Y$407,Z$62/Z$407),Z$62/Z$407)*AA$407</f>
        <v>8.5299032821290872</v>
      </c>
      <c r="AB62" s="7">
        <f ca="1">IF(AB$6=OFFSET(Assumptions!$B$8,0,$C$1),AVERAGE(Y$62/Y$407,Z$62/Z$407,AA$62/AA$407),AA$62/AA$407)*AB$407</f>
        <v>8.7777452641099636</v>
      </c>
      <c r="AC62" s="7">
        <f ca="1">IF(AC$6=OFFSET(Assumptions!$B$8,0,$C$1),AVERAGE(Z$62/Z$407,AA$62/AA$407,AB$62/AB$407),AB$62/AB$407)*AC$407</f>
        <v>9.0388438822919603</v>
      </c>
      <c r="AD62" s="7">
        <f ca="1">IF(AD$6=OFFSET(Assumptions!$B$8,0,$C$1),AVERAGE(AA$62/AA$407,AB$62/AB$407,AC$62/AC$407),AC$62/AC$407)*AD$407</f>
        <v>9.3136870187626855</v>
      </c>
      <c r="AE62" s="7">
        <f ca="1">IF(AE$6=OFFSET(Assumptions!$B$8,0,$C$1),AVERAGE(AB$62/AB$407,AC$62/AC$407,AD$62/AD$407),AD$62/AD$407)*AE$407</f>
        <v>9.6027242887268685</v>
      </c>
      <c r="AF62" s="7">
        <f ca="1">IF(AF$6=OFFSET(Assumptions!$B$8,0,$C$1),AVERAGE(AC$62/AC$407,AD$62/AD$407,AE$62/AE$407),AE$62/AE$407)*AF$407</f>
        <v>9.9064555288597873</v>
      </c>
      <c r="AG62" s="7">
        <f ca="1">IF(AG$6=OFFSET(Assumptions!$B$8,0,$C$1),AVERAGE(AD$62/AD$407,AE$62/AE$407,AF$62/AF$407),AF$62/AF$407)*AG$407</f>
        <v>10.225376872592323</v>
      </c>
      <c r="AH62" s="7">
        <f ca="1">IF(AH$6=OFFSET(Assumptions!$B$8,0,$C$1),AVERAGE(AE$62/AE$407,AF$62/AF$407,AG$62/AG$407),AG$62/AG$407)*AH$407</f>
        <v>10.560008491767872</v>
      </c>
      <c r="AI62" s="7">
        <f ca="1">IF(AI$6=OFFSET(Assumptions!$B$8,0,$C$1),AVERAGE(AF$62/AF$407,AG$62/AG$407,AH$62/AH$407),AH$62/AH$407)*AI$407</f>
        <v>10.910805136348241</v>
      </c>
      <c r="AJ62" s="7">
        <f ca="1">IF(AJ$6=OFFSET(Assumptions!$B$8,0,$C$1),AVERAGE(AG$62/AG$407,AH$62/AH$407,AI$62/AI$407),AI$62/AI$407)*AJ$407</f>
        <v>11.278295093725674</v>
      </c>
      <c r="AK62" s="7">
        <f ca="1">IF(AK$6=OFFSET(Assumptions!$B$8,0,$C$1),AVERAGE(AH$62/AH$407,AI$62/AI$407,AJ$62/AJ$407),AJ$62/AJ$407)*AK$407</f>
        <v>11.66296413100368</v>
      </c>
      <c r="AL62" s="7">
        <f ca="1">IF(AL$6=OFFSET(Assumptions!$B$8,0,$C$1),AVERAGE(AI$62/AI$407,AJ$62/AJ$407,AK$62/AK$407),AK$62/AK$407)*AL$407</f>
        <v>12.065257161568637</v>
      </c>
      <c r="AM62" s="7">
        <f ca="1">IF(AM$6=OFFSET(Assumptions!$B$8,0,$C$1),AVERAGE(AJ$62/AJ$407,AK$62/AK$407,AL$62/AL$407),AL$62/AL$407)*AM$407</f>
        <v>12.485646015787205</v>
      </c>
      <c r="AN62" s="7">
        <f ca="1">IF(AN$6=OFFSET(Assumptions!$B$8,0,$C$1),AVERAGE(AK$62/AK$407,AL$62/AL$407,AM$62/AM$407),AM$62/AM$407)*AN$407</f>
        <v>12.924630787810083</v>
      </c>
      <c r="AO62" s="7">
        <f ca="1">IF(AO$6=OFFSET(Assumptions!$B$8,0,$C$1),AVERAGE(AL$62/AL$407,AM$62/AM$407,AN$62/AN$407),AN$62/AN$407)*AO$407</f>
        <v>13.38256275312707</v>
      </c>
      <c r="AP62" s="7">
        <f ca="1">IF(AP$6=OFFSET(Assumptions!$B$8,0,$C$1),AVERAGE(AM$62/AM$407,AN$62/AN$407,AO$62/AO$407),AO$62/AO$407)*AP$407</f>
        <v>13.859926962908569</v>
      </c>
      <c r="AQ62" s="7">
        <f ca="1">IF(AQ$6=OFFSET(Assumptions!$B$8,0,$C$1),AVERAGE(AN$62/AN$407,AO$62/AO$407,AP$62/AP$407),AP$62/AP$407)*AQ$407</f>
        <v>14.357091705316051</v>
      </c>
      <c r="AR62" s="7">
        <f ca="1">IF(AR$6=OFFSET(Assumptions!$B$8,0,$C$1),AVERAGE(AO$62/AO$407,AP$62/AP$407,AQ$62/AQ$407),AQ$62/AQ$407)*AR$407</f>
        <v>14.874453753985202</v>
      </c>
      <c r="AS62" s="7">
        <f ca="1">IF(AS$6=OFFSET(Assumptions!$B$8,0,$C$1),AVERAGE(AP$62/AP$407,AQ$62/AQ$407,AR$62/AR$407),AR$62/AR$407)*AS$407</f>
        <v>15.412483895316655</v>
      </c>
      <c r="AT62" s="7">
        <f ca="1">IF(AT$6=OFFSET(Assumptions!$B$8,0,$C$1),AVERAGE(AQ$62/AQ$407,AR$62/AR$407,AS$62/AS$407),AS$62/AS$407)*AT$407</f>
        <v>15.971667393188065</v>
      </c>
      <c r="AU62" s="7">
        <f ca="1">IF(AU$6=OFFSET(Assumptions!$B$8,0,$C$1),AVERAGE(AR$62/AR$407,AS$62/AS$407,AT$62/AT$407),AT$62/AT$407)*AU$407</f>
        <v>16.552525753276115</v>
      </c>
      <c r="AV62" s="7">
        <f ca="1">IF(AV$6=OFFSET(Assumptions!$B$8,0,$C$1),AVERAGE(AS$62/AS$407,AT$62/AT$407,AU$62/AU$407),AU$62/AU$407)*AV$407</f>
        <v>17.155690049993225</v>
      </c>
      <c r="AW62" s="7">
        <f ca="1">IF(AW$6=OFFSET(Assumptions!$B$8,0,$C$1),AVERAGE(AT$62/AT$407,AU$62/AU$407,AV$62/AV$407),AV$62/AV$407)*AW$407</f>
        <v>17.781744967720655</v>
      </c>
    </row>
    <row r="63" spans="1:49" ht="15" x14ac:dyDescent="0.25">
      <c r="A63" s="2" t="s">
        <v>708</v>
      </c>
      <c r="D63" s="40">
        <f t="shared" ref="D63:AW63" ca="1" si="55">D$61-D$62</f>
        <v>86.454000000000022</v>
      </c>
      <c r="E63" s="39">
        <f t="shared" ca="1" si="55"/>
        <v>83.547000000000025</v>
      </c>
      <c r="F63" s="39">
        <f t="shared" ca="1" si="55"/>
        <v>86.640999999999977</v>
      </c>
      <c r="G63" s="39">
        <f t="shared" ca="1" si="55"/>
        <v>91.625999999999976</v>
      </c>
      <c r="H63" s="39">
        <f t="shared" ca="1" si="55"/>
        <v>99.266999999999939</v>
      </c>
      <c r="I63" s="39">
        <f t="shared" ca="1" si="55"/>
        <v>108.91200000000003</v>
      </c>
      <c r="J63" s="43">
        <f t="shared" ca="1" si="55"/>
        <v>116.24728784884186</v>
      </c>
      <c r="K63" s="43">
        <f t="shared" ca="1" si="55"/>
        <v>122.36565013535696</v>
      </c>
      <c r="L63" s="43">
        <f t="shared" ca="1" si="55"/>
        <v>127.49685223766519</v>
      </c>
      <c r="M63" s="43">
        <f t="shared" ca="1" si="55"/>
        <v>131.72419506569742</v>
      </c>
      <c r="N63" s="43">
        <f t="shared" ca="1" si="55"/>
        <v>135.18950387344211</v>
      </c>
      <c r="O63" s="43">
        <f t="shared" ca="1" si="55"/>
        <v>137.40291255363599</v>
      </c>
      <c r="P63" s="43">
        <f t="shared" ca="1" si="55"/>
        <v>138.43561945702214</v>
      </c>
      <c r="Q63" s="43">
        <f t="shared" ca="1" si="55"/>
        <v>138.29109409288222</v>
      </c>
      <c r="R63" s="43">
        <f t="shared" ca="1" si="55"/>
        <v>136.72793891208877</v>
      </c>
      <c r="S63" s="43">
        <f t="shared" ca="1" si="55"/>
        <v>133.60907877280169</v>
      </c>
      <c r="T63" s="43">
        <f t="shared" ca="1" si="55"/>
        <v>128.75541018683109</v>
      </c>
      <c r="U63" s="43">
        <f t="shared" ca="1" si="55"/>
        <v>121.91221631820305</v>
      </c>
      <c r="V63" s="43">
        <f t="shared" ca="1" si="55"/>
        <v>112.86034160036658</v>
      </c>
      <c r="W63" s="43">
        <f t="shared" ca="1" si="55"/>
        <v>101.54884525687351</v>
      </c>
      <c r="X63" s="43">
        <f t="shared" ca="1" si="55"/>
        <v>87.861406693855827</v>
      </c>
      <c r="Y63" s="43">
        <f t="shared" ca="1" si="55"/>
        <v>71.504708189231437</v>
      </c>
      <c r="Z63" s="43">
        <f t="shared" ca="1" si="55"/>
        <v>52.328934891730896</v>
      </c>
      <c r="AA63" s="43">
        <f t="shared" ca="1" si="55"/>
        <v>30.176480805718054</v>
      </c>
      <c r="AB63" s="43">
        <f t="shared" ca="1" si="55"/>
        <v>4.8960948779412128</v>
      </c>
      <c r="AC63" s="43">
        <f t="shared" ca="1" si="55"/>
        <v>-23.647956187787688</v>
      </c>
      <c r="AD63" s="43">
        <f t="shared" ca="1" si="55"/>
        <v>-55.527910901112783</v>
      </c>
      <c r="AE63" s="43">
        <f t="shared" ca="1" si="55"/>
        <v>-90.977813032134208</v>
      </c>
      <c r="AF63" s="43">
        <f t="shared" ca="1" si="55"/>
        <v>-130.19233498913133</v>
      </c>
      <c r="AG63" s="43">
        <f t="shared" ca="1" si="55"/>
        <v>-173.45710088500465</v>
      </c>
      <c r="AH63" s="43">
        <f t="shared" ca="1" si="55"/>
        <v>-221.07921995148803</v>
      </c>
      <c r="AI63" s="43">
        <f t="shared" ca="1" si="55"/>
        <v>-273.4085703052931</v>
      </c>
      <c r="AJ63" s="43">
        <f t="shared" ca="1" si="55"/>
        <v>-330.76473519852323</v>
      </c>
      <c r="AK63" s="43">
        <f t="shared" ca="1" si="55"/>
        <v>-393.59595528086226</v>
      </c>
      <c r="AL63" s="43">
        <f t="shared" ca="1" si="55"/>
        <v>-462.33425803887587</v>
      </c>
      <c r="AM63" s="43">
        <f t="shared" ca="1" si="55"/>
        <v>-537.47033165314258</v>
      </c>
      <c r="AN63" s="43">
        <f t="shared" ca="1" si="55"/>
        <v>-619.595407448625</v>
      </c>
      <c r="AO63" s="43">
        <f t="shared" ca="1" si="55"/>
        <v>-709.41702111632753</v>
      </c>
      <c r="AP63" s="43">
        <f t="shared" ca="1" si="55"/>
        <v>-807.75507375924997</v>
      </c>
      <c r="AQ63" s="43">
        <f t="shared" ca="1" si="55"/>
        <v>-915.50784096526343</v>
      </c>
      <c r="AR63" s="43">
        <f t="shared" ca="1" si="55"/>
        <v>-1033.6865368525939</v>
      </c>
      <c r="AS63" s="43">
        <f t="shared" ca="1" si="55"/>
        <v>-1163.3305578262627</v>
      </c>
      <c r="AT63" s="43">
        <f t="shared" ca="1" si="55"/>
        <v>-1305.3529807036114</v>
      </c>
      <c r="AU63" s="43">
        <f t="shared" ca="1" si="55"/>
        <v>-1460.7897729971357</v>
      </c>
      <c r="AV63" s="43">
        <f t="shared" ca="1" si="55"/>
        <v>-1630.6660678767287</v>
      </c>
      <c r="AW63" s="43">
        <f t="shared" ca="1" si="55"/>
        <v>-1816.1752541447102</v>
      </c>
    </row>
    <row r="64" spans="1:49" ht="15" x14ac:dyDescent="0.25">
      <c r="A64" s="30" t="s">
        <v>709</v>
      </c>
      <c r="B64" s="4" t="s">
        <v>785</v>
      </c>
      <c r="D64" s="6" t="str">
        <f ca="1">IF(ROUND(Fiscal!D$135-D$61,3)=0,"OK","ERROR")</f>
        <v>OK</v>
      </c>
      <c r="E64" s="6" t="str">
        <f ca="1">IF(ROUND(Fiscal!E$135-E$61,3)=0,"OK","ERROR")</f>
        <v>OK</v>
      </c>
      <c r="F64" s="6" t="str">
        <f ca="1">IF(ROUND(Fiscal!F$135-F$61,3)=0,"OK","ERROR")</f>
        <v>OK</v>
      </c>
      <c r="G64" s="6" t="str">
        <f ca="1">IF(ROUND(Fiscal!G$135-G$61,3)=0,"OK","ERROR")</f>
        <v>OK</v>
      </c>
      <c r="H64" s="6" t="str">
        <f ca="1">IF(ROUND(Fiscal!H$135-H$61,3)=0,"OK","ERROR")</f>
        <v>OK</v>
      </c>
      <c r="I64" s="6" t="str">
        <f ca="1">IF(ROUND(Fiscal!I$135-I$61,3)=0,"OK","ERROR")</f>
        <v>OK</v>
      </c>
    </row>
    <row r="65" spans="1:49" ht="15" x14ac:dyDescent="0.25">
      <c r="A65" s="30" t="s">
        <v>710</v>
      </c>
      <c r="B65" s="4" t="s">
        <v>313</v>
      </c>
      <c r="J65" s="6" t="str">
        <f t="shared" ref="J65:AW65" ca="1" si="56">IF(ROUND(J$48-(J$61-I$61),3)=0,"OK","ERROR")</f>
        <v>OK</v>
      </c>
      <c r="K65" s="6" t="str">
        <f t="shared" ca="1" si="56"/>
        <v>OK</v>
      </c>
      <c r="L65" s="6" t="str">
        <f t="shared" ca="1" si="56"/>
        <v>OK</v>
      </c>
      <c r="M65" s="6" t="str">
        <f t="shared" ca="1" si="56"/>
        <v>OK</v>
      </c>
      <c r="N65" s="6" t="str">
        <f t="shared" ca="1" si="56"/>
        <v>OK</v>
      </c>
      <c r="O65" s="6" t="str">
        <f t="shared" ca="1" si="56"/>
        <v>OK</v>
      </c>
      <c r="P65" s="6" t="str">
        <f t="shared" ca="1" si="56"/>
        <v>OK</v>
      </c>
      <c r="Q65" s="6" t="str">
        <f t="shared" ca="1" si="56"/>
        <v>OK</v>
      </c>
      <c r="R65" s="6" t="str">
        <f t="shared" ca="1" si="56"/>
        <v>OK</v>
      </c>
      <c r="S65" s="6" t="str">
        <f t="shared" ca="1" si="56"/>
        <v>OK</v>
      </c>
      <c r="T65" s="6" t="str">
        <f t="shared" ca="1" si="56"/>
        <v>OK</v>
      </c>
      <c r="U65" s="6" t="str">
        <f t="shared" ca="1" si="56"/>
        <v>OK</v>
      </c>
      <c r="V65" s="6" t="str">
        <f t="shared" ca="1" si="56"/>
        <v>OK</v>
      </c>
      <c r="W65" s="6" t="str">
        <f t="shared" ca="1" si="56"/>
        <v>OK</v>
      </c>
      <c r="X65" s="6" t="str">
        <f t="shared" ca="1" si="56"/>
        <v>OK</v>
      </c>
      <c r="Y65" s="6" t="str">
        <f t="shared" ca="1" si="56"/>
        <v>OK</v>
      </c>
      <c r="Z65" s="6" t="str">
        <f t="shared" ca="1" si="56"/>
        <v>OK</v>
      </c>
      <c r="AA65" s="6" t="str">
        <f t="shared" ca="1" si="56"/>
        <v>OK</v>
      </c>
      <c r="AB65" s="6" t="str">
        <f t="shared" ca="1" si="56"/>
        <v>OK</v>
      </c>
      <c r="AC65" s="6" t="str">
        <f t="shared" ca="1" si="56"/>
        <v>OK</v>
      </c>
      <c r="AD65" s="6" t="str">
        <f t="shared" ca="1" si="56"/>
        <v>OK</v>
      </c>
      <c r="AE65" s="6" t="str">
        <f t="shared" ca="1" si="56"/>
        <v>OK</v>
      </c>
      <c r="AF65" s="6" t="str">
        <f t="shared" ca="1" si="56"/>
        <v>OK</v>
      </c>
      <c r="AG65" s="6" t="str">
        <f t="shared" ca="1" si="56"/>
        <v>OK</v>
      </c>
      <c r="AH65" s="6" t="str">
        <f t="shared" ca="1" si="56"/>
        <v>OK</v>
      </c>
      <c r="AI65" s="6" t="str">
        <f t="shared" ca="1" si="56"/>
        <v>OK</v>
      </c>
      <c r="AJ65" s="6" t="str">
        <f t="shared" ca="1" si="56"/>
        <v>OK</v>
      </c>
      <c r="AK65" s="6" t="str">
        <f t="shared" ca="1" si="56"/>
        <v>OK</v>
      </c>
      <c r="AL65" s="6" t="str">
        <f t="shared" ca="1" si="56"/>
        <v>OK</v>
      </c>
      <c r="AM65" s="6" t="str">
        <f t="shared" ca="1" si="56"/>
        <v>OK</v>
      </c>
      <c r="AN65" s="6" t="str">
        <f t="shared" ca="1" si="56"/>
        <v>OK</v>
      </c>
      <c r="AO65" s="6" t="str">
        <f t="shared" ca="1" si="56"/>
        <v>OK</v>
      </c>
      <c r="AP65" s="6" t="str">
        <f t="shared" ca="1" si="56"/>
        <v>OK</v>
      </c>
      <c r="AQ65" s="6" t="str">
        <f t="shared" ca="1" si="56"/>
        <v>OK</v>
      </c>
      <c r="AR65" s="6" t="str">
        <f t="shared" ca="1" si="56"/>
        <v>OK</v>
      </c>
      <c r="AS65" s="6" t="str">
        <f t="shared" ca="1" si="56"/>
        <v>OK</v>
      </c>
      <c r="AT65" s="6" t="str">
        <f t="shared" ca="1" si="56"/>
        <v>OK</v>
      </c>
      <c r="AU65" s="6" t="str">
        <f t="shared" ca="1" si="56"/>
        <v>OK</v>
      </c>
      <c r="AV65" s="6" t="str">
        <f t="shared" ca="1" si="56"/>
        <v>OK</v>
      </c>
      <c r="AW65" s="6" t="str">
        <f t="shared" ca="1" si="56"/>
        <v>OK</v>
      </c>
    </row>
    <row r="66" spans="1:49" x14ac:dyDescent="0.2">
      <c r="A66" s="1" t="s">
        <v>287</v>
      </c>
      <c r="D66" s="18">
        <f t="shared" ref="D66:AW66" ca="1" si="57">SUM(D$334,D$341,D$347,D$356,D$380,D$395,D$399,D$405,D$420,D$424,D$439,D$440)</f>
        <v>158.71300000000002</v>
      </c>
      <c r="E66" s="19">
        <f t="shared" ca="1" si="57"/>
        <v>161.357</v>
      </c>
      <c r="F66" s="19">
        <f t="shared" ca="1" si="57"/>
        <v>170.84499999999997</v>
      </c>
      <c r="G66" s="19">
        <f t="shared" ca="1" si="57"/>
        <v>169.85599999999999</v>
      </c>
      <c r="H66" s="19">
        <f t="shared" ca="1" si="57"/>
        <v>172.18700000000001</v>
      </c>
      <c r="I66" s="19">
        <f t="shared" ca="1" si="57"/>
        <v>180.26</v>
      </c>
      <c r="J66" s="7">
        <f t="shared" ca="1" si="57"/>
        <v>191.25778396732798</v>
      </c>
      <c r="K66" s="7">
        <f t="shared" ca="1" si="57"/>
        <v>202.62618855568689</v>
      </c>
      <c r="L66" s="7">
        <f t="shared" ca="1" si="57"/>
        <v>214.47055848614812</v>
      </c>
      <c r="M66" s="7">
        <f t="shared" ca="1" si="57"/>
        <v>226.71878472809911</v>
      </c>
      <c r="N66" s="7">
        <f t="shared" ca="1" si="57"/>
        <v>239.35904041401585</v>
      </c>
      <c r="O66" s="7">
        <f t="shared" ca="1" si="57"/>
        <v>252.26747114187745</v>
      </c>
      <c r="P66" s="7">
        <f t="shared" ca="1" si="57"/>
        <v>265.47275923054718</v>
      </c>
      <c r="Q66" s="7">
        <f t="shared" ca="1" si="57"/>
        <v>278.94808454452158</v>
      </c>
      <c r="R66" s="7">
        <f t="shared" ca="1" si="57"/>
        <v>292.70155607901359</v>
      </c>
      <c r="S66" s="7">
        <f t="shared" ca="1" si="57"/>
        <v>306.7936070926969</v>
      </c>
      <c r="T66" s="7">
        <f t="shared" ca="1" si="57"/>
        <v>321.24298523294692</v>
      </c>
      <c r="U66" s="7">
        <f t="shared" ca="1" si="57"/>
        <v>336.06141943678836</v>
      </c>
      <c r="V66" s="7">
        <f t="shared" ca="1" si="57"/>
        <v>351.24514166285553</v>
      </c>
      <c r="W66" s="7">
        <f t="shared" ca="1" si="57"/>
        <v>366.79786077548482</v>
      </c>
      <c r="X66" s="7">
        <f t="shared" ca="1" si="57"/>
        <v>382.74219440857507</v>
      </c>
      <c r="Y66" s="7">
        <f t="shared" ca="1" si="57"/>
        <v>399.05051688028021</v>
      </c>
      <c r="Z66" s="7">
        <f t="shared" ca="1" si="57"/>
        <v>415.79483332499325</v>
      </c>
      <c r="AA66" s="7">
        <f t="shared" ca="1" si="57"/>
        <v>433.08571337591007</v>
      </c>
      <c r="AB66" s="7">
        <f t="shared" ca="1" si="57"/>
        <v>451.04509157912139</v>
      </c>
      <c r="AC66" s="7">
        <f t="shared" ca="1" si="57"/>
        <v>469.81849399112423</v>
      </c>
      <c r="AD66" s="7">
        <f t="shared" ca="1" si="57"/>
        <v>489.56338805382353</v>
      </c>
      <c r="AE66" s="7">
        <f t="shared" ca="1" si="57"/>
        <v>510.36447168131076</v>
      </c>
      <c r="AF66" s="7">
        <f t="shared" ca="1" si="57"/>
        <v>532.36459149068799</v>
      </c>
      <c r="AG66" s="7">
        <f t="shared" ca="1" si="57"/>
        <v>555.59437400185345</v>
      </c>
      <c r="AH66" s="7">
        <f t="shared" ca="1" si="57"/>
        <v>580.129929889864</v>
      </c>
      <c r="AI66" s="7">
        <f t="shared" ca="1" si="57"/>
        <v>606.02585148261596</v>
      </c>
      <c r="AJ66" s="7">
        <f t="shared" ca="1" si="57"/>
        <v>633.3914486741686</v>
      </c>
      <c r="AK66" s="7">
        <f t="shared" ca="1" si="57"/>
        <v>662.25736824307182</v>
      </c>
      <c r="AL66" s="7">
        <f t="shared" ca="1" si="57"/>
        <v>692.69055654394947</v>
      </c>
      <c r="AM66" s="7">
        <f t="shared" ca="1" si="57"/>
        <v>724.76312966508465</v>
      </c>
      <c r="AN66" s="7">
        <f t="shared" ca="1" si="57"/>
        <v>758.49320393357868</v>
      </c>
      <c r="AO66" s="7">
        <f t="shared" ca="1" si="57"/>
        <v>793.87858704773578</v>
      </c>
      <c r="AP66" s="7">
        <f t="shared" ca="1" si="57"/>
        <v>830.86703240463305</v>
      </c>
      <c r="AQ66" s="7">
        <f t="shared" ca="1" si="57"/>
        <v>869.35893093503375</v>
      </c>
      <c r="AR66" s="7">
        <f t="shared" ca="1" si="57"/>
        <v>909.23277675617476</v>
      </c>
      <c r="AS66" s="7">
        <f t="shared" ca="1" si="57"/>
        <v>950.38553271112858</v>
      </c>
      <c r="AT66" s="7">
        <f t="shared" ca="1" si="57"/>
        <v>992.85562691357688</v>
      </c>
      <c r="AU66" s="7">
        <f t="shared" ca="1" si="57"/>
        <v>1036.6397024907467</v>
      </c>
      <c r="AV66" s="7">
        <f t="shared" ca="1" si="57"/>
        <v>1081.8228312325266</v>
      </c>
      <c r="AW66" s="7">
        <f t="shared" ca="1" si="57"/>
        <v>1128.4010287330839</v>
      </c>
    </row>
    <row r="67" spans="1:49" x14ac:dyDescent="0.2">
      <c r="A67" s="1" t="s">
        <v>714</v>
      </c>
      <c r="B67" s="4" t="str">
        <f>$B$43</f>
        <v>From Fiscal</v>
      </c>
      <c r="D67" s="18">
        <f>Fiscal!D$178</f>
        <v>95.549000000000007</v>
      </c>
      <c r="E67" s="19">
        <f>Fiscal!E$178</f>
        <v>95.671000000000006</v>
      </c>
      <c r="F67" s="19">
        <f>Fiscal!F$178</f>
        <v>102.813</v>
      </c>
      <c r="G67" s="19">
        <f>Fiscal!G$178</f>
        <v>98.238</v>
      </c>
      <c r="H67" s="19">
        <f>Fiscal!H$178</f>
        <v>93.287999999999997</v>
      </c>
      <c r="I67" s="19">
        <f>Fiscal!I$178</f>
        <v>92.504999999999995</v>
      </c>
      <c r="J67" s="7">
        <f t="shared" ref="J67:AW67" ca="1" si="58">J$75</f>
        <v>95.696405887588867</v>
      </c>
      <c r="K67" s="7">
        <f t="shared" ca="1" si="58"/>
        <v>100.61493433578771</v>
      </c>
      <c r="L67" s="7">
        <f t="shared" ca="1" si="58"/>
        <v>107.09407579030088</v>
      </c>
      <c r="M67" s="7">
        <f t="shared" ca="1" si="58"/>
        <v>114.98332969879652</v>
      </c>
      <c r="N67" s="7">
        <f t="shared" ca="1" si="58"/>
        <v>124.16106616092497</v>
      </c>
      <c r="O67" s="7">
        <f t="shared" ca="1" si="58"/>
        <v>134.99418150085981</v>
      </c>
      <c r="P67" s="7">
        <f t="shared" ca="1" si="58"/>
        <v>147.40650117444326</v>
      </c>
      <c r="Q67" s="7">
        <f t="shared" ca="1" si="58"/>
        <v>161.37445760648359</v>
      </c>
      <c r="R67" s="7">
        <f t="shared" ca="1" si="58"/>
        <v>177.17252812305915</v>
      </c>
      <c r="S67" s="7">
        <f t="shared" ca="1" si="58"/>
        <v>194.98250124107938</v>
      </c>
      <c r="T67" s="7">
        <f t="shared" ca="1" si="58"/>
        <v>215.02305439634679</v>
      </c>
      <c r="U67" s="7">
        <f t="shared" ca="1" si="58"/>
        <v>237.5614857293366</v>
      </c>
      <c r="V67" s="7">
        <f t="shared" ca="1" si="58"/>
        <v>262.82826344126238</v>
      </c>
      <c r="W67" s="7">
        <f t="shared" ca="1" si="58"/>
        <v>290.88657254265632</v>
      </c>
      <c r="X67" s="7">
        <f t="shared" ca="1" si="58"/>
        <v>321.88304841445279</v>
      </c>
      <c r="Y67" s="7">
        <f t="shared" ca="1" si="58"/>
        <v>356.07347042283067</v>
      </c>
      <c r="Z67" s="7">
        <f t="shared" ca="1" si="58"/>
        <v>393.72734333452121</v>
      </c>
      <c r="AA67" s="7">
        <f t="shared" ca="1" si="58"/>
        <v>435.12826512625162</v>
      </c>
      <c r="AB67" s="7">
        <f t="shared" ca="1" si="58"/>
        <v>480.55550189297355</v>
      </c>
      <c r="AC67" s="7">
        <f t="shared" ca="1" si="58"/>
        <v>530.29965064798205</v>
      </c>
      <c r="AD67" s="7">
        <f t="shared" ca="1" si="58"/>
        <v>584.64508864742083</v>
      </c>
      <c r="AE67" s="7">
        <f t="shared" ca="1" si="58"/>
        <v>643.93188188819227</v>
      </c>
      <c r="AF67" s="7">
        <f t="shared" ca="1" si="58"/>
        <v>708.50135774832506</v>
      </c>
      <c r="AG67" s="7">
        <f t="shared" ca="1" si="58"/>
        <v>778.71913094711124</v>
      </c>
      <c r="AH67" s="7">
        <f t="shared" ca="1" si="58"/>
        <v>854.98724555429965</v>
      </c>
      <c r="AI67" s="7">
        <f t="shared" ca="1" si="58"/>
        <v>937.7252701714508</v>
      </c>
      <c r="AJ67" s="7">
        <f t="shared" ca="1" si="58"/>
        <v>1027.4134783437585</v>
      </c>
      <c r="AK67" s="7">
        <f t="shared" ca="1" si="58"/>
        <v>1124.5661536028081</v>
      </c>
      <c r="AL67" s="7">
        <f t="shared" ca="1" si="58"/>
        <v>1229.7199668269882</v>
      </c>
      <c r="AM67" s="7">
        <f t="shared" ca="1" si="58"/>
        <v>1343.4758619845213</v>
      </c>
      <c r="AN67" s="7">
        <f t="shared" ca="1" si="58"/>
        <v>1466.4797474431671</v>
      </c>
      <c r="AO67" s="7">
        <f t="shared" ca="1" si="58"/>
        <v>1599.4947757935474</v>
      </c>
      <c r="AP67" s="7">
        <f t="shared" ca="1" si="58"/>
        <v>1743.3287375491705</v>
      </c>
      <c r="AQ67" s="7">
        <f t="shared" ca="1" si="58"/>
        <v>1898.8435820526738</v>
      </c>
      <c r="AR67" s="7">
        <f t="shared" ca="1" si="58"/>
        <v>2066.9984496634997</v>
      </c>
      <c r="AS67" s="7">
        <f t="shared" ca="1" si="58"/>
        <v>2248.8173434403034</v>
      </c>
      <c r="AT67" s="7">
        <f t="shared" ca="1" si="58"/>
        <v>2445.2879077609205</v>
      </c>
      <c r="AU67" s="7">
        <f t="shared" ca="1" si="58"/>
        <v>2657.5175095899963</v>
      </c>
      <c r="AV67" s="7">
        <f t="shared" ca="1" si="58"/>
        <v>2886.6849624120978</v>
      </c>
      <c r="AW67" s="7">
        <f t="shared" ca="1" si="58"/>
        <v>3134.0697491555102</v>
      </c>
    </row>
    <row r="68" spans="1:49" x14ac:dyDescent="0.2">
      <c r="A68" s="1" t="s">
        <v>713</v>
      </c>
      <c r="D68" s="18">
        <f t="shared" ref="D68:I68" si="59">SUM(D$443,D$449,D$453,D$457,D$463,D$468)</f>
        <v>29.762</v>
      </c>
      <c r="E68" s="19">
        <f t="shared" si="59"/>
        <v>31.271000000000001</v>
      </c>
      <c r="F68" s="19">
        <f t="shared" si="59"/>
        <v>30.354999999999997</v>
      </c>
      <c r="G68" s="19">
        <f t="shared" si="59"/>
        <v>29.368000000000002</v>
      </c>
      <c r="H68" s="19">
        <f t="shared" si="59"/>
        <v>29.305</v>
      </c>
      <c r="I68" s="19">
        <f t="shared" si="59"/>
        <v>29.013999999999999</v>
      </c>
      <c r="J68" s="7">
        <f t="shared" ref="J68:AW68" ca="1" si="60">SUM(J$443,J$449,J$453,J$457,J$463,J$468)</f>
        <v>29.943524450320389</v>
      </c>
      <c r="K68" s="7">
        <f t="shared" ca="1" si="60"/>
        <v>30.881030288810621</v>
      </c>
      <c r="L68" s="7">
        <f t="shared" ca="1" si="60"/>
        <v>31.835389693623096</v>
      </c>
      <c r="M68" s="7">
        <f t="shared" ca="1" si="60"/>
        <v>32.785348535039816</v>
      </c>
      <c r="N68" s="7">
        <f t="shared" ca="1" si="60"/>
        <v>33.737586724835765</v>
      </c>
      <c r="O68" s="7">
        <f t="shared" ca="1" si="60"/>
        <v>34.678883829884747</v>
      </c>
      <c r="P68" s="7">
        <f t="shared" ca="1" si="60"/>
        <v>35.672882627919684</v>
      </c>
      <c r="Q68" s="7">
        <f t="shared" ca="1" si="60"/>
        <v>36.696258853479456</v>
      </c>
      <c r="R68" s="7">
        <f t="shared" ca="1" si="60"/>
        <v>37.738889902957148</v>
      </c>
      <c r="S68" s="7">
        <f t="shared" ca="1" si="60"/>
        <v>38.813693712963378</v>
      </c>
      <c r="T68" s="7">
        <f t="shared" ca="1" si="60"/>
        <v>39.920548646636966</v>
      </c>
      <c r="U68" s="7">
        <f t="shared" ca="1" si="60"/>
        <v>41.066273187157996</v>
      </c>
      <c r="V68" s="7">
        <f t="shared" ca="1" si="60"/>
        <v>42.250450655554559</v>
      </c>
      <c r="W68" s="7">
        <f t="shared" ca="1" si="60"/>
        <v>43.480224452987059</v>
      </c>
      <c r="X68" s="7">
        <f t="shared" ca="1" si="60"/>
        <v>44.763162638932748</v>
      </c>
      <c r="Y68" s="7">
        <f t="shared" ca="1" si="60"/>
        <v>46.106689832456581</v>
      </c>
      <c r="Z68" s="7">
        <f t="shared" ca="1" si="60"/>
        <v>47.514385672378069</v>
      </c>
      <c r="AA68" s="7">
        <f t="shared" ca="1" si="60"/>
        <v>48.990259130868822</v>
      </c>
      <c r="AB68" s="7">
        <f t="shared" ca="1" si="60"/>
        <v>50.544293075992137</v>
      </c>
      <c r="AC68" s="7">
        <f t="shared" ca="1" si="60"/>
        <v>52.188539675950778</v>
      </c>
      <c r="AD68" s="7">
        <f t="shared" ca="1" si="60"/>
        <v>53.928475999426951</v>
      </c>
      <c r="AE68" s="7">
        <f t="shared" ca="1" si="60"/>
        <v>55.765781824001529</v>
      </c>
      <c r="AF68" s="7">
        <f t="shared" ca="1" si="60"/>
        <v>57.712273524178826</v>
      </c>
      <c r="AG68" s="7">
        <f t="shared" ca="1" si="60"/>
        <v>59.769063339577876</v>
      </c>
      <c r="AH68" s="7">
        <f t="shared" ca="1" si="60"/>
        <v>61.941851707083323</v>
      </c>
      <c r="AI68" s="7">
        <f t="shared" ca="1" si="60"/>
        <v>64.231026300759538</v>
      </c>
      <c r="AJ68" s="7">
        <f t="shared" ca="1" si="60"/>
        <v>66.643394550345377</v>
      </c>
      <c r="AK68" s="7">
        <f t="shared" ca="1" si="60"/>
        <v>69.18074636897046</v>
      </c>
      <c r="AL68" s="7">
        <f t="shared" ca="1" si="60"/>
        <v>71.842473010785966</v>
      </c>
      <c r="AM68" s="7">
        <f t="shared" ca="1" si="60"/>
        <v>74.632604273404624</v>
      </c>
      <c r="AN68" s="7">
        <f t="shared" ca="1" si="60"/>
        <v>77.557030688159784</v>
      </c>
      <c r="AO68" s="7">
        <f t="shared" ca="1" si="60"/>
        <v>80.603317802663639</v>
      </c>
      <c r="AP68" s="7">
        <f t="shared" ca="1" si="60"/>
        <v>83.779446363458177</v>
      </c>
      <c r="AQ68" s="7">
        <f t="shared" ca="1" si="60"/>
        <v>87.075083637377261</v>
      </c>
      <c r="AR68" s="7">
        <f t="shared" ca="1" si="60"/>
        <v>90.488171355050767</v>
      </c>
      <c r="AS68" s="7">
        <f t="shared" ca="1" si="60"/>
        <v>94.018358317017515</v>
      </c>
      <c r="AT68" s="7">
        <f t="shared" ca="1" si="60"/>
        <v>97.671443274327899</v>
      </c>
      <c r="AU68" s="7">
        <f t="shared" ca="1" si="60"/>
        <v>101.44878310973999</v>
      </c>
      <c r="AV68" s="7">
        <f t="shared" ca="1" si="60"/>
        <v>105.36200482800795</v>
      </c>
      <c r="AW68" s="7">
        <f t="shared" ca="1" si="60"/>
        <v>109.40491021825714</v>
      </c>
    </row>
    <row r="69" spans="1:49" ht="15" x14ac:dyDescent="0.25">
      <c r="A69" s="2" t="s">
        <v>367</v>
      </c>
      <c r="B69" s="4"/>
      <c r="D69" s="40">
        <f t="shared" ref="D69:AW69" ca="1" si="61">D$66-SUM(D$67:D$68)</f>
        <v>33.402000000000015</v>
      </c>
      <c r="E69" s="39">
        <f t="shared" ca="1" si="61"/>
        <v>34.414999999999992</v>
      </c>
      <c r="F69" s="39">
        <f t="shared" ca="1" si="61"/>
        <v>37.676999999999964</v>
      </c>
      <c r="G69" s="39">
        <f t="shared" ca="1" si="61"/>
        <v>42.25</v>
      </c>
      <c r="H69" s="39">
        <f t="shared" ca="1" si="61"/>
        <v>49.594000000000023</v>
      </c>
      <c r="I69" s="39">
        <f t="shared" ca="1" si="61"/>
        <v>58.741</v>
      </c>
      <c r="J69" s="43">
        <f t="shared" ca="1" si="61"/>
        <v>65.617853629418732</v>
      </c>
      <c r="K69" s="43">
        <f t="shared" ca="1" si="61"/>
        <v>71.130223931088551</v>
      </c>
      <c r="L69" s="43">
        <f t="shared" ca="1" si="61"/>
        <v>75.541093002224159</v>
      </c>
      <c r="M69" s="43">
        <f t="shared" ca="1" si="61"/>
        <v>78.950106494262769</v>
      </c>
      <c r="N69" s="43">
        <f t="shared" ca="1" si="61"/>
        <v>81.460387528255126</v>
      </c>
      <c r="O69" s="43">
        <f t="shared" ca="1" si="61"/>
        <v>82.594405811132901</v>
      </c>
      <c r="P69" s="43">
        <f t="shared" ca="1" si="61"/>
        <v>82.393375428184243</v>
      </c>
      <c r="Q69" s="43">
        <f t="shared" ca="1" si="61"/>
        <v>80.877368084558526</v>
      </c>
      <c r="R69" s="43">
        <f t="shared" ca="1" si="61"/>
        <v>77.790138052997293</v>
      </c>
      <c r="S69" s="43">
        <f t="shared" ca="1" si="61"/>
        <v>72.997412138654141</v>
      </c>
      <c r="T69" s="43">
        <f t="shared" ca="1" si="61"/>
        <v>66.299382189963154</v>
      </c>
      <c r="U69" s="43">
        <f t="shared" ca="1" si="61"/>
        <v>57.433660520293756</v>
      </c>
      <c r="V69" s="43">
        <f t="shared" ca="1" si="61"/>
        <v>46.166427566038578</v>
      </c>
      <c r="W69" s="43">
        <f t="shared" ca="1" si="61"/>
        <v>32.431063779841452</v>
      </c>
      <c r="X69" s="43">
        <f t="shared" ca="1" si="61"/>
        <v>16.09598335518956</v>
      </c>
      <c r="Y69" s="43">
        <f t="shared" ca="1" si="61"/>
        <v>-3.1296433750070491</v>
      </c>
      <c r="Z69" s="43">
        <f t="shared" ca="1" si="61"/>
        <v>-25.446895681906028</v>
      </c>
      <c r="AA69" s="43">
        <f t="shared" ca="1" si="61"/>
        <v>-51.032810881210366</v>
      </c>
      <c r="AB69" s="43">
        <f t="shared" ca="1" si="61"/>
        <v>-80.054703389844349</v>
      </c>
      <c r="AC69" s="43">
        <f t="shared" ca="1" si="61"/>
        <v>-112.6696963328086</v>
      </c>
      <c r="AD69" s="43">
        <f t="shared" ca="1" si="61"/>
        <v>-149.01017659302425</v>
      </c>
      <c r="AE69" s="43">
        <f t="shared" ca="1" si="61"/>
        <v>-189.33319203088308</v>
      </c>
      <c r="AF69" s="43">
        <f t="shared" ca="1" si="61"/>
        <v>-233.84903978181592</v>
      </c>
      <c r="AG69" s="43">
        <f t="shared" ca="1" si="61"/>
        <v>-282.89382028483567</v>
      </c>
      <c r="AH69" s="43">
        <f t="shared" ca="1" si="61"/>
        <v>-336.79916737151893</v>
      </c>
      <c r="AI69" s="43">
        <f t="shared" ca="1" si="61"/>
        <v>-395.93044498959443</v>
      </c>
      <c r="AJ69" s="43">
        <f t="shared" ca="1" si="61"/>
        <v>-460.66542421993529</v>
      </c>
      <c r="AK69" s="43">
        <f t="shared" ca="1" si="61"/>
        <v>-531.48953172870665</v>
      </c>
      <c r="AL69" s="43">
        <f t="shared" ca="1" si="61"/>
        <v>-608.87188329382457</v>
      </c>
      <c r="AM69" s="43">
        <f t="shared" ca="1" si="61"/>
        <v>-693.34533659284136</v>
      </c>
      <c r="AN69" s="43">
        <f t="shared" ca="1" si="61"/>
        <v>-785.54357419774817</v>
      </c>
      <c r="AO69" s="43">
        <f t="shared" ca="1" si="61"/>
        <v>-886.21950654847535</v>
      </c>
      <c r="AP69" s="43">
        <f t="shared" ca="1" si="61"/>
        <v>-996.2411515079956</v>
      </c>
      <c r="AQ69" s="43">
        <f t="shared" ca="1" si="61"/>
        <v>-1116.5597347550174</v>
      </c>
      <c r="AR69" s="43">
        <f t="shared" ca="1" si="61"/>
        <v>-1248.2538442623759</v>
      </c>
      <c r="AS69" s="43">
        <f t="shared" ca="1" si="61"/>
        <v>-1392.4501690461921</v>
      </c>
      <c r="AT69" s="43">
        <f t="shared" ca="1" si="61"/>
        <v>-1550.1037241216713</v>
      </c>
      <c r="AU69" s="43">
        <f t="shared" ca="1" si="61"/>
        <v>-1722.3265902089895</v>
      </c>
      <c r="AV69" s="43">
        <f t="shared" ca="1" si="61"/>
        <v>-1910.2241360075793</v>
      </c>
      <c r="AW69" s="43">
        <f t="shared" ca="1" si="61"/>
        <v>-2115.0736306406834</v>
      </c>
    </row>
    <row r="70" spans="1:49" ht="15" x14ac:dyDescent="0.25">
      <c r="A70" s="30" t="s">
        <v>368</v>
      </c>
      <c r="B70" s="4" t="str">
        <f>$B$64</f>
        <v>History &amp; Forecast only</v>
      </c>
      <c r="D70" s="6" t="str">
        <f ca="1">IF(ROUND(Fiscal!D$186-D$69,3)=0,"OK","ERROR")</f>
        <v>OK</v>
      </c>
      <c r="E70" s="6" t="str">
        <f ca="1">IF(ROUND(Fiscal!E$186-E$69,3)=0,"OK","ERROR")</f>
        <v>OK</v>
      </c>
      <c r="F70" s="6" t="str">
        <f ca="1">IF(ROUND(Fiscal!F$186-F$69,3)=0,"OK","ERROR")</f>
        <v>OK</v>
      </c>
      <c r="G70" s="6" t="str">
        <f ca="1">IF(ROUND(Fiscal!G$186-G$69,3)=0,"OK","ERROR")</f>
        <v>OK</v>
      </c>
      <c r="H70" s="6" t="str">
        <f ca="1">IF(ROUND(Fiscal!H$186-H$69,3)=0,"OK","ERROR")</f>
        <v>OK</v>
      </c>
      <c r="I70" s="6" t="str">
        <f ca="1">IF(ROUND(Fiscal!I$186-I$69,3)=0,"OK","ERROR")</f>
        <v>OK</v>
      </c>
    </row>
    <row r="71" spans="1:49" ht="15" x14ac:dyDescent="0.25">
      <c r="A71" s="30" t="s">
        <v>369</v>
      </c>
      <c r="B71" s="4" t="str">
        <f>$B$65</f>
        <v>Projected Years only</v>
      </c>
      <c r="E71" s="61"/>
      <c r="F71" s="61"/>
      <c r="G71" s="61"/>
      <c r="H71" s="61"/>
      <c r="I71" s="61"/>
      <c r="J71" s="6" t="str">
        <f t="shared" ref="J71:AW71" ca="1" si="62">IF(ROUND(J$53-(J$69-I$69)-(I$75-I$67),3)=0,"OK","ERROR")</f>
        <v>OK</v>
      </c>
      <c r="K71" s="6" t="str">
        <f t="shared" ca="1" si="62"/>
        <v>OK</v>
      </c>
      <c r="L71" s="6" t="str">
        <f t="shared" ca="1" si="62"/>
        <v>OK</v>
      </c>
      <c r="M71" s="6" t="str">
        <f t="shared" ca="1" si="62"/>
        <v>OK</v>
      </c>
      <c r="N71" s="6" t="str">
        <f t="shared" ca="1" si="62"/>
        <v>OK</v>
      </c>
      <c r="O71" s="6" t="str">
        <f t="shared" ca="1" si="62"/>
        <v>OK</v>
      </c>
      <c r="P71" s="6" t="str">
        <f t="shared" ca="1" si="62"/>
        <v>OK</v>
      </c>
      <c r="Q71" s="6" t="str">
        <f t="shared" ca="1" si="62"/>
        <v>OK</v>
      </c>
      <c r="R71" s="6" t="str">
        <f t="shared" ca="1" si="62"/>
        <v>OK</v>
      </c>
      <c r="S71" s="6" t="str">
        <f t="shared" ca="1" si="62"/>
        <v>OK</v>
      </c>
      <c r="T71" s="6" t="str">
        <f t="shared" ca="1" si="62"/>
        <v>OK</v>
      </c>
      <c r="U71" s="6" t="str">
        <f t="shared" ca="1" si="62"/>
        <v>OK</v>
      </c>
      <c r="V71" s="6" t="str">
        <f t="shared" ca="1" si="62"/>
        <v>OK</v>
      </c>
      <c r="W71" s="6" t="str">
        <f t="shared" ca="1" si="62"/>
        <v>OK</v>
      </c>
      <c r="X71" s="6" t="str">
        <f t="shared" ca="1" si="62"/>
        <v>OK</v>
      </c>
      <c r="Y71" s="6" t="str">
        <f t="shared" ca="1" si="62"/>
        <v>OK</v>
      </c>
      <c r="Z71" s="6" t="str">
        <f t="shared" ca="1" si="62"/>
        <v>OK</v>
      </c>
      <c r="AA71" s="6" t="str">
        <f t="shared" ca="1" si="62"/>
        <v>OK</v>
      </c>
      <c r="AB71" s="6" t="str">
        <f t="shared" ca="1" si="62"/>
        <v>OK</v>
      </c>
      <c r="AC71" s="6" t="str">
        <f t="shared" ca="1" si="62"/>
        <v>OK</v>
      </c>
      <c r="AD71" s="6" t="str">
        <f t="shared" ca="1" si="62"/>
        <v>OK</v>
      </c>
      <c r="AE71" s="6" t="str">
        <f t="shared" ca="1" si="62"/>
        <v>OK</v>
      </c>
      <c r="AF71" s="6" t="str">
        <f t="shared" ca="1" si="62"/>
        <v>OK</v>
      </c>
      <c r="AG71" s="6" t="str">
        <f t="shared" ca="1" si="62"/>
        <v>OK</v>
      </c>
      <c r="AH71" s="6" t="str">
        <f t="shared" ca="1" si="62"/>
        <v>OK</v>
      </c>
      <c r="AI71" s="6" t="str">
        <f t="shared" ca="1" si="62"/>
        <v>OK</v>
      </c>
      <c r="AJ71" s="6" t="str">
        <f t="shared" ca="1" si="62"/>
        <v>OK</v>
      </c>
      <c r="AK71" s="6" t="str">
        <f t="shared" ca="1" si="62"/>
        <v>OK</v>
      </c>
      <c r="AL71" s="6" t="str">
        <f t="shared" ca="1" si="62"/>
        <v>OK</v>
      </c>
      <c r="AM71" s="6" t="str">
        <f t="shared" ca="1" si="62"/>
        <v>OK</v>
      </c>
      <c r="AN71" s="6" t="str">
        <f t="shared" ca="1" si="62"/>
        <v>OK</v>
      </c>
      <c r="AO71" s="6" t="str">
        <f t="shared" ca="1" si="62"/>
        <v>OK</v>
      </c>
      <c r="AP71" s="6" t="str">
        <f t="shared" ca="1" si="62"/>
        <v>OK</v>
      </c>
      <c r="AQ71" s="6" t="str">
        <f t="shared" ca="1" si="62"/>
        <v>OK</v>
      </c>
      <c r="AR71" s="6" t="str">
        <f t="shared" ca="1" si="62"/>
        <v>OK</v>
      </c>
      <c r="AS71" s="6" t="str">
        <f t="shared" ca="1" si="62"/>
        <v>OK</v>
      </c>
      <c r="AT71" s="6" t="str">
        <f t="shared" ca="1" si="62"/>
        <v>OK</v>
      </c>
      <c r="AU71" s="6" t="str">
        <f t="shared" ca="1" si="62"/>
        <v>OK</v>
      </c>
      <c r="AV71" s="6" t="str">
        <f t="shared" ca="1" si="62"/>
        <v>OK</v>
      </c>
      <c r="AW71" s="6" t="str">
        <f t="shared" ca="1" si="62"/>
        <v>OK</v>
      </c>
    </row>
    <row r="72" spans="1:49" ht="15" x14ac:dyDescent="0.25">
      <c r="A72" s="30"/>
      <c r="B72" s="4"/>
    </row>
    <row r="73" spans="1:49" ht="15" x14ac:dyDescent="0.25">
      <c r="A73" s="22" t="s">
        <v>256</v>
      </c>
      <c r="J73" s="61"/>
      <c r="K73" s="61"/>
      <c r="L73" s="61"/>
      <c r="M73" s="61"/>
      <c r="N73" s="61"/>
      <c r="O73" s="61"/>
      <c r="P73" s="61"/>
      <c r="Q73" s="61"/>
      <c r="R73" s="61"/>
      <c r="S73" s="61"/>
    </row>
    <row r="74" spans="1:49" x14ac:dyDescent="0.2">
      <c r="A74" s="1" t="s">
        <v>311</v>
      </c>
      <c r="B74" s="4" t="str">
        <f>$B$43</f>
        <v>From Fiscal</v>
      </c>
      <c r="D74" s="18">
        <f>Fiscal!D$130</f>
        <v>112.58</v>
      </c>
      <c r="E74" s="19">
        <f>Fiscal!E$130</f>
        <v>113.009</v>
      </c>
      <c r="F74" s="19">
        <f>Fiscal!F$130</f>
        <v>121.69799999999999</v>
      </c>
      <c r="G74" s="19">
        <f>Fiscal!G$130</f>
        <v>118.767</v>
      </c>
      <c r="H74" s="19">
        <f>Fiscal!H$130</f>
        <v>115.123</v>
      </c>
      <c r="I74" s="19">
        <f>Fiscal!I$130</f>
        <v>115.901</v>
      </c>
      <c r="J74" s="7">
        <f t="shared" ref="J74:AW74" ca="1" si="63">SUM(I$74,J$106,J$216-J$94)</f>
        <v>117.57292598079653</v>
      </c>
      <c r="K74" s="7">
        <f t="shared" ca="1" si="63"/>
        <v>121.68066149322084</v>
      </c>
      <c r="L74" s="7">
        <f t="shared" ca="1" si="63"/>
        <v>127.32119343451897</v>
      </c>
      <c r="M74" s="7">
        <f t="shared" ca="1" si="63"/>
        <v>134.40336433846329</v>
      </c>
      <c r="N74" s="7">
        <f t="shared" ca="1" si="63"/>
        <v>142.76039480855454</v>
      </c>
      <c r="O74" s="7">
        <f t="shared" ca="1" si="63"/>
        <v>152.91869181568015</v>
      </c>
      <c r="P74" s="7">
        <f t="shared" ca="1" si="63"/>
        <v>164.60619272655515</v>
      </c>
      <c r="Q74" s="7">
        <f t="shared" ca="1" si="63"/>
        <v>177.8499475142691</v>
      </c>
      <c r="R74" s="7">
        <f t="shared" ca="1" si="63"/>
        <v>192.91408738806069</v>
      </c>
      <c r="S74" s="7">
        <f t="shared" ca="1" si="63"/>
        <v>209.95268954885941</v>
      </c>
      <c r="T74" s="7">
        <f t="shared" ca="1" si="63"/>
        <v>229.17239045536652</v>
      </c>
      <c r="U74" s="7">
        <f t="shared" ca="1" si="63"/>
        <v>250.83408868883228</v>
      </c>
      <c r="V74" s="7">
        <f t="shared" ca="1" si="63"/>
        <v>275.16202307102367</v>
      </c>
      <c r="W74" s="7">
        <f t="shared" ca="1" si="63"/>
        <v>302.21774017168099</v>
      </c>
      <c r="X74" s="7">
        <f t="shared" ca="1" si="63"/>
        <v>332.11918019140978</v>
      </c>
      <c r="Y74" s="7">
        <f t="shared" ca="1" si="63"/>
        <v>365.10813014808065</v>
      </c>
      <c r="Z74" s="7">
        <f t="shared" ca="1" si="63"/>
        <v>401.43011200941589</v>
      </c>
      <c r="AA74" s="7">
        <f t="shared" ca="1" si="63"/>
        <v>441.35564626408603</v>
      </c>
      <c r="AB74" s="7">
        <f t="shared" ca="1" si="63"/>
        <v>485.15487541272603</v>
      </c>
      <c r="AC74" s="7">
        <f t="shared" ca="1" si="63"/>
        <v>533.07844467286202</v>
      </c>
      <c r="AD74" s="7">
        <f t="shared" ca="1" si="63"/>
        <v>585.34302114752325</v>
      </c>
      <c r="AE74" s="7">
        <f t="shared" ca="1" si="63"/>
        <v>642.26314199633373</v>
      </c>
      <c r="AF74" s="7">
        <f t="shared" ca="1" si="63"/>
        <v>704.20396143034407</v>
      </c>
      <c r="AG74" s="7">
        <f t="shared" ca="1" si="63"/>
        <v>771.52239773844872</v>
      </c>
      <c r="AH74" s="7">
        <f t="shared" ca="1" si="63"/>
        <v>844.5996369182111</v>
      </c>
      <c r="AI74" s="7">
        <f t="shared" ca="1" si="63"/>
        <v>923.84048416836413</v>
      </c>
      <c r="AJ74" s="7">
        <f t="shared" ca="1" si="63"/>
        <v>1009.6911123972006</v>
      </c>
      <c r="AK74" s="7">
        <f t="shared" ca="1" si="63"/>
        <v>1102.6412919228464</v>
      </c>
      <c r="AL74" s="7">
        <f t="shared" ca="1" si="63"/>
        <v>1203.2029374470503</v>
      </c>
      <c r="AM74" s="7">
        <f t="shared" ca="1" si="63"/>
        <v>1311.9448176554347</v>
      </c>
      <c r="AN74" s="7">
        <f t="shared" ca="1" si="63"/>
        <v>1429.481035286163</v>
      </c>
      <c r="AO74" s="7">
        <f t="shared" ca="1" si="63"/>
        <v>1556.5461356211979</v>
      </c>
      <c r="AP74" s="7">
        <f t="shared" ca="1" si="63"/>
        <v>1693.9061517926009</v>
      </c>
      <c r="AQ74" s="7">
        <f t="shared" ca="1" si="63"/>
        <v>1842.3863923502258</v>
      </c>
      <c r="AR74" s="7">
        <f t="shared" ca="1" si="63"/>
        <v>2002.8973578900375</v>
      </c>
      <c r="AS74" s="7">
        <f t="shared" ca="1" si="63"/>
        <v>2176.4027730586467</v>
      </c>
      <c r="AT74" s="7">
        <f t="shared" ca="1" si="63"/>
        <v>2363.7077129697132</v>
      </c>
      <c r="AU74" s="7">
        <f t="shared" ca="1" si="63"/>
        <v>2565.9362062673254</v>
      </c>
      <c r="AV74" s="7">
        <f t="shared" ca="1" si="63"/>
        <v>2784.1950877720851</v>
      </c>
      <c r="AW74" s="7">
        <f t="shared" ca="1" si="63"/>
        <v>3019.6948629780159</v>
      </c>
    </row>
    <row r="75" spans="1:49" x14ac:dyDescent="0.2">
      <c r="A75" s="1" t="s">
        <v>370</v>
      </c>
      <c r="B75" s="4" t="str">
        <f>$B$43</f>
        <v>From Fiscal</v>
      </c>
      <c r="D75" s="18">
        <f>Fiscal!D$139</f>
        <v>95.649000000000001</v>
      </c>
      <c r="E75" s="19">
        <f>Fiscal!E$139</f>
        <v>95.67</v>
      </c>
      <c r="F75" s="19">
        <f>Fiscal!F$139</f>
        <v>102.812</v>
      </c>
      <c r="G75" s="19">
        <f>Fiscal!G$139</f>
        <v>98.236999999999995</v>
      </c>
      <c r="H75" s="19">
        <f>Fiscal!H$139</f>
        <v>93.287999999999997</v>
      </c>
      <c r="I75" s="19">
        <f>Fiscal!I$139</f>
        <v>92.504000000000005</v>
      </c>
      <c r="J75" s="7">
        <f t="shared" ref="J75:AW75" ca="1" si="64">SUM(I$75,J$502,J$212-J$478)</f>
        <v>95.696405887588867</v>
      </c>
      <c r="K75" s="7">
        <f t="shared" ca="1" si="64"/>
        <v>100.61493433578771</v>
      </c>
      <c r="L75" s="7">
        <f t="shared" ca="1" si="64"/>
        <v>107.09407579030088</v>
      </c>
      <c r="M75" s="7">
        <f t="shared" ca="1" si="64"/>
        <v>114.98332969879652</v>
      </c>
      <c r="N75" s="7">
        <f t="shared" ca="1" si="64"/>
        <v>124.16106616092497</v>
      </c>
      <c r="O75" s="7">
        <f t="shared" ca="1" si="64"/>
        <v>134.99418150085981</v>
      </c>
      <c r="P75" s="7">
        <f t="shared" ca="1" si="64"/>
        <v>147.40650117444326</v>
      </c>
      <c r="Q75" s="7">
        <f t="shared" ca="1" si="64"/>
        <v>161.37445760648359</v>
      </c>
      <c r="R75" s="7">
        <f t="shared" ca="1" si="64"/>
        <v>177.17252812305915</v>
      </c>
      <c r="S75" s="7">
        <f t="shared" ca="1" si="64"/>
        <v>194.98250124107938</v>
      </c>
      <c r="T75" s="7">
        <f t="shared" ca="1" si="64"/>
        <v>215.02305439634679</v>
      </c>
      <c r="U75" s="7">
        <f t="shared" ca="1" si="64"/>
        <v>237.5614857293366</v>
      </c>
      <c r="V75" s="7">
        <f t="shared" ca="1" si="64"/>
        <v>262.82826344126238</v>
      </c>
      <c r="W75" s="7">
        <f t="shared" ca="1" si="64"/>
        <v>290.88657254265632</v>
      </c>
      <c r="X75" s="7">
        <f t="shared" ca="1" si="64"/>
        <v>321.88304841445279</v>
      </c>
      <c r="Y75" s="7">
        <f t="shared" ca="1" si="64"/>
        <v>356.07347042283067</v>
      </c>
      <c r="Z75" s="7">
        <f t="shared" ca="1" si="64"/>
        <v>393.72734333452121</v>
      </c>
      <c r="AA75" s="7">
        <f t="shared" ca="1" si="64"/>
        <v>435.12826512625162</v>
      </c>
      <c r="AB75" s="7">
        <f t="shared" ca="1" si="64"/>
        <v>480.55550189297355</v>
      </c>
      <c r="AC75" s="7">
        <f t="shared" ca="1" si="64"/>
        <v>530.29965064798205</v>
      </c>
      <c r="AD75" s="7">
        <f t="shared" ca="1" si="64"/>
        <v>584.64508864742083</v>
      </c>
      <c r="AE75" s="7">
        <f t="shared" ca="1" si="64"/>
        <v>643.93188188819227</v>
      </c>
      <c r="AF75" s="7">
        <f t="shared" ca="1" si="64"/>
        <v>708.50135774832506</v>
      </c>
      <c r="AG75" s="7">
        <f t="shared" ca="1" si="64"/>
        <v>778.71913094711124</v>
      </c>
      <c r="AH75" s="7">
        <f t="shared" ca="1" si="64"/>
        <v>854.98724555429965</v>
      </c>
      <c r="AI75" s="7">
        <f t="shared" ca="1" si="64"/>
        <v>937.7252701714508</v>
      </c>
      <c r="AJ75" s="7">
        <f t="shared" ca="1" si="64"/>
        <v>1027.4134783437585</v>
      </c>
      <c r="AK75" s="7">
        <f t="shared" ca="1" si="64"/>
        <v>1124.5661536028081</v>
      </c>
      <c r="AL75" s="7">
        <f t="shared" ca="1" si="64"/>
        <v>1229.7199668269882</v>
      </c>
      <c r="AM75" s="7">
        <f t="shared" ca="1" si="64"/>
        <v>1343.4758619845213</v>
      </c>
      <c r="AN75" s="7">
        <f t="shared" ca="1" si="64"/>
        <v>1466.4797474431671</v>
      </c>
      <c r="AO75" s="7">
        <f t="shared" ca="1" si="64"/>
        <v>1599.4947757935474</v>
      </c>
      <c r="AP75" s="7">
        <f t="shared" ca="1" si="64"/>
        <v>1743.3287375491705</v>
      </c>
      <c r="AQ75" s="7">
        <f t="shared" ca="1" si="64"/>
        <v>1898.8435820526738</v>
      </c>
      <c r="AR75" s="7">
        <f t="shared" ca="1" si="64"/>
        <v>2066.9984496634997</v>
      </c>
      <c r="AS75" s="7">
        <f t="shared" ca="1" si="64"/>
        <v>2248.8173434403034</v>
      </c>
      <c r="AT75" s="7">
        <f t="shared" ca="1" si="64"/>
        <v>2445.2879077609205</v>
      </c>
      <c r="AU75" s="7">
        <f t="shared" ca="1" si="64"/>
        <v>2657.5175095899963</v>
      </c>
      <c r="AV75" s="7">
        <f t="shared" ca="1" si="64"/>
        <v>2886.6849624120978</v>
      </c>
      <c r="AW75" s="7">
        <f t="shared" ca="1" si="64"/>
        <v>3134.0697491555102</v>
      </c>
    </row>
    <row r="76" spans="1:49" x14ac:dyDescent="0.2">
      <c r="A76" s="1" t="s">
        <v>745</v>
      </c>
      <c r="B76" s="4" t="str">
        <f>$B$43</f>
        <v>From Fiscal</v>
      </c>
      <c r="D76" s="18">
        <f>Fiscal!D$140</f>
        <v>2.4929999999999999</v>
      </c>
      <c r="E76" s="19">
        <f>Fiscal!E$140</f>
        <v>1.6060000000000001</v>
      </c>
      <c r="F76" s="19">
        <f>Fiscal!F$140</f>
        <v>1.651</v>
      </c>
      <c r="G76" s="19">
        <f>Fiscal!G$140</f>
        <v>1.651</v>
      </c>
      <c r="H76" s="19">
        <f>Fiscal!H$140</f>
        <v>1.6519999999999999</v>
      </c>
      <c r="I76" s="19">
        <f>Fiscal!I$140</f>
        <v>1.655</v>
      </c>
      <c r="J76" s="7">
        <f t="shared" ref="J76:AW76" ca="1" si="65">SUM(I$76,J$373-I$373-(J$446-I$446))</f>
        <v>2.0033193086456045</v>
      </c>
      <c r="K76" s="7">
        <f t="shared" ca="1" si="65"/>
        <v>2.2510158324886973</v>
      </c>
      <c r="L76" s="7">
        <f t="shared" ca="1" si="65"/>
        <v>2.5085476901705777</v>
      </c>
      <c r="M76" s="7">
        <f t="shared" ca="1" si="65"/>
        <v>2.7749307062734903</v>
      </c>
      <c r="N76" s="7">
        <f t="shared" ca="1" si="65"/>
        <v>3.0495668650629701</v>
      </c>
      <c r="O76" s="7">
        <f t="shared" ca="1" si="65"/>
        <v>3.3274377858914961</v>
      </c>
      <c r="P76" s="7">
        <f t="shared" ca="1" si="65"/>
        <v>3.6067633634686356</v>
      </c>
      <c r="Q76" s="7">
        <f t="shared" ca="1" si="65"/>
        <v>3.8871007655697025</v>
      </c>
      <c r="R76" s="7">
        <f t="shared" ca="1" si="65"/>
        <v>4.168702286286786</v>
      </c>
      <c r="S76" s="7">
        <f t="shared" ca="1" si="65"/>
        <v>4.4533740567906914</v>
      </c>
      <c r="T76" s="7">
        <f t="shared" ca="1" si="65"/>
        <v>4.7416826575766464</v>
      </c>
      <c r="U76" s="7">
        <f t="shared" ca="1" si="65"/>
        <v>5.0332183302157505</v>
      </c>
      <c r="V76" s="7">
        <f t="shared" ca="1" si="65"/>
        <v>5.3274027742101397</v>
      </c>
      <c r="W76" s="7">
        <f t="shared" ca="1" si="65"/>
        <v>5.6237196159596978</v>
      </c>
      <c r="X76" s="7">
        <f t="shared" ca="1" si="65"/>
        <v>5.9228241562936486</v>
      </c>
      <c r="Y76" s="7">
        <f t="shared" ca="1" si="65"/>
        <v>6.2231021710827461</v>
      </c>
      <c r="Z76" s="7">
        <f t="shared" ca="1" si="65"/>
        <v>6.5263544224580032</v>
      </c>
      <c r="AA76" s="7">
        <f t="shared" ca="1" si="65"/>
        <v>6.835931047747108</v>
      </c>
      <c r="AB76" s="7">
        <f t="shared" ca="1" si="65"/>
        <v>7.1562462472060338</v>
      </c>
      <c r="AC76" s="7">
        <f t="shared" ca="1" si="65"/>
        <v>7.4925527681798529</v>
      </c>
      <c r="AD76" s="7">
        <f t="shared" ca="1" si="65"/>
        <v>7.8508473027330767</v>
      </c>
      <c r="AE76" s="7">
        <f t="shared" ca="1" si="65"/>
        <v>8.2340192296574344</v>
      </c>
      <c r="AF76" s="7">
        <f t="shared" ca="1" si="65"/>
        <v>8.6470526880608993</v>
      </c>
      <c r="AG76" s="7">
        <f t="shared" ca="1" si="65"/>
        <v>9.0912836240684847</v>
      </c>
      <c r="AH76" s="7">
        <f t="shared" ca="1" si="65"/>
        <v>9.5700026407025902</v>
      </c>
      <c r="AI76" s="7">
        <f t="shared" ca="1" si="65"/>
        <v>10.085685351509767</v>
      </c>
      <c r="AJ76" s="7">
        <f t="shared" ca="1" si="65"/>
        <v>10.640954005710782</v>
      </c>
      <c r="AK76" s="7">
        <f t="shared" ca="1" si="65"/>
        <v>11.236614466843895</v>
      </c>
      <c r="AL76" s="7">
        <f t="shared" ca="1" si="65"/>
        <v>11.875395857464609</v>
      </c>
      <c r="AM76" s="7">
        <f t="shared" ca="1" si="65"/>
        <v>12.559611866718742</v>
      </c>
      <c r="AN76" s="7">
        <f t="shared" ca="1" si="65"/>
        <v>13.289981973482407</v>
      </c>
      <c r="AO76" s="7">
        <f t="shared" ca="1" si="65"/>
        <v>14.065681289249545</v>
      </c>
      <c r="AP76" s="7">
        <f t="shared" ca="1" si="65"/>
        <v>14.882950640958573</v>
      </c>
      <c r="AQ76" s="7">
        <f t="shared" ca="1" si="65"/>
        <v>15.738144824891178</v>
      </c>
      <c r="AR76" s="7">
        <f t="shared" ca="1" si="65"/>
        <v>16.624709661359507</v>
      </c>
      <c r="AS76" s="7">
        <f t="shared" ca="1" si="65"/>
        <v>17.536327928508257</v>
      </c>
      <c r="AT76" s="7">
        <f t="shared" ca="1" si="65"/>
        <v>18.474916406192992</v>
      </c>
      <c r="AU76" s="7">
        <f t="shared" ca="1" si="65"/>
        <v>19.439619984360899</v>
      </c>
      <c r="AV76" s="7">
        <f t="shared" ca="1" si="65"/>
        <v>20.431793152395198</v>
      </c>
      <c r="AW76" s="7">
        <f t="shared" ca="1" si="65"/>
        <v>21.449600480855949</v>
      </c>
    </row>
    <row r="77" spans="1:49" ht="15" x14ac:dyDescent="0.25">
      <c r="A77" s="2" t="s">
        <v>371</v>
      </c>
      <c r="D77" s="40">
        <f t="shared" ref="D77:I77" si="66">D$75-D$76</f>
        <v>93.156000000000006</v>
      </c>
      <c r="E77" s="39">
        <f t="shared" si="66"/>
        <v>94.064000000000007</v>
      </c>
      <c r="F77" s="39">
        <f t="shared" si="66"/>
        <v>101.161</v>
      </c>
      <c r="G77" s="39">
        <f t="shared" si="66"/>
        <v>96.585999999999999</v>
      </c>
      <c r="H77" s="39">
        <f t="shared" si="66"/>
        <v>91.635999999999996</v>
      </c>
      <c r="I77" s="39">
        <f t="shared" si="66"/>
        <v>90.849000000000004</v>
      </c>
      <c r="J77" s="43">
        <f t="shared" ref="J77:AW77" ca="1" si="67">J$75-J$76</f>
        <v>93.693086578943266</v>
      </c>
      <c r="K77" s="43">
        <f t="shared" ca="1" si="67"/>
        <v>98.363918503299004</v>
      </c>
      <c r="L77" s="43">
        <f t="shared" ca="1" si="67"/>
        <v>104.5855281001303</v>
      </c>
      <c r="M77" s="43">
        <f t="shared" ca="1" si="67"/>
        <v>112.20839899252303</v>
      </c>
      <c r="N77" s="43">
        <f t="shared" ca="1" si="67"/>
        <v>121.111499295862</v>
      </c>
      <c r="O77" s="43">
        <f t="shared" ca="1" si="67"/>
        <v>131.66674371496831</v>
      </c>
      <c r="P77" s="43">
        <f t="shared" ca="1" si="67"/>
        <v>143.79973781097462</v>
      </c>
      <c r="Q77" s="43">
        <f t="shared" ca="1" si="67"/>
        <v>157.48735684091389</v>
      </c>
      <c r="R77" s="43">
        <f t="shared" ca="1" si="67"/>
        <v>173.00382583677236</v>
      </c>
      <c r="S77" s="43">
        <f t="shared" ca="1" si="67"/>
        <v>190.52912718428868</v>
      </c>
      <c r="T77" s="43">
        <f t="shared" ca="1" si="67"/>
        <v>210.28137173877013</v>
      </c>
      <c r="U77" s="43">
        <f t="shared" ca="1" si="67"/>
        <v>232.52826739912084</v>
      </c>
      <c r="V77" s="43">
        <f t="shared" ca="1" si="67"/>
        <v>257.50086066705222</v>
      </c>
      <c r="W77" s="43">
        <f t="shared" ca="1" si="67"/>
        <v>285.26285292669661</v>
      </c>
      <c r="X77" s="43">
        <f t="shared" ca="1" si="67"/>
        <v>315.96022425815914</v>
      </c>
      <c r="Y77" s="43">
        <f t="shared" ca="1" si="67"/>
        <v>349.85036825174791</v>
      </c>
      <c r="Z77" s="43">
        <f t="shared" ca="1" si="67"/>
        <v>387.20098891206322</v>
      </c>
      <c r="AA77" s="43">
        <f t="shared" ca="1" si="67"/>
        <v>428.2923340785045</v>
      </c>
      <c r="AB77" s="43">
        <f t="shared" ca="1" si="67"/>
        <v>473.39925564576754</v>
      </c>
      <c r="AC77" s="43">
        <f t="shared" ca="1" si="67"/>
        <v>522.8070978798022</v>
      </c>
      <c r="AD77" s="43">
        <f t="shared" ca="1" si="67"/>
        <v>576.79424134468775</v>
      </c>
      <c r="AE77" s="43">
        <f t="shared" ca="1" si="67"/>
        <v>635.69786265853486</v>
      </c>
      <c r="AF77" s="43">
        <f t="shared" ca="1" si="67"/>
        <v>699.85430506026421</v>
      </c>
      <c r="AG77" s="43">
        <f t="shared" ca="1" si="67"/>
        <v>769.62784732304272</v>
      </c>
      <c r="AH77" s="43">
        <f t="shared" ca="1" si="67"/>
        <v>845.41724291359708</v>
      </c>
      <c r="AI77" s="43">
        <f t="shared" ca="1" si="67"/>
        <v>927.63958481994109</v>
      </c>
      <c r="AJ77" s="43">
        <f t="shared" ca="1" si="67"/>
        <v>1016.7725243380477</v>
      </c>
      <c r="AK77" s="43">
        <f t="shared" ca="1" si="67"/>
        <v>1113.3295391359641</v>
      </c>
      <c r="AL77" s="43">
        <f t="shared" ca="1" si="67"/>
        <v>1217.8445709695236</v>
      </c>
      <c r="AM77" s="43">
        <f t="shared" ca="1" si="67"/>
        <v>1330.9162501178025</v>
      </c>
      <c r="AN77" s="43">
        <f t="shared" ca="1" si="67"/>
        <v>1453.1897654696847</v>
      </c>
      <c r="AO77" s="43">
        <f t="shared" ca="1" si="67"/>
        <v>1585.4290945042978</v>
      </c>
      <c r="AP77" s="43">
        <f t="shared" ca="1" si="67"/>
        <v>1728.4457869082119</v>
      </c>
      <c r="AQ77" s="43">
        <f t="shared" ca="1" si="67"/>
        <v>1883.1054372277827</v>
      </c>
      <c r="AR77" s="43">
        <f t="shared" ca="1" si="67"/>
        <v>2050.37374000214</v>
      </c>
      <c r="AS77" s="43">
        <f t="shared" ca="1" si="67"/>
        <v>2231.281015511795</v>
      </c>
      <c r="AT77" s="43">
        <f t="shared" ca="1" si="67"/>
        <v>2426.8129913547273</v>
      </c>
      <c r="AU77" s="43">
        <f t="shared" ca="1" si="67"/>
        <v>2638.0778896056354</v>
      </c>
      <c r="AV77" s="43">
        <f t="shared" ca="1" si="67"/>
        <v>2866.2531692597026</v>
      </c>
      <c r="AW77" s="43">
        <f t="shared" ca="1" si="67"/>
        <v>3112.620148674654</v>
      </c>
    </row>
    <row r="78" spans="1:49" x14ac:dyDescent="0.2">
      <c r="A78" s="1" t="s">
        <v>372</v>
      </c>
      <c r="B78" s="4" t="str">
        <f>$B$43</f>
        <v>From Fiscal</v>
      </c>
      <c r="D78" s="18">
        <f>Fiscal!D$142</f>
        <v>76.433999999999997</v>
      </c>
      <c r="E78" s="19">
        <f>Fiscal!E$142</f>
        <v>74.843000000000004</v>
      </c>
      <c r="F78" s="19">
        <f>Fiscal!F$142</f>
        <v>80.236000000000004</v>
      </c>
      <c r="G78" s="19">
        <f>Fiscal!G$142</f>
        <v>75.947000000000003</v>
      </c>
      <c r="H78" s="19">
        <f>Fiscal!H$142</f>
        <v>75.301000000000002</v>
      </c>
      <c r="I78" s="19">
        <f>Fiscal!I$142</f>
        <v>80.745999999999995</v>
      </c>
      <c r="J78" s="7">
        <f t="shared" ref="J78:AW78" ca="1" si="68">SUM(J$334,J$347,J$356,J$380)</f>
        <v>87.598812678903244</v>
      </c>
      <c r="K78" s="7">
        <f t="shared" ca="1" si="68"/>
        <v>94.67642936063389</v>
      </c>
      <c r="L78" s="7">
        <f t="shared" ca="1" si="68"/>
        <v>102.05491202309028</v>
      </c>
      <c r="M78" s="7">
        <f t="shared" ca="1" si="68"/>
        <v>109.66980687083276</v>
      </c>
      <c r="N78" s="7">
        <f t="shared" ca="1" si="68"/>
        <v>117.4944288731154</v>
      </c>
      <c r="O78" s="7">
        <f t="shared" ca="1" si="68"/>
        <v>125.41368924949008</v>
      </c>
      <c r="P78" s="7">
        <f t="shared" ca="1" si="68"/>
        <v>133.43013584384622</v>
      </c>
      <c r="Q78" s="7">
        <f t="shared" ca="1" si="68"/>
        <v>141.53236314578629</v>
      </c>
      <c r="R78" s="7">
        <f t="shared" ca="1" si="68"/>
        <v>149.72330363577552</v>
      </c>
      <c r="S78" s="7">
        <f t="shared" ca="1" si="68"/>
        <v>158.04655393066514</v>
      </c>
      <c r="T78" s="7">
        <f t="shared" ca="1" si="68"/>
        <v>166.51388002953195</v>
      </c>
      <c r="U78" s="7">
        <f t="shared" ca="1" si="68"/>
        <v>175.12944055783572</v>
      </c>
      <c r="V78" s="7">
        <f t="shared" ca="1" si="68"/>
        <v>183.88232172939024</v>
      </c>
      <c r="W78" s="7">
        <f t="shared" ca="1" si="68"/>
        <v>192.76807294515024</v>
      </c>
      <c r="X78" s="7">
        <f t="shared" ca="1" si="68"/>
        <v>201.79797658177981</v>
      </c>
      <c r="Y78" s="7">
        <f t="shared" ca="1" si="68"/>
        <v>210.93953842402343</v>
      </c>
      <c r="Z78" s="7">
        <f t="shared" ca="1" si="68"/>
        <v>220.24866150113121</v>
      </c>
      <c r="AA78" s="7">
        <f t="shared" ca="1" si="68"/>
        <v>229.81867297477572</v>
      </c>
      <c r="AB78" s="7">
        <f t="shared" ca="1" si="68"/>
        <v>239.7504115391983</v>
      </c>
      <c r="AC78" s="7">
        <f t="shared" ca="1" si="68"/>
        <v>250.16503853188493</v>
      </c>
      <c r="AD78" s="7">
        <f t="shared" ca="1" si="68"/>
        <v>261.19594378406617</v>
      </c>
      <c r="AE78" s="7">
        <f t="shared" ca="1" si="68"/>
        <v>272.91163187861667</v>
      </c>
      <c r="AF78" s="7">
        <f t="shared" ca="1" si="68"/>
        <v>285.43076133353458</v>
      </c>
      <c r="AG78" s="7">
        <f t="shared" ca="1" si="68"/>
        <v>298.76856567361278</v>
      </c>
      <c r="AH78" s="7">
        <f t="shared" ca="1" si="68"/>
        <v>312.98046825325252</v>
      </c>
      <c r="AI78" s="7">
        <f t="shared" ca="1" si="68"/>
        <v>328.10570169741038</v>
      </c>
      <c r="AJ78" s="7">
        <f t="shared" ca="1" si="68"/>
        <v>344.23195463466499</v>
      </c>
      <c r="AK78" s="7">
        <f t="shared" ca="1" si="68"/>
        <v>361.37613656107447</v>
      </c>
      <c r="AL78" s="7">
        <f t="shared" ca="1" si="68"/>
        <v>379.58799671518744</v>
      </c>
      <c r="AM78" s="7">
        <f t="shared" ca="1" si="68"/>
        <v>398.92037206162081</v>
      </c>
      <c r="AN78" s="7">
        <f t="shared" ca="1" si="68"/>
        <v>419.37457475692133</v>
      </c>
      <c r="AO78" s="7">
        <f t="shared" ca="1" si="68"/>
        <v>440.94250507711195</v>
      </c>
      <c r="AP78" s="7">
        <f t="shared" ca="1" si="68"/>
        <v>463.56002016134767</v>
      </c>
      <c r="AQ78" s="7">
        <f t="shared" ca="1" si="68"/>
        <v>487.12539847679511</v>
      </c>
      <c r="AR78" s="7">
        <f t="shared" ca="1" si="68"/>
        <v>511.51512767251802</v>
      </c>
      <c r="AS78" s="7">
        <f t="shared" ca="1" si="68"/>
        <v>536.62097090999907</v>
      </c>
      <c r="AT78" s="7">
        <f t="shared" ca="1" si="68"/>
        <v>562.46179802804591</v>
      </c>
      <c r="AU78" s="7">
        <f t="shared" ca="1" si="68"/>
        <v>589.01864252381847</v>
      </c>
      <c r="AV78" s="7">
        <f t="shared" ca="1" si="68"/>
        <v>616.35244655736801</v>
      </c>
      <c r="AW78" s="7">
        <f t="shared" ca="1" si="68"/>
        <v>644.44703766534906</v>
      </c>
    </row>
    <row r="79" spans="1:49" ht="15" x14ac:dyDescent="0.25">
      <c r="A79" s="2" t="s">
        <v>261</v>
      </c>
      <c r="D79" s="40">
        <f t="shared" ref="D79:I79" si="69">D$77-D$78</f>
        <v>16.722000000000008</v>
      </c>
      <c r="E79" s="39">
        <f t="shared" si="69"/>
        <v>19.221000000000004</v>
      </c>
      <c r="F79" s="39">
        <f t="shared" si="69"/>
        <v>20.924999999999997</v>
      </c>
      <c r="G79" s="39">
        <f t="shared" si="69"/>
        <v>20.638999999999996</v>
      </c>
      <c r="H79" s="39">
        <f t="shared" si="69"/>
        <v>16.334999999999994</v>
      </c>
      <c r="I79" s="39">
        <f t="shared" si="69"/>
        <v>10.103000000000009</v>
      </c>
      <c r="J79" s="43">
        <f t="shared" ref="J79:AW79" ca="1" si="70">J$77-J$78</f>
        <v>6.0942739000400223</v>
      </c>
      <c r="K79" s="43">
        <f t="shared" ca="1" si="70"/>
        <v>3.6874891426651146</v>
      </c>
      <c r="L79" s="43">
        <f t="shared" ca="1" si="70"/>
        <v>2.5306160770400226</v>
      </c>
      <c r="M79" s="43">
        <f t="shared" ca="1" si="70"/>
        <v>2.5385921216902716</v>
      </c>
      <c r="N79" s="43">
        <f t="shared" ca="1" si="70"/>
        <v>3.6170704227466075</v>
      </c>
      <c r="O79" s="43">
        <f t="shared" ca="1" si="70"/>
        <v>6.253054465478229</v>
      </c>
      <c r="P79" s="43">
        <f t="shared" ca="1" si="70"/>
        <v>10.369601967128403</v>
      </c>
      <c r="Q79" s="43">
        <f t="shared" ca="1" si="70"/>
        <v>15.954993695127598</v>
      </c>
      <c r="R79" s="43">
        <f t="shared" ca="1" si="70"/>
        <v>23.280522200996842</v>
      </c>
      <c r="S79" s="43">
        <f t="shared" ca="1" si="70"/>
        <v>32.482573253623542</v>
      </c>
      <c r="T79" s="43">
        <f t="shared" ca="1" si="70"/>
        <v>43.767491709238186</v>
      </c>
      <c r="U79" s="43">
        <f t="shared" ca="1" si="70"/>
        <v>57.398826841285114</v>
      </c>
      <c r="V79" s="43">
        <f t="shared" ca="1" si="70"/>
        <v>73.618538937661981</v>
      </c>
      <c r="W79" s="43">
        <f t="shared" ca="1" si="70"/>
        <v>92.494779981546372</v>
      </c>
      <c r="X79" s="43">
        <f t="shared" ca="1" si="70"/>
        <v>114.16224767637934</v>
      </c>
      <c r="Y79" s="43">
        <f t="shared" ca="1" si="70"/>
        <v>138.91082982772448</v>
      </c>
      <c r="Z79" s="43">
        <f t="shared" ca="1" si="70"/>
        <v>166.95232741093201</v>
      </c>
      <c r="AA79" s="43">
        <f t="shared" ca="1" si="70"/>
        <v>198.47366110372877</v>
      </c>
      <c r="AB79" s="43">
        <f t="shared" ca="1" si="70"/>
        <v>233.64884410656924</v>
      </c>
      <c r="AC79" s="43">
        <f t="shared" ca="1" si="70"/>
        <v>272.64205934791727</v>
      </c>
      <c r="AD79" s="43">
        <f t="shared" ca="1" si="70"/>
        <v>315.59829756062157</v>
      </c>
      <c r="AE79" s="43">
        <f t="shared" ca="1" si="70"/>
        <v>362.78623077991818</v>
      </c>
      <c r="AF79" s="43">
        <f t="shared" ca="1" si="70"/>
        <v>414.42354372672963</v>
      </c>
      <c r="AG79" s="43">
        <f t="shared" ca="1" si="70"/>
        <v>470.85928164942993</v>
      </c>
      <c r="AH79" s="43">
        <f t="shared" ca="1" si="70"/>
        <v>532.43677466034455</v>
      </c>
      <c r="AI79" s="43">
        <f t="shared" ca="1" si="70"/>
        <v>599.53388312253071</v>
      </c>
      <c r="AJ79" s="43">
        <f t="shared" ca="1" si="70"/>
        <v>672.54056970338274</v>
      </c>
      <c r="AK79" s="43">
        <f t="shared" ca="1" si="70"/>
        <v>751.95340257488965</v>
      </c>
      <c r="AL79" s="43">
        <f t="shared" ca="1" si="70"/>
        <v>838.2565742543361</v>
      </c>
      <c r="AM79" s="43">
        <f t="shared" ca="1" si="70"/>
        <v>931.99587805618171</v>
      </c>
      <c r="AN79" s="43">
        <f t="shared" ca="1" si="70"/>
        <v>1033.8151907127635</v>
      </c>
      <c r="AO79" s="43">
        <f t="shared" ca="1" si="70"/>
        <v>1144.4865894271859</v>
      </c>
      <c r="AP79" s="43">
        <f t="shared" ca="1" si="70"/>
        <v>1264.8857667468642</v>
      </c>
      <c r="AQ79" s="43">
        <f t="shared" ca="1" si="70"/>
        <v>1395.9800387509877</v>
      </c>
      <c r="AR79" s="43">
        <f t="shared" ca="1" si="70"/>
        <v>1538.858612329622</v>
      </c>
      <c r="AS79" s="43">
        <f t="shared" ca="1" si="70"/>
        <v>1694.660044601796</v>
      </c>
      <c r="AT79" s="43">
        <f t="shared" ca="1" si="70"/>
        <v>1864.3511933266814</v>
      </c>
      <c r="AU79" s="43">
        <f t="shared" ca="1" si="70"/>
        <v>2049.0592470818169</v>
      </c>
      <c r="AV79" s="43">
        <f t="shared" ca="1" si="70"/>
        <v>2249.9007227023349</v>
      </c>
      <c r="AW79" s="43">
        <f t="shared" ca="1" si="70"/>
        <v>2468.1731110093051</v>
      </c>
    </row>
    <row r="80" spans="1:49" x14ac:dyDescent="0.2">
      <c r="A80" s="1" t="s">
        <v>373</v>
      </c>
      <c r="B80" s="4" t="str">
        <f>$B$43</f>
        <v>From Fiscal</v>
      </c>
      <c r="D80" s="18">
        <f>Fiscal!D$144</f>
        <v>14.14</v>
      </c>
      <c r="E80" s="19">
        <f>Fiscal!E$144</f>
        <v>14.151999999999999</v>
      </c>
      <c r="F80" s="19">
        <f>Fiscal!F$144</f>
        <v>14.571999999999999</v>
      </c>
      <c r="G80" s="19">
        <f>Fiscal!G$144</f>
        <v>14.773</v>
      </c>
      <c r="H80" s="19">
        <f>Fiscal!H$144</f>
        <v>14.847</v>
      </c>
      <c r="I80" s="19">
        <f>Fiscal!I$144</f>
        <v>14.786</v>
      </c>
      <c r="J80" s="7">
        <f t="shared" ref="J80:AW80" ca="1" si="71">J$380-J$377</f>
        <v>15.345917528541024</v>
      </c>
      <c r="K80" s="7">
        <f t="shared" ca="1" si="71"/>
        <v>15.89388220675446</v>
      </c>
      <c r="L80" s="7">
        <f t="shared" ca="1" si="71"/>
        <v>16.439120972929146</v>
      </c>
      <c r="M80" s="7">
        <f t="shared" ca="1" si="71"/>
        <v>16.985321546390971</v>
      </c>
      <c r="N80" s="7">
        <f t="shared" ca="1" si="71"/>
        <v>17.515462611442516</v>
      </c>
      <c r="O80" s="7">
        <f t="shared" ca="1" si="71"/>
        <v>18.032465889559393</v>
      </c>
      <c r="P80" s="7">
        <f t="shared" ca="1" si="71"/>
        <v>18.56616219119266</v>
      </c>
      <c r="Q80" s="7">
        <f t="shared" ca="1" si="71"/>
        <v>19.116223468572212</v>
      </c>
      <c r="R80" s="7">
        <f t="shared" ca="1" si="71"/>
        <v>19.681417362137367</v>
      </c>
      <c r="S80" s="7">
        <f t="shared" ca="1" si="71"/>
        <v>20.261767790943729</v>
      </c>
      <c r="T80" s="7">
        <f t="shared" ca="1" si="71"/>
        <v>20.856395951940382</v>
      </c>
      <c r="U80" s="7">
        <f t="shared" ca="1" si="71"/>
        <v>21.471861528565586</v>
      </c>
      <c r="V80" s="7">
        <f t="shared" ca="1" si="71"/>
        <v>22.10504860651297</v>
      </c>
      <c r="W80" s="7">
        <f t="shared" ca="1" si="71"/>
        <v>22.757029275496382</v>
      </c>
      <c r="X80" s="7">
        <f t="shared" ca="1" si="71"/>
        <v>23.419017547641289</v>
      </c>
      <c r="Y80" s="7">
        <f t="shared" ca="1" si="71"/>
        <v>24.092983898974808</v>
      </c>
      <c r="Z80" s="7">
        <f t="shared" ca="1" si="71"/>
        <v>24.78601076866784</v>
      </c>
      <c r="AA80" s="7">
        <f t="shared" ca="1" si="71"/>
        <v>25.516798728734798</v>
      </c>
      <c r="AB80" s="7">
        <f t="shared" ca="1" si="71"/>
        <v>26.285690749049667</v>
      </c>
      <c r="AC80" s="7">
        <f t="shared" ca="1" si="71"/>
        <v>27.093442957801514</v>
      </c>
      <c r="AD80" s="7">
        <f t="shared" ca="1" si="71"/>
        <v>27.943576351252609</v>
      </c>
      <c r="AE80" s="7">
        <f t="shared" ca="1" si="71"/>
        <v>28.845641586484476</v>
      </c>
      <c r="AF80" s="7">
        <f t="shared" ca="1" si="71"/>
        <v>29.805101220103303</v>
      </c>
      <c r="AG80" s="7">
        <f t="shared" ca="1" si="71"/>
        <v>30.807274131289326</v>
      </c>
      <c r="AH80" s="7">
        <f t="shared" ca="1" si="71"/>
        <v>31.833085293019231</v>
      </c>
      <c r="AI80" s="7">
        <f t="shared" ca="1" si="71"/>
        <v>32.87451626941597</v>
      </c>
      <c r="AJ80" s="7">
        <f t="shared" ca="1" si="71"/>
        <v>33.95354671923252</v>
      </c>
      <c r="AK80" s="7">
        <f t="shared" ca="1" si="71"/>
        <v>35.072667739011436</v>
      </c>
      <c r="AL80" s="7">
        <f t="shared" ca="1" si="71"/>
        <v>36.226374574913926</v>
      </c>
      <c r="AM80" s="7">
        <f t="shared" ca="1" si="71"/>
        <v>37.413617995978314</v>
      </c>
      <c r="AN80" s="7">
        <f t="shared" ca="1" si="71"/>
        <v>38.615399614638577</v>
      </c>
      <c r="AO80" s="7">
        <f t="shared" ca="1" si="71"/>
        <v>39.855858889228706</v>
      </c>
      <c r="AP80" s="7">
        <f t="shared" ca="1" si="71"/>
        <v>41.134219787223984</v>
      </c>
      <c r="AQ80" s="7">
        <f t="shared" ca="1" si="71"/>
        <v>42.437314372906094</v>
      </c>
      <c r="AR80" s="7">
        <f t="shared" ca="1" si="71"/>
        <v>43.77607119139364</v>
      </c>
      <c r="AS80" s="7">
        <f t="shared" ca="1" si="71"/>
        <v>45.166440072390145</v>
      </c>
      <c r="AT80" s="7">
        <f t="shared" ca="1" si="71"/>
        <v>46.583122673140252</v>
      </c>
      <c r="AU80" s="7">
        <f t="shared" ca="1" si="71"/>
        <v>48.019309872527884</v>
      </c>
      <c r="AV80" s="7">
        <f t="shared" ca="1" si="71"/>
        <v>49.492829700613314</v>
      </c>
      <c r="AW80" s="7">
        <f t="shared" ca="1" si="71"/>
        <v>51.029174395386846</v>
      </c>
    </row>
    <row r="81" spans="1:49" x14ac:dyDescent="0.2">
      <c r="A81" s="1" t="s">
        <v>374</v>
      </c>
      <c r="B81" s="4" t="str">
        <f>$B$43</f>
        <v>From Fiscal</v>
      </c>
      <c r="D81" s="18">
        <f>Fiscal!D$145</f>
        <v>29.768999999999998</v>
      </c>
      <c r="E81" s="19">
        <f>Fiscal!E$145</f>
        <v>28.899000000000001</v>
      </c>
      <c r="F81" s="19">
        <f>Fiscal!F$145</f>
        <v>30.837</v>
      </c>
      <c r="G81" s="19">
        <f>Fiscal!G$145</f>
        <v>32.896000000000001</v>
      </c>
      <c r="H81" s="19">
        <f>Fiscal!H$145</f>
        <v>35.095999999999997</v>
      </c>
      <c r="I81" s="19">
        <f>Fiscal!I$145</f>
        <v>37.46</v>
      </c>
      <c r="J81" s="7">
        <f t="shared" ref="J81:AW81" ca="1" si="72">J$372-J$338</f>
        <v>42.51581279212877</v>
      </c>
      <c r="K81" s="7">
        <f t="shared" ca="1" si="72"/>
        <v>47.77259786454632</v>
      </c>
      <c r="L81" s="7">
        <f t="shared" ca="1" si="72"/>
        <v>53.238115119813223</v>
      </c>
      <c r="M81" s="7">
        <f t="shared" ca="1" si="72"/>
        <v>58.89147771396253</v>
      </c>
      <c r="N81" s="7">
        <f t="shared" ca="1" si="72"/>
        <v>64.7199941479887</v>
      </c>
      <c r="O81" s="7">
        <f t="shared" ca="1" si="72"/>
        <v>70.617160914832894</v>
      </c>
      <c r="P81" s="7">
        <f t="shared" ca="1" si="72"/>
        <v>76.545199402292894</v>
      </c>
      <c r="Q81" s="7">
        <f t="shared" ca="1" si="72"/>
        <v>82.494711521965201</v>
      </c>
      <c r="R81" s="7">
        <f t="shared" ca="1" si="72"/>
        <v>88.471051631660799</v>
      </c>
      <c r="S81" s="7">
        <f t="shared" ca="1" si="72"/>
        <v>94.512550682618567</v>
      </c>
      <c r="T81" s="7">
        <f t="shared" ca="1" si="72"/>
        <v>100.63123303369288</v>
      </c>
      <c r="U81" s="7">
        <f t="shared" ca="1" si="72"/>
        <v>106.81840251119944</v>
      </c>
      <c r="V81" s="7">
        <f t="shared" ca="1" si="72"/>
        <v>113.06178602637043</v>
      </c>
      <c r="W81" s="7">
        <f t="shared" ca="1" si="72"/>
        <v>119.35042474542534</v>
      </c>
      <c r="X81" s="7">
        <f t="shared" ca="1" si="72"/>
        <v>125.69822591083789</v>
      </c>
      <c r="Y81" s="7">
        <f t="shared" ca="1" si="72"/>
        <v>132.07093135388416</v>
      </c>
      <c r="Z81" s="7">
        <f t="shared" ca="1" si="72"/>
        <v>138.50675808036769</v>
      </c>
      <c r="AA81" s="7">
        <f t="shared" ca="1" si="72"/>
        <v>145.07680499640776</v>
      </c>
      <c r="AB81" s="7">
        <f t="shared" ca="1" si="72"/>
        <v>151.87475327948803</v>
      </c>
      <c r="AC81" s="7">
        <f t="shared" ca="1" si="72"/>
        <v>159.01208032704778</v>
      </c>
      <c r="AD81" s="7">
        <f t="shared" ca="1" si="72"/>
        <v>166.61605204027745</v>
      </c>
      <c r="AE81" s="7">
        <f t="shared" ca="1" si="72"/>
        <v>174.74798879245148</v>
      </c>
      <c r="AF81" s="7">
        <f t="shared" ca="1" si="72"/>
        <v>183.51366739325306</v>
      </c>
      <c r="AG81" s="7">
        <f t="shared" ca="1" si="72"/>
        <v>192.9414402052364</v>
      </c>
      <c r="AH81" s="7">
        <f t="shared" ca="1" si="72"/>
        <v>203.10114265676808</v>
      </c>
      <c r="AI81" s="7">
        <f t="shared" ca="1" si="72"/>
        <v>214.04531391204253</v>
      </c>
      <c r="AJ81" s="7">
        <f t="shared" ca="1" si="72"/>
        <v>225.82960513784226</v>
      </c>
      <c r="AK81" s="7">
        <f t="shared" ca="1" si="72"/>
        <v>238.47111892144869</v>
      </c>
      <c r="AL81" s="7">
        <f t="shared" ca="1" si="72"/>
        <v>252.02777456866389</v>
      </c>
      <c r="AM81" s="7">
        <f t="shared" ca="1" si="72"/>
        <v>266.5486747732819</v>
      </c>
      <c r="AN81" s="7">
        <f t="shared" ca="1" si="72"/>
        <v>282.0490888081892</v>
      </c>
      <c r="AO81" s="7">
        <f t="shared" ca="1" si="72"/>
        <v>298.51151032522358</v>
      </c>
      <c r="AP81" s="7">
        <f t="shared" ca="1" si="72"/>
        <v>315.8561595821094</v>
      </c>
      <c r="AQ81" s="7">
        <f t="shared" ca="1" si="72"/>
        <v>334.00567557193818</v>
      </c>
      <c r="AR81" s="7">
        <f t="shared" ca="1" si="72"/>
        <v>352.82096100981215</v>
      </c>
      <c r="AS81" s="7">
        <f t="shared" ca="1" si="72"/>
        <v>372.16794749205451</v>
      </c>
      <c r="AT81" s="7">
        <f t="shared" ca="1" si="72"/>
        <v>392.08731423198344</v>
      </c>
      <c r="AU81" s="7">
        <f t="shared" ca="1" si="72"/>
        <v>412.5609134990986</v>
      </c>
      <c r="AV81" s="7">
        <f t="shared" ca="1" si="72"/>
        <v>433.6174911936638</v>
      </c>
      <c r="AW81" s="7">
        <f t="shared" ca="1" si="72"/>
        <v>455.21809457653148</v>
      </c>
    </row>
    <row r="82" spans="1:49" ht="15" x14ac:dyDescent="0.25">
      <c r="A82" s="2" t="s">
        <v>375</v>
      </c>
      <c r="D82" s="40">
        <f t="shared" ref="D82:I82" si="73">SUM(D$79:D$81)</f>
        <v>60.631000000000007</v>
      </c>
      <c r="E82" s="39">
        <f t="shared" si="73"/>
        <v>62.272000000000006</v>
      </c>
      <c r="F82" s="39">
        <f t="shared" si="73"/>
        <v>66.334000000000003</v>
      </c>
      <c r="G82" s="39">
        <f t="shared" si="73"/>
        <v>68.307999999999993</v>
      </c>
      <c r="H82" s="39">
        <f t="shared" si="73"/>
        <v>66.277999999999992</v>
      </c>
      <c r="I82" s="39">
        <f t="shared" si="73"/>
        <v>62.349000000000011</v>
      </c>
      <c r="J82" s="43">
        <f t="shared" ref="J82:AW82" ca="1" si="74">SUM(J$79:J$81)</f>
        <v>63.956004220709815</v>
      </c>
      <c r="K82" s="43">
        <f t="shared" ca="1" si="74"/>
        <v>67.353969213965897</v>
      </c>
      <c r="L82" s="43">
        <f t="shared" ca="1" si="74"/>
        <v>72.207852169782399</v>
      </c>
      <c r="M82" s="43">
        <f t="shared" ca="1" si="74"/>
        <v>78.415391382043765</v>
      </c>
      <c r="N82" s="43">
        <f t="shared" ca="1" si="74"/>
        <v>85.852527182177823</v>
      </c>
      <c r="O82" s="43">
        <f t="shared" ca="1" si="74"/>
        <v>94.902681269870513</v>
      </c>
      <c r="P82" s="43">
        <f t="shared" ca="1" si="74"/>
        <v>105.48096356061396</v>
      </c>
      <c r="Q82" s="43">
        <f t="shared" ca="1" si="74"/>
        <v>117.56592868566501</v>
      </c>
      <c r="R82" s="43">
        <f t="shared" ca="1" si="74"/>
        <v>131.43299119479502</v>
      </c>
      <c r="S82" s="43">
        <f t="shared" ca="1" si="74"/>
        <v>147.25689172718583</v>
      </c>
      <c r="T82" s="43">
        <f t="shared" ca="1" si="74"/>
        <v>165.25512069487144</v>
      </c>
      <c r="U82" s="43">
        <f t="shared" ca="1" si="74"/>
        <v>185.68909088105013</v>
      </c>
      <c r="V82" s="43">
        <f t="shared" ca="1" si="74"/>
        <v>208.78537357054537</v>
      </c>
      <c r="W82" s="43">
        <f t="shared" ca="1" si="74"/>
        <v>234.60223400246809</v>
      </c>
      <c r="X82" s="43">
        <f t="shared" ca="1" si="74"/>
        <v>263.27949113485852</v>
      </c>
      <c r="Y82" s="43">
        <f t="shared" ca="1" si="74"/>
        <v>295.07474508058345</v>
      </c>
      <c r="Z82" s="43">
        <f t="shared" ca="1" si="74"/>
        <v>330.24509625996757</v>
      </c>
      <c r="AA82" s="43">
        <f t="shared" ca="1" si="74"/>
        <v>369.06726482887132</v>
      </c>
      <c r="AB82" s="43">
        <f t="shared" ca="1" si="74"/>
        <v>411.80928813510695</v>
      </c>
      <c r="AC82" s="43">
        <f t="shared" ca="1" si="74"/>
        <v>458.74758263276658</v>
      </c>
      <c r="AD82" s="43">
        <f t="shared" ca="1" si="74"/>
        <v>510.15792595215163</v>
      </c>
      <c r="AE82" s="43">
        <f t="shared" ca="1" si="74"/>
        <v>566.37986115885417</v>
      </c>
      <c r="AF82" s="43">
        <f t="shared" ca="1" si="74"/>
        <v>627.74231234008607</v>
      </c>
      <c r="AG82" s="43">
        <f t="shared" ca="1" si="74"/>
        <v>694.60799598595565</v>
      </c>
      <c r="AH82" s="43">
        <f t="shared" ca="1" si="74"/>
        <v>767.37100261013188</v>
      </c>
      <c r="AI82" s="43">
        <f t="shared" ca="1" si="74"/>
        <v>846.45371330398916</v>
      </c>
      <c r="AJ82" s="43">
        <f t="shared" ca="1" si="74"/>
        <v>932.32372156045744</v>
      </c>
      <c r="AK82" s="43">
        <f t="shared" ca="1" si="74"/>
        <v>1025.4971892353497</v>
      </c>
      <c r="AL82" s="43">
        <f t="shared" ca="1" si="74"/>
        <v>1126.510723397914</v>
      </c>
      <c r="AM82" s="43">
        <f t="shared" ca="1" si="74"/>
        <v>1235.9581708254418</v>
      </c>
      <c r="AN82" s="43">
        <f t="shared" ca="1" si="74"/>
        <v>1354.4796791355914</v>
      </c>
      <c r="AO82" s="43">
        <f t="shared" ca="1" si="74"/>
        <v>1482.8539586416382</v>
      </c>
      <c r="AP82" s="43">
        <f t="shared" ca="1" si="74"/>
        <v>1621.8761461161976</v>
      </c>
      <c r="AQ82" s="43">
        <f t="shared" ca="1" si="74"/>
        <v>1772.4230286958318</v>
      </c>
      <c r="AR82" s="43">
        <f t="shared" ca="1" si="74"/>
        <v>1935.4556445308278</v>
      </c>
      <c r="AS82" s="43">
        <f t="shared" ca="1" si="74"/>
        <v>2111.9944321662406</v>
      </c>
      <c r="AT82" s="43">
        <f t="shared" ca="1" si="74"/>
        <v>2303.0216302318049</v>
      </c>
      <c r="AU82" s="43">
        <f t="shared" ca="1" si="74"/>
        <v>2509.6394704534437</v>
      </c>
      <c r="AV82" s="43">
        <f t="shared" ca="1" si="74"/>
        <v>2733.0110435966117</v>
      </c>
      <c r="AW82" s="43">
        <f t="shared" ca="1" si="74"/>
        <v>2974.420379981223</v>
      </c>
    </row>
    <row r="83" spans="1:49" ht="15" x14ac:dyDescent="0.25">
      <c r="A83" s="30" t="s">
        <v>376</v>
      </c>
      <c r="B83" s="4" t="str">
        <f>$B$64</f>
        <v>History &amp; Forecast only</v>
      </c>
      <c r="D83" s="6" t="str">
        <f>IF(ROUND(Fiscal!D$146-D$82,3)=0,"OK","ERROR")</f>
        <v>OK</v>
      </c>
      <c r="E83" s="6" t="str">
        <f>IF(ROUND(Fiscal!E$146-E$82,3)=0,"OK","ERROR")</f>
        <v>OK</v>
      </c>
      <c r="F83" s="6" t="str">
        <f>IF(ROUND(Fiscal!F$146-F$82,3)=0,"OK","ERROR")</f>
        <v>OK</v>
      </c>
      <c r="G83" s="6" t="str">
        <f>IF(ROUND(Fiscal!G$146-G$82,3)=0,"OK","ERROR")</f>
        <v>OK</v>
      </c>
      <c r="H83" s="6" t="str">
        <f>IF(ROUND(Fiscal!H$146-H$82,3)=0,"OK","ERROR")</f>
        <v>OK</v>
      </c>
      <c r="I83" s="6" t="str">
        <f>IF(ROUND(Fiscal!I$146-I$82,3)=0,"OK","ERROR")</f>
        <v>OK</v>
      </c>
    </row>
    <row r="84" spans="1:49" ht="15" x14ac:dyDescent="0.25">
      <c r="A84" s="30"/>
      <c r="B84" s="4"/>
      <c r="D84" s="6"/>
      <c r="E84" s="6"/>
      <c r="F84" s="6"/>
      <c r="G84" s="6"/>
      <c r="H84" s="6"/>
      <c r="I84" s="6"/>
      <c r="J84" s="6"/>
      <c r="K84" s="6"/>
      <c r="L84" s="6"/>
      <c r="M84" s="6"/>
      <c r="N84" s="6"/>
      <c r="O84" s="6"/>
      <c r="P84" s="6"/>
      <c r="Q84" s="6"/>
      <c r="R84" s="6"/>
      <c r="S84" s="6"/>
    </row>
    <row r="85" spans="1:49" x14ac:dyDescent="0.2">
      <c r="A85" s="22" t="s">
        <v>191</v>
      </c>
    </row>
    <row r="86" spans="1:49" x14ac:dyDescent="0.2">
      <c r="A86" s="1" t="s">
        <v>192</v>
      </c>
      <c r="B86" s="4" t="str">
        <f>$B$43</f>
        <v>From Fiscal</v>
      </c>
      <c r="D86" s="18">
        <f>Fiscal!D$70</f>
        <v>64.944999999999993</v>
      </c>
      <c r="E86" s="19">
        <f>Fiscal!E$70</f>
        <v>68.400999999999996</v>
      </c>
      <c r="F86" s="19">
        <f>Fiscal!F$70</f>
        <v>70.058000000000007</v>
      </c>
      <c r="G86" s="19">
        <f>Fiscal!G$70</f>
        <v>73.436999999999998</v>
      </c>
      <c r="H86" s="19">
        <f>Fiscal!H$70</f>
        <v>78.221000000000004</v>
      </c>
      <c r="I86" s="19">
        <f>Fiscal!I$70</f>
        <v>82.203000000000003</v>
      </c>
      <c r="J86" s="7">
        <f t="shared" ref="J86:AW86" ca="1" si="75">J$472-J$364+J$138</f>
        <v>85.985914086526364</v>
      </c>
      <c r="K86" s="7">
        <f t="shared" ca="1" si="75"/>
        <v>89.963429359674961</v>
      </c>
      <c r="L86" s="7">
        <f t="shared" ca="1" si="75"/>
        <v>94.015663041180972</v>
      </c>
      <c r="M86" s="7">
        <f t="shared" ca="1" si="75"/>
        <v>98.077746432950022</v>
      </c>
      <c r="N86" s="7">
        <f t="shared" ca="1" si="75"/>
        <v>102.30759213895956</v>
      </c>
      <c r="O86" s="7">
        <f t="shared" ca="1" si="75"/>
        <v>106.68304470623168</v>
      </c>
      <c r="P86" s="7">
        <f t="shared" ca="1" si="75"/>
        <v>111.39155427987299</v>
      </c>
      <c r="Q86" s="7">
        <f t="shared" ca="1" si="75"/>
        <v>116.14472477384892</v>
      </c>
      <c r="R86" s="7">
        <f t="shared" ca="1" si="75"/>
        <v>120.94339734879516</v>
      </c>
      <c r="S86" s="7">
        <f t="shared" ca="1" si="75"/>
        <v>125.89333873451606</v>
      </c>
      <c r="T86" s="7">
        <f t="shared" ca="1" si="75"/>
        <v>130.99635400704619</v>
      </c>
      <c r="U86" s="7">
        <f t="shared" ca="1" si="75"/>
        <v>136.27075775368482</v>
      </c>
      <c r="V86" s="7">
        <f t="shared" ca="1" si="75"/>
        <v>141.72956987020666</v>
      </c>
      <c r="W86" s="7">
        <f t="shared" ca="1" si="75"/>
        <v>147.38860591222968</v>
      </c>
      <c r="X86" s="7">
        <f t="shared" ca="1" si="75"/>
        <v>153.26579063494421</v>
      </c>
      <c r="Y86" s="7">
        <f t="shared" ca="1" si="75"/>
        <v>159.36052319547332</v>
      </c>
      <c r="Z86" s="7">
        <f t="shared" ca="1" si="75"/>
        <v>165.70365295052164</v>
      </c>
      <c r="AA86" s="7">
        <f t="shared" ca="1" si="75"/>
        <v>172.30544310590705</v>
      </c>
      <c r="AB86" s="7">
        <f t="shared" ca="1" si="75"/>
        <v>179.18571944714981</v>
      </c>
      <c r="AC86" s="7">
        <f t="shared" ca="1" si="75"/>
        <v>186.37045595110808</v>
      </c>
      <c r="AD86" s="7">
        <f t="shared" ca="1" si="75"/>
        <v>193.86722541868579</v>
      </c>
      <c r="AE86" s="7">
        <f t="shared" ca="1" si="75"/>
        <v>201.66914306634425</v>
      </c>
      <c r="AF86" s="7">
        <f t="shared" ca="1" si="75"/>
        <v>209.797793676319</v>
      </c>
      <c r="AG86" s="7">
        <f t="shared" ca="1" si="75"/>
        <v>218.25772245012831</v>
      </c>
      <c r="AH86" s="7">
        <f t="shared" ca="1" si="75"/>
        <v>227.06249547056404</v>
      </c>
      <c r="AI86" s="7">
        <f t="shared" ca="1" si="75"/>
        <v>236.19672788448403</v>
      </c>
      <c r="AJ86" s="7">
        <f t="shared" ca="1" si="75"/>
        <v>245.68968118929064</v>
      </c>
      <c r="AK86" s="7">
        <f t="shared" ca="1" si="75"/>
        <v>255.53354618917834</v>
      </c>
      <c r="AL86" s="7">
        <f t="shared" ca="1" si="75"/>
        <v>265.72056860011253</v>
      </c>
      <c r="AM86" s="7">
        <f t="shared" ca="1" si="75"/>
        <v>276.26466522126344</v>
      </c>
      <c r="AN86" s="7">
        <f t="shared" ca="1" si="75"/>
        <v>287.18050278892116</v>
      </c>
      <c r="AO86" s="7">
        <f t="shared" ca="1" si="75"/>
        <v>298.42521858382901</v>
      </c>
      <c r="AP86" s="7">
        <f t="shared" ca="1" si="75"/>
        <v>310.04656323671742</v>
      </c>
      <c r="AQ86" s="7">
        <f t="shared" ca="1" si="75"/>
        <v>322.0119737765429</v>
      </c>
      <c r="AR86" s="7">
        <f t="shared" ca="1" si="75"/>
        <v>334.33499718861088</v>
      </c>
      <c r="AS86" s="7">
        <f t="shared" ca="1" si="75"/>
        <v>347.04438273109793</v>
      </c>
      <c r="AT86" s="7">
        <f t="shared" ca="1" si="75"/>
        <v>360.15028097414302</v>
      </c>
      <c r="AU86" s="7">
        <f t="shared" ca="1" si="75"/>
        <v>373.6701198365883</v>
      </c>
      <c r="AV86" s="7">
        <f t="shared" ca="1" si="75"/>
        <v>387.64570128204667</v>
      </c>
      <c r="AW86" s="7">
        <f t="shared" ca="1" si="75"/>
        <v>402.06913530967222</v>
      </c>
    </row>
    <row r="87" spans="1:49" x14ac:dyDescent="0.2">
      <c r="A87" s="1" t="s">
        <v>193</v>
      </c>
      <c r="B87" s="4" t="str">
        <f t="shared" ref="B87:B94" si="76">$B$43</f>
        <v>From Fiscal</v>
      </c>
      <c r="D87" s="18">
        <f>Fiscal!D$71</f>
        <v>4.7309999999999999</v>
      </c>
      <c r="E87" s="19">
        <f>Fiscal!E$71</f>
        <v>4.5659999999999998</v>
      </c>
      <c r="F87" s="19">
        <f>Fiscal!F$71</f>
        <v>4.1539999999999999</v>
      </c>
      <c r="G87" s="19">
        <f>Fiscal!G$71</f>
        <v>4.2859999999999996</v>
      </c>
      <c r="H87" s="19">
        <f>Fiscal!H$71</f>
        <v>4.4740000000000002</v>
      </c>
      <c r="I87" s="19">
        <f>Fiscal!I$71</f>
        <v>4.5679999999999996</v>
      </c>
      <c r="J87" s="7">
        <f ca="1">IF(J$6=OFFSET(Assumptions!$B$8,0,$C$1),AVERAGE(G$87/G$145,H$87/H$145,I$87/I$145),I$87/I$145) *J$145</f>
        <v>4.850982082800436</v>
      </c>
      <c r="K87" s="7">
        <f ca="1">IF(K$6=OFFSET(Assumptions!$B$8,0,$C$1),AVERAGE(H$87/H$145,I$87/I$145,J$87/J$145),J$87/J$145) *K$145</f>
        <v>5.0662568757633233</v>
      </c>
      <c r="L87" s="7">
        <f ca="1">IF(L$6=OFFSET(Assumptions!$B$8,0,$C$1),AVERAGE(I$87/I$145,J$87/J$145,K$87/K$145),K$87/K$145) *L$145</f>
        <v>5.2996604419096096</v>
      </c>
      <c r="M87" s="7">
        <f ca="1">IF(M$6=OFFSET(Assumptions!$B$8,0,$C$1),AVERAGE(J$87/J$145,K$87/K$145,L$87/L$145),L$87/L$145) *M$145</f>
        <v>5.5332365563438346</v>
      </c>
      <c r="N87" s="7">
        <f ca="1">IF(N$6=OFFSET(Assumptions!$B$8,0,$C$1),AVERAGE(K$87/K$145,L$87/L$145,M$87/M$145),M$87/M$145) *N$145</f>
        <v>5.7787061351624986</v>
      </c>
      <c r="O87" s="7">
        <f ca="1">IF(O$6=OFFSET(Assumptions!$B$8,0,$C$1),AVERAGE(L$87/L$145,M$87/M$145,N$87/N$145),N$87/N$145) *O$145</f>
        <v>6.0329190060205153</v>
      </c>
      <c r="P87" s="7">
        <f ca="1">IF(P$6=OFFSET(Assumptions!$B$8,0,$C$1),AVERAGE(M$87/M$145,N$87/N$145,O$87/O$145),O$87/O$145) *P$145</f>
        <v>6.3015824806984346</v>
      </c>
      <c r="Q87" s="7">
        <f ca="1">IF(Q$6=OFFSET(Assumptions!$B$8,0,$C$1),AVERAGE(N$87/N$145,O$87/O$145,P$87/P$145),P$87/P$145) *Q$145</f>
        <v>6.563654829944972</v>
      </c>
      <c r="R87" s="7">
        <f ca="1">IF(R$6=OFFSET(Assumptions!$B$8,0,$C$1),AVERAGE(O$87/O$145,P$87/P$145,Q$87/Q$145),Q$87/Q$145) *R$145</f>
        <v>6.8436566847234817</v>
      </c>
      <c r="S87" s="7">
        <f ca="1">IF(S$6=OFFSET(Assumptions!$B$8,0,$C$1),AVERAGE(P$87/P$145,Q$87/Q$145,R$87/R$145),R$87/R$145) *S$145</f>
        <v>7.1261781543415115</v>
      </c>
      <c r="T87" s="7">
        <f ca="1">IF(T$6=OFFSET(Assumptions!$B$8,0,$C$1),AVERAGE(Q$87/Q$145,R$87/R$145,S$87/S$145),S$87/S$145) *T$145</f>
        <v>7.4310739259963139</v>
      </c>
      <c r="U87" s="7">
        <f ca="1">IF(U$6=OFFSET(Assumptions!$B$8,0,$C$1),AVERAGE(R$87/R$145,S$87/S$145,T$87/T$145),T$87/T$145) *U$145</f>
        <v>7.7454087715379396</v>
      </c>
      <c r="V87" s="7">
        <f ca="1">IF(V$6=OFFSET(Assumptions!$B$8,0,$C$1),AVERAGE(S$87/S$145,T$87/T$145,U$87/U$145),U$87/U$145) *V$145</f>
        <v>8.0762705277665923</v>
      </c>
      <c r="W87" s="7">
        <f ca="1">IF(W$6=OFFSET(Assumptions!$B$8,0,$C$1),AVERAGE(T$87/T$145,U$87/U$145,V$87/V$145),V$87/V$145) *W$145</f>
        <v>8.423704023472963</v>
      </c>
      <c r="X87" s="7">
        <f ca="1">IF(X$6=OFFSET(Assumptions!$B$8,0,$C$1),AVERAGE(U$87/U$145,V$87/V$145,W$87/W$145),W$87/W$145) *X$145</f>
        <v>8.7869534176525601</v>
      </c>
      <c r="Y87" s="7">
        <f ca="1">IF(Y$6=OFFSET(Assumptions!$B$8,0,$C$1),AVERAGE(V$87/V$145,W$87/W$145,X$87/X$145),X$87/X$145) *Y$145</f>
        <v>9.1490024181766447</v>
      </c>
      <c r="Z87" s="7">
        <f ca="1">IF(Z$6=OFFSET(Assumptions!$B$8,0,$C$1),AVERAGE(W$87/W$145,X$87/X$145,Y$87/Y$145),Y$87/Y$145) *Z$145</f>
        <v>9.5573448771209097</v>
      </c>
      <c r="AA87" s="7">
        <f ca="1">IF(AA$6=OFFSET(Assumptions!$B$8,0,$C$1),AVERAGE(X$87/X$145,Y$87/Y$145,Z$87/Z$145),Z$87/Z$145) *AA$145</f>
        <v>9.9816990373269814</v>
      </c>
      <c r="AB87" s="7">
        <f ca="1">IF(AB$6=OFFSET(Assumptions!$B$8,0,$C$1),AVERAGE(Y$87/Y$145,Z$87/Z$145,AA$87/AA$145),AA$87/AA$145) *AB$145</f>
        <v>10.42083234226706</v>
      </c>
      <c r="AC87" s="7">
        <f ca="1">IF(AC$6=OFFSET(Assumptions!$B$8,0,$C$1),AVERAGE(Z$87/Z$145,AA$87/AA$145,AB$87/AB$145),AB$87/AB$145) *AC$145</f>
        <v>10.877644080704023</v>
      </c>
      <c r="AD87" s="7">
        <f ca="1">IF(AD$6=OFFSET(Assumptions!$B$8,0,$C$1),AVERAGE(AA$87/AA$145,AB$87/AB$145,AC$87/AC$145),AC$87/AC$145) *AD$145</f>
        <v>11.385985363295651</v>
      </c>
      <c r="AE87" s="7">
        <f ca="1">IF(AE$6=OFFSET(Assumptions!$B$8,0,$C$1),AVERAGE(AB$87/AB$145,AC$87/AC$145,AD$87/AD$145),AD$87/AD$145) *AE$145</f>
        <v>11.910452720177613</v>
      </c>
      <c r="AF87" s="7">
        <f ca="1">IF(AF$6=OFFSET(Assumptions!$B$8,0,$C$1),AVERAGE(AC$87/AC$145,AD$87/AD$145,AE$87/AE$145),AE$87/AE$145) *AF$145</f>
        <v>12.445338992179577</v>
      </c>
      <c r="AG87" s="7">
        <f ca="1">IF(AG$6=OFFSET(Assumptions!$B$8,0,$C$1),AVERAGE(AD$87/AD$145,AE$87/AE$145,AF$87/AF$145),AF$87/AF$145) *AG$145</f>
        <v>13.023873422215544</v>
      </c>
      <c r="AH87" s="7">
        <f ca="1">IF(AH$6=OFFSET(Assumptions!$B$8,0,$C$1),AVERAGE(AE$87/AE$145,AF$87/AF$145,AG$87/AG$145),AG$87/AG$145) *AH$145</f>
        <v>13.620774919134643</v>
      </c>
      <c r="AI87" s="7">
        <f ca="1">IF(AI$6=OFFSET(Assumptions!$B$8,0,$C$1),AVERAGE(AF$87/AF$145,AG$87/AG$145,AH$87/AH$145),AH$87/AH$145) *AI$145</f>
        <v>14.228967663215693</v>
      </c>
      <c r="AJ87" s="7">
        <f ca="1">IF(AJ$6=OFFSET(Assumptions!$B$8,0,$C$1),AVERAGE(AG$87/AG$145,AH$87/AH$145,AI$87/AI$145),AI$87/AI$145) *AJ$145</f>
        <v>14.885767693399194</v>
      </c>
      <c r="AK87" s="7">
        <f ca="1">IF(AK$6=OFFSET(Assumptions!$B$8,0,$C$1),AVERAGE(AH$87/AH$145,AI$87/AI$145,AJ$87/AJ$145),AJ$87/AJ$145) *AK$145</f>
        <v>15.570713871336418</v>
      </c>
      <c r="AL87" s="7">
        <f ca="1">IF(AL$6=OFFSET(Assumptions!$B$8,0,$C$1),AVERAGE(AI$87/AI$145,AJ$87/AJ$145,AK$87/AK$145),AK$87/AK$145) *AL$145</f>
        <v>16.284515126548794</v>
      </c>
      <c r="AM87" s="7">
        <f ca="1">IF(AM$6=OFFSET(Assumptions!$B$8,0,$C$1),AVERAGE(AJ$87/AJ$145,AK$87/AK$145,AL$87/AL$145),AL$87/AL$145) *AM$145</f>
        <v>17.028446114858902</v>
      </c>
      <c r="AN87" s="7">
        <f ca="1">IF(AN$6=OFFSET(Assumptions!$B$8,0,$C$1),AVERAGE(AK$87/AK$145,AL$87/AL$145,AM$87/AM$145),AM$87/AM$145) *AN$145</f>
        <v>17.803791931730448</v>
      </c>
      <c r="AO87" s="7">
        <f ca="1">IF(AO$6=OFFSET(Assumptions!$B$8,0,$C$1),AVERAGE(AL$87/AL$145,AM$87/AM$145,AN$87/AN$145),AN$87/AN$145) *AO$145</f>
        <v>18.610513170574063</v>
      </c>
      <c r="AP87" s="7">
        <f ca="1">IF(AP$6=OFFSET(Assumptions!$B$8,0,$C$1),AVERAGE(AM$87/AM$145,AN$87/AN$145,AO$87/AO$145),AO$87/AO$145) *AP$145</f>
        <v>19.450803345865747</v>
      </c>
      <c r="AQ87" s="7">
        <f ca="1">IF(AQ$6=OFFSET(Assumptions!$B$8,0,$C$1),AVERAGE(AN$87/AN$145,AO$87/AO$145,AP$87/AP$145),AP$87/AP$145) *AQ$145</f>
        <v>20.324989880349946</v>
      </c>
      <c r="AR87" s="7">
        <f ca="1">IF(AR$6=OFFSET(Assumptions!$B$8,0,$C$1),AVERAGE(AO$87/AO$145,AP$87/AP$145,AQ$87/AQ$145),AQ$87/AQ$145) *AR$145</f>
        <v>21.244656602944094</v>
      </c>
      <c r="AS87" s="7">
        <f ca="1">IF(AS$6=OFFSET(Assumptions!$B$8,0,$C$1),AVERAGE(AP$87/AP$145,AQ$87/AQ$145,AR$87/AR$145),AR$87/AR$145) *AS$145</f>
        <v>22.222194765597365</v>
      </c>
      <c r="AT87" s="7">
        <f ca="1">IF(AT$6=OFFSET(Assumptions!$B$8,0,$C$1),AVERAGE(AQ$87/AQ$145,AR$87/AR$145,AS$87/AS$145),AS$87/AS$145) *AT$145</f>
        <v>23.2166789815812</v>
      </c>
      <c r="AU87" s="7">
        <f ca="1">IF(AU$6=OFFSET(Assumptions!$B$8,0,$C$1),AVERAGE(AR$87/AR$145,AS$87/AS$145,AT$87/AT$145),AT$87/AT$145) *AU$145</f>
        <v>24.250971465708464</v>
      </c>
      <c r="AV87" s="7">
        <f ca="1">IF(AV$6=OFFSET(Assumptions!$B$8,0,$C$1),AVERAGE(AS$87/AS$145,AT$87/AT$145,AU$87/AU$145),AU$87/AU$145) *AV$145</f>
        <v>25.327342448300186</v>
      </c>
      <c r="AW87" s="7">
        <f ca="1">IF(AW$6=OFFSET(Assumptions!$B$8,0,$C$1),AVERAGE(AT$87/AT$145,AU$87/AU$145,AV$87/AV$145),AV$87/AV$145) *AW$145</f>
        <v>26.446950776890418</v>
      </c>
    </row>
    <row r="88" spans="1:49" x14ac:dyDescent="0.2">
      <c r="A88" s="1" t="s">
        <v>154</v>
      </c>
      <c r="B88" s="4" t="str">
        <f t="shared" si="76"/>
        <v>From Fiscal</v>
      </c>
      <c r="D88" s="18">
        <f>Fiscal!D$72</f>
        <v>17.231999999999999</v>
      </c>
      <c r="E88" s="19">
        <f>Fiscal!E$72</f>
        <v>17.13</v>
      </c>
      <c r="F88" s="19">
        <f>Fiscal!F$72</f>
        <v>17.327000000000002</v>
      </c>
      <c r="G88" s="19">
        <f>Fiscal!G$72</f>
        <v>17.920999999999999</v>
      </c>
      <c r="H88" s="19">
        <f>Fiscal!H$72</f>
        <v>18.297999999999998</v>
      </c>
      <c r="I88" s="19">
        <f>Fiscal!I$72</f>
        <v>18.59</v>
      </c>
      <c r="J88" s="7">
        <f ca="1">IF(J$6=OFFSET(Assumptions!$B$8,0,$C$1),AVERAGE((G$88+G$90-(G$454-F$454))/SUM(G$149,G$163),(H$88+H$90-(H$454-G$454))/SUM(H$149,H$163),(I$88+I$90-(I$454-H$454))/SUM(I$149,I$163)),(I$88+I$90-(I$454-H$454))/SUM(I$149,I$163)) *SUM(J$149,J$163) +J$454-I$454 -J$90</f>
        <v>19.97979802496944</v>
      </c>
      <c r="K88" s="7">
        <f ca="1">IF(K$6=OFFSET(Assumptions!$B$8,0,$C$1),AVERAGE((H$88+H$90-(H$454-G$454))/SUM(H$149,H$163),(I$88+I$90-(I$454-H$454))/SUM(I$149,I$163),(J$88+J$90-(J$454-I$454))/SUM(J$149,J$163)),(J$88+J$90-(J$454-I$454))/SUM(J$149,J$163)) *SUM(K$149,K$163) +K$454-J$454 -K$90</f>
        <v>20.809470198313811</v>
      </c>
      <c r="L88" s="7">
        <f ca="1">IF(L$6=OFFSET(Assumptions!$B$8,0,$C$1),AVERAGE((I$88+I$90-(I$454-H$454))/SUM(I$149,I$163),(J$88+J$90-(J$454-I$454))/SUM(J$149,J$163),(K$88+K$90-(K$454-J$454))/SUM(K$149,K$163)),(K$88+K$90-(K$454-J$454))/SUM(K$149,K$163)) *SUM(L$149,L$163) +L$454-K$454 -L$90</f>
        <v>21.710112994739788</v>
      </c>
      <c r="M88" s="7">
        <f ca="1">IF(M$6=OFFSET(Assumptions!$B$8,0,$C$1),AVERAGE((J$88+J$90-(J$454-I$454))/SUM(J$149,J$163),(K$88+K$90-(K$454-J$454))/SUM(K$149,K$163),(L$88+L$90-(L$454-K$454))/SUM(L$149,L$163)),(L$88+L$90-(L$454-K$454))/SUM(L$149,L$163)) *SUM(M$149,M$163) +M$454-L$454 -M$90</f>
        <v>22.642392417636401</v>
      </c>
      <c r="N88" s="7">
        <f ca="1">IF(N$6=OFFSET(Assumptions!$B$8,0,$C$1),AVERAGE((K$88+K$90-(K$454-J$454))/SUM(K$149,K$163),(L$88+L$90-(L$454-K$454))/SUM(L$149,L$163),(M$88+M$90-(M$454-L$454))/SUM(M$149,M$163)),(M$88+M$90-(M$454-L$454))/SUM(M$149,M$163)) *SUM(N$149,N$163) +N$454-M$454 -N$90</f>
        <v>23.61279897790029</v>
      </c>
      <c r="O88" s="7">
        <f ca="1">IF(O$6=OFFSET(Assumptions!$B$8,0,$C$1),AVERAGE((L$88+L$90-(L$454-K$454))/SUM(L$149,L$163),(M$88+M$90-(M$454-L$454))/SUM(M$149,M$163),(N$88+N$90-(N$454-M$454))/SUM(N$149,N$163)),(N$88+N$90-(N$454-M$454))/SUM(N$149,N$163)) *SUM(O$149,O$163) +O$454-N$454 -O$90</f>
        <v>24.613143420620897</v>
      </c>
      <c r="P88" s="7">
        <f ca="1">IF(P$6=OFFSET(Assumptions!$B$8,0,$C$1),AVERAGE((M$88+M$90-(M$454-L$454))/SUM(M$149,M$163),(N$88+N$90-(N$454-M$454))/SUM(N$149,N$163),(O$88+O$90-(O$454-N$454))/SUM(O$149,O$163)),(O$88+O$90-(O$454-N$454))/SUM(O$149,O$163)) *SUM(P$149,P$163) +P$454-O$454 -P$90</f>
        <v>25.652897299554184</v>
      </c>
      <c r="Q88" s="7">
        <f ca="1">IF(Q$6=OFFSET(Assumptions!$B$8,0,$C$1),AVERAGE((N$88+N$90-(N$454-M$454))/SUM(N$149,N$163),(O$88+O$90-(O$454-N$454))/SUM(O$149,O$163),(P$88+P$90-(P$454-O$454))/SUM(P$149,P$163)),(P$88+P$90-(P$454-O$454))/SUM(P$149,P$163)) *SUM(Q$149,Q$163) +Q$454-P$454 -Q$90</f>
        <v>26.724459973304505</v>
      </c>
      <c r="R88" s="7">
        <f ca="1">IF(R$6=OFFSET(Assumptions!$B$8,0,$C$1),AVERAGE((O$88+O$90-(O$454-N$454))/SUM(O$149,O$163),(P$88+P$90-(P$454-O$454))/SUM(P$149,P$163),(Q$88+Q$90-(Q$454-P$454))/SUM(Q$149,Q$163)),(Q$88+Q$90-(Q$454-P$454))/SUM(Q$149,Q$163)) *SUM(R$149,R$163) +R$454-Q$454 -R$90</f>
        <v>27.827077647805204</v>
      </c>
      <c r="S88" s="7">
        <f ca="1">IF(S$6=OFFSET(Assumptions!$B$8,0,$C$1),AVERAGE((P$88+P$90-(P$454-O$454))/SUM(P$149,P$163),(Q$88+Q$90-(Q$454-P$454))/SUM(Q$149,Q$163),(R$88+R$90-(R$454-Q$454))/SUM(R$149,R$163)),(R$88+R$90-(R$454-Q$454))/SUM(R$149,R$163)) *SUM(S$149,S$163) +S$454-R$454 -S$90</f>
        <v>28.964751073144811</v>
      </c>
      <c r="T88" s="7">
        <f ca="1">IF(T$6=OFFSET(Assumptions!$B$8,0,$C$1),AVERAGE((Q$88+Q$90-(Q$454-P$454))/SUM(Q$149,Q$163),(R$88+R$90-(R$454-Q$454))/SUM(R$149,R$163),(S$88+S$90-(S$454-R$454))/SUM(S$149,S$163)),(S$88+S$90-(S$454-R$454))/SUM(S$149,S$163)) *SUM(T$149,T$163) +T$454-S$454 -T$90</f>
        <v>30.137528285503237</v>
      </c>
      <c r="U88" s="7">
        <f ca="1">IF(U$6=OFFSET(Assumptions!$B$8,0,$C$1),AVERAGE((R$88+R$90-(R$454-Q$454))/SUM(R$149,R$163),(S$88+S$90-(S$454-R$454))/SUM(S$149,S$163),(T$88+T$90-(T$454-S$454))/SUM(T$149,T$163)),(T$88+T$90-(T$454-S$454))/SUM(T$149,T$163)) *SUM(U$149,U$163) +U$454-T$454 -U$90</f>
        <v>31.350052032927678</v>
      </c>
      <c r="V88" s="7">
        <f ca="1">IF(V$6=OFFSET(Assumptions!$B$8,0,$C$1),AVERAGE((S$88+S$90-(S$454-R$454))/SUM(S$149,S$163),(T$88+T$90-(T$454-S$454))/SUM(T$149,T$163),(U$88+U$90-(U$454-T$454))/SUM(U$149,U$163)),(U$88+U$90-(U$454-T$454))/SUM(U$149,U$163)) *SUM(V$149,V$163) +V$454-U$454 -V$90</f>
        <v>32.605160069516216</v>
      </c>
      <c r="W88" s="7">
        <f ca="1">IF(W$6=OFFSET(Assumptions!$B$8,0,$C$1),AVERAGE((T$88+T$90-(T$454-S$454))/SUM(T$149,T$163),(U$88+U$90-(U$454-T$454))/SUM(U$149,U$163),(V$88+V$90-(V$454-U$454))/SUM(V$149,V$163)),(V$88+V$90-(V$454-U$454))/SUM(V$149,V$163)) *SUM(W$149,W$163) +W$454-V$454 -W$90</f>
        <v>33.906550207930188</v>
      </c>
      <c r="X88" s="7">
        <f ca="1">IF(X$6=OFFSET(Assumptions!$B$8,0,$C$1),AVERAGE((U$88+U$90-(U$454-T$454))/SUM(U$149,U$163),(V$88+V$90-(V$454-U$454))/SUM(V$149,V$163),(W$88+W$90-(W$454-V$454))/SUM(W$149,W$163)),(W$88+W$90-(W$454-V$454))/SUM(W$149,W$163)) *SUM(X$149,X$163) +X$454-W$454 -X$90</f>
        <v>35.258384625754395</v>
      </c>
      <c r="Y88" s="7">
        <f ca="1">IF(Y$6=OFFSET(Assumptions!$B$8,0,$C$1),AVERAGE((V$88+V$90-(V$454-U$454))/SUM(V$149,V$163),(W$88+W$90-(W$454-V$454))/SUM(W$149,W$163),(X$88+X$90-(X$454-W$454))/SUM(X$149,X$163)),(X$88+X$90-(X$454-W$454))/SUM(X$149,X$163)) *SUM(Y$149,Y$163) +Y$454-X$454 -Y$90</f>
        <v>36.660022334340752</v>
      </c>
      <c r="Z88" s="7">
        <f ca="1">IF(Z$6=OFFSET(Assumptions!$B$8,0,$C$1),AVERAGE((W$88+W$90-(W$454-V$454))/SUM(W$149,W$163),(X$88+X$90-(X$454-W$454))/SUM(X$149,X$163),(Y$88+Y$90-(Y$454-X$454))/SUM(Y$149,Y$163)),(Y$88+Y$90-(Y$454-X$454))/SUM(Y$149,Y$163)) *SUM(Z$149,Z$163) +Z$454-Y$454 -Z$90</f>
        <v>38.119382591284754</v>
      </c>
      <c r="AA88" s="7">
        <f ca="1">IF(AA$6=OFFSET(Assumptions!$B$8,0,$C$1),AVERAGE((X$88+X$90-(X$454-W$454))/SUM(X$149,X$163),(Y$88+Y$90-(Y$454-X$454))/SUM(Y$149,Y$163),(Z$88+Z$90-(Z$454-Y$454))/SUM(Z$149,Z$163)),(Z$88+Z$90-(Z$454-Y$454))/SUM(Z$149,Z$163)) *SUM(AA$149,AA$163) +AA$454-Z$454 -AA$90</f>
        <v>39.638256342147621</v>
      </c>
      <c r="AB88" s="7">
        <f ca="1">IF(AB$6=OFFSET(Assumptions!$B$8,0,$C$1),AVERAGE((Y$88+Y$90-(Y$454-X$454))/SUM(Y$149,Y$163),(Z$88+Z$90-(Z$454-Y$454))/SUM(Z$149,Z$163),(AA$88+AA$90-(AA$454-Z$454))/SUM(AA$149,AA$163)),(AA$88+AA$90-(AA$454-Z$454))/SUM(AA$149,AA$163)) *SUM(AB$149,AB$163) +AB$454-AA$454 -AB$90</f>
        <v>41.221443639844658</v>
      </c>
      <c r="AC88" s="7">
        <f ca="1">IF(AC$6=OFFSET(Assumptions!$B$8,0,$C$1),AVERAGE((Z$88+Z$90-(Z$454-Y$454))/SUM(Z$149,Z$163),(AA$88+AA$90-(AA$454-Z$454))/SUM(AA$149,AA$163),(AB$88+AB$90-(AB$454-AA$454))/SUM(AB$149,AB$163)),(AB$88+AB$90-(AB$454-AA$454))/SUM(AB$149,AB$163)) *SUM(AC$149,AC$163) +AC$454-AB$454 -AC$90</f>
        <v>42.875059727460112</v>
      </c>
      <c r="AD88" s="7">
        <f ca="1">IF(AD$6=OFFSET(Assumptions!$B$8,0,$C$1),AVERAGE((AA$88+AA$90-(AA$454-Z$454))/SUM(AA$149,AA$163),(AB$88+AB$90-(AB$454-AA$454))/SUM(AB$149,AB$163),(AC$88+AC$90-(AC$454-AB$454))/SUM(AC$149,AC$163)),(AC$88+AC$90-(AC$454-AB$454))/SUM(AC$149,AC$163)) *SUM(AD$149,AD$163) +AD$454-AC$454 -AD$90</f>
        <v>44.600338805345928</v>
      </c>
      <c r="AE88" s="7">
        <f ca="1">IF(AE$6=OFFSET(Assumptions!$B$8,0,$C$1),AVERAGE((AB$88+AB$90-(AB$454-AA$454))/SUM(AB$149,AB$163),(AC$88+AC$90-(AC$454-AB$454))/SUM(AC$149,AC$163),(AD$88+AD$90-(AD$454-AC$454))/SUM(AD$149,AD$163)),(AD$88+AD$90-(AD$454-AC$454))/SUM(AD$149,AD$163)) *SUM(AE$149,AE$163) +AE$454-AD$454 -AE$90</f>
        <v>46.395311368194712</v>
      </c>
      <c r="AF88" s="7">
        <f ca="1">IF(AF$6=OFFSET(Assumptions!$B$8,0,$C$1),AVERAGE((AC$88+AC$90-(AC$454-AB$454))/SUM(AC$149,AC$163),(AD$88+AD$90-(AD$454-AC$454))/SUM(AD$149,AD$163),(AE$88+AE$90-(AE$454-AD$454))/SUM(AE$149,AE$163)),(AE$88+AE$90-(AE$454-AD$454))/SUM(AE$149,AE$163)) *SUM(AF$149,AF$163) +AF$454-AE$454 -AF$90</f>
        <v>48.265694044368431</v>
      </c>
      <c r="AG88" s="7">
        <f ca="1">IF(AG$6=OFFSET(Assumptions!$B$8,0,$C$1),AVERAGE((AD$88+AD$90-(AD$454-AC$454))/SUM(AD$149,AD$163),(AE$88+AE$90-(AE$454-AD$454))/SUM(AE$149,AE$163),(AF$88+AF$90-(AF$454-AE$454))/SUM(AF$149,AF$163)),(AF$88+AF$90-(AF$454-AE$454))/SUM(AF$149,AF$163)) *SUM(AG$149,AG$163) +AG$454-AF$454 -AG$90</f>
        <v>50.212064696139983</v>
      </c>
      <c r="AH88" s="7">
        <f ca="1">IF(AH$6=OFFSET(Assumptions!$B$8,0,$C$1),AVERAGE((AE$88+AE$90-(AE$454-AD$454))/SUM(AE$149,AE$163),(AF$88+AF$90-(AF$454-AE$454))/SUM(AF$149,AF$163),(AG$88+AG$90-(AG$454-AF$454))/SUM(AG$149,AG$163)),(AG$88+AG$90-(AG$454-AF$454))/SUM(AG$149,AG$163)) *SUM(AH$149,AH$163) +AH$454-AG$454 -AH$90</f>
        <v>52.237775151586099</v>
      </c>
      <c r="AI88" s="7">
        <f ca="1">IF(AI$6=OFFSET(Assumptions!$B$8,0,$C$1),AVERAGE((AF$88+AF$90-(AF$454-AE$454))/SUM(AF$149,AF$163),(AG$88+AG$90-(AG$454-AF$454))/SUM(AG$149,AG$163),(AH$88+AH$90-(AH$454-AG$454))/SUM(AH$149,AH$163)),(AH$88+AH$90-(AH$454-AG$454))/SUM(AH$149,AH$163)) *SUM(AI$149,AI$163) +AI$454-AH$454 -AI$90</f>
        <v>54.338515519060842</v>
      </c>
      <c r="AJ88" s="7">
        <f ca="1">IF(AJ$6=OFFSET(Assumptions!$B$8,0,$C$1),AVERAGE((AG$88+AG$90-(AG$454-AF$454))/SUM(AG$149,AG$163),(AH$88+AH$90-(AH$454-AG$454))/SUM(AH$149,AH$163),(AI$88+AI$90-(AI$454-AH$454))/SUM(AI$149,AI$163)),(AI$88+AI$90-(AI$454-AH$454))/SUM(AI$149,AI$163)) *SUM(AJ$149,AJ$163) +AJ$454-AI$454 -AJ$90</f>
        <v>56.522200004299123</v>
      </c>
      <c r="AK88" s="7">
        <f ca="1">IF(AK$6=OFFSET(Assumptions!$B$8,0,$C$1),AVERAGE((AH$88+AH$90-(AH$454-AG$454))/SUM(AH$149,AH$163),(AI$88+AI$90-(AI$454-AH$454))/SUM(AI$149,AI$163),(AJ$88+AJ$90-(AJ$454-AI$454))/SUM(AJ$149,AJ$163)),(AJ$88+AJ$90-(AJ$454-AI$454))/SUM(AJ$149,AJ$163)) *SUM(AK$149,AK$163) +AK$454-AJ$454 -AK$90</f>
        <v>58.786032945105198</v>
      </c>
      <c r="AL88" s="7">
        <f ca="1">IF(AL$6=OFFSET(Assumptions!$B$8,0,$C$1),AVERAGE((AI$88+AI$90-(AI$454-AH$454))/SUM(AI$149,AI$163),(AJ$88+AJ$90-(AJ$454-AI$454))/SUM(AJ$149,AJ$163),(AK$88+AK$90-(AK$454-AJ$454))/SUM(AK$149,AK$163)),(AK$88+AK$90-(AK$454-AJ$454))/SUM(AK$149,AK$163)) *SUM(AL$149,AL$163) +AL$454-AK$454 -AL$90</f>
        <v>61.128240061105977</v>
      </c>
      <c r="AM88" s="7">
        <f ca="1">IF(AM$6=OFFSET(Assumptions!$B$8,0,$C$1),AVERAGE((AJ$88+AJ$90-(AJ$454-AI$454))/SUM(AJ$149,AJ$163),(AK$88+AK$90-(AK$454-AJ$454))/SUM(AK$149,AK$163),(AL$88+AL$90-(AL$454-AK$454))/SUM(AL$149,AL$163)),(AL$88+AL$90-(AL$454-AK$454))/SUM(AL$149,AL$163)) *SUM(AM$149,AM$163) +AM$454-AL$454 -AM$90</f>
        <v>63.552597237742397</v>
      </c>
      <c r="AN88" s="7">
        <f ca="1">IF(AN$6=OFFSET(Assumptions!$B$8,0,$C$1),AVERAGE((AK$88+AK$90-(AK$454-AJ$454))/SUM(AK$149,AK$163),(AL$88+AL$90-(AL$454-AK$454))/SUM(AL$149,AL$163),(AM$88+AM$90-(AM$454-AL$454))/SUM(AM$149,AM$163)),(AM$88+AM$90-(AM$454-AL$454))/SUM(AM$149,AM$163)) *SUM(AN$149,AN$163) +AN$454-AM$454 -AN$90</f>
        <v>66.06248361389126</v>
      </c>
      <c r="AO88" s="7">
        <f ca="1">IF(AO$6=OFFSET(Assumptions!$B$8,0,$C$1),AVERAGE((AL$88+AL$90-(AL$454-AK$454))/SUM(AL$149,AL$163),(AM$88+AM$90-(AM$454-AL$454))/SUM(AM$149,AM$163),(AN$88+AN$90-(AN$454-AM$454))/SUM(AN$149,AN$163)),(AN$88+AN$90-(AN$454-AM$454))/SUM(AN$149,AN$163)) *SUM(AO$149,AO$163) +AO$454-AN$454 -AO$90</f>
        <v>68.646520161264931</v>
      </c>
      <c r="AP88" s="7">
        <f ca="1">IF(AP$6=OFFSET(Assumptions!$B$8,0,$C$1),AVERAGE((AM$88+AM$90-(AM$454-AL$454))/SUM(AM$149,AM$163),(AN$88+AN$90-(AN$454-AM$454))/SUM(AN$149,AN$163),(AO$88+AO$90-(AO$454-AN$454))/SUM(AO$149,AO$163)),(AO$88+AO$90-(AO$454-AN$454))/SUM(AO$149,AO$163)) *SUM(AP$149,AP$163) +AP$454-AO$454 -AP$90</f>
        <v>71.318104248129018</v>
      </c>
      <c r="AQ88" s="7">
        <f ca="1">IF(AQ$6=OFFSET(Assumptions!$B$8,0,$C$1),AVERAGE((AN$88+AN$90-(AN$454-AM$454))/SUM(AN$149,AN$163),(AO$88+AO$90-(AO$454-AN$454))/SUM(AO$149,AO$163),(AP$88+AP$90-(AP$454-AO$454))/SUM(AP$149,AP$163)),(AP$88+AP$90-(AP$454-AO$454))/SUM(AP$149,AP$163)) *SUM(AQ$149,AQ$163) +AQ$454-AP$454 -AQ$90</f>
        <v>74.067596434467504</v>
      </c>
      <c r="AR88" s="7">
        <f ca="1">IF(AR$6=OFFSET(Assumptions!$B$8,0,$C$1),AVERAGE((AO$88+AO$90-(AO$454-AN$454))/SUM(AO$149,AO$163),(AP$88+AP$90-(AP$454-AO$454))/SUM(AP$149,AP$163),(AQ$88+AQ$90-(AQ$454-AP$454))/SUM(AQ$149,AQ$163)),(AQ$88+AQ$90-(AQ$454-AP$454))/SUM(AQ$149,AQ$163)) *SUM(AR$149,AR$163) +AR$454-AQ$454 -AR$90</f>
        <v>76.899351989044803</v>
      </c>
      <c r="AS88" s="7">
        <f ca="1">IF(AS$6=OFFSET(Assumptions!$B$8,0,$C$1),AVERAGE((AP$88+AP$90-(AP$454-AO$454))/SUM(AP$149,AP$163),(AQ$88+AQ$90-(AQ$454-AP$454))/SUM(AQ$149,AQ$163),(AR$88+AR$90-(AR$454-AQ$454))/SUM(AR$149,AR$163)),(AR$88+AR$90-(AR$454-AQ$454))/SUM(AR$149,AR$163)) *SUM(AS$149,AS$163) +AS$454-AR$454 -AS$90</f>
        <v>79.820367733966833</v>
      </c>
      <c r="AT88" s="7">
        <f ca="1">IF(AT$6=OFFSET(Assumptions!$B$8,0,$C$1),AVERAGE((AQ$88+AQ$90-(AQ$454-AP$454))/SUM(AQ$149,AQ$163),(AR$88+AR$90-(AR$454-AQ$454))/SUM(AR$149,AR$163),(AS$88+AS$90-(AS$454-AR$454))/SUM(AS$149,AS$163)),(AS$88+AS$90-(AS$454-AR$454))/SUM(AS$149,AS$163)) *SUM(AT$149,AT$163) +AT$454-AS$454 -AT$90</f>
        <v>82.832462825558139</v>
      </c>
      <c r="AU88" s="7">
        <f ca="1">IF(AU$6=OFFSET(Assumptions!$B$8,0,$C$1),AVERAGE((AR$88+AR$90-(AR$454-AQ$454))/SUM(AR$149,AR$163),(AS$88+AS$90-(AS$454-AR$454))/SUM(AS$149,AS$163),(AT$88+AT$90-(AT$454-AS$454))/SUM(AT$149,AT$163)),(AT$88+AT$90-(AT$454-AS$454))/SUM(AT$149,AT$163)) *SUM(AU$149,AU$163) +AU$454-AT$454 -AU$90</f>
        <v>85.939826096320701</v>
      </c>
      <c r="AV88" s="7">
        <f ca="1">IF(AV$6=OFFSET(Assumptions!$B$8,0,$C$1),AVERAGE((AS$88+AS$90-(AS$454-AR$454))/SUM(AS$149,AS$163),(AT$88+AT$90-(AT$454-AS$454))/SUM(AT$149,AT$163),(AU$88+AU$90-(AU$454-AT$454))/SUM(AU$149,AU$163)),(AU$88+AU$90-(AU$454-AT$454))/SUM(AU$149,AU$163)) *SUM(AV$149,AV$163) +AV$454-AU$454 -AV$90</f>
        <v>89.152692730400773</v>
      </c>
      <c r="AW88" s="7">
        <f ca="1">IF(AW$6=OFFSET(Assumptions!$B$8,0,$C$1),AVERAGE((AT$88+AT$90-(AT$454-AS$454))/SUM(AT$149,AT$163),(AU$88+AU$90-(AU$454-AT$454))/SUM(AU$149,AU$163),(AV$88+AV$90-(AV$454-AU$454))/SUM(AV$149,AV$163)),(AV$88+AV$90-(AV$454-AU$454))/SUM(AV$149,AV$163)) *SUM(AW$149,AW$163) +AW$454-AV$454 -AW$90</f>
        <v>92.467905605504711</v>
      </c>
    </row>
    <row r="89" spans="1:49" x14ac:dyDescent="0.2">
      <c r="A89" s="1" t="s">
        <v>194</v>
      </c>
      <c r="B89" s="4" t="str">
        <f t="shared" si="76"/>
        <v>From Fiscal</v>
      </c>
      <c r="D89" s="18">
        <f>Fiscal!D$73</f>
        <v>3.3639999999999999</v>
      </c>
      <c r="E89" s="19">
        <f>Fiscal!E$73</f>
        <v>3.4009999999999998</v>
      </c>
      <c r="F89" s="19">
        <f>Fiscal!F$73</f>
        <v>3.504</v>
      </c>
      <c r="G89" s="19">
        <f>Fiscal!G$73</f>
        <v>3.8250000000000002</v>
      </c>
      <c r="H89" s="19">
        <f>Fiscal!H$73</f>
        <v>4.1310000000000002</v>
      </c>
      <c r="I89" s="19">
        <f>Fiscal!I$73</f>
        <v>4.4630000000000001</v>
      </c>
      <c r="J89" s="7">
        <f ca="1">IF(J$6=OFFSET(Assumptions!$B$8,0,$C$1),AVERAGE(G$89/(G$159-G$389-(G$338-F$338)+G$446-F$446),H$89/(H$159-H$389-(H$338-G$338)+H$446-G$446),I$89/(I$159-I$389-(I$338-H$338)+I$446-H$446)),I$89/(I$159-I$389-(I$338-H$338)+I$446-H$446)) *(J$159-J$389-(J$338-I$338)+I$446-H$446)</f>
        <v>3.6531052252513745</v>
      </c>
      <c r="K89" s="7">
        <f ca="1">IF(K$6=OFFSET(Assumptions!$B$8,0,$C$1),AVERAGE(H$89/(H$159-H$389-(H$338-G$338)+H$446-G$446),I$89/(I$159-I$389-(I$338-H$338)+I$446-H$446),J$89/(J$159-J$389-(J$338-I$338)+J$446-I$446)),J$89/(J$159-J$389-(J$338-I$338)+J$446-I$446)) *(K$159-K$389-(K$338-J$338)+J$446-I$446)</f>
        <v>4.0467645651870789</v>
      </c>
      <c r="L89" s="7">
        <f ca="1">IF(L$6=OFFSET(Assumptions!$B$8,0,$C$1),AVERAGE(I$89/(I$159-I$389-(I$338-H$338)+I$446-H$446),J$89/(J$159-J$389-(J$338-I$338)+J$446-I$446),K$89/(K$159-K$389-(K$338-J$338)+K$446-J$446)),K$89/(K$159-K$389-(K$338-J$338)+K$446-J$446)) *(L$159-L$389-(L$338-K$338)+K$446-J$446)</f>
        <v>4.3912201576312846</v>
      </c>
      <c r="M89" s="7">
        <f ca="1">IF(M$6=OFFSET(Assumptions!$B$8,0,$C$1),AVERAGE(J$89/(J$159-J$389-(J$338-I$338)+J$446-I$446),K$89/(K$159-K$389-(K$338-J$338)+K$446-J$446),L$89/(L$159-L$389-(L$338-K$338)+L$446-K$446)),L$89/(L$159-L$389-(L$338-K$338)+L$446-K$446)) *(M$159-M$389-(M$338-L$338)+L$446-K$446)</f>
        <v>4.7586673628103506</v>
      </c>
      <c r="N89" s="7">
        <f ca="1">IF(N$6=OFFSET(Assumptions!$B$8,0,$C$1),AVERAGE(K$89/(K$159-K$389-(K$338-J$338)+K$446-J$446),L$89/(L$159-L$389-(L$338-K$338)+L$446-K$446),M$89/(M$159-M$389-(M$338-L$338)+M$446-L$446)),M$89/(M$159-M$389-(M$338-L$338)+M$446-L$446)) *(N$159-N$389-(N$338-M$338)+M$446-L$446)</f>
        <v>5.1150983862413666</v>
      </c>
      <c r="O89" s="7">
        <f ca="1">IF(O$6=OFFSET(Assumptions!$B$8,0,$C$1),AVERAGE(L$89/(L$159-L$389-(L$338-K$338)+L$446-K$446),M$89/(M$159-M$389-(M$338-L$338)+M$446-L$446),N$89/(N$159-N$389-(N$338-M$338)+N$446-M$446)),N$89/(N$159-N$389-(N$338-M$338)+N$446-M$446)) *(O$159-O$389-(O$338-N$338)+N$446-M$446)</f>
        <v>5.3876905151474901</v>
      </c>
      <c r="P89" s="7">
        <f ca="1">IF(P$6=OFFSET(Assumptions!$B$8,0,$C$1),AVERAGE(M$89/(M$159-M$389-(M$338-L$338)+M$446-L$446),N$89/(N$159-N$389-(N$338-M$338)+N$446-M$446),O$89/(O$159-O$389-(O$338-N$338)+O$446-N$446)),O$89/(O$159-O$389-(O$338-N$338)+O$446-N$446)) *(P$159-P$389-(P$338-O$338)+O$446-N$446)</f>
        <v>5.6706053800779159</v>
      </c>
      <c r="Q89" s="7">
        <f ca="1">IF(Q$6=OFFSET(Assumptions!$B$8,0,$C$1),AVERAGE(N$89/(N$159-N$389-(N$338-M$338)+N$446-M$446),O$89/(O$159-O$389-(O$338-N$338)+O$446-N$446),P$89/(P$159-P$389-(P$338-O$338)+P$446-O$446)),P$89/(P$159-P$389-(P$338-O$338)+P$446-O$446)) *(Q$159-Q$389-(Q$338-P$338)+P$446-O$446)</f>
        <v>5.95976914349691</v>
      </c>
      <c r="R89" s="7">
        <f ca="1">IF(R$6=OFFSET(Assumptions!$B$8,0,$C$1),AVERAGE(O$89/(O$159-O$389-(O$338-N$338)+O$446-N$446),P$89/(P$159-P$389-(P$338-O$338)+P$446-O$446),Q$89/(Q$159-Q$389-(Q$338-P$338)+Q$446-P$446)),Q$89/(Q$159-Q$389-(Q$338-P$338)+Q$446-P$446)) *(R$159-R$389-(R$338-Q$338)+Q$446-P$446)</f>
        <v>6.2552664030076111</v>
      </c>
      <c r="S89" s="7">
        <f ca="1">IF(S$6=OFFSET(Assumptions!$B$8,0,$C$1),AVERAGE(P$89/(P$159-P$389-(P$338-O$338)+P$446-O$446),Q$89/(Q$159-Q$389-(Q$338-P$338)+Q$446-P$446),R$89/(R$159-R$389-(R$338-Q$338)+R$446-Q$446)),R$89/(R$159-R$389-(R$338-Q$338)+R$446-Q$446)) *(S$159-S$389-(S$338-R$338)+R$446-Q$446)</f>
        <v>6.5552285253948117</v>
      </c>
      <c r="T89" s="7">
        <f ca="1">IF(T$6=OFFSET(Assumptions!$B$8,0,$C$1),AVERAGE(Q$89/(Q$159-Q$389-(Q$338-P$338)+Q$446-P$446),R$89/(R$159-R$389-(R$338-Q$338)+R$446-Q$446),S$89/(S$159-S$389-(S$338-R$338)+S$446-R$446)),S$89/(S$159-S$389-(S$338-R$338)+S$446-R$446)) *(T$159-T$389-(T$338-S$338)+S$446-R$446)</f>
        <v>6.8621273079055527</v>
      </c>
      <c r="U89" s="7">
        <f ca="1">IF(U$6=OFFSET(Assumptions!$B$8,0,$C$1),AVERAGE(R$89/(R$159-R$389-(R$338-Q$338)+R$446-Q$446),S$89/(S$159-S$389-(S$338-R$338)+S$446-R$446),T$89/(T$159-T$389-(T$338-S$338)+T$446-S$446)),T$89/(T$159-T$389-(T$338-S$338)+T$446-S$446)) *(U$159-U$389-(U$338-T$338)+T$446-S$446)</f>
        <v>7.1787892359794299</v>
      </c>
      <c r="V89" s="7">
        <f ca="1">IF(V$6=OFFSET(Assumptions!$B$8,0,$C$1),AVERAGE(S$89/(S$159-S$389-(S$338-R$338)+S$446-R$446),T$89/(T$159-T$389-(T$338-S$338)+T$446-S$446),U$89/(U$159-U$389-(U$338-T$338)+U$446-T$446)),U$89/(U$159-U$389-(U$338-T$338)+U$446-T$446)) *(V$159-V$389-(V$338-U$338)+U$446-T$446)</f>
        <v>7.5045871040385519</v>
      </c>
      <c r="W89" s="7">
        <f ca="1">IF(W$6=OFFSET(Assumptions!$B$8,0,$C$1),AVERAGE(T$89/(T$159-T$389-(T$338-S$338)+T$446-S$446),U$89/(U$159-U$389-(U$338-T$338)+U$446-T$446),V$89/(V$159-V$389-(V$338-U$338)+V$446-U$446)),V$89/(V$159-V$389-(V$338-U$338)+V$446-U$446)) *(W$159-W$389-(W$338-V$338)+V$446-U$446)</f>
        <v>7.8405650893921095</v>
      </c>
      <c r="X89" s="7">
        <f ca="1">IF(X$6=OFFSET(Assumptions!$B$8,0,$C$1),AVERAGE(U$89/(U$159-U$389-(U$338-T$338)+U$446-T$446),V$89/(V$159-V$389-(V$338-U$338)+V$446-U$446),W$89/(W$159-W$389-(W$338-V$338)+W$446-V$446)),W$89/(W$159-W$389-(W$338-V$338)+W$446-V$446)) *(X$159-X$389-(X$338-W$338)+W$446-V$446)</f>
        <v>8.1857081617922915</v>
      </c>
      <c r="Y89" s="7">
        <f ca="1">IF(Y$6=OFFSET(Assumptions!$B$8,0,$C$1),AVERAGE(V$89/(V$159-V$389-(V$338-U$338)+V$446-U$446),W$89/(W$159-W$389-(W$338-V$338)+W$446-V$446),X$89/(X$159-X$389-(X$338-W$338)+X$446-W$446)),X$89/(X$159-X$389-(X$338-W$338)+X$446-W$446)) *(Y$159-Y$389-(Y$338-X$338)+X$446-W$446)</f>
        <v>8.5434706195443013</v>
      </c>
      <c r="Z89" s="7">
        <f ca="1">IF(Z$6=OFFSET(Assumptions!$B$8,0,$C$1),AVERAGE(W$89/(W$159-W$389-(W$338-V$338)+W$446-V$446),X$89/(X$159-X$389-(X$338-W$338)+X$446-W$446),Y$89/(Y$159-Y$389-(Y$338-X$338)+Y$446-X$446)),Y$89/(Y$159-Y$389-(Y$338-X$338)+Y$446-X$446)) *(Z$159-Z$389-(Z$338-Y$338)+Y$446-X$446)</f>
        <v>8.910050924086006</v>
      </c>
      <c r="AA89" s="7">
        <f ca="1">IF(AA$6=OFFSET(Assumptions!$B$8,0,$C$1),AVERAGE(X$89/(X$159-X$389-(X$338-W$338)+X$446-W$446),Y$89/(Y$159-Y$389-(Y$338-X$338)+Y$446-X$446),Z$89/(Z$159-Z$389-(Z$338-Y$338)+Z$446-Y$446)),Z$89/(Z$159-Z$389-(Z$338-Y$338)+Z$446-Y$446)) *(AA$159-AA$389-(AA$338-Z$338)+Z$446-Y$446)</f>
        <v>9.2863980911949149</v>
      </c>
      <c r="AB89" s="7">
        <f ca="1">IF(AB$6=OFFSET(Assumptions!$B$8,0,$C$1),AVERAGE(Y$89/(Y$159-Y$389-(Y$338-X$338)+Y$446-X$446),Z$89/(Z$159-Z$389-(Z$338-Y$338)+Z$446-Y$446),AA$89/(AA$159-AA$389-(AA$338-Z$338)+AA$446-Z$446)),AA$89/(AA$159-AA$389-(AA$338-Z$338)+AA$446-Z$446)) *(AB$159-AB$389-(AB$338-AA$338)+AA$446-Z$446)</f>
        <v>9.6715065234678352</v>
      </c>
      <c r="AC89" s="7">
        <f ca="1">IF(AC$6=OFFSET(Assumptions!$B$8,0,$C$1),AVERAGE(Z$89/(Z$159-Z$389-(Z$338-Y$338)+Z$446-Y$446),AA$89/(AA$159-AA$389-(AA$338-Z$338)+AA$446-Z$446),AB$89/(AB$159-AB$389-(AB$338-AA$338)+AB$446-AA$446)),AB$89/(AB$159-AB$389-(AB$338-AA$338)+AB$446-AA$446)) *(AC$159-AC$389-(AC$338-AB$338)+AB$446-AA$446)</f>
        <v>10.068391152966099</v>
      </c>
      <c r="AD89" s="7">
        <f ca="1">IF(AD$6=OFFSET(Assumptions!$B$8,0,$C$1),AVERAGE(AA$89/(AA$159-AA$389-(AA$338-Z$338)+AA$446-Z$446),AB$89/(AB$159-AB$389-(AB$338-AA$338)+AB$446-AA$446),AC$89/(AC$159-AC$389-(AC$338-AB$338)+AC$446-AB$446)),AC$89/(AC$159-AC$389-(AC$338-AB$338)+AC$446-AB$446)) *(AD$159-AD$389-(AD$338-AC$338)+AC$446-AB$446)</f>
        <v>10.477418510632935</v>
      </c>
      <c r="AE89" s="7">
        <f ca="1">IF(AE$6=OFFSET(Assumptions!$B$8,0,$C$1),AVERAGE(AB$89/(AB$159-AB$389-(AB$338-AA$338)+AB$446-AA$446),AC$89/(AC$159-AC$389-(AC$338-AB$338)+AC$446-AB$446),AD$89/(AD$159-AD$389-(AD$338-AC$338)+AD$446-AC$446)),AD$89/(AD$159-AD$389-(AD$338-AC$338)+AD$446-AC$446)) *(AE$159-AE$389-(AE$338-AD$338)+AD$446-AC$446)</f>
        <v>10.904865777724092</v>
      </c>
      <c r="AF89" s="7">
        <f ca="1">IF(AF$6=OFFSET(Assumptions!$B$8,0,$C$1),AVERAGE(AC$89/(AC$159-AC$389-(AC$338-AB$338)+AC$446-AB$446),AD$89/(AD$159-AD$389-(AD$338-AC$338)+AD$446-AC$446),AE$89/(AE$159-AE$389-(AE$338-AD$338)+AE$446-AD$446)),AE$89/(AE$159-AE$389-(AE$338-AD$338)+AE$446-AD$446)) *(AF$159-AF$389-(AF$338-AE$338)+AE$446-AD$446)</f>
        <v>11.349979179946708</v>
      </c>
      <c r="AG89" s="7">
        <f ca="1">IF(AG$6=OFFSET(Assumptions!$B$8,0,$C$1),AVERAGE(AD$89/(AD$159-AD$389-(AD$338-AC$338)+AD$446-AC$446),AE$89/(AE$159-AE$389-(AE$338-AD$338)+AE$446-AD$446),AF$89/(AF$159-AF$389-(AF$338-AE$338)+AF$446-AE$446)),AF$89/(AF$159-AF$389-(AF$338-AE$338)+AF$446-AE$446)) *(AG$159-AG$389-(AG$338-AF$338)+AF$446-AE$446)</f>
        <v>11.817266096501772</v>
      </c>
      <c r="AH89" s="7">
        <f ca="1">IF(AH$6=OFFSET(Assumptions!$B$8,0,$C$1),AVERAGE(AE$89/(AE$159-AE$389-(AE$338-AD$338)+AE$446-AD$446),AF$89/(AF$159-AF$389-(AF$338-AE$338)+AF$446-AE$446),AG$89/(AG$159-AG$389-(AG$338-AF$338)+AG$446-AF$446)),AG$89/(AG$159-AG$389-(AG$338-AF$338)+AG$446-AF$446)) *(AH$159-AH$389-(AH$338-AG$338)+AG$446-AF$446)</f>
        <v>12.307915692767706</v>
      </c>
      <c r="AI89" s="7">
        <f ca="1">IF(AI$6=OFFSET(Assumptions!$B$8,0,$C$1),AVERAGE(AF$89/(AF$159-AF$389-(AF$338-AE$338)+AF$446-AE$446),AG$89/(AG$159-AG$389-(AG$338-AF$338)+AG$446-AF$446),AH$89/(AH$159-AH$389-(AH$338-AG$338)+AH$446-AG$446)),AH$89/(AH$159-AH$389-(AH$338-AG$338)+AH$446-AG$446)) *(AI$159-AI$389-(AI$338-AH$338)+AH$446-AG$446)</f>
        <v>12.822753375901403</v>
      </c>
      <c r="AJ89" s="7">
        <f ca="1">IF(AJ$6=OFFSET(Assumptions!$B$8,0,$C$1),AVERAGE(AG$89/(AG$159-AG$389-(AG$338-AF$338)+AG$446-AF$446),AH$89/(AH$159-AH$389-(AH$338-AG$338)+AH$446-AG$446),AI$89/(AI$159-AI$389-(AI$338-AH$338)+AI$446-AH$446)),AI$89/(AI$159-AI$389-(AI$338-AH$338)+AI$446-AH$446)) *(AJ$159-AJ$389-(AJ$338-AI$338)+AI$446-AH$446)</f>
        <v>13.363398003697826</v>
      </c>
      <c r="AK89" s="7">
        <f ca="1">IF(AK$6=OFFSET(Assumptions!$B$8,0,$C$1),AVERAGE(AH$89/(AH$159-AH$389-(AH$338-AG$338)+AH$446-AG$446),AI$89/(AI$159-AI$389-(AI$338-AH$338)+AI$446-AH$446),AJ$89/(AJ$159-AJ$389-(AJ$338-AI$338)+AJ$446-AI$446)),AJ$89/(AJ$159-AJ$389-(AJ$338-AI$338)+AJ$446-AI$446)) *(AK$159-AK$389-(AK$338-AJ$338)+AJ$446-AI$446)</f>
        <v>13.933664805119788</v>
      </c>
      <c r="AL89" s="7">
        <f ca="1">IF(AL$6=OFFSET(Assumptions!$B$8,0,$C$1),AVERAGE(AI$89/(AI$159-AI$389-(AI$338-AH$338)+AI$446-AH$446),AJ$89/(AJ$159-AJ$389-(AJ$338-AI$338)+AJ$446-AI$446),AK$89/(AK$159-AK$389-(AK$338-AJ$338)+AK$446-AJ$446)),AK$89/(AK$159-AK$389-(AK$338-AJ$338)+AK$446-AJ$446)) *(AL$159-AL$389-(AL$338-AK$338)+AK$446-AJ$446)</f>
        <v>14.530661991166996</v>
      </c>
      <c r="AM89" s="7">
        <f ca="1">IF(AM$6=OFFSET(Assumptions!$B$8,0,$C$1),AVERAGE(AJ$89/(AJ$159-AJ$389-(AJ$338-AI$338)+AJ$446-AI$446),AK$89/(AK$159-AK$389-(AK$338-AJ$338)+AK$446-AJ$446),AL$89/(AL$159-AL$389-(AL$338-AK$338)+AL$446-AK$446)),AL$89/(AL$159-AL$389-(AL$338-AK$338)+AL$446-AK$446)) *(AM$159-AM$389-(AM$338-AL$338)+AL$446-AK$446)</f>
        <v>15.158801517794426</v>
      </c>
      <c r="AN89" s="7">
        <f ca="1">IF(AN$6=OFFSET(Assumptions!$B$8,0,$C$1),AVERAGE(AK$89/(AK$159-AK$389-(AK$338-AJ$338)+AK$446-AJ$446),AL$89/(AL$159-AL$389-(AL$338-AK$338)+AL$446-AK$446),AM$89/(AM$159-AM$389-(AM$338-AL$338)+AM$446-AL$446)),AM$89/(AM$159-AM$389-(AM$338-AL$338)+AM$446-AL$446)) *(AN$159-AN$389-(AN$338-AM$338)+AM$446-AL$446)</f>
        <v>15.818992662547245</v>
      </c>
      <c r="AO89" s="7">
        <f ca="1">IF(AO$6=OFFSET(Assumptions!$B$8,0,$C$1),AVERAGE(AL$89/(AL$159-AL$389-(AL$338-AK$338)+AL$446-AK$446),AM$89/(AM$159-AM$389-(AM$338-AL$338)+AM$446-AL$446),AN$89/(AN$159-AN$389-(AN$338-AM$338)+AN$446-AM$446)),AN$89/(AN$159-AN$389-(AN$338-AM$338)+AN$446-AM$446)) *(AO$159-AO$389-(AO$338-AN$338)+AN$446-AM$446)</f>
        <v>16.514615357711094</v>
      </c>
      <c r="AP89" s="7">
        <f ca="1">IF(AP$6=OFFSET(Assumptions!$B$8,0,$C$1),AVERAGE(AM$89/(AM$159-AM$389-(AM$338-AL$338)+AM$446-AL$446),AN$89/(AN$159-AN$389-(AN$338-AM$338)+AN$446-AM$446),AO$89/(AO$159-AO$389-(AO$338-AN$338)+AO$446-AN$446)),AO$89/(AO$159-AO$389-(AO$338-AN$338)+AO$446-AN$446)) *(AP$159-AP$389-(AP$338-AO$338)+AO$446-AN$446)</f>
        <v>17.247875547148855</v>
      </c>
      <c r="AQ89" s="7">
        <f ca="1">IF(AQ$6=OFFSET(Assumptions!$B$8,0,$C$1),AVERAGE(AN$89/(AN$159-AN$389-(AN$338-AM$338)+AN$446-AM$446),AO$89/(AO$159-AO$389-(AO$338-AN$338)+AO$446-AN$446),AP$89/(AP$159-AP$389-(AP$338-AO$338)+AP$446-AO$446)),AP$89/(AP$159-AP$389-(AP$338-AO$338)+AP$446-AO$446)) *(AQ$159-AQ$389-(AQ$338-AP$338)+AP$446-AO$446)</f>
        <v>18.019651591745575</v>
      </c>
      <c r="AR89" s="7">
        <f ca="1">IF(AR$6=OFFSET(Assumptions!$B$8,0,$C$1),AVERAGE(AO$89/(AO$159-AO$389-(AO$338-AN$338)+AO$446-AN$446),AP$89/(AP$159-AP$389-(AP$338-AO$338)+AP$446-AO$446),AQ$89/(AQ$159-AQ$389-(AQ$338-AP$338)+AQ$446-AP$446)),AQ$89/(AQ$159-AQ$389-(AQ$338-AP$338)+AQ$446-AP$446)) *(AR$159-AR$389-(AR$338-AQ$338)+AQ$446-AP$446)</f>
        <v>18.83126768970568</v>
      </c>
      <c r="AS89" s="7">
        <f ca="1">IF(AS$6=OFFSET(Assumptions!$B$8,0,$C$1),AVERAGE(AP$89/(AP$159-AP$389-(AP$338-AO$338)+AP$446-AO$446),AQ$89/(AQ$159-AQ$389-(AQ$338-AP$338)+AQ$446-AP$446),AR$89/(AR$159-AR$389-(AR$338-AQ$338)+AR$446-AQ$446)),AR$89/(AR$159-AR$389-(AR$338-AQ$338)+AR$446-AQ$446)) *(AS$159-AS$389-(AS$338-AR$338)+AR$446-AQ$446)</f>
        <v>19.683555737770924</v>
      </c>
      <c r="AT89" s="7">
        <f ca="1">IF(AT$6=OFFSET(Assumptions!$B$8,0,$C$1),AVERAGE(AQ$89/(AQ$159-AQ$389-(AQ$338-AP$338)+AQ$446-AP$446),AR$89/(AR$159-AR$389-(AR$338-AQ$338)+AR$446-AQ$446),AS$89/(AS$159-AS$389-(AS$338-AR$338)+AS$446-AR$446)),AS$89/(AS$159-AS$389-(AS$338-AR$338)+AS$446-AR$446)) *(AT$159-AT$389-(AT$338-AS$338)+AS$446-AR$446)</f>
        <v>20.559431893867348</v>
      </c>
      <c r="AU89" s="7">
        <f ca="1">IF(AU$6=OFFSET(Assumptions!$B$8,0,$C$1),AVERAGE(AR$89/(AR$159-AR$389-(AR$338-AQ$338)+AR$446-AQ$446),AS$89/(AS$159-AS$389-(AS$338-AR$338)+AS$446-AR$446),AT$89/(AT$159-AT$389-(AT$338-AS$338)+AT$446-AS$446)),AT$89/(AT$159-AT$389-(AT$338-AS$338)+AT$446-AS$446)) *(AU$159-AU$389-(AU$338-AT$338)+AT$446-AS$446)</f>
        <v>21.468531313054601</v>
      </c>
      <c r="AV89" s="7">
        <f ca="1">IF(AV$6=OFFSET(Assumptions!$B$8,0,$C$1),AVERAGE(AS$89/(AS$159-AS$389-(AS$338-AR$338)+AS$446-AR$446),AT$89/(AT$159-AT$389-(AT$338-AS$338)+AT$446-AS$446),AU$89/(AU$159-AU$389-(AU$338-AT$338)+AU$446-AT$446)),AU$89/(AU$159-AU$389-(AU$338-AT$338)+AU$446-AT$446)) *(AV$159-AV$389-(AV$338-AU$338)+AU$446-AT$446)</f>
        <v>22.409761623409828</v>
      </c>
      <c r="AW89" s="7">
        <f ca="1">IF(AW$6=OFFSET(Assumptions!$B$8,0,$C$1),AVERAGE(AT$89/(AT$159-AT$389-(AT$338-AS$338)+AT$446-AS$446),AU$89/(AU$159-AU$389-(AU$338-AT$338)+AU$446-AT$446),AV$89/(AV$159-AV$389-(AV$338-AU$338)+AV$446-AU$446)),AV$89/(AV$159-AV$389-(AV$338-AU$338)+AV$446-AU$446)) *(AW$159-AW$389-(AW$338-AV$338)+AV$446-AU$446)</f>
        <v>23.386587224011304</v>
      </c>
    </row>
    <row r="90" spans="1:49" x14ac:dyDescent="0.2">
      <c r="A90" s="1" t="s">
        <v>195</v>
      </c>
      <c r="B90" s="4" t="str">
        <f t="shared" si="76"/>
        <v>From Fiscal</v>
      </c>
      <c r="D90" s="18">
        <f>Fiscal!D$74</f>
        <v>3.823</v>
      </c>
      <c r="E90" s="19">
        <f>Fiscal!E$74</f>
        <v>4.0439999999999996</v>
      </c>
      <c r="F90" s="19">
        <f>Fiscal!F$74</f>
        <v>3.59</v>
      </c>
      <c r="G90" s="19">
        <f>Fiscal!G$74</f>
        <v>3.605</v>
      </c>
      <c r="H90" s="19">
        <f>Fiscal!H$74</f>
        <v>3.512</v>
      </c>
      <c r="I90" s="19">
        <f>Fiscal!I$74</f>
        <v>3.61</v>
      </c>
      <c r="J90" s="7">
        <f ca="1">IF(J$6=OFFSET(Assumptions!$B$8,0,$C$1),AVERAGE(G$90/G$163,H$90/H$163,I$90/I$163),I$90/I$163) *J$163</f>
        <v>3.8917355775092335</v>
      </c>
      <c r="K90" s="7">
        <f ca="1">IF(K$6=OFFSET(Assumptions!$B$8,0,$C$1),AVERAGE(H$90/H$163,I$90/I$163,J$90/J$163),J$90/J$163) *K$163</f>
        <v>4.0543719752937335</v>
      </c>
      <c r="L90" s="7">
        <f ca="1">IF(L$6=OFFSET(Assumptions!$B$8,0,$C$1),AVERAGE(I$90/I$163,J$90/J$163,K$90/K$163),K$90/K$163) *L$163</f>
        <v>4.2301099056209761</v>
      </c>
      <c r="M90" s="7">
        <f ca="1">IF(M$6=OFFSET(Assumptions!$B$8,0,$C$1),AVERAGE(J$90/J$163,K$90/K$163,L$90/L$163),L$90/L$163) *M$163</f>
        <v>4.4128779533818498</v>
      </c>
      <c r="N90" s="7">
        <f ca="1">IF(N$6=OFFSET(Assumptions!$B$8,0,$C$1),AVERAGE(K$90/K$163,L$90/L$163,M$90/M$163),M$90/M$163) *N$163</f>
        <v>4.6031942436834115</v>
      </c>
      <c r="O90" s="7">
        <f ca="1">IF(O$6=OFFSET(Assumptions!$B$8,0,$C$1),AVERAGE(L$90/L$163,M$90/M$163,N$90/N$163),N$90/N$163) *O$163</f>
        <v>4.7996895676947924</v>
      </c>
      <c r="P90" s="7">
        <f ca="1">IF(P$6=OFFSET(Assumptions!$B$8,0,$C$1),AVERAGE(M$90/M$163,N$90/N$163,O$90/O$163),O$90/O$163) *P$163</f>
        <v>5.0026631657196523</v>
      </c>
      <c r="Q90" s="7">
        <f ca="1">IF(Q$6=OFFSET(Assumptions!$B$8,0,$C$1),AVERAGE(N$90/N$163,O$90/O$163,P$90/P$163),P$90/P$163) *Q$163</f>
        <v>5.2118957890023641</v>
      </c>
      <c r="R90" s="7">
        <f ca="1">IF(R$6=OFFSET(Assumptions!$B$8,0,$C$1),AVERAGE(O$90/O$163,P$90/P$163,Q$90/Q$163),Q$90/Q$163) *R$163</f>
        <v>5.4272321414269973</v>
      </c>
      <c r="S90" s="7">
        <f ca="1">IF(S$6=OFFSET(Assumptions!$B$8,0,$C$1),AVERAGE(P$90/P$163,Q$90/Q$163,R$90/R$163),R$90/R$163) *S$163</f>
        <v>5.6493565531407537</v>
      </c>
      <c r="T90" s="7">
        <f ca="1">IF(T$6=OFFSET(Assumptions!$B$8,0,$C$1),AVERAGE(Q$90/Q$163,R$90/R$163,S$90/S$163),S$90/S$163) *T$163</f>
        <v>5.8783500253961796</v>
      </c>
      <c r="U90" s="7">
        <f ca="1">IF(U$6=OFFSET(Assumptions!$B$8,0,$C$1),AVERAGE(R$90/R$163,S$90/S$163,T$90/T$163),T$90/T$163) *U$163</f>
        <v>6.1150344097290068</v>
      </c>
      <c r="V90" s="7">
        <f ca="1">IF(V$6=OFFSET(Assumptions!$B$8,0,$C$1),AVERAGE(S$90/S$163,T$90/T$163,U$90/U$163),U$90/U$163) *V$163</f>
        <v>6.3599939628938467</v>
      </c>
      <c r="W90" s="7">
        <f ca="1">IF(W$6=OFFSET(Assumptions!$B$8,0,$C$1),AVERAGE(T$90/T$163,U$90/U$163,V$90/V$163),V$90/V$163) *W$163</f>
        <v>6.6139383945041681</v>
      </c>
      <c r="X90" s="7">
        <f ca="1">IF(X$6=OFFSET(Assumptions!$B$8,0,$C$1),AVERAGE(U$90/U$163,V$90/V$163,W$90/W$163),W$90/W$163) *X$163</f>
        <v>6.8776720627112153</v>
      </c>
      <c r="Y90" s="7">
        <f ca="1">IF(Y$6=OFFSET(Assumptions!$B$8,0,$C$1),AVERAGE(V$90/V$163,W$90/W$163,X$90/X$163),X$90/X$163) *Y$163</f>
        <v>7.1511680052016597</v>
      </c>
      <c r="Z90" s="7">
        <f ca="1">IF(Z$6=OFFSET(Assumptions!$B$8,0,$C$1),AVERAGE(W$90/W$163,X$90/X$163,Y$90/Y$163),Y$90/Y$163) *Z$163</f>
        <v>7.4358105606324303</v>
      </c>
      <c r="AA90" s="7">
        <f ca="1">IF(AA$6=OFFSET(Assumptions!$B$8,0,$C$1),AVERAGE(X$90/X$163,Y$90/Y$163,Z$90/Z$163),Z$90/Z$163) *AA$163</f>
        <v>7.7320602816397992</v>
      </c>
      <c r="AB90" s="7">
        <f ca="1">IF(AB$6=OFFSET(Assumptions!$B$8,0,$C$1),AVERAGE(Y$90/Y$163,Z$90/Z$163,AA$90/AA$163),AA$90/AA$163) *AB$163</f>
        <v>8.0408068334949885</v>
      </c>
      <c r="AC90" s="7">
        <f ca="1">IF(AC$6=OFFSET(Assumptions!$B$8,0,$C$1),AVERAGE(Z$90/Z$163,AA$90/AA$163,AB$90/AB$163),AB$90/AB$163) *AC$163</f>
        <v>8.3632157763288948</v>
      </c>
      <c r="AD90" s="7">
        <f ca="1">IF(AD$6=OFFSET(Assumptions!$B$8,0,$C$1),AVERAGE(AA$90/AA$163,AB$90/AB$163,AC$90/AC$163),AC$90/AC$163) *AD$163</f>
        <v>8.6996269331444065</v>
      </c>
      <c r="AE90" s="7">
        <f ca="1">IF(AE$6=OFFSET(Assumptions!$B$8,0,$C$1),AVERAGE(AB$90/AB$163,AC$90/AC$163,AD$90/AD$163),AD$90/AD$163) *AE$163</f>
        <v>9.0497313551330159</v>
      </c>
      <c r="AF90" s="7">
        <f ca="1">IF(AF$6=OFFSET(Assumptions!$B$8,0,$C$1),AVERAGE(AC$90/AC$163,AD$90/AD$163,AE$90/AE$163),AE$90/AE$163) *AF$163</f>
        <v>9.4144976410482055</v>
      </c>
      <c r="AG90" s="7">
        <f ca="1">IF(AG$6=OFFSET(Assumptions!$B$8,0,$C$1),AVERAGE(AD$90/AD$163,AE$90/AE$163,AF$90/AF$163),AF$90/AF$163) *AG$163</f>
        <v>9.79412975294421</v>
      </c>
      <c r="AH90" s="7">
        <f ca="1">IF(AH$6=OFFSET(Assumptions!$B$8,0,$C$1),AVERAGE(AE$90/AE$163,AF$90/AF$163,AG$90/AG$163),AG$90/AG$163) *AH$163</f>
        <v>10.189236457253722</v>
      </c>
      <c r="AI90" s="7">
        <f ca="1">IF(AI$6=OFFSET(Assumptions!$B$8,0,$C$1),AVERAGE(AF$90/AF$163,AG$90/AG$163,AH$90/AH$163),AH$90/AH$163) *AI$163</f>
        <v>10.599127371770727</v>
      </c>
      <c r="AJ90" s="7">
        <f ca="1">IF(AJ$6=OFFSET(Assumptions!$B$8,0,$C$1),AVERAGE(AG$90/AG$163,AH$90/AH$163,AI$90/AI$163),AI$90/AI$163) *AJ$163</f>
        <v>11.0251155813158</v>
      </c>
      <c r="AK90" s="7">
        <f ca="1">IF(AK$6=OFFSET(Assumptions!$B$8,0,$C$1),AVERAGE(AH$90/AH$163,AI$90/AI$163,AJ$90/AJ$163),AJ$90/AJ$163) *AK$163</f>
        <v>11.466850654865818</v>
      </c>
      <c r="AL90" s="7">
        <f ca="1">IF(AL$6=OFFSET(Assumptions!$B$8,0,$C$1),AVERAGE(AI$90/AI$163,AJ$90/AJ$163,AK$90/AK$163),AK$90/AK$163) *AL$163</f>
        <v>11.923984625516672</v>
      </c>
      <c r="AM90" s="7">
        <f ca="1">IF(AM$6=OFFSET(Assumptions!$B$8,0,$C$1),AVERAGE(AJ$90/AJ$163,AK$90/AK$163,AL$90/AL$163),AL$90/AL$163) *AM$163</f>
        <v>12.397141997800395</v>
      </c>
      <c r="AN90" s="7">
        <f ca="1">IF(AN$6=OFFSET(Assumptions!$B$8,0,$C$1),AVERAGE(AK$90/AK$163,AL$90/AL$163,AM$90/AM$163),AM$90/AM$163) *AN$163</f>
        <v>12.886980929039732</v>
      </c>
      <c r="AO90" s="7">
        <f ca="1">IF(AO$6=OFFSET(Assumptions!$B$8,0,$C$1),AVERAGE(AL$90/AL$163,AM$90/AM$163,AN$90/AN$163),AN$90/AN$163) *AO$163</f>
        <v>13.391577991145855</v>
      </c>
      <c r="AP90" s="7">
        <f ca="1">IF(AP$6=OFFSET(Assumptions!$B$8,0,$C$1),AVERAGE(AM$90/AM$163,AN$90/AN$163,AO$90/AO$163),AO$90/AO$163) *AP$163</f>
        <v>13.913075953079741</v>
      </c>
      <c r="AQ90" s="7">
        <f ca="1">IF(AQ$6=OFFSET(Assumptions!$B$8,0,$C$1),AVERAGE(AN$90/AN$163,AO$90/AO$163,AP$90/AP$163),AP$90/AP$163) *AQ$163</f>
        <v>14.450013579197757</v>
      </c>
      <c r="AR90" s="7">
        <f ca="1">IF(AR$6=OFFSET(Assumptions!$B$8,0,$C$1),AVERAGE(AO$90/AO$163,AP$90/AP$163,AQ$90/AQ$163),AQ$90/AQ$163) *AR$163</f>
        <v>15.002998778949125</v>
      </c>
      <c r="AS90" s="7">
        <f ca="1">IF(AS$6=OFFSET(Assumptions!$B$8,0,$C$1),AVERAGE(AP$90/AP$163,AQ$90/AQ$163,AR$90/AR$163),AR$90/AR$163) *AS$163</f>
        <v>15.573321650854629</v>
      </c>
      <c r="AT90" s="7">
        <f ca="1">IF(AT$6=OFFSET(Assumptions!$B$8,0,$C$1),AVERAGE(AQ$90/AQ$163,AR$90/AR$163,AS$90/AS$163),AS$90/AS$163) *AT$163</f>
        <v>16.161437693120199</v>
      </c>
      <c r="AU90" s="7">
        <f ca="1">IF(AU$6=OFFSET(Assumptions!$B$8,0,$C$1),AVERAGE(AR$90/AR$163,AS$90/AS$163,AT$90/AT$163),AT$90/AT$163) *AU$163</f>
        <v>16.768128968788314</v>
      </c>
      <c r="AV90" s="7">
        <f ca="1">IF(AV$6=OFFSET(Assumptions!$B$8,0,$C$1),AVERAGE(AS$90/AS$163,AT$90/AT$163,AU$90/AU$163),AU$90/AU$163) *AV$163</f>
        <v>17.395271305440051</v>
      </c>
      <c r="AW90" s="7">
        <f ca="1">IF(AW$6=OFFSET(Assumptions!$B$8,0,$C$1),AVERAGE(AT$90/AT$163,AU$90/AU$163,AV$90/AV$163),AV$90/AV$163) *AW$163</f>
        <v>18.042510645994771</v>
      </c>
    </row>
    <row r="91" spans="1:49" ht="15" x14ac:dyDescent="0.25">
      <c r="A91" s="2" t="s">
        <v>196</v>
      </c>
      <c r="D91" s="40">
        <f t="shared" ref="D91:I91" si="77">SUM(D$86:D$90)</f>
        <v>94.094999999999985</v>
      </c>
      <c r="E91" s="39">
        <f t="shared" si="77"/>
        <v>97.541999999999987</v>
      </c>
      <c r="F91" s="39">
        <f t="shared" si="77"/>
        <v>98.63300000000001</v>
      </c>
      <c r="G91" s="39">
        <f t="shared" si="77"/>
        <v>103.07400000000001</v>
      </c>
      <c r="H91" s="39">
        <f t="shared" si="77"/>
        <v>108.63600000000001</v>
      </c>
      <c r="I91" s="39">
        <f t="shared" si="77"/>
        <v>113.434</v>
      </c>
      <c r="J91" s="43">
        <f t="shared" ref="J91:AW91" ca="1" si="78">SUM(J$86:J$90)</f>
        <v>118.36153499705686</v>
      </c>
      <c r="K91" s="43">
        <f t="shared" ca="1" si="78"/>
        <v>123.9402929742329</v>
      </c>
      <c r="L91" s="43">
        <f t="shared" ca="1" si="78"/>
        <v>129.64676654108263</v>
      </c>
      <c r="M91" s="43">
        <f t="shared" ca="1" si="78"/>
        <v>135.42492072312245</v>
      </c>
      <c r="N91" s="43">
        <f t="shared" ca="1" si="78"/>
        <v>141.41738988194712</v>
      </c>
      <c r="O91" s="43">
        <f t="shared" ca="1" si="78"/>
        <v>147.51648721571539</v>
      </c>
      <c r="P91" s="43">
        <f t="shared" ca="1" si="78"/>
        <v>154.01930260592314</v>
      </c>
      <c r="Q91" s="43">
        <f t="shared" ca="1" si="78"/>
        <v>160.60450450959766</v>
      </c>
      <c r="R91" s="43">
        <f t="shared" ca="1" si="78"/>
        <v>167.29663022575846</v>
      </c>
      <c r="S91" s="43">
        <f t="shared" ca="1" si="78"/>
        <v>174.18885304053796</v>
      </c>
      <c r="T91" s="43">
        <f t="shared" ca="1" si="78"/>
        <v>181.30543355184747</v>
      </c>
      <c r="U91" s="43">
        <f t="shared" ca="1" si="78"/>
        <v>188.66004220385886</v>
      </c>
      <c r="V91" s="43">
        <f t="shared" ca="1" si="78"/>
        <v>196.27558153442186</v>
      </c>
      <c r="W91" s="43">
        <f t="shared" ca="1" si="78"/>
        <v>204.17336362752911</v>
      </c>
      <c r="X91" s="43">
        <f t="shared" ca="1" si="78"/>
        <v>212.37450890285467</v>
      </c>
      <c r="Y91" s="43">
        <f t="shared" ca="1" si="78"/>
        <v>220.86418657273671</v>
      </c>
      <c r="Z91" s="43">
        <f t="shared" ca="1" si="78"/>
        <v>229.72624190364573</v>
      </c>
      <c r="AA91" s="43">
        <f t="shared" ca="1" si="78"/>
        <v>238.94385685821638</v>
      </c>
      <c r="AB91" s="43">
        <f t="shared" ca="1" si="78"/>
        <v>248.54030878622436</v>
      </c>
      <c r="AC91" s="43">
        <f t="shared" ca="1" si="78"/>
        <v>258.55476668856716</v>
      </c>
      <c r="AD91" s="43">
        <f t="shared" ca="1" si="78"/>
        <v>269.03059503110472</v>
      </c>
      <c r="AE91" s="43">
        <f t="shared" ca="1" si="78"/>
        <v>279.92950428757365</v>
      </c>
      <c r="AF91" s="43">
        <f t="shared" ca="1" si="78"/>
        <v>291.27330353386196</v>
      </c>
      <c r="AG91" s="43">
        <f t="shared" ca="1" si="78"/>
        <v>303.10505641792986</v>
      </c>
      <c r="AH91" s="43">
        <f t="shared" ca="1" si="78"/>
        <v>315.41819769130626</v>
      </c>
      <c r="AI91" s="43">
        <f t="shared" ca="1" si="78"/>
        <v>328.1860918144327</v>
      </c>
      <c r="AJ91" s="43">
        <f t="shared" ca="1" si="78"/>
        <v>341.4861624720026</v>
      </c>
      <c r="AK91" s="43">
        <f t="shared" ca="1" si="78"/>
        <v>355.29080846560561</v>
      </c>
      <c r="AL91" s="43">
        <f t="shared" ca="1" si="78"/>
        <v>369.58797040445097</v>
      </c>
      <c r="AM91" s="43">
        <f t="shared" ca="1" si="78"/>
        <v>384.40165208945962</v>
      </c>
      <c r="AN91" s="43">
        <f t="shared" ca="1" si="78"/>
        <v>399.75275192612986</v>
      </c>
      <c r="AO91" s="43">
        <f t="shared" ca="1" si="78"/>
        <v>415.58844526452492</v>
      </c>
      <c r="AP91" s="43">
        <f t="shared" ca="1" si="78"/>
        <v>431.97642233094075</v>
      </c>
      <c r="AQ91" s="43">
        <f t="shared" ca="1" si="78"/>
        <v>448.8742252623037</v>
      </c>
      <c r="AR91" s="43">
        <f t="shared" ca="1" si="78"/>
        <v>466.31327224925457</v>
      </c>
      <c r="AS91" s="43">
        <f t="shared" ca="1" si="78"/>
        <v>484.34382261928761</v>
      </c>
      <c r="AT91" s="43">
        <f t="shared" ca="1" si="78"/>
        <v>502.92029236826988</v>
      </c>
      <c r="AU91" s="43">
        <f t="shared" ca="1" si="78"/>
        <v>522.0975776804604</v>
      </c>
      <c r="AV91" s="43">
        <f t="shared" ca="1" si="78"/>
        <v>541.93076938959746</v>
      </c>
      <c r="AW91" s="43">
        <f t="shared" ca="1" si="78"/>
        <v>562.41308956207342</v>
      </c>
    </row>
    <row r="92" spans="1:49" x14ac:dyDescent="0.2">
      <c r="A92" s="1" t="s">
        <v>158</v>
      </c>
      <c r="B92" s="4" t="str">
        <f t="shared" si="76"/>
        <v>From Fiscal</v>
      </c>
      <c r="D92" s="18">
        <f>Fiscal!D$76</f>
        <v>23.896000000000001</v>
      </c>
      <c r="E92" s="19">
        <f>Fiscal!E$76</f>
        <v>24.449000000000002</v>
      </c>
      <c r="F92" s="19">
        <f>Fiscal!F$76</f>
        <v>25.384</v>
      </c>
      <c r="G92" s="19">
        <f>Fiscal!G$76</f>
        <v>26.039000000000001</v>
      </c>
      <c r="H92" s="19">
        <f>Fiscal!H$76</f>
        <v>26.815000000000001</v>
      </c>
      <c r="I92" s="19">
        <f>Fiscal!I$76</f>
        <v>27.83</v>
      </c>
      <c r="J92" s="7">
        <f t="shared" ref="J92:AW92" ca="1" si="79">J$177</f>
        <v>29.68333610928552</v>
      </c>
      <c r="K92" s="7">
        <f t="shared" ca="1" si="79"/>
        <v>31.772385841837348</v>
      </c>
      <c r="L92" s="7">
        <f t="shared" ca="1" si="79"/>
        <v>33.983950794995771</v>
      </c>
      <c r="M92" s="7">
        <f t="shared" ca="1" si="79"/>
        <v>36.2937738783315</v>
      </c>
      <c r="N92" s="7">
        <f t="shared" ca="1" si="79"/>
        <v>38.733875764795172</v>
      </c>
      <c r="O92" s="7">
        <f t="shared" ca="1" si="79"/>
        <v>41.235254289084693</v>
      </c>
      <c r="P92" s="7">
        <f t="shared" ca="1" si="79"/>
        <v>43.784210719566552</v>
      </c>
      <c r="Q92" s="7">
        <f t="shared" ca="1" si="79"/>
        <v>46.430691657400104</v>
      </c>
      <c r="R92" s="7">
        <f t="shared" ca="1" si="79"/>
        <v>49.160235948216403</v>
      </c>
      <c r="S92" s="7">
        <f t="shared" ca="1" si="79"/>
        <v>51.939510564326909</v>
      </c>
      <c r="T92" s="7">
        <f t="shared" ca="1" si="79"/>
        <v>54.807576101995245</v>
      </c>
      <c r="U92" s="7">
        <f t="shared" ca="1" si="79"/>
        <v>57.795919425224959</v>
      </c>
      <c r="V92" s="7">
        <f t="shared" ca="1" si="79"/>
        <v>60.918297992108464</v>
      </c>
      <c r="W92" s="7">
        <f t="shared" ca="1" si="79"/>
        <v>63.993070743986749</v>
      </c>
      <c r="X92" s="7">
        <f t="shared" ca="1" si="79"/>
        <v>67.093851455952759</v>
      </c>
      <c r="Y92" s="7">
        <f t="shared" ca="1" si="79"/>
        <v>70.35306656449373</v>
      </c>
      <c r="Z92" s="7">
        <f t="shared" ca="1" si="79"/>
        <v>73.698061862357577</v>
      </c>
      <c r="AA92" s="7">
        <f t="shared" ca="1" si="79"/>
        <v>77.096349300327816</v>
      </c>
      <c r="AB92" s="7">
        <f t="shared" ca="1" si="79"/>
        <v>80.538880960475211</v>
      </c>
      <c r="AC92" s="7">
        <f t="shared" ca="1" si="79"/>
        <v>84.020279546922168</v>
      </c>
      <c r="AD92" s="7">
        <f t="shared" ca="1" si="79"/>
        <v>87.533165051181413</v>
      </c>
      <c r="AE92" s="7">
        <f t="shared" ca="1" si="79"/>
        <v>91.162382565072733</v>
      </c>
      <c r="AF92" s="7">
        <f t="shared" ca="1" si="79"/>
        <v>94.871275417606284</v>
      </c>
      <c r="AG92" s="7">
        <f t="shared" ca="1" si="79"/>
        <v>98.757767288900766</v>
      </c>
      <c r="AH92" s="7">
        <f t="shared" ca="1" si="79"/>
        <v>102.78524262264594</v>
      </c>
      <c r="AI92" s="7">
        <f t="shared" ca="1" si="79"/>
        <v>106.97099062379525</v>
      </c>
      <c r="AJ92" s="7">
        <f t="shared" ca="1" si="79"/>
        <v>111.33052832691722</v>
      </c>
      <c r="AK92" s="7">
        <f t="shared" ca="1" si="79"/>
        <v>115.9098097394203</v>
      </c>
      <c r="AL92" s="7">
        <f t="shared" ca="1" si="79"/>
        <v>120.65934366807859</v>
      </c>
      <c r="AM92" s="7">
        <f t="shared" ca="1" si="79"/>
        <v>125.60317878851941</v>
      </c>
      <c r="AN92" s="7">
        <f t="shared" ca="1" si="79"/>
        <v>130.78949566218435</v>
      </c>
      <c r="AO92" s="7">
        <f t="shared" ca="1" si="79"/>
        <v>136.24072925513516</v>
      </c>
      <c r="AP92" s="7">
        <f t="shared" ca="1" si="79"/>
        <v>142.05013988359156</v>
      </c>
      <c r="AQ92" s="7">
        <f t="shared" ca="1" si="79"/>
        <v>148.19594097787495</v>
      </c>
      <c r="AR92" s="7">
        <f t="shared" ca="1" si="79"/>
        <v>154.75226859319369</v>
      </c>
      <c r="AS92" s="7">
        <f t="shared" ca="1" si="79"/>
        <v>161.71833891017457</v>
      </c>
      <c r="AT92" s="7">
        <f t="shared" ca="1" si="79"/>
        <v>168.88747588696103</v>
      </c>
      <c r="AU92" s="7">
        <f t="shared" ca="1" si="79"/>
        <v>176.34189330529401</v>
      </c>
      <c r="AV92" s="7">
        <f t="shared" ca="1" si="79"/>
        <v>184.0460498973458</v>
      </c>
      <c r="AW92" s="7">
        <f t="shared" ca="1" si="79"/>
        <v>192.07702097990114</v>
      </c>
    </row>
    <row r="93" spans="1:49" x14ac:dyDescent="0.2">
      <c r="A93" s="1" t="s">
        <v>197</v>
      </c>
      <c r="B93" s="4" t="str">
        <f t="shared" si="76"/>
        <v>From Fiscal</v>
      </c>
      <c r="D93" s="18">
        <f>Fiscal!D$77</f>
        <v>60.009</v>
      </c>
      <c r="E93" s="19">
        <f ca="1">Fiscal!E$77 +IF(OR(OFFSET(Assumptions!$B$72,0,$C$1)="BU",OFFSET(Assumptions!$B$113,0,$C$1)="SND"),Allocate!C$25,0)</f>
        <v>61.512</v>
      </c>
      <c r="F93" s="19">
        <f ca="1">Fiscal!F$77 +IF(OR(OFFSET(Assumptions!$B$72,0,$C$1)="BU",OFFSET(Assumptions!$B$113,0,$C$1)="SND"),Allocate!D$25,0)</f>
        <v>63.26</v>
      </c>
      <c r="G93" s="19">
        <f ca="1">Fiscal!G$77 +IF(OR(OFFSET(Assumptions!$B$72,0,$C$1)="BU",OFFSET(Assumptions!$B$113,0,$C$1)="SND"),Allocate!E$25,0)</f>
        <v>64.628</v>
      </c>
      <c r="H93" s="19">
        <f ca="1">Fiscal!H$77 +IF(OR(OFFSET(Assumptions!$B$72,0,$C$1)="BU",OFFSET(Assumptions!$B$113,0,$C$1)="SND"),Allocate!F$25,0)</f>
        <v>65.316000000000003</v>
      </c>
      <c r="I93" s="19">
        <f ca="1">Fiscal!I$77 +IF(OR(OFFSET(Assumptions!$B$72,0,$C$1)="BU",OFFSET(Assumptions!$B$113,0,$C$1)="SND"),Allocate!G$25,0)</f>
        <v>67.343000000000004</v>
      </c>
      <c r="J93" s="7">
        <f t="shared" ref="J93:AW93" ca="1" si="80">SUM(J$196,J$209-(J$145-J$87),J$224)-SUM(J$269,J$387,J$390)+SUM(J$396-I$396,J$400-I$400)-SUM(J$450-J$446-J$447-(I$450-I$446-I$447),J$460-I$460,J$465-I$465,J$469-I$469)</f>
        <v>71.021071290967171</v>
      </c>
      <c r="K93" s="7">
        <f t="shared" ca="1" si="80"/>
        <v>75.58967448122894</v>
      </c>
      <c r="L93" s="7">
        <f t="shared" ca="1" si="80"/>
        <v>79.83296880115293</v>
      </c>
      <c r="M93" s="7">
        <f t="shared" ca="1" si="80"/>
        <v>83.927521751683912</v>
      </c>
      <c r="N93" s="7">
        <f t="shared" ca="1" si="80"/>
        <v>87.817282848553461</v>
      </c>
      <c r="O93" s="7">
        <f t="shared" ca="1" si="80"/>
        <v>92.176099312173591</v>
      </c>
      <c r="P93" s="7">
        <f t="shared" ca="1" si="80"/>
        <v>96.589307082059321</v>
      </c>
      <c r="Q93" s="7">
        <f t="shared" ca="1" si="80"/>
        <v>101.14424529830094</v>
      </c>
      <c r="R93" s="7">
        <f t="shared" ca="1" si="80"/>
        <v>105.87798369396866</v>
      </c>
      <c r="S93" s="7">
        <f t="shared" ca="1" si="80"/>
        <v>110.76749780969173</v>
      </c>
      <c r="T93" s="7">
        <f t="shared" ca="1" si="80"/>
        <v>115.85161397271098</v>
      </c>
      <c r="U93" s="7">
        <f t="shared" ca="1" si="80"/>
        <v>121.17418032301632</v>
      </c>
      <c r="V93" s="7">
        <f t="shared" ca="1" si="80"/>
        <v>126.70719174353962</v>
      </c>
      <c r="W93" s="7">
        <f t="shared" ca="1" si="80"/>
        <v>132.47124717220117</v>
      </c>
      <c r="X93" s="7">
        <f t="shared" ca="1" si="80"/>
        <v>138.45140864188687</v>
      </c>
      <c r="Y93" s="7">
        <f t="shared" ca="1" si="80"/>
        <v>144.66352942823127</v>
      </c>
      <c r="Z93" s="7">
        <f t="shared" ca="1" si="80"/>
        <v>151.13170093997152</v>
      </c>
      <c r="AA93" s="7">
        <f t="shared" ca="1" si="80"/>
        <v>157.87075675235681</v>
      </c>
      <c r="AB93" s="7">
        <f t="shared" ca="1" si="80"/>
        <v>164.89789466053077</v>
      </c>
      <c r="AC93" s="7">
        <f t="shared" ca="1" si="80"/>
        <v>172.19823965863742</v>
      </c>
      <c r="AD93" s="7">
        <f t="shared" ca="1" si="80"/>
        <v>179.75640374691937</v>
      </c>
      <c r="AE93" s="7">
        <f t="shared" ca="1" si="80"/>
        <v>187.61955025683488</v>
      </c>
      <c r="AF93" s="7">
        <f t="shared" ca="1" si="80"/>
        <v>195.84266206067974</v>
      </c>
      <c r="AG93" s="7">
        <f t="shared" ca="1" si="80"/>
        <v>204.42593414866514</v>
      </c>
      <c r="AH93" s="7">
        <f t="shared" ca="1" si="80"/>
        <v>213.3685644321358</v>
      </c>
      <c r="AI93" s="7">
        <f t="shared" ca="1" si="80"/>
        <v>222.66722798032023</v>
      </c>
      <c r="AJ93" s="7">
        <f t="shared" ca="1" si="80"/>
        <v>232.3319932954096</v>
      </c>
      <c r="AK93" s="7">
        <f t="shared" ca="1" si="80"/>
        <v>242.39198916825265</v>
      </c>
      <c r="AL93" s="7">
        <f t="shared" ca="1" si="80"/>
        <v>252.85420769502761</v>
      </c>
      <c r="AM93" s="7">
        <f t="shared" ca="1" si="80"/>
        <v>263.73452364324629</v>
      </c>
      <c r="AN93" s="7">
        <f t="shared" ca="1" si="80"/>
        <v>275.07489401130368</v>
      </c>
      <c r="AO93" s="7">
        <f t="shared" ca="1" si="80"/>
        <v>286.88863810847494</v>
      </c>
      <c r="AP93" s="7">
        <f t="shared" ca="1" si="80"/>
        <v>299.21039416081396</v>
      </c>
      <c r="AQ93" s="7">
        <f t="shared" ca="1" si="80"/>
        <v>312.04746729328201</v>
      </c>
      <c r="AR93" s="7">
        <f t="shared" ca="1" si="80"/>
        <v>325.42189998944303</v>
      </c>
      <c r="AS93" s="7">
        <f t="shared" ca="1" si="80"/>
        <v>339.34855543190992</v>
      </c>
      <c r="AT93" s="7">
        <f t="shared" ca="1" si="80"/>
        <v>353.86916726565289</v>
      </c>
      <c r="AU93" s="7">
        <f t="shared" ca="1" si="80"/>
        <v>368.9519295224884</v>
      </c>
      <c r="AV93" s="7">
        <f t="shared" ca="1" si="80"/>
        <v>384.63478287255339</v>
      </c>
      <c r="AW93" s="7">
        <f t="shared" ca="1" si="80"/>
        <v>400.96811810963493</v>
      </c>
    </row>
    <row r="94" spans="1:49" x14ac:dyDescent="0.2">
      <c r="A94" s="1" t="s">
        <v>198</v>
      </c>
      <c r="B94" s="4" t="str">
        <f t="shared" si="76"/>
        <v>From Fiscal</v>
      </c>
      <c r="D94" s="18">
        <f>Fiscal!D$78</f>
        <v>4.5979999999999999</v>
      </c>
      <c r="E94" s="19">
        <f>Fiscal!E$78</f>
        <v>4.4379999999999997</v>
      </c>
      <c r="F94" s="19">
        <f>Fiscal!F$78</f>
        <v>4.6820000000000004</v>
      </c>
      <c r="G94" s="19">
        <f>Fiscal!G$78</f>
        <v>4.8239999999999998</v>
      </c>
      <c r="H94" s="19">
        <f>Fiscal!H$78</f>
        <v>4.8929999999999998</v>
      </c>
      <c r="I94" s="19">
        <f>Fiscal!I$78</f>
        <v>4.6909999999999998</v>
      </c>
      <c r="J94" s="7">
        <f ca="1">IF(J$6=OFFSET(Assumptions!$B$8,0,$C$1),AVERAGE(G$94/G$216,H$94/H$216,I$94/I$216),I$94/I$216)*J$216</f>
        <v>5.0662979602570193</v>
      </c>
      <c r="K94" s="7">
        <f ca="1">IF(K$6=OFFSET(Assumptions!$B$8,0,$C$1),AVERAGE(H$94/H$216,I$94/I$216,J$94/J$216),J$94/J$216)*K$216</f>
        <v>5.3751815873525972</v>
      </c>
      <c r="L94" s="7">
        <f ca="1">IF(L$6=OFFSET(Assumptions!$B$8,0,$C$1),AVERAGE(I$94/I$216,J$94/J$216,K$94/K$216),K$94/K$216)*L$216</f>
        <v>5.7847985063433551</v>
      </c>
      <c r="M94" s="7">
        <f ca="1">IF(M$6=OFFSET(Assumptions!$B$8,0,$C$1),AVERAGE(J$94/J$216,K$94/K$216,L$94/L$216),L$94/L$216)*M$216</f>
        <v>6.2812213320832866</v>
      </c>
      <c r="N94" s="7">
        <f ca="1">IF(N$6=OFFSET(Assumptions!$B$8,0,$C$1),AVERAGE(K$94/K$216,L$94/L$216,M$94/M$216),M$94/M$216)*N$216</f>
        <v>6.8646419617706194</v>
      </c>
      <c r="O94" s="7">
        <f ca="1">IF(O$6=OFFSET(Assumptions!$B$8,0,$C$1),AVERAGE(L$94/L$216,M$94/M$216,N$94/N$216),N$94/N$216)*O$216</f>
        <v>7.5501941893803162</v>
      </c>
      <c r="P94" s="7">
        <f ca="1">IF(P$6=OFFSET(Assumptions!$B$8,0,$C$1),AVERAGE(M$94/M$216,N$94/N$216,O$94/O$216),O$94/O$216)*P$216</f>
        <v>8.3517333624448149</v>
      </c>
      <c r="Q94" s="7">
        <f ca="1">IF(Q$6=OFFSET(Assumptions!$B$8,0,$C$1),AVERAGE(N$94/N$216,O$94/O$216,P$94/P$216),P$94/P$216)*Q$216</f>
        <v>9.012878680814211</v>
      </c>
      <c r="R94" s="7">
        <f ca="1">IF(R$6=OFFSET(Assumptions!$B$8,0,$C$1),AVERAGE(O$94/O$216,P$94/P$216,Q$94/Q$216),Q$94/Q$216)*R$216</f>
        <v>9.757141254071275</v>
      </c>
      <c r="S94" s="7">
        <f ca="1">IF(S$6=OFFSET(Assumptions!$B$8,0,$C$1),AVERAGE(P$94/P$216,Q$94/Q$216,R$94/R$216),R$94/R$216)*S$216</f>
        <v>10.601034470744926</v>
      </c>
      <c r="T94" s="7">
        <f ca="1">IF(T$6=OFFSET(Assumptions!$B$8,0,$C$1),AVERAGE(Q$94/Q$216,R$94/R$216,S$94/S$216),S$94/S$216)*T$216</f>
        <v>11.554250922733363</v>
      </c>
      <c r="U94" s="7">
        <f ca="1">IF(U$6=OFFSET(Assumptions!$B$8,0,$C$1),AVERAGE(R$94/R$216,S$94/S$216,T$94/T$216),T$94/T$216)*U$216</f>
        <v>12.629051225171146</v>
      </c>
      <c r="V94" s="7">
        <f ca="1">IF(V$6=OFFSET(Assumptions!$B$8,0,$C$1),AVERAGE(S$94/S$216,T$94/T$216,U$94/U$216),U$94/U$216)*V$216</f>
        <v>13.838214471734766</v>
      </c>
      <c r="W94" s="7">
        <f ca="1">IF(W$6=OFFSET(Assumptions!$B$8,0,$C$1),AVERAGE(T$94/T$216,U$94/U$216,V$94/V$216),V$94/V$216)*W$216</f>
        <v>15.189412036414168</v>
      </c>
      <c r="X94" s="7">
        <f ca="1">IF(X$6=OFFSET(Assumptions!$B$8,0,$C$1),AVERAGE(U$94/U$216,V$94/V$216,W$94/W$216),W$94/W$216)*X$216</f>
        <v>16.687452753857791</v>
      </c>
      <c r="Y94" s="7">
        <f ca="1">IF(Y$6=OFFSET(Assumptions!$B$8,0,$C$1),AVERAGE(V$94/V$216,W$94/W$216,X$94/X$216),X$94/X$216)*Y$216</f>
        <v>18.341701712171183</v>
      </c>
      <c r="Z94" s="7">
        <f ca="1">IF(Z$6=OFFSET(Assumptions!$B$8,0,$C$1),AVERAGE(W$94/W$216,X$94/X$216,Y$94/Y$216),Y$94/Y$216)*Z$216</f>
        <v>20.164919039704124</v>
      </c>
      <c r="AA94" s="7">
        <f ca="1">IF(AA$6=OFFSET(Assumptions!$B$8,0,$C$1),AVERAGE(X$94/X$216,Y$94/Y$216,Z$94/Z$216),Z$94/Z$216)*AA$216</f>
        <v>22.170690637801282</v>
      </c>
      <c r="AB94" s="7">
        <f ca="1">IF(AB$6=OFFSET(Assumptions!$B$8,0,$C$1),AVERAGE(Y$94/Y$216,Z$94/Z$216,AA$94/AA$216),AA$94/AA$216)*AB$216</f>
        <v>24.373256196662101</v>
      </c>
      <c r="AC94" s="7">
        <f ca="1">IF(AC$6=OFFSET(Assumptions!$B$8,0,$C$1),AVERAGE(Z$94/Z$216,AA$94/AA$216,AB$94/AB$216),AB$94/AB$216)*AC$216</f>
        <v>26.786361713680666</v>
      </c>
      <c r="AD94" s="7">
        <f ca="1">IF(AD$6=OFFSET(Assumptions!$B$8,0,$C$1),AVERAGE(AA$94/AA$216,AB$94/AB$216,AC$94/AC$216),AC$94/AC$216)*AD$216</f>
        <v>29.422366724834539</v>
      </c>
      <c r="AE94" s="7">
        <f ca="1">IF(AE$6=OFFSET(Assumptions!$B$8,0,$C$1),AVERAGE(AB$94/AB$216,AC$94/AC$216,AD$94/AD$216),AD$94/AD$216)*AE$216</f>
        <v>32.29523627772641</v>
      </c>
      <c r="AF94" s="7">
        <f ca="1">IF(AF$6=OFFSET(Assumptions!$B$8,0,$C$1),AVERAGE(AC$94/AC$216,AD$94/AD$216,AE$94/AE$216),AE$94/AE$216)*AF$216</f>
        <v>35.422791316356012</v>
      </c>
      <c r="AG94" s="7">
        <f ca="1">IF(AG$6=OFFSET(Assumptions!$B$8,0,$C$1),AVERAGE(AD$94/AD$216,AE$94/AE$216,AF$94/AF$216),AF$94/AF$216)*AG$216</f>
        <v>38.824041046457879</v>
      </c>
      <c r="AH94" s="7">
        <f ca="1">IF(AH$6=OFFSET(Assumptions!$B$8,0,$C$1),AVERAGE(AE$94/AE$216,AF$94/AF$216,AG$94/AG$216),AG$94/AG$216)*AH$216</f>
        <v>42.518437186398415</v>
      </c>
      <c r="AI94" s="7">
        <f ca="1">IF(AI$6=OFFSET(Assumptions!$B$8,0,$C$1),AVERAGE(AF$94/AF$216,AG$94/AG$216,AH$94/AH$216),AH$94/AH$216)*AI$216</f>
        <v>46.526673033415193</v>
      </c>
      <c r="AJ94" s="7">
        <f ca="1">IF(AJ$6=OFFSET(Assumptions!$B$8,0,$C$1),AVERAGE(AG$94/AG$216,AH$94/AH$216,AI$94/AI$216),AI$94/AI$216)*AJ$216</f>
        <v>50.871143369920688</v>
      </c>
      <c r="AK94" s="7">
        <f ca="1">IF(AK$6=OFFSET(Assumptions!$B$8,0,$C$1),AVERAGE(AH$94/AH$216,AI$94/AI$216,AJ$94/AJ$216),AJ$94/AJ$216)*AK$216</f>
        <v>55.576469551663891</v>
      </c>
      <c r="AL94" s="7">
        <f ca="1">IF(AL$6=OFFSET(Assumptions!$B$8,0,$C$1),AVERAGE(AI$94/AI$216,AJ$94/AJ$216,AK$94/AK$216),AK$94/AK$216)*AL$216</f>
        <v>60.669019240063029</v>
      </c>
      <c r="AM94" s="7">
        <f ca="1">IF(AM$6=OFFSET(Assumptions!$B$8,0,$C$1),AVERAGE(AJ$94/AJ$216,AK$94/AK$216,AL$94/AL$216),AL$94/AL$216)*AM$216</f>
        <v>66.177234548535182</v>
      </c>
      <c r="AN94" s="7">
        <f ca="1">IF(AN$6=OFFSET(Assumptions!$B$8,0,$C$1),AVERAGE(AK$94/AK$216,AL$94/AL$216,AM$94/AM$216),AM$94/AM$216)*AN$216</f>
        <v>72.132236227568711</v>
      </c>
      <c r="AO94" s="7">
        <f ca="1">IF(AO$6=OFFSET(Assumptions!$B$8,0,$C$1),AVERAGE(AL$94/AL$216,AM$94/AM$216,AN$94/AN$216),AN$94/AN$216)*AO$216</f>
        <v>78.569472773128041</v>
      </c>
      <c r="AP94" s="7">
        <f ca="1">IF(AP$6=OFFSET(Assumptions!$B$8,0,$C$1),AVERAGE(AM$94/AM$216,AN$94/AN$216,AO$94/AO$216),AO$94/AO$216)*AP$216</f>
        <v>85.528407308156687</v>
      </c>
      <c r="AQ94" s="7">
        <f ca="1">IF(AQ$6=OFFSET(Assumptions!$B$8,0,$C$1),AVERAGE(AN$94/AN$216,AO$94/AO$216,AP$94/AP$216),AP$94/AP$216)*AQ$216</f>
        <v>93.050938191931053</v>
      </c>
      <c r="AR94" s="7">
        <f ca="1">IF(AR$6=OFFSET(Assumptions!$B$8,0,$C$1),AVERAGE(AO$94/AO$216,AP$94/AP$216,AQ$94/AQ$216),AQ$94/AQ$216)*AR$216</f>
        <v>101.1827378405509</v>
      </c>
      <c r="AS94" s="7">
        <f ca="1">IF(AS$6=OFFSET(Assumptions!$B$8,0,$C$1),AVERAGE(AP$94/AP$216,AQ$94/AQ$216,AR$94/AR$216),AR$94/AR$216)*AS$216</f>
        <v>109.97313183768887</v>
      </c>
      <c r="AT94" s="7">
        <f ca="1">IF(AT$6=OFFSET(Assumptions!$B$8,0,$C$1),AVERAGE(AQ$94/AQ$216,AR$94/AR$216,AS$94/AS$216),AS$94/AS$216)*AT$216</f>
        <v>119.4688318275321</v>
      </c>
      <c r="AU94" s="7">
        <f ca="1">IF(AU$6=OFFSET(Assumptions!$B$8,0,$C$1),AVERAGE(AR$94/AR$216,AS$94/AS$216,AT$94/AT$216),AT$94/AT$216)*AU$216</f>
        <v>129.72059998298391</v>
      </c>
      <c r="AV94" s="7">
        <f ca="1">IF(AV$6=OFFSET(Assumptions!$B$8,0,$C$1),AVERAGE(AS$94/AS$216,AT$94/AT$216,AU$94/AU$216),AU$94/AU$216)*AV$216</f>
        <v>140.78705487560921</v>
      </c>
      <c r="AW94" s="7">
        <f ca="1">IF(AW$6=OFFSET(Assumptions!$B$8,0,$C$1),AVERAGE(AT$94/AT$216,AU$94/AU$216,AV$94/AV$216),AV$94/AV$216)*AW$216</f>
        <v>152.72923937928536</v>
      </c>
    </row>
    <row r="95" spans="1:49" x14ac:dyDescent="0.2">
      <c r="A95" s="1" t="s">
        <v>733</v>
      </c>
      <c r="B95" s="4"/>
      <c r="D95" s="18">
        <f t="shared" ref="D95" si="81">SUM(D$229,D$231)</f>
        <v>0</v>
      </c>
      <c r="E95" s="19">
        <f t="shared" ref="E95:AW95" ca="1" si="82">SUM(E$229,E$231)</f>
        <v>0</v>
      </c>
      <c r="F95" s="19">
        <f t="shared" ca="1" si="82"/>
        <v>0</v>
      </c>
      <c r="G95" s="19">
        <f t="shared" ca="1" si="82"/>
        <v>0</v>
      </c>
      <c r="H95" s="19">
        <f t="shared" ca="1" si="82"/>
        <v>0</v>
      </c>
      <c r="I95" s="19">
        <f t="shared" ca="1" si="82"/>
        <v>0</v>
      </c>
      <c r="J95" s="7">
        <f t="shared" ca="1" si="82"/>
        <v>0</v>
      </c>
      <c r="K95" s="7">
        <f t="shared" ca="1" si="82"/>
        <v>0</v>
      </c>
      <c r="L95" s="7">
        <f t="shared" ca="1" si="82"/>
        <v>0</v>
      </c>
      <c r="M95" s="7">
        <f t="shared" ca="1" si="82"/>
        <v>0</v>
      </c>
      <c r="N95" s="7">
        <f t="shared" ca="1" si="82"/>
        <v>0</v>
      </c>
      <c r="O95" s="7">
        <f t="shared" ca="1" si="82"/>
        <v>0</v>
      </c>
      <c r="P95" s="7">
        <f t="shared" ca="1" si="82"/>
        <v>0</v>
      </c>
      <c r="Q95" s="7">
        <f t="shared" ca="1" si="82"/>
        <v>0</v>
      </c>
      <c r="R95" s="7">
        <f t="shared" ca="1" si="82"/>
        <v>0</v>
      </c>
      <c r="S95" s="7">
        <f t="shared" ca="1" si="82"/>
        <v>0</v>
      </c>
      <c r="T95" s="7">
        <f t="shared" ca="1" si="82"/>
        <v>0</v>
      </c>
      <c r="U95" s="7">
        <f t="shared" ca="1" si="82"/>
        <v>0</v>
      </c>
      <c r="V95" s="7">
        <f t="shared" ca="1" si="82"/>
        <v>0</v>
      </c>
      <c r="W95" s="7">
        <f t="shared" ca="1" si="82"/>
        <v>0</v>
      </c>
      <c r="X95" s="7">
        <f t="shared" ca="1" si="82"/>
        <v>0</v>
      </c>
      <c r="Y95" s="7">
        <f t="shared" ca="1" si="82"/>
        <v>0</v>
      </c>
      <c r="Z95" s="7">
        <f t="shared" ca="1" si="82"/>
        <v>0</v>
      </c>
      <c r="AA95" s="7">
        <f t="shared" ca="1" si="82"/>
        <v>0</v>
      </c>
      <c r="AB95" s="7">
        <f t="shared" ca="1" si="82"/>
        <v>0</v>
      </c>
      <c r="AC95" s="7">
        <f t="shared" ca="1" si="82"/>
        <v>0</v>
      </c>
      <c r="AD95" s="7">
        <f t="shared" ca="1" si="82"/>
        <v>0</v>
      </c>
      <c r="AE95" s="7">
        <f t="shared" ca="1" si="82"/>
        <v>0</v>
      </c>
      <c r="AF95" s="7">
        <f t="shared" ca="1" si="82"/>
        <v>0</v>
      </c>
      <c r="AG95" s="7">
        <f t="shared" ca="1" si="82"/>
        <v>0</v>
      </c>
      <c r="AH95" s="7">
        <f t="shared" ca="1" si="82"/>
        <v>0</v>
      </c>
      <c r="AI95" s="7">
        <f t="shared" ca="1" si="82"/>
        <v>0</v>
      </c>
      <c r="AJ95" s="7">
        <f t="shared" ca="1" si="82"/>
        <v>0</v>
      </c>
      <c r="AK95" s="7">
        <f t="shared" ca="1" si="82"/>
        <v>0</v>
      </c>
      <c r="AL95" s="7">
        <f t="shared" ca="1" si="82"/>
        <v>0</v>
      </c>
      <c r="AM95" s="7">
        <f t="shared" ca="1" si="82"/>
        <v>0</v>
      </c>
      <c r="AN95" s="7">
        <f t="shared" ca="1" si="82"/>
        <v>0</v>
      </c>
      <c r="AO95" s="7">
        <f t="shared" ca="1" si="82"/>
        <v>0</v>
      </c>
      <c r="AP95" s="7">
        <f t="shared" ca="1" si="82"/>
        <v>0</v>
      </c>
      <c r="AQ95" s="7">
        <f t="shared" ca="1" si="82"/>
        <v>0</v>
      </c>
      <c r="AR95" s="7">
        <f t="shared" ca="1" si="82"/>
        <v>0</v>
      </c>
      <c r="AS95" s="7">
        <f t="shared" ca="1" si="82"/>
        <v>0</v>
      </c>
      <c r="AT95" s="7">
        <f t="shared" ca="1" si="82"/>
        <v>0</v>
      </c>
      <c r="AU95" s="7">
        <f t="shared" ca="1" si="82"/>
        <v>0</v>
      </c>
      <c r="AV95" s="7">
        <f t="shared" ca="1" si="82"/>
        <v>0</v>
      </c>
      <c r="AW95" s="7">
        <f t="shared" ca="1" si="82"/>
        <v>0</v>
      </c>
    </row>
    <row r="96" spans="1:49" ht="15" x14ac:dyDescent="0.25">
      <c r="A96" s="2" t="s">
        <v>735</v>
      </c>
      <c r="D96" s="40">
        <f t="shared" ref="D96" si="83">SUM(D$92:D$95)</f>
        <v>88.503</v>
      </c>
      <c r="E96" s="39">
        <f t="shared" ref="E96:AW96" ca="1" si="84">SUM(E$92:E$95)</f>
        <v>90.399000000000001</v>
      </c>
      <c r="F96" s="39">
        <f t="shared" ca="1" si="84"/>
        <v>93.326000000000008</v>
      </c>
      <c r="G96" s="39">
        <f t="shared" ca="1" si="84"/>
        <v>95.491</v>
      </c>
      <c r="H96" s="39">
        <f t="shared" ca="1" si="84"/>
        <v>97.024000000000001</v>
      </c>
      <c r="I96" s="39">
        <f t="shared" ca="1" si="84"/>
        <v>99.864000000000004</v>
      </c>
      <c r="J96" s="43">
        <f t="shared" ca="1" si="84"/>
        <v>105.77070536050971</v>
      </c>
      <c r="K96" s="43">
        <f t="shared" ca="1" si="84"/>
        <v>112.73724191041889</v>
      </c>
      <c r="L96" s="43">
        <f t="shared" ca="1" si="84"/>
        <v>119.60171810249204</v>
      </c>
      <c r="M96" s="43">
        <f t="shared" ca="1" si="84"/>
        <v>126.50251696209871</v>
      </c>
      <c r="N96" s="43">
        <f t="shared" ca="1" si="84"/>
        <v>133.41580057511925</v>
      </c>
      <c r="O96" s="43">
        <f t="shared" ca="1" si="84"/>
        <v>140.96154779063858</v>
      </c>
      <c r="P96" s="43">
        <f t="shared" ca="1" si="84"/>
        <v>148.72525116407067</v>
      </c>
      <c r="Q96" s="43">
        <f t="shared" ca="1" si="84"/>
        <v>156.58781563651524</v>
      </c>
      <c r="R96" s="43">
        <f t="shared" ca="1" si="84"/>
        <v>164.79536089625634</v>
      </c>
      <c r="S96" s="43">
        <f t="shared" ca="1" si="84"/>
        <v>173.30804284476358</v>
      </c>
      <c r="T96" s="43">
        <f t="shared" ca="1" si="84"/>
        <v>182.21344099743959</v>
      </c>
      <c r="U96" s="43">
        <f t="shared" ca="1" si="84"/>
        <v>191.59915097341241</v>
      </c>
      <c r="V96" s="43">
        <f t="shared" ca="1" si="84"/>
        <v>201.46370420738288</v>
      </c>
      <c r="W96" s="43">
        <f t="shared" ca="1" si="84"/>
        <v>211.65372995260208</v>
      </c>
      <c r="X96" s="43">
        <f t="shared" ca="1" si="84"/>
        <v>222.23271285169741</v>
      </c>
      <c r="Y96" s="43">
        <f t="shared" ca="1" si="84"/>
        <v>233.35829770489619</v>
      </c>
      <c r="Z96" s="43">
        <f t="shared" ca="1" si="84"/>
        <v>244.99468184203323</v>
      </c>
      <c r="AA96" s="43">
        <f t="shared" ca="1" si="84"/>
        <v>257.13779669048591</v>
      </c>
      <c r="AB96" s="43">
        <f t="shared" ca="1" si="84"/>
        <v>269.81003181766806</v>
      </c>
      <c r="AC96" s="43">
        <f t="shared" ca="1" si="84"/>
        <v>283.00488091924024</v>
      </c>
      <c r="AD96" s="43">
        <f t="shared" ca="1" si="84"/>
        <v>296.71193552293533</v>
      </c>
      <c r="AE96" s="43">
        <f t="shared" ca="1" si="84"/>
        <v>311.07716909963403</v>
      </c>
      <c r="AF96" s="43">
        <f t="shared" ca="1" si="84"/>
        <v>326.13672879464207</v>
      </c>
      <c r="AG96" s="43">
        <f t="shared" ca="1" si="84"/>
        <v>342.00774248402377</v>
      </c>
      <c r="AH96" s="43">
        <f t="shared" ca="1" si="84"/>
        <v>358.67224424118012</v>
      </c>
      <c r="AI96" s="43">
        <f t="shared" ca="1" si="84"/>
        <v>376.16489163753067</v>
      </c>
      <c r="AJ96" s="43">
        <f t="shared" ca="1" si="84"/>
        <v>394.53366499224751</v>
      </c>
      <c r="AK96" s="43">
        <f t="shared" ca="1" si="84"/>
        <v>413.87826845933682</v>
      </c>
      <c r="AL96" s="43">
        <f t="shared" ca="1" si="84"/>
        <v>434.18257060316927</v>
      </c>
      <c r="AM96" s="43">
        <f t="shared" ca="1" si="84"/>
        <v>455.51493698030089</v>
      </c>
      <c r="AN96" s="43">
        <f t="shared" ca="1" si="84"/>
        <v>477.99662590105675</v>
      </c>
      <c r="AO96" s="43">
        <f t="shared" ca="1" si="84"/>
        <v>501.69884013673811</v>
      </c>
      <c r="AP96" s="43">
        <f t="shared" ca="1" si="84"/>
        <v>526.78894135256223</v>
      </c>
      <c r="AQ96" s="43">
        <f t="shared" ca="1" si="84"/>
        <v>553.294346463088</v>
      </c>
      <c r="AR96" s="43">
        <f t="shared" ca="1" si="84"/>
        <v>581.35690642318764</v>
      </c>
      <c r="AS96" s="43">
        <f t="shared" ca="1" si="84"/>
        <v>611.04002617977335</v>
      </c>
      <c r="AT96" s="43">
        <f t="shared" ca="1" si="84"/>
        <v>642.22547498014603</v>
      </c>
      <c r="AU96" s="43">
        <f t="shared" ca="1" si="84"/>
        <v>675.01442281076629</v>
      </c>
      <c r="AV96" s="43">
        <f t="shared" ca="1" si="84"/>
        <v>709.46788764550843</v>
      </c>
      <c r="AW96" s="43">
        <f t="shared" ca="1" si="84"/>
        <v>745.7743784688214</v>
      </c>
    </row>
    <row r="97" spans="1:49" ht="15" x14ac:dyDescent="0.25">
      <c r="A97" s="2" t="s">
        <v>377</v>
      </c>
      <c r="D97" s="41">
        <f t="shared" ref="D97" si="85">D$91-D$96</f>
        <v>5.5919999999999845</v>
      </c>
      <c r="E97" s="42">
        <f t="shared" ref="E97:AW97" ca="1" si="86">E$91-E$96</f>
        <v>7.1429999999999865</v>
      </c>
      <c r="F97" s="42">
        <f t="shared" ca="1" si="86"/>
        <v>5.3070000000000022</v>
      </c>
      <c r="G97" s="42">
        <f t="shared" ca="1" si="86"/>
        <v>7.5830000000000126</v>
      </c>
      <c r="H97" s="42">
        <f t="shared" ca="1" si="86"/>
        <v>11.612000000000009</v>
      </c>
      <c r="I97" s="42">
        <f t="shared" ca="1" si="86"/>
        <v>13.569999999999993</v>
      </c>
      <c r="J97" s="31">
        <f t="shared" ca="1" si="86"/>
        <v>12.590829636547156</v>
      </c>
      <c r="K97" s="31">
        <f t="shared" ca="1" si="86"/>
        <v>11.203051063814016</v>
      </c>
      <c r="L97" s="31">
        <f t="shared" ca="1" si="86"/>
        <v>10.045048438590584</v>
      </c>
      <c r="M97" s="31">
        <f t="shared" ca="1" si="86"/>
        <v>8.9224037610237446</v>
      </c>
      <c r="N97" s="31">
        <f t="shared" ca="1" si="86"/>
        <v>8.0015893068278672</v>
      </c>
      <c r="O97" s="31">
        <f t="shared" ca="1" si="86"/>
        <v>6.5549394250768103</v>
      </c>
      <c r="P97" s="31">
        <f t="shared" ca="1" si="86"/>
        <v>5.2940514418524742</v>
      </c>
      <c r="Q97" s="31">
        <f t="shared" ca="1" si="86"/>
        <v>4.0166888730824155</v>
      </c>
      <c r="R97" s="31">
        <f t="shared" ca="1" si="86"/>
        <v>2.5012693295021222</v>
      </c>
      <c r="S97" s="31">
        <f t="shared" ca="1" si="86"/>
        <v>0.88081019577438724</v>
      </c>
      <c r="T97" s="31">
        <f t="shared" ca="1" si="86"/>
        <v>-0.90800744559211921</v>
      </c>
      <c r="U97" s="31">
        <f t="shared" ca="1" si="86"/>
        <v>-2.9391087695535418</v>
      </c>
      <c r="V97" s="31">
        <f t="shared" ca="1" si="86"/>
        <v>-5.1881226729610148</v>
      </c>
      <c r="W97" s="31">
        <f t="shared" ca="1" si="86"/>
        <v>-7.4803663250729642</v>
      </c>
      <c r="X97" s="31">
        <f t="shared" ca="1" si="86"/>
        <v>-9.8582039488427426</v>
      </c>
      <c r="Y97" s="31">
        <f t="shared" ca="1" si="86"/>
        <v>-12.494111132159475</v>
      </c>
      <c r="Z97" s="31">
        <f t="shared" ca="1" si="86"/>
        <v>-15.268439938387502</v>
      </c>
      <c r="AA97" s="31">
        <f t="shared" ca="1" si="86"/>
        <v>-18.193939832269535</v>
      </c>
      <c r="AB97" s="31">
        <f t="shared" ca="1" si="86"/>
        <v>-21.269723031443704</v>
      </c>
      <c r="AC97" s="31">
        <f t="shared" ca="1" si="86"/>
        <v>-24.45011423067308</v>
      </c>
      <c r="AD97" s="31">
        <f t="shared" ca="1" si="86"/>
        <v>-27.681340491830611</v>
      </c>
      <c r="AE97" s="31">
        <f t="shared" ca="1" si="86"/>
        <v>-31.147664812060384</v>
      </c>
      <c r="AF97" s="31">
        <f t="shared" ca="1" si="86"/>
        <v>-34.863425260780105</v>
      </c>
      <c r="AG97" s="31">
        <f t="shared" ca="1" si="86"/>
        <v>-38.902686066093906</v>
      </c>
      <c r="AH97" s="31">
        <f t="shared" ca="1" si="86"/>
        <v>-43.254046549873863</v>
      </c>
      <c r="AI97" s="31">
        <f t="shared" ca="1" si="86"/>
        <v>-47.978799823097972</v>
      </c>
      <c r="AJ97" s="31">
        <f t="shared" ca="1" si="86"/>
        <v>-53.047502520244905</v>
      </c>
      <c r="AK97" s="31">
        <f t="shared" ca="1" si="86"/>
        <v>-58.587459993731215</v>
      </c>
      <c r="AL97" s="31">
        <f t="shared" ca="1" si="86"/>
        <v>-64.594600198718297</v>
      </c>
      <c r="AM97" s="31">
        <f t="shared" ca="1" si="86"/>
        <v>-71.113284890841271</v>
      </c>
      <c r="AN97" s="31">
        <f t="shared" ca="1" si="86"/>
        <v>-78.243873974926885</v>
      </c>
      <c r="AO97" s="31">
        <f t="shared" ca="1" si="86"/>
        <v>-86.110394872213192</v>
      </c>
      <c r="AP97" s="31">
        <f t="shared" ca="1" si="86"/>
        <v>-94.812519021621483</v>
      </c>
      <c r="AQ97" s="31">
        <f t="shared" ca="1" si="86"/>
        <v>-104.42012120078431</v>
      </c>
      <c r="AR97" s="31">
        <f t="shared" ca="1" si="86"/>
        <v>-115.04363417393307</v>
      </c>
      <c r="AS97" s="31">
        <f t="shared" ca="1" si="86"/>
        <v>-126.69620356048574</v>
      </c>
      <c r="AT97" s="31">
        <f t="shared" ca="1" si="86"/>
        <v>-139.30518261187615</v>
      </c>
      <c r="AU97" s="31">
        <f t="shared" ca="1" si="86"/>
        <v>-152.91684513030589</v>
      </c>
      <c r="AV97" s="31">
        <f t="shared" ca="1" si="86"/>
        <v>-167.53711825591097</v>
      </c>
      <c r="AW97" s="31">
        <f t="shared" ca="1" si="86"/>
        <v>-183.36128890674797</v>
      </c>
    </row>
    <row r="98" spans="1:49" x14ac:dyDescent="0.2">
      <c r="A98" s="1" t="s">
        <v>746</v>
      </c>
      <c r="B98" s="4" t="str">
        <f t="shared" ref="B98:B107" si="87">$B$43</f>
        <v>From Fiscal</v>
      </c>
      <c r="D98" s="18">
        <f>-Fiscal!D$81</f>
        <v>6.1769999999999996</v>
      </c>
      <c r="E98" s="19">
        <f>-Fiscal!E$81</f>
        <v>6.8840000000000003</v>
      </c>
      <c r="F98" s="19">
        <f>-Fiscal!F$81</f>
        <v>7.9710000000000001</v>
      </c>
      <c r="G98" s="19">
        <f>-Fiscal!G$81</f>
        <v>6.4649999999999999</v>
      </c>
      <c r="H98" s="19">
        <f>-Fiscal!H$81</f>
        <v>6.2590000000000003</v>
      </c>
      <c r="I98" s="19">
        <f>-Fiscal!I$81</f>
        <v>6.1390000000000002</v>
      </c>
      <c r="J98" s="7">
        <f t="shared" ref="J98:AW98" ca="1" si="88">SUM(J$408-I$408,J$414,J$46)</f>
        <v>7.4294324822132811</v>
      </c>
      <c r="K98" s="7">
        <f t="shared" ca="1" si="88"/>
        <v>7.7798557488228042</v>
      </c>
      <c r="L98" s="7">
        <f t="shared" ca="1" si="88"/>
        <v>8.1176864857396591</v>
      </c>
      <c r="M98" s="7">
        <f t="shared" ca="1" si="88"/>
        <v>8.4669246237190627</v>
      </c>
      <c r="N98" s="7">
        <f t="shared" ca="1" si="88"/>
        <v>8.8323783288213313</v>
      </c>
      <c r="O98" s="7">
        <f t="shared" ca="1" si="88"/>
        <v>9.2070676655207855</v>
      </c>
      <c r="P98" s="7">
        <f t="shared" ca="1" si="88"/>
        <v>9.595686481523618</v>
      </c>
      <c r="Q98" s="7">
        <f t="shared" ca="1" si="88"/>
        <v>9.9960231498537713</v>
      </c>
      <c r="R98" s="7">
        <f t="shared" ca="1" si="88"/>
        <v>10.408890926299041</v>
      </c>
      <c r="S98" s="7">
        <f t="shared" ca="1" si="88"/>
        <v>10.836442717293313</v>
      </c>
      <c r="T98" s="7">
        <f t="shared" ca="1" si="88"/>
        <v>11.277938485280099</v>
      </c>
      <c r="U98" s="7">
        <f t="shared" ca="1" si="88"/>
        <v>11.733756190705829</v>
      </c>
      <c r="V98" s="7">
        <f t="shared" ca="1" si="88"/>
        <v>12.20788039626672</v>
      </c>
      <c r="W98" s="7">
        <f t="shared" ca="1" si="88"/>
        <v>12.696606442277655</v>
      </c>
      <c r="X98" s="7">
        <f t="shared" ca="1" si="88"/>
        <v>13.207208668161787</v>
      </c>
      <c r="Y98" s="7">
        <f t="shared" ca="1" si="88"/>
        <v>13.733894070769221</v>
      </c>
      <c r="Z98" s="7">
        <f t="shared" ca="1" si="88"/>
        <v>14.284850535839908</v>
      </c>
      <c r="AA98" s="7">
        <f t="shared" ca="1" si="88"/>
        <v>14.8570631833368</v>
      </c>
      <c r="AB98" s="7">
        <f t="shared" ca="1" si="88"/>
        <v>15.45404853936374</v>
      </c>
      <c r="AC98" s="7">
        <f t="shared" ca="1" si="88"/>
        <v>16.078836668379488</v>
      </c>
      <c r="AD98" s="7">
        <f t="shared" ca="1" si="88"/>
        <v>16.732225670304199</v>
      </c>
      <c r="AE98" s="7">
        <f t="shared" ca="1" si="88"/>
        <v>17.411009275554097</v>
      </c>
      <c r="AF98" s="7">
        <f t="shared" ca="1" si="88"/>
        <v>18.120857049133296</v>
      </c>
      <c r="AG98" s="7">
        <f t="shared" ca="1" si="88"/>
        <v>18.858405911454483</v>
      </c>
      <c r="AH98" s="7">
        <f t="shared" ca="1" si="88"/>
        <v>19.626782639696106</v>
      </c>
      <c r="AI98" s="7">
        <f t="shared" ca="1" si="88"/>
        <v>20.425173181904629</v>
      </c>
      <c r="AJ98" s="7">
        <f t="shared" ca="1" si="88"/>
        <v>21.25587021405482</v>
      </c>
      <c r="AK98" s="7">
        <f t="shared" ca="1" si="88"/>
        <v>22.116597554403079</v>
      </c>
      <c r="AL98" s="7">
        <f t="shared" ca="1" si="88"/>
        <v>23.009006324786224</v>
      </c>
      <c r="AM98" s="7">
        <f t="shared" ca="1" si="88"/>
        <v>23.935326859115516</v>
      </c>
      <c r="AN98" s="7">
        <f t="shared" ca="1" si="88"/>
        <v>24.892886610949024</v>
      </c>
      <c r="AO98" s="7">
        <f t="shared" ca="1" si="88"/>
        <v>25.881863588680325</v>
      </c>
      <c r="AP98" s="7">
        <f t="shared" ca="1" si="88"/>
        <v>26.90384071659518</v>
      </c>
      <c r="AQ98" s="7">
        <f t="shared" ca="1" si="88"/>
        <v>27.956753897194037</v>
      </c>
      <c r="AR98" s="7">
        <f t="shared" ca="1" si="88"/>
        <v>29.041736738028035</v>
      </c>
      <c r="AS98" s="7">
        <f t="shared" ca="1" si="88"/>
        <v>30.159992940720389</v>
      </c>
      <c r="AT98" s="7">
        <f t="shared" ca="1" si="88"/>
        <v>31.314410844549439</v>
      </c>
      <c r="AU98" s="7">
        <f t="shared" ca="1" si="88"/>
        <v>32.506464842704219</v>
      </c>
      <c r="AV98" s="7">
        <f t="shared" ca="1" si="88"/>
        <v>33.740342232775127</v>
      </c>
      <c r="AW98" s="7">
        <f t="shared" ca="1" si="88"/>
        <v>35.013824242248582</v>
      </c>
    </row>
    <row r="99" spans="1:49" x14ac:dyDescent="0.2">
      <c r="A99" s="1" t="s">
        <v>747</v>
      </c>
      <c r="B99" s="4" t="str">
        <f t="shared" si="87"/>
        <v>From Fiscal</v>
      </c>
      <c r="D99" s="18">
        <f>-Fiscal!D$82</f>
        <v>4.9119999999999999</v>
      </c>
      <c r="E99" s="19">
        <f>-Fiscal!E$82</f>
        <v>4.4999999999999998E-2</v>
      </c>
      <c r="F99" s="19">
        <f>-Fiscal!F$82</f>
        <v>3.8809999999999998</v>
      </c>
      <c r="G99" s="19">
        <f>-Fiscal!G$82</f>
        <v>-5.95</v>
      </c>
      <c r="H99" s="19">
        <f>-Fiscal!H$82</f>
        <v>-2.3109999999999999</v>
      </c>
      <c r="I99" s="19">
        <f>-Fiscal!I$82</f>
        <v>3.6259999999999999</v>
      </c>
      <c r="J99" s="7">
        <f t="shared" ref="J99:AW99" ca="1" si="89">J$351-I$351+J$360-I$360-J$325-(J$159-J$389-(J$338-I$338)+J$446-I$446-J$89)</f>
        <v>4.1369345642344904</v>
      </c>
      <c r="K99" s="7">
        <f t="shared" ca="1" si="89"/>
        <v>3.6334352269540724</v>
      </c>
      <c r="L99" s="7">
        <f t="shared" ca="1" si="89"/>
        <v>3.5519672071033739</v>
      </c>
      <c r="M99" s="7">
        <f t="shared" ca="1" si="89"/>
        <v>3.3949730750976288</v>
      </c>
      <c r="N99" s="7">
        <f t="shared" ca="1" si="89"/>
        <v>3.2520118481458899</v>
      </c>
      <c r="O99" s="7">
        <f t="shared" ca="1" si="89"/>
        <v>3.1100161805035231</v>
      </c>
      <c r="P99" s="7">
        <f t="shared" ca="1" si="89"/>
        <v>2.8581182457890186</v>
      </c>
      <c r="Q99" s="7">
        <f t="shared" ca="1" si="89"/>
        <v>2.6078235577102573</v>
      </c>
      <c r="R99" s="7">
        <f t="shared" ca="1" si="89"/>
        <v>2.3667200652024611</v>
      </c>
      <c r="S99" s="7">
        <f t="shared" ca="1" si="89"/>
        <v>2.152196650177804</v>
      </c>
      <c r="T99" s="7">
        <f t="shared" ca="1" si="89"/>
        <v>1.9537151669027164</v>
      </c>
      <c r="U99" s="7">
        <f t="shared" ca="1" si="89"/>
        <v>1.7485317700073688</v>
      </c>
      <c r="V99" s="7">
        <f t="shared" ca="1" si="89"/>
        <v>1.5381379112162872</v>
      </c>
      <c r="W99" s="7">
        <f t="shared" ca="1" si="89"/>
        <v>1.3245353693112243</v>
      </c>
      <c r="X99" s="7">
        <f t="shared" ca="1" si="89"/>
        <v>1.1269028843773468</v>
      </c>
      <c r="Y99" s="7">
        <f t="shared" ca="1" si="89"/>
        <v>0.88848589633759634</v>
      </c>
      <c r="Z99" s="7">
        <f t="shared" ca="1" si="89"/>
        <v>0.71243672497449673</v>
      </c>
      <c r="AA99" s="7">
        <f t="shared" ca="1" si="89"/>
        <v>0.59215507740746354</v>
      </c>
      <c r="AB99" s="7">
        <f t="shared" ca="1" si="89"/>
        <v>0.54234349871789789</v>
      </c>
      <c r="AC99" s="7">
        <f t="shared" ca="1" si="89"/>
        <v>0.57475286115043467</v>
      </c>
      <c r="AD99" s="7">
        <f t="shared" ca="1" si="89"/>
        <v>0.71706533074469725</v>
      </c>
      <c r="AE99" s="7">
        <f t="shared" ca="1" si="89"/>
        <v>0.87988452624855462</v>
      </c>
      <c r="AF99" s="7">
        <f t="shared" ca="1" si="89"/>
        <v>1.0967408912276611</v>
      </c>
      <c r="AG99" s="7">
        <f t="shared" ca="1" si="89"/>
        <v>1.3236163505276473</v>
      </c>
      <c r="AH99" s="7">
        <f t="shared" ca="1" si="89"/>
        <v>1.5729646946433284</v>
      </c>
      <c r="AI99" s="7">
        <f t="shared" ca="1" si="89"/>
        <v>1.8139932113037354</v>
      </c>
      <c r="AJ99" s="7">
        <f t="shared" ca="1" si="89"/>
        <v>2.0872968150928415</v>
      </c>
      <c r="AK99" s="7">
        <f t="shared" ca="1" si="89"/>
        <v>2.333805123531139</v>
      </c>
      <c r="AL99" s="7">
        <f t="shared" ca="1" si="89"/>
        <v>2.5846520792060304</v>
      </c>
      <c r="AM99" s="7">
        <f t="shared" ca="1" si="89"/>
        <v>2.8361922431373348</v>
      </c>
      <c r="AN99" s="7">
        <f t="shared" ca="1" si="89"/>
        <v>3.060529631968425</v>
      </c>
      <c r="AO99" s="7">
        <f t="shared" ca="1" si="89"/>
        <v>3.2159946802264905</v>
      </c>
      <c r="AP99" s="7">
        <f t="shared" ca="1" si="89"/>
        <v>3.2813912819188609</v>
      </c>
      <c r="AQ99" s="7">
        <f t="shared" ca="1" si="89"/>
        <v>3.241031987553125</v>
      </c>
      <c r="AR99" s="7">
        <f t="shared" ca="1" si="89"/>
        <v>3.0731985863436435</v>
      </c>
      <c r="AS99" s="7">
        <f t="shared" ca="1" si="89"/>
        <v>2.8026652685702267</v>
      </c>
      <c r="AT99" s="7">
        <f t="shared" ca="1" si="89"/>
        <v>2.3492288073345833</v>
      </c>
      <c r="AU99" s="7">
        <f t="shared" ca="1" si="89"/>
        <v>1.9724741096117135</v>
      </c>
      <c r="AV99" s="7">
        <f t="shared" ca="1" si="89"/>
        <v>1.6069218912620968</v>
      </c>
      <c r="AW99" s="7">
        <f t="shared" ca="1" si="89"/>
        <v>1.1855014694102728</v>
      </c>
    </row>
    <row r="100" spans="1:49" x14ac:dyDescent="0.2">
      <c r="A100" s="1" t="s">
        <v>748</v>
      </c>
      <c r="B100" s="4" t="str">
        <f t="shared" si="87"/>
        <v>From Fiscal</v>
      </c>
      <c r="D100" s="18">
        <f>-Fiscal!D$83</f>
        <v>0.63100000000000001</v>
      </c>
      <c r="E100" s="19">
        <f>-Fiscal!E$83</f>
        <v>0.70299999999999996</v>
      </c>
      <c r="F100" s="19">
        <f>-Fiscal!F$83</f>
        <v>0.83699999999999997</v>
      </c>
      <c r="G100" s="19">
        <f>-Fiscal!G$83</f>
        <v>0.68400000000000005</v>
      </c>
      <c r="H100" s="19">
        <f>-Fiscal!H$83</f>
        <v>0.623</v>
      </c>
      <c r="I100" s="19">
        <f>-Fiscal!I$83</f>
        <v>0.58599999999999997</v>
      </c>
      <c r="J100" s="7">
        <f t="shared" ref="J100:AW100" ca="1" si="90">J$427-I$427+J$202-J$414</f>
        <v>1.0316092939701242</v>
      </c>
      <c r="K100" s="7">
        <f t="shared" ca="1" si="90"/>
        <v>1.0645751847930134</v>
      </c>
      <c r="L100" s="7">
        <f t="shared" ca="1" si="90"/>
        <v>1.1074124628961872</v>
      </c>
      <c r="M100" s="7">
        <f t="shared" ca="1" si="90"/>
        <v>1.1441563270877548</v>
      </c>
      <c r="N100" s="7">
        <f t="shared" ca="1" si="90"/>
        <v>1.1816610750196439</v>
      </c>
      <c r="O100" s="7">
        <f t="shared" ca="1" si="90"/>
        <v>1.2175122422499856</v>
      </c>
      <c r="P100" s="7">
        <f t="shared" ca="1" si="90"/>
        <v>1.2670470755599057</v>
      </c>
      <c r="Q100" s="7">
        <f t="shared" ca="1" si="90"/>
        <v>1.3176626657371697</v>
      </c>
      <c r="R100" s="7">
        <f t="shared" ca="1" si="90"/>
        <v>1.3693945803733953</v>
      </c>
      <c r="S100" s="7">
        <f t="shared" ca="1" si="90"/>
        <v>1.423281701211347</v>
      </c>
      <c r="T100" s="7">
        <f t="shared" ca="1" si="90"/>
        <v>1.478697806134436</v>
      </c>
      <c r="U100" s="7">
        <f t="shared" ca="1" si="90"/>
        <v>1.536605349684125</v>
      </c>
      <c r="V100" s="7">
        <f t="shared" ca="1" si="90"/>
        <v>1.5968737266080311</v>
      </c>
      <c r="W100" s="7">
        <f t="shared" ca="1" si="90"/>
        <v>1.6597857390598545</v>
      </c>
      <c r="X100" s="7">
        <f t="shared" ca="1" si="90"/>
        <v>1.7256112253178895</v>
      </c>
      <c r="Y100" s="7">
        <f t="shared" ca="1" si="90"/>
        <v>1.793458217771251</v>
      </c>
      <c r="Z100" s="7">
        <f t="shared" ca="1" si="90"/>
        <v>1.8651220984330426</v>
      </c>
      <c r="AA100" s="7">
        <f t="shared" ca="1" si="90"/>
        <v>1.9397147051885746</v>
      </c>
      <c r="AB100" s="7">
        <f t="shared" ca="1" si="90"/>
        <v>2.0178803783063408</v>
      </c>
      <c r="AC100" s="7">
        <f t="shared" ca="1" si="90"/>
        <v>2.1001580491080603</v>
      </c>
      <c r="AD100" s="7">
        <f t="shared" ca="1" si="90"/>
        <v>2.1857387340708225</v>
      </c>
      <c r="AE100" s="7">
        <f t="shared" ca="1" si="90"/>
        <v>2.2738658660373652</v>
      </c>
      <c r="AF100" s="7">
        <f t="shared" ca="1" si="90"/>
        <v>2.3661049141946009</v>
      </c>
      <c r="AG100" s="7">
        <f t="shared" ca="1" si="90"/>
        <v>2.4616835034834921</v>
      </c>
      <c r="AH100" s="7">
        <f t="shared" ca="1" si="90"/>
        <v>2.5611610643680738</v>
      </c>
      <c r="AI100" s="7">
        <f t="shared" ca="1" si="90"/>
        <v>2.663007528302753</v>
      </c>
      <c r="AJ100" s="7">
        <f t="shared" ca="1" si="90"/>
        <v>2.7696346453861356</v>
      </c>
      <c r="AK100" s="7">
        <f t="shared" ca="1" si="90"/>
        <v>2.8791952759788231</v>
      </c>
      <c r="AL100" s="7">
        <f t="shared" ca="1" si="90"/>
        <v>2.9916189679196421</v>
      </c>
      <c r="AM100" s="7">
        <f t="shared" ca="1" si="90"/>
        <v>3.1080736702239573</v>
      </c>
      <c r="AN100" s="7">
        <f t="shared" ca="1" si="90"/>
        <v>3.2287334863044599</v>
      </c>
      <c r="AO100" s="7">
        <f t="shared" ca="1" si="90"/>
        <v>3.3504421272223901</v>
      </c>
      <c r="AP100" s="7">
        <f t="shared" ca="1" si="90"/>
        <v>3.4779847531303076</v>
      </c>
      <c r="AQ100" s="7">
        <f t="shared" ca="1" si="90"/>
        <v>3.6072121004696776</v>
      </c>
      <c r="AR100" s="7">
        <f t="shared" ca="1" si="90"/>
        <v>3.7404578420216374</v>
      </c>
      <c r="AS100" s="7">
        <f t="shared" ca="1" si="90"/>
        <v>3.8787202314136522</v>
      </c>
      <c r="AT100" s="7">
        <f t="shared" ca="1" si="90"/>
        <v>4.021205129570804</v>
      </c>
      <c r="AU100" s="7">
        <f t="shared" ca="1" si="90"/>
        <v>4.1684249479346018</v>
      </c>
      <c r="AV100" s="7">
        <f t="shared" ca="1" si="90"/>
        <v>4.3219397512740478</v>
      </c>
      <c r="AW100" s="7">
        <f t="shared" ca="1" si="90"/>
        <v>4.4792978092501983</v>
      </c>
    </row>
    <row r="101" spans="1:49" x14ac:dyDescent="0.2">
      <c r="A101" s="1" t="s">
        <v>749</v>
      </c>
      <c r="B101" s="4" t="str">
        <f t="shared" si="87"/>
        <v>From Fiscal</v>
      </c>
      <c r="D101" s="18">
        <f>-Fiscal!D$84</f>
        <v>1.6859999999999999</v>
      </c>
      <c r="E101" s="19">
        <f>-Fiscal!E$84</f>
        <v>0.96199999999999997</v>
      </c>
      <c r="F101" s="19">
        <f>-Fiscal!F$84</f>
        <v>1.504</v>
      </c>
      <c r="G101" s="19">
        <f>-Fiscal!G$84</f>
        <v>1.603</v>
      </c>
      <c r="H101" s="19">
        <f>-Fiscal!H$84</f>
        <v>1.5049999999999999</v>
      </c>
      <c r="I101" s="19">
        <f>-Fiscal!I$84</f>
        <v>1.5429999999999999</v>
      </c>
      <c r="J101" s="7">
        <f t="shared" ref="J101:AW101" ca="1" si="91">J$383-I$383-(J$389-J$387-J$390)</f>
        <v>0.88087584692079601</v>
      </c>
      <c r="K101" s="7">
        <f t="shared" ca="1" si="91"/>
        <v>1.5005612682770224</v>
      </c>
      <c r="L101" s="7">
        <f t="shared" ca="1" si="91"/>
        <v>1.5556923698571672</v>
      </c>
      <c r="M101" s="7">
        <f t="shared" ca="1" si="91"/>
        <v>1.580676128077346</v>
      </c>
      <c r="N101" s="7">
        <f t="shared" ca="1" si="91"/>
        <v>1.6104024640335393</v>
      </c>
      <c r="O101" s="7">
        <f t="shared" ca="1" si="91"/>
        <v>1.6312982825545346</v>
      </c>
      <c r="P101" s="7">
        <f t="shared" ca="1" si="91"/>
        <v>1.6849367418557222</v>
      </c>
      <c r="Q101" s="7">
        <f t="shared" ca="1" si="91"/>
        <v>1.7319638675917088</v>
      </c>
      <c r="R101" s="7">
        <f t="shared" ca="1" si="91"/>
        <v>1.7772863075822012</v>
      </c>
      <c r="S101" s="7">
        <f t="shared" ca="1" si="91"/>
        <v>1.8239651947794682</v>
      </c>
      <c r="T101" s="7">
        <f t="shared" ca="1" si="91"/>
        <v>1.8725502859379093</v>
      </c>
      <c r="U101" s="7">
        <f t="shared" ca="1" si="91"/>
        <v>1.9319086522772979</v>
      </c>
      <c r="V101" s="7">
        <f t="shared" ca="1" si="91"/>
        <v>1.9862142330974157</v>
      </c>
      <c r="W101" s="7">
        <f t="shared" ca="1" si="91"/>
        <v>2.0442416094750011</v>
      </c>
      <c r="X101" s="7">
        <f t="shared" ca="1" si="91"/>
        <v>2.0954431565128004</v>
      </c>
      <c r="Y101" s="7">
        <f t="shared" ca="1" si="91"/>
        <v>2.1512539993802542</v>
      </c>
      <c r="Z101" s="7">
        <f t="shared" ca="1" si="91"/>
        <v>2.224482093073715</v>
      </c>
      <c r="AA101" s="7">
        <f t="shared" ca="1" si="91"/>
        <v>2.3219734057872703</v>
      </c>
      <c r="AB101" s="7">
        <f t="shared" ca="1" si="91"/>
        <v>2.4260342356583249</v>
      </c>
      <c r="AC101" s="7">
        <f t="shared" ca="1" si="91"/>
        <v>2.5469096086826548</v>
      </c>
      <c r="AD101" s="7">
        <f t="shared" ca="1" si="91"/>
        <v>2.6683919394450357</v>
      </c>
      <c r="AE101" s="7">
        <f t="shared" ca="1" si="91"/>
        <v>2.8013272100692657</v>
      </c>
      <c r="AF101" s="7">
        <f t="shared" ca="1" si="91"/>
        <v>2.9457303018369467</v>
      </c>
      <c r="AG101" s="7">
        <f t="shared" ca="1" si="91"/>
        <v>3.0713589460932802</v>
      </c>
      <c r="AH101" s="7">
        <f t="shared" ca="1" si="91"/>
        <v>3.1950658341364484</v>
      </c>
      <c r="AI101" s="7">
        <f t="shared" ca="1" si="91"/>
        <v>3.3066991512318542</v>
      </c>
      <c r="AJ101" s="7">
        <f t="shared" ca="1" si="91"/>
        <v>3.4439746958499602</v>
      </c>
      <c r="AK101" s="7">
        <f t="shared" ca="1" si="91"/>
        <v>3.5798580186580873</v>
      </c>
      <c r="AL101" s="7">
        <f t="shared" ca="1" si="91"/>
        <v>3.7028476554412144</v>
      </c>
      <c r="AM101" s="7">
        <f t="shared" ca="1" si="91"/>
        <v>3.8342552311755433</v>
      </c>
      <c r="AN101" s="7">
        <f t="shared" ca="1" si="91"/>
        <v>3.9510461821206979</v>
      </c>
      <c r="AO101" s="7">
        <f t="shared" ca="1" si="91"/>
        <v>4.0860793669526192</v>
      </c>
      <c r="AP101" s="7">
        <f t="shared" ca="1" si="91"/>
        <v>4.2206391534792651</v>
      </c>
      <c r="AQ101" s="7">
        <f t="shared" ca="1" si="91"/>
        <v>4.3419429370908409</v>
      </c>
      <c r="AR101" s="7">
        <f t="shared" ca="1" si="91"/>
        <v>4.4667295609457769</v>
      </c>
      <c r="AS101" s="7">
        <f t="shared" ca="1" si="91"/>
        <v>4.6101330177616475</v>
      </c>
      <c r="AT101" s="7">
        <f t="shared" ca="1" si="91"/>
        <v>4.7306732289765208</v>
      </c>
      <c r="AU101" s="7">
        <f t="shared" ca="1" si="91"/>
        <v>4.8511034347145046</v>
      </c>
      <c r="AV101" s="7">
        <f t="shared" ca="1" si="91"/>
        <v>5.0074630478231192</v>
      </c>
      <c r="AW101" s="7">
        <f t="shared" ca="1" si="91"/>
        <v>5.1743782375626983</v>
      </c>
    </row>
    <row r="102" spans="1:49" x14ac:dyDescent="0.2">
      <c r="A102" s="1" t="s">
        <v>750</v>
      </c>
      <c r="B102" s="4" t="str">
        <f t="shared" si="87"/>
        <v>From Fiscal</v>
      </c>
      <c r="D102" s="18">
        <f>-Fiscal!D$85</f>
        <v>-0.73199999999999998</v>
      </c>
      <c r="E102" s="19">
        <f>-Fiscal!E$85</f>
        <v>-0.11600000000000001</v>
      </c>
      <c r="F102" s="19">
        <f>-Fiscal!F$85</f>
        <v>-5.7000000000000002E-2</v>
      </c>
      <c r="G102" s="19">
        <f>-Fiscal!G$85</f>
        <v>-2.9000000000000001E-2</v>
      </c>
      <c r="H102" s="19">
        <f>-Fiscal!H$85</f>
        <v>1.6E-2</v>
      </c>
      <c r="I102" s="19">
        <f>-Fiscal!I$85</f>
        <v>-3.4000000000000002E-2</v>
      </c>
      <c r="J102" s="7">
        <f t="shared" ref="J102:AW102" ca="1" si="92">J$421-I$421-J$329</f>
        <v>-0.33281006776131239</v>
      </c>
      <c r="K102" s="7">
        <f t="shared" ca="1" si="92"/>
        <v>-0.28562027824965086</v>
      </c>
      <c r="L102" s="7">
        <f t="shared" ca="1" si="92"/>
        <v>-0.32999753081640637</v>
      </c>
      <c r="M102" s="7">
        <f t="shared" ca="1" si="92"/>
        <v>-0.31852361715607047</v>
      </c>
      <c r="N102" s="7">
        <f t="shared" ca="1" si="92"/>
        <v>-0.30913009555333093</v>
      </c>
      <c r="O102" s="7">
        <f t="shared" ca="1" si="92"/>
        <v>-0.28440722242673644</v>
      </c>
      <c r="P102" s="7">
        <f t="shared" ca="1" si="92"/>
        <v>-0.28683248256399341</v>
      </c>
      <c r="Q102" s="7">
        <f t="shared" ca="1" si="92"/>
        <v>-0.28516329190367384</v>
      </c>
      <c r="R102" s="7">
        <f t="shared" ca="1" si="92"/>
        <v>-0.28046912448952932</v>
      </c>
      <c r="S102" s="7">
        <f t="shared" ca="1" si="92"/>
        <v>-0.27944804184884808</v>
      </c>
      <c r="T102" s="7">
        <f t="shared" ca="1" si="92"/>
        <v>-0.27694925453956165</v>
      </c>
      <c r="U102" s="7">
        <f t="shared" ca="1" si="92"/>
        <v>-0.27864295371946224</v>
      </c>
      <c r="V102" s="7">
        <f t="shared" ca="1" si="92"/>
        <v>-0.28552323253487022</v>
      </c>
      <c r="W102" s="7">
        <f t="shared" ca="1" si="92"/>
        <v>-0.29341047373853091</v>
      </c>
      <c r="X102" s="7">
        <f t="shared" ca="1" si="92"/>
        <v>-0.30804174880995516</v>
      </c>
      <c r="Y102" s="7">
        <f t="shared" ca="1" si="92"/>
        <v>-0.3181390465449363</v>
      </c>
      <c r="Z102" s="7">
        <f t="shared" ca="1" si="92"/>
        <v>-0.3386397469600031</v>
      </c>
      <c r="AA102" s="7">
        <f t="shared" ca="1" si="92"/>
        <v>-0.35660966443770536</v>
      </c>
      <c r="AB102" s="7">
        <f t="shared" ca="1" si="92"/>
        <v>-0.37662871841602708</v>
      </c>
      <c r="AC102" s="7">
        <f t="shared" ca="1" si="92"/>
        <v>-0.40109337054987848</v>
      </c>
      <c r="AD102" s="7">
        <f t="shared" ca="1" si="92"/>
        <v>-0.42249952368836419</v>
      </c>
      <c r="AE102" s="7">
        <f t="shared" ca="1" si="92"/>
        <v>-0.43476760002275883</v>
      </c>
      <c r="AF102" s="7">
        <f t="shared" ca="1" si="92"/>
        <v>-0.45078094101890054</v>
      </c>
      <c r="AG102" s="7">
        <f t="shared" ca="1" si="92"/>
        <v>-0.46275568233082243</v>
      </c>
      <c r="AH102" s="7">
        <f t="shared" ca="1" si="92"/>
        <v>-0.4744963447819992</v>
      </c>
      <c r="AI102" s="7">
        <f t="shared" ca="1" si="92"/>
        <v>-0.47594340783626832</v>
      </c>
      <c r="AJ102" s="7">
        <f t="shared" ca="1" si="92"/>
        <v>-0.48334998151759268</v>
      </c>
      <c r="AK102" s="7">
        <f t="shared" ca="1" si="92"/>
        <v>-0.48225876745623231</v>
      </c>
      <c r="AL102" s="7">
        <f t="shared" ca="1" si="92"/>
        <v>-0.47338754990538956</v>
      </c>
      <c r="AM102" s="7">
        <f t="shared" ca="1" si="92"/>
        <v>-0.46598070707790806</v>
      </c>
      <c r="AN102" s="7">
        <f t="shared" ca="1" si="92"/>
        <v>-0.4573046797734801</v>
      </c>
      <c r="AO102" s="7">
        <f t="shared" ca="1" si="92"/>
        <v>-0.43045542814709714</v>
      </c>
      <c r="AP102" s="7">
        <f t="shared" ca="1" si="92"/>
        <v>-0.41888996832615977</v>
      </c>
      <c r="AQ102" s="7">
        <f t="shared" ca="1" si="92"/>
        <v>-0.3928690668692072</v>
      </c>
      <c r="AR102" s="7">
        <f t="shared" ca="1" si="92"/>
        <v>-0.3715819846162951</v>
      </c>
      <c r="AS102" s="7">
        <f t="shared" ca="1" si="92"/>
        <v>-0.35921382381294142</v>
      </c>
      <c r="AT102" s="7">
        <f t="shared" ca="1" si="92"/>
        <v>-0.34473997695886949</v>
      </c>
      <c r="AU102" s="7">
        <f t="shared" ca="1" si="92"/>
        <v>-0.33268768550427397</v>
      </c>
      <c r="AV102" s="7">
        <f t="shared" ca="1" si="92"/>
        <v>-0.33109582451316455</v>
      </c>
      <c r="AW102" s="7">
        <f t="shared" ca="1" si="92"/>
        <v>-0.32178262357539622</v>
      </c>
    </row>
    <row r="103" spans="1:49" x14ac:dyDescent="0.2">
      <c r="A103" s="1" t="s">
        <v>731</v>
      </c>
      <c r="B103" s="4"/>
      <c r="D103" s="18">
        <f>SUM(D$439-C$338,D$440-C$440)</f>
        <v>0</v>
      </c>
      <c r="E103" s="19">
        <f t="shared" ref="E103:AW103" ca="1" si="93">SUM(E$439-D$439,E$440-D$440)</f>
        <v>0</v>
      </c>
      <c r="F103" s="19">
        <f t="shared" ca="1" si="93"/>
        <v>0</v>
      </c>
      <c r="G103" s="19">
        <f t="shared" ca="1" si="93"/>
        <v>0</v>
      </c>
      <c r="H103" s="19">
        <f t="shared" ca="1" si="93"/>
        <v>0</v>
      </c>
      <c r="I103" s="19">
        <f t="shared" ca="1" si="93"/>
        <v>0</v>
      </c>
      <c r="J103" s="7">
        <f t="shared" ca="1" si="93"/>
        <v>0</v>
      </c>
      <c r="K103" s="7">
        <f t="shared" ca="1" si="93"/>
        <v>0</v>
      </c>
      <c r="L103" s="7">
        <f t="shared" ca="1" si="93"/>
        <v>0</v>
      </c>
      <c r="M103" s="7">
        <f t="shared" ca="1" si="93"/>
        <v>0</v>
      </c>
      <c r="N103" s="7">
        <f t="shared" ca="1" si="93"/>
        <v>0</v>
      </c>
      <c r="O103" s="7">
        <f t="shared" ca="1" si="93"/>
        <v>0</v>
      </c>
      <c r="P103" s="7">
        <f t="shared" ca="1" si="93"/>
        <v>0</v>
      </c>
      <c r="Q103" s="7">
        <f t="shared" ca="1" si="93"/>
        <v>0</v>
      </c>
      <c r="R103" s="7">
        <f t="shared" ca="1" si="93"/>
        <v>0</v>
      </c>
      <c r="S103" s="7">
        <f t="shared" ca="1" si="93"/>
        <v>0</v>
      </c>
      <c r="T103" s="7">
        <f t="shared" ca="1" si="93"/>
        <v>0</v>
      </c>
      <c r="U103" s="7">
        <f t="shared" ca="1" si="93"/>
        <v>0</v>
      </c>
      <c r="V103" s="7">
        <f t="shared" ca="1" si="93"/>
        <v>0</v>
      </c>
      <c r="W103" s="7">
        <f t="shared" ca="1" si="93"/>
        <v>0</v>
      </c>
      <c r="X103" s="7">
        <f t="shared" ca="1" si="93"/>
        <v>0</v>
      </c>
      <c r="Y103" s="7">
        <f t="shared" ca="1" si="93"/>
        <v>0</v>
      </c>
      <c r="Z103" s="7">
        <f t="shared" ca="1" si="93"/>
        <v>0</v>
      </c>
      <c r="AA103" s="7">
        <f t="shared" ca="1" si="93"/>
        <v>0</v>
      </c>
      <c r="AB103" s="7">
        <f t="shared" ca="1" si="93"/>
        <v>0</v>
      </c>
      <c r="AC103" s="7">
        <f t="shared" ca="1" si="93"/>
        <v>0</v>
      </c>
      <c r="AD103" s="7">
        <f t="shared" ca="1" si="93"/>
        <v>0</v>
      </c>
      <c r="AE103" s="7">
        <f t="shared" ca="1" si="93"/>
        <v>0</v>
      </c>
      <c r="AF103" s="7">
        <f t="shared" ca="1" si="93"/>
        <v>0</v>
      </c>
      <c r="AG103" s="7">
        <f t="shared" ca="1" si="93"/>
        <v>0</v>
      </c>
      <c r="AH103" s="7">
        <f t="shared" ca="1" si="93"/>
        <v>0</v>
      </c>
      <c r="AI103" s="7">
        <f t="shared" ca="1" si="93"/>
        <v>0</v>
      </c>
      <c r="AJ103" s="7">
        <f t="shared" ca="1" si="93"/>
        <v>0</v>
      </c>
      <c r="AK103" s="7">
        <f t="shared" ca="1" si="93"/>
        <v>0</v>
      </c>
      <c r="AL103" s="7">
        <f t="shared" ca="1" si="93"/>
        <v>0</v>
      </c>
      <c r="AM103" s="7">
        <f t="shared" ca="1" si="93"/>
        <v>0</v>
      </c>
      <c r="AN103" s="7">
        <f t="shared" ca="1" si="93"/>
        <v>0</v>
      </c>
      <c r="AO103" s="7">
        <f t="shared" ca="1" si="93"/>
        <v>0</v>
      </c>
      <c r="AP103" s="7">
        <f t="shared" ca="1" si="93"/>
        <v>0</v>
      </c>
      <c r="AQ103" s="7">
        <f t="shared" ca="1" si="93"/>
        <v>0</v>
      </c>
      <c r="AR103" s="7">
        <f t="shared" ca="1" si="93"/>
        <v>0</v>
      </c>
      <c r="AS103" s="7">
        <f t="shared" ca="1" si="93"/>
        <v>0</v>
      </c>
      <c r="AT103" s="7">
        <f t="shared" ca="1" si="93"/>
        <v>0</v>
      </c>
      <c r="AU103" s="7">
        <f t="shared" ca="1" si="93"/>
        <v>0</v>
      </c>
      <c r="AV103" s="7">
        <f t="shared" ca="1" si="93"/>
        <v>0</v>
      </c>
      <c r="AW103" s="7">
        <f t="shared" ca="1" si="93"/>
        <v>0</v>
      </c>
    </row>
    <row r="104" spans="1:49" ht="15" x14ac:dyDescent="0.25">
      <c r="A104" s="2" t="s">
        <v>736</v>
      </c>
      <c r="D104" s="40">
        <f t="shared" ref="D104" si="94">-SUM(D$98:D$103)</f>
        <v>-12.673999999999999</v>
      </c>
      <c r="E104" s="39">
        <f t="shared" ref="E104:AW104" ca="1" si="95">-SUM(E$98:E$103)</f>
        <v>-8.4780000000000015</v>
      </c>
      <c r="F104" s="39">
        <f t="shared" ca="1" si="95"/>
        <v>-14.135999999999999</v>
      </c>
      <c r="G104" s="39">
        <f t="shared" ca="1" si="95"/>
        <v>-2.7729999999999997</v>
      </c>
      <c r="H104" s="39">
        <f t="shared" ca="1" si="95"/>
        <v>-6.0920000000000005</v>
      </c>
      <c r="I104" s="39">
        <f t="shared" ca="1" si="95"/>
        <v>-11.86</v>
      </c>
      <c r="J104" s="43">
        <f t="shared" ca="1" si="95"/>
        <v>-13.14604211957738</v>
      </c>
      <c r="K104" s="43">
        <f t="shared" ca="1" si="95"/>
        <v>-13.692807150597261</v>
      </c>
      <c r="L104" s="43">
        <f t="shared" ca="1" si="95"/>
        <v>-14.002760994779981</v>
      </c>
      <c r="M104" s="43">
        <f t="shared" ca="1" si="95"/>
        <v>-14.268206536825721</v>
      </c>
      <c r="N104" s="43">
        <f t="shared" ca="1" si="95"/>
        <v>-14.567323620467075</v>
      </c>
      <c r="O104" s="43">
        <f t="shared" ca="1" si="95"/>
        <v>-14.881487148402094</v>
      </c>
      <c r="P104" s="43">
        <f t="shared" ca="1" si="95"/>
        <v>-15.118956062164271</v>
      </c>
      <c r="Q104" s="43">
        <f t="shared" ca="1" si="95"/>
        <v>-15.368309948989234</v>
      </c>
      <c r="R104" s="43">
        <f t="shared" ca="1" si="95"/>
        <v>-15.641822754967569</v>
      </c>
      <c r="S104" s="43">
        <f t="shared" ca="1" si="95"/>
        <v>-15.956438221613084</v>
      </c>
      <c r="T104" s="43">
        <f t="shared" ca="1" si="95"/>
        <v>-16.305952489715597</v>
      </c>
      <c r="U104" s="43">
        <f t="shared" ca="1" si="95"/>
        <v>-16.672159008955159</v>
      </c>
      <c r="V104" s="43">
        <f t="shared" ca="1" si="95"/>
        <v>-17.043583034653583</v>
      </c>
      <c r="W104" s="43">
        <f t="shared" ca="1" si="95"/>
        <v>-17.431758686385201</v>
      </c>
      <c r="X104" s="43">
        <f t="shared" ca="1" si="95"/>
        <v>-17.847124185559871</v>
      </c>
      <c r="Y104" s="43">
        <f t="shared" ca="1" si="95"/>
        <v>-18.248953137713389</v>
      </c>
      <c r="Z104" s="43">
        <f t="shared" ca="1" si="95"/>
        <v>-18.748251705361159</v>
      </c>
      <c r="AA104" s="43">
        <f t="shared" ca="1" si="95"/>
        <v>-19.354296707282401</v>
      </c>
      <c r="AB104" s="43">
        <f t="shared" ca="1" si="95"/>
        <v>-20.063677933630277</v>
      </c>
      <c r="AC104" s="43">
        <f t="shared" ca="1" si="95"/>
        <v>-20.899563816770758</v>
      </c>
      <c r="AD104" s="43">
        <f t="shared" ca="1" si="95"/>
        <v>-21.880922150876394</v>
      </c>
      <c r="AE104" s="43">
        <f t="shared" ca="1" si="95"/>
        <v>-22.931319277886523</v>
      </c>
      <c r="AF104" s="43">
        <f t="shared" ca="1" si="95"/>
        <v>-24.078652215373602</v>
      </c>
      <c r="AG104" s="43">
        <f t="shared" ca="1" si="95"/>
        <v>-25.25230902922808</v>
      </c>
      <c r="AH104" s="43">
        <f t="shared" ca="1" si="95"/>
        <v>-26.481477888061956</v>
      </c>
      <c r="AI104" s="43">
        <f t="shared" ca="1" si="95"/>
        <v>-27.732929664906703</v>
      </c>
      <c r="AJ104" s="43">
        <f t="shared" ca="1" si="95"/>
        <v>-29.073426388866167</v>
      </c>
      <c r="AK104" s="43">
        <f t="shared" ca="1" si="95"/>
        <v>-30.427197205114894</v>
      </c>
      <c r="AL104" s="43">
        <f t="shared" ca="1" si="95"/>
        <v>-31.814737477447721</v>
      </c>
      <c r="AM104" s="43">
        <f t="shared" ca="1" si="95"/>
        <v>-33.247867296574448</v>
      </c>
      <c r="AN104" s="43">
        <f t="shared" ca="1" si="95"/>
        <v>-34.675891231569125</v>
      </c>
      <c r="AO104" s="43">
        <f t="shared" ca="1" si="95"/>
        <v>-36.103924334934725</v>
      </c>
      <c r="AP104" s="43">
        <f t="shared" ca="1" si="95"/>
        <v>-37.464965936797448</v>
      </c>
      <c r="AQ104" s="43">
        <f t="shared" ca="1" si="95"/>
        <v>-38.754071855438475</v>
      </c>
      <c r="AR104" s="43">
        <f t="shared" ca="1" si="95"/>
        <v>-39.950540742722794</v>
      </c>
      <c r="AS104" s="43">
        <f t="shared" ca="1" si="95"/>
        <v>-41.092297634652972</v>
      </c>
      <c r="AT104" s="43">
        <f t="shared" ca="1" si="95"/>
        <v>-42.070778033472479</v>
      </c>
      <c r="AU104" s="43">
        <f t="shared" ca="1" si="95"/>
        <v>-43.16577964946076</v>
      </c>
      <c r="AV104" s="43">
        <f t="shared" ca="1" si="95"/>
        <v>-44.345571098621228</v>
      </c>
      <c r="AW104" s="43">
        <f t="shared" ca="1" si="95"/>
        <v>-45.531219134896361</v>
      </c>
    </row>
    <row r="105" spans="1:49" x14ac:dyDescent="0.2">
      <c r="A105" s="1" t="s">
        <v>206</v>
      </c>
      <c r="B105" s="4" t="str">
        <f t="shared" si="87"/>
        <v>From Fiscal</v>
      </c>
      <c r="D105" s="18">
        <f>Fiscal!D$88</f>
        <v>0.372</v>
      </c>
      <c r="E105" s="19">
        <f>Fiscal!E$88</f>
        <v>0.56399999999999995</v>
      </c>
      <c r="F105" s="19">
        <f>Fiscal!F$88</f>
        <v>0.17499999999999999</v>
      </c>
      <c r="G105" s="19">
        <f>Fiscal!G$88</f>
        <v>0.18</v>
      </c>
      <c r="H105" s="19">
        <f>Fiscal!H$88</f>
        <v>0.185</v>
      </c>
      <c r="I105" s="19">
        <f>Fiscal!I$88</f>
        <v>0.191</v>
      </c>
      <c r="J105" s="7">
        <f t="shared" ref="J105:AW105" ca="1" si="96">J$443-I$443</f>
        <v>0.31196918107785532</v>
      </c>
      <c r="K105" s="7">
        <f t="shared" ca="1" si="96"/>
        <v>0.31727608552365094</v>
      </c>
      <c r="L105" s="7">
        <f t="shared" ca="1" si="96"/>
        <v>0.33591472411964229</v>
      </c>
      <c r="M105" s="7">
        <f t="shared" ca="1" si="96"/>
        <v>0.34294607977441061</v>
      </c>
      <c r="N105" s="7">
        <f t="shared" ca="1" si="96"/>
        <v>0.35006240349795092</v>
      </c>
      <c r="O105" s="7">
        <f t="shared" ca="1" si="96"/>
        <v>0.35379483540001466</v>
      </c>
      <c r="P105" s="7">
        <f t="shared" ca="1" si="96"/>
        <v>0.36545913275572417</v>
      </c>
      <c r="Q105" s="7">
        <f t="shared" ca="1" si="96"/>
        <v>0.37672866714290443</v>
      </c>
      <c r="R105" s="7">
        <f t="shared" ca="1" si="96"/>
        <v>0.38771858691812788</v>
      </c>
      <c r="S105" s="7">
        <f t="shared" ca="1" si="96"/>
        <v>0.39994066055252198</v>
      </c>
      <c r="T105" s="7">
        <f t="shared" ca="1" si="96"/>
        <v>0.41230857900513485</v>
      </c>
      <c r="U105" s="7">
        <f t="shared" ca="1" si="96"/>
        <v>0.42615626207948054</v>
      </c>
      <c r="V105" s="7">
        <f t="shared" ca="1" si="96"/>
        <v>0.44105591432087188</v>
      </c>
      <c r="W105" s="7">
        <f t="shared" ca="1" si="96"/>
        <v>0.45723341679683038</v>
      </c>
      <c r="X105" s="7">
        <f t="shared" ca="1" si="96"/>
        <v>0.47485918661021209</v>
      </c>
      <c r="Y105" s="7">
        <f t="shared" ca="1" si="96"/>
        <v>0.49243641009174688</v>
      </c>
      <c r="Z105" s="7">
        <f t="shared" ca="1" si="96"/>
        <v>0.51250617058264325</v>
      </c>
      <c r="AA105" s="7">
        <f t="shared" ca="1" si="96"/>
        <v>0.53340516782491854</v>
      </c>
      <c r="AB105" s="7">
        <f t="shared" ca="1" si="96"/>
        <v>0.55590603004681149</v>
      </c>
      <c r="AC105" s="7">
        <f t="shared" ca="1" si="96"/>
        <v>0.58050551296990704</v>
      </c>
      <c r="AD105" s="7">
        <f t="shared" ca="1" si="96"/>
        <v>0.60571685586461399</v>
      </c>
      <c r="AE105" s="7">
        <f t="shared" ca="1" si="96"/>
        <v>0.63037192856102386</v>
      </c>
      <c r="AF105" s="7">
        <f t="shared" ca="1" si="96"/>
        <v>0.65677098798221323</v>
      </c>
      <c r="AG105" s="7">
        <f t="shared" ca="1" si="96"/>
        <v>0.68353728627673149</v>
      </c>
      <c r="AH105" s="7">
        <f t="shared" ca="1" si="96"/>
        <v>0.71139968403792508</v>
      </c>
      <c r="AI105" s="7">
        <f t="shared" ca="1" si="96"/>
        <v>0.73801903105391631</v>
      </c>
      <c r="AJ105" s="7">
        <f t="shared" ca="1" si="96"/>
        <v>0.76700262073217829</v>
      </c>
      <c r="AK105" s="7">
        <f t="shared" ca="1" si="96"/>
        <v>0.79535525042819799</v>
      </c>
      <c r="AL105" s="7">
        <f t="shared" ca="1" si="96"/>
        <v>0.82308135685105199</v>
      </c>
      <c r="AM105" s="7">
        <f t="shared" ca="1" si="96"/>
        <v>0.85193189958926041</v>
      </c>
      <c r="AN105" s="7">
        <f t="shared" ca="1" si="96"/>
        <v>0.88196747134960773</v>
      </c>
      <c r="AO105" s="7">
        <f t="shared" ca="1" si="96"/>
        <v>0.90853986184845681</v>
      </c>
      <c r="AP105" s="7">
        <f t="shared" ca="1" si="96"/>
        <v>0.9389703624354766</v>
      </c>
      <c r="AQ105" s="7">
        <f t="shared" ca="1" si="96"/>
        <v>0.96676987103008472</v>
      </c>
      <c r="AR105" s="7">
        <f t="shared" ca="1" si="96"/>
        <v>0.99566393607080528</v>
      </c>
      <c r="AS105" s="7">
        <f t="shared" ca="1" si="96"/>
        <v>1.026880856355568</v>
      </c>
      <c r="AT105" s="7">
        <f t="shared" ca="1" si="96"/>
        <v>1.0589179127611388</v>
      </c>
      <c r="AU105" s="7">
        <f t="shared" ca="1" si="96"/>
        <v>1.0923630935929758</v>
      </c>
      <c r="AV105" s="7">
        <f t="shared" ca="1" si="96"/>
        <v>1.1291857497597739</v>
      </c>
      <c r="AW105" s="7">
        <f t="shared" ca="1" si="96"/>
        <v>1.1653709171354478</v>
      </c>
    </row>
    <row r="106" spans="1:49" x14ac:dyDescent="0.2">
      <c r="A106" s="1" t="s">
        <v>379</v>
      </c>
      <c r="B106" s="4" t="str">
        <f t="shared" si="87"/>
        <v>From Fiscal</v>
      </c>
      <c r="D106" s="18">
        <f>SUM(Fiscal!D$89:D$91)</f>
        <v>6.3040000000000003</v>
      </c>
      <c r="E106" s="19">
        <f>SUM(Fiscal!E$89:E$91)</f>
        <v>3.9170000000000003</v>
      </c>
      <c r="F106" s="19">
        <f>SUM(Fiscal!F$89:F$91)</f>
        <v>9.2959999999999994</v>
      </c>
      <c r="G106" s="19">
        <f>SUM(Fiscal!G$89:G$91)</f>
        <v>-2.702</v>
      </c>
      <c r="H106" s="19">
        <f>SUM(Fiscal!H$89:H$91)</f>
        <v>-3.3499999999999996</v>
      </c>
      <c r="I106" s="19">
        <f>SUM(Fiscal!I$89:I$91)</f>
        <v>0.89700000000000013</v>
      </c>
      <c r="J106" s="7">
        <f t="shared" ref="J106:AW106" ca="1" si="97">J$335-I$335 -SUM(J$97,J$104)-J$105+J$107</f>
        <v>1.6468544207252838</v>
      </c>
      <c r="K106" s="7">
        <f t="shared" ca="1" si="97"/>
        <v>4.081135381694085</v>
      </c>
      <c r="L106" s="7">
        <f t="shared" ca="1" si="97"/>
        <v>5.6119047416368586</v>
      </c>
      <c r="M106" s="7">
        <f t="shared" ca="1" si="97"/>
        <v>7.0510870594520485</v>
      </c>
      <c r="N106" s="7">
        <f t="shared" ca="1" si="97"/>
        <v>8.3230594552275026</v>
      </c>
      <c r="O106" s="7">
        <f t="shared" ca="1" si="97"/>
        <v>10.120933403829181</v>
      </c>
      <c r="P106" s="7">
        <f t="shared" ca="1" si="97"/>
        <v>11.646170735204686</v>
      </c>
      <c r="Q106" s="7">
        <f t="shared" ca="1" si="97"/>
        <v>13.199152805944726</v>
      </c>
      <c r="R106" s="7">
        <f t="shared" ca="1" si="97"/>
        <v>15.01585476403412</v>
      </c>
      <c r="S106" s="7">
        <f t="shared" ca="1" si="97"/>
        <v>16.986140881451245</v>
      </c>
      <c r="T106" s="7">
        <f t="shared" ca="1" si="97"/>
        <v>19.162522450293149</v>
      </c>
      <c r="U106" s="7">
        <f t="shared" ca="1" si="97"/>
        <v>21.599200919071976</v>
      </c>
      <c r="V106" s="7">
        <f t="shared" ca="1" si="97"/>
        <v>24.259453288475964</v>
      </c>
      <c r="W106" s="7">
        <f t="shared" ca="1" si="97"/>
        <v>26.980549343193168</v>
      </c>
      <c r="X106" s="7">
        <f t="shared" ca="1" si="97"/>
        <v>29.81885891663611</v>
      </c>
      <c r="Y106" s="7">
        <f t="shared" ca="1" si="97"/>
        <v>32.898182481111242</v>
      </c>
      <c r="Z106" s="7">
        <f t="shared" ca="1" si="97"/>
        <v>36.222191840495249</v>
      </c>
      <c r="AA106" s="7">
        <f t="shared" ca="1" si="97"/>
        <v>39.815818283263255</v>
      </c>
      <c r="AB106" s="7">
        <f t="shared" ca="1" si="97"/>
        <v>43.678613353505149</v>
      </c>
      <c r="AC106" s="7">
        <f t="shared" ca="1" si="97"/>
        <v>47.791011743372678</v>
      </c>
      <c r="AD106" s="7">
        <f t="shared" ca="1" si="97"/>
        <v>52.118974174803149</v>
      </c>
      <c r="AE106" s="7">
        <f t="shared" ca="1" si="97"/>
        <v>56.760301595639184</v>
      </c>
      <c r="AF106" s="7">
        <f t="shared" ca="1" si="97"/>
        <v>61.765522866902373</v>
      </c>
      <c r="AG106" s="7">
        <f t="shared" ca="1" si="97"/>
        <v>67.126307995687924</v>
      </c>
      <c r="AH106" s="7">
        <f t="shared" ca="1" si="97"/>
        <v>72.866828430055833</v>
      </c>
      <c r="AI106" s="7">
        <f t="shared" ca="1" si="97"/>
        <v>79.010600966372891</v>
      </c>
      <c r="AJ106" s="7">
        <f t="shared" ca="1" si="97"/>
        <v>85.598882489265648</v>
      </c>
      <c r="AK106" s="7">
        <f t="shared" ca="1" si="97"/>
        <v>92.675148565003184</v>
      </c>
      <c r="AL106" s="7">
        <f t="shared" ca="1" si="97"/>
        <v>100.26141309171136</v>
      </c>
      <c r="AM106" s="7">
        <f t="shared" ca="1" si="97"/>
        <v>108.41438930193785</v>
      </c>
      <c r="AN106" s="7">
        <f t="shared" ca="1" si="97"/>
        <v>117.17925724114238</v>
      </c>
      <c r="AO106" s="7">
        <f t="shared" ca="1" si="97"/>
        <v>126.67628402935175</v>
      </c>
      <c r="AP106" s="7">
        <f t="shared" ca="1" si="97"/>
        <v>136.93676222573183</v>
      </c>
      <c r="AQ106" s="7">
        <f t="shared" ca="1" si="97"/>
        <v>148.01975990590162</v>
      </c>
      <c r="AR106" s="7">
        <f t="shared" ca="1" si="97"/>
        <v>160.01024309714404</v>
      </c>
      <c r="AS106" s="7">
        <f t="shared" ca="1" si="97"/>
        <v>172.96119175286844</v>
      </c>
      <c r="AT106" s="7">
        <f t="shared" ca="1" si="97"/>
        <v>186.71372517847431</v>
      </c>
      <c r="AU106" s="7">
        <f t="shared" ca="1" si="97"/>
        <v>201.58654569791233</v>
      </c>
      <c r="AV106" s="7">
        <f t="shared" ca="1" si="97"/>
        <v>217.56216940230186</v>
      </c>
      <c r="AW106" s="7">
        <f t="shared" ca="1" si="97"/>
        <v>234.74396488254058</v>
      </c>
    </row>
    <row r="107" spans="1:49" x14ac:dyDescent="0.2">
      <c r="A107" s="1" t="s">
        <v>751</v>
      </c>
      <c r="B107" s="4" t="str">
        <f t="shared" si="87"/>
        <v>From Fiscal</v>
      </c>
      <c r="D107" s="18">
        <f>-Fiscal!D$92</f>
        <v>0.47799999999999998</v>
      </c>
      <c r="E107" s="19">
        <f>-Fiscal!E$92</f>
        <v>0.49199999999999999</v>
      </c>
      <c r="F107" s="19">
        <f>-Fiscal!F$92</f>
        <v>0.54600000000000004</v>
      </c>
      <c r="G107" s="19">
        <f>-Fiscal!G$92</f>
        <v>0.52200000000000002</v>
      </c>
      <c r="H107" s="19">
        <f>-Fiscal!H$92</f>
        <v>0.55800000000000005</v>
      </c>
      <c r="I107" s="19">
        <f>-Fiscal!I$92</f>
        <v>0.58599999999999997</v>
      </c>
      <c r="J107" s="7">
        <f t="shared" ref="J107:AW107" ca="1" si="98">J$43</f>
        <v>0.61206832000864209</v>
      </c>
      <c r="K107" s="7">
        <f t="shared" ca="1" si="98"/>
        <v>0.6184904472493058</v>
      </c>
      <c r="L107" s="7">
        <f t="shared" ca="1" si="98"/>
        <v>0.62590384027160106</v>
      </c>
      <c r="M107" s="7">
        <f t="shared" ca="1" si="98"/>
        <v>0.63432099327657021</v>
      </c>
      <c r="N107" s="7">
        <f t="shared" ca="1" si="98"/>
        <v>0.64375736911460735</v>
      </c>
      <c r="O107" s="7">
        <f t="shared" ca="1" si="98"/>
        <v>0.65421824603970913</v>
      </c>
      <c r="P107" s="7">
        <f t="shared" ca="1" si="98"/>
        <v>0.66571225960302205</v>
      </c>
      <c r="Q107" s="7">
        <f t="shared" ca="1" si="98"/>
        <v>0.67824622682261759</v>
      </c>
      <c r="R107" s="7">
        <f t="shared" ca="1" si="98"/>
        <v>0.69182565194877221</v>
      </c>
      <c r="S107" s="7">
        <f t="shared" ca="1" si="98"/>
        <v>0.7064605714462604</v>
      </c>
      <c r="T107" s="7">
        <f t="shared" ca="1" si="98"/>
        <v>0.72216122749498457</v>
      </c>
      <c r="U107" s="7">
        <f t="shared" ca="1" si="98"/>
        <v>0.73894317728061354</v>
      </c>
      <c r="V107" s="7">
        <f t="shared" ca="1" si="98"/>
        <v>0.75682546478066592</v>
      </c>
      <c r="W107" s="7">
        <f t="shared" ca="1" si="98"/>
        <v>0.77583136429931532</v>
      </c>
      <c r="X107" s="7">
        <f t="shared" ca="1" si="98"/>
        <v>0.79598888505444942</v>
      </c>
      <c r="Y107" s="7">
        <f t="shared" ca="1" si="98"/>
        <v>0.81732486295472073</v>
      </c>
      <c r="Z107" s="7">
        <f t="shared" ca="1" si="98"/>
        <v>0.83987474882880919</v>
      </c>
      <c r="AA107" s="7">
        <f t="shared" ca="1" si="98"/>
        <v>0.86367592486788491</v>
      </c>
      <c r="AB107" s="7">
        <f t="shared" ca="1" si="98"/>
        <v>0.88877060014478837</v>
      </c>
      <c r="AC107" s="7">
        <f t="shared" ca="1" si="98"/>
        <v>0.91520754592030684</v>
      </c>
      <c r="AD107" s="7">
        <f t="shared" ca="1" si="98"/>
        <v>0.94303616158377712</v>
      </c>
      <c r="AE107" s="7">
        <f t="shared" ca="1" si="98"/>
        <v>0.97230197189848622</v>
      </c>
      <c r="AF107" s="7">
        <f t="shared" ca="1" si="98"/>
        <v>1.003055586688312</v>
      </c>
      <c r="AG107" s="7">
        <f t="shared" ca="1" si="98"/>
        <v>1.0353472408135571</v>
      </c>
      <c r="AH107" s="7">
        <f t="shared" ca="1" si="98"/>
        <v>1.0692296030892219</v>
      </c>
      <c r="AI107" s="7">
        <f t="shared" ca="1" si="98"/>
        <v>1.1047487181867237</v>
      </c>
      <c r="AJ107" s="7">
        <f t="shared" ca="1" si="98"/>
        <v>1.1419580766424731</v>
      </c>
      <c r="AK107" s="7">
        <f t="shared" ca="1" si="98"/>
        <v>1.1809068636979103</v>
      </c>
      <c r="AL107" s="7">
        <f t="shared" ca="1" si="98"/>
        <v>1.2216401280444162</v>
      </c>
      <c r="AM107" s="7">
        <f t="shared" ca="1" si="98"/>
        <v>1.2642056437908908</v>
      </c>
      <c r="AN107" s="7">
        <f t="shared" ca="1" si="98"/>
        <v>1.3086540468312993</v>
      </c>
      <c r="AO107" s="7">
        <f t="shared" ca="1" si="98"/>
        <v>1.3550209047651209</v>
      </c>
      <c r="AP107" s="7">
        <f t="shared" ca="1" si="98"/>
        <v>1.4033553303436199</v>
      </c>
      <c r="AQ107" s="7">
        <f t="shared" ca="1" si="98"/>
        <v>1.4536946137455895</v>
      </c>
      <c r="AR107" s="7">
        <f t="shared" ca="1" si="98"/>
        <v>1.5060789293816212</v>
      </c>
      <c r="AS107" s="7">
        <f t="shared" ca="1" si="98"/>
        <v>1.560555945656213</v>
      </c>
      <c r="AT107" s="7">
        <f t="shared" ca="1" si="98"/>
        <v>1.6171747968578181</v>
      </c>
      <c r="AU107" s="7">
        <f t="shared" ca="1" si="98"/>
        <v>1.6759882868556872</v>
      </c>
      <c r="AV107" s="7">
        <f t="shared" ca="1" si="98"/>
        <v>1.7370603136517999</v>
      </c>
      <c r="AW107" s="7">
        <f t="shared" ca="1" si="98"/>
        <v>1.8004500781312118</v>
      </c>
    </row>
    <row r="108" spans="1:49" ht="15" x14ac:dyDescent="0.25">
      <c r="A108" s="2" t="s">
        <v>381</v>
      </c>
      <c r="D108" s="40">
        <f t="shared" ref="D108:I108" si="99">D$105+D$106-D$107</f>
        <v>6.1980000000000004</v>
      </c>
      <c r="E108" s="39">
        <f t="shared" si="99"/>
        <v>3.9889999999999999</v>
      </c>
      <c r="F108" s="39">
        <f t="shared" si="99"/>
        <v>8.9250000000000007</v>
      </c>
      <c r="G108" s="39">
        <f t="shared" si="99"/>
        <v>-3.0439999999999996</v>
      </c>
      <c r="H108" s="39">
        <f t="shared" si="99"/>
        <v>-3.7229999999999999</v>
      </c>
      <c r="I108" s="39">
        <f t="shared" si="99"/>
        <v>0.50200000000000011</v>
      </c>
      <c r="J108" s="43">
        <f t="shared" ref="J108:AW108" ca="1" si="100">J$105+J$106-J$107</f>
        <v>1.346755281794497</v>
      </c>
      <c r="K108" s="43">
        <f t="shared" ca="1" si="100"/>
        <v>3.7799210199684303</v>
      </c>
      <c r="L108" s="43">
        <f t="shared" ca="1" si="100"/>
        <v>5.3219156254849</v>
      </c>
      <c r="M108" s="43">
        <f t="shared" ca="1" si="100"/>
        <v>6.759712145949889</v>
      </c>
      <c r="N108" s="43">
        <f t="shared" ca="1" si="100"/>
        <v>8.0293644896108454</v>
      </c>
      <c r="O108" s="43">
        <f t="shared" ca="1" si="100"/>
        <v>9.8205099931894857</v>
      </c>
      <c r="P108" s="43">
        <f t="shared" ca="1" si="100"/>
        <v>11.345917608357388</v>
      </c>
      <c r="Q108" s="43">
        <f t="shared" ca="1" si="100"/>
        <v>12.897635246265013</v>
      </c>
      <c r="R108" s="43">
        <f t="shared" ca="1" si="100"/>
        <v>14.711747699003476</v>
      </c>
      <c r="S108" s="43">
        <f t="shared" ca="1" si="100"/>
        <v>16.679620970557504</v>
      </c>
      <c r="T108" s="43">
        <f t="shared" ca="1" si="100"/>
        <v>18.852669801803298</v>
      </c>
      <c r="U108" s="43">
        <f t="shared" ca="1" si="100"/>
        <v>21.286414003870842</v>
      </c>
      <c r="V108" s="43">
        <f t="shared" ca="1" si="100"/>
        <v>23.943683738016173</v>
      </c>
      <c r="W108" s="43">
        <f t="shared" ca="1" si="100"/>
        <v>26.661951395690686</v>
      </c>
      <c r="X108" s="43">
        <f t="shared" ca="1" si="100"/>
        <v>29.497729218191871</v>
      </c>
      <c r="Y108" s="43">
        <f t="shared" ca="1" si="100"/>
        <v>32.57329402824827</v>
      </c>
      <c r="Z108" s="43">
        <f t="shared" ca="1" si="100"/>
        <v>35.894823262249083</v>
      </c>
      <c r="AA108" s="43">
        <f t="shared" ca="1" si="100"/>
        <v>39.485547526220287</v>
      </c>
      <c r="AB108" s="43">
        <f t="shared" ca="1" si="100"/>
        <v>43.345748783407174</v>
      </c>
      <c r="AC108" s="43">
        <f t="shared" ca="1" si="100"/>
        <v>47.456309710422275</v>
      </c>
      <c r="AD108" s="43">
        <f t="shared" ca="1" si="100"/>
        <v>51.781654869083987</v>
      </c>
      <c r="AE108" s="43">
        <f t="shared" ca="1" si="100"/>
        <v>56.418371552301721</v>
      </c>
      <c r="AF108" s="43">
        <f t="shared" ca="1" si="100"/>
        <v>61.419238268196274</v>
      </c>
      <c r="AG108" s="43">
        <f t="shared" ca="1" si="100"/>
        <v>66.774498041151105</v>
      </c>
      <c r="AH108" s="43">
        <f t="shared" ca="1" si="100"/>
        <v>72.508998511004535</v>
      </c>
      <c r="AI108" s="43">
        <f t="shared" ca="1" si="100"/>
        <v>78.643871279240074</v>
      </c>
      <c r="AJ108" s="43">
        <f t="shared" ca="1" si="100"/>
        <v>85.223927033355366</v>
      </c>
      <c r="AK108" s="43">
        <f t="shared" ca="1" si="100"/>
        <v>92.289596951733472</v>
      </c>
      <c r="AL108" s="43">
        <f t="shared" ca="1" si="100"/>
        <v>99.862854320517997</v>
      </c>
      <c r="AM108" s="43">
        <f t="shared" ca="1" si="100"/>
        <v>108.00211555773622</v>
      </c>
      <c r="AN108" s="43">
        <f t="shared" ca="1" si="100"/>
        <v>116.7525706656607</v>
      </c>
      <c r="AO108" s="43">
        <f t="shared" ca="1" si="100"/>
        <v>126.22980298643508</v>
      </c>
      <c r="AP108" s="43">
        <f t="shared" ca="1" si="100"/>
        <v>136.47237725782367</v>
      </c>
      <c r="AQ108" s="43">
        <f t="shared" ca="1" si="100"/>
        <v>147.53283516318612</v>
      </c>
      <c r="AR108" s="43">
        <f t="shared" ca="1" si="100"/>
        <v>159.49982810383321</v>
      </c>
      <c r="AS108" s="43">
        <f t="shared" ca="1" si="100"/>
        <v>172.42751666356781</v>
      </c>
      <c r="AT108" s="43">
        <f t="shared" ca="1" si="100"/>
        <v>186.15546829437761</v>
      </c>
      <c r="AU108" s="43">
        <f t="shared" ca="1" si="100"/>
        <v>201.00292050464961</v>
      </c>
      <c r="AV108" s="43">
        <f t="shared" ca="1" si="100"/>
        <v>216.95429483840985</v>
      </c>
      <c r="AW108" s="43">
        <f t="shared" ca="1" si="100"/>
        <v>234.10888572154482</v>
      </c>
    </row>
    <row r="109" spans="1:49" ht="15" x14ac:dyDescent="0.25">
      <c r="A109" s="2" t="s">
        <v>212</v>
      </c>
      <c r="D109" s="41">
        <f t="shared" ref="D109" si="101">SUM(D$97,D$104,D$108)</f>
        <v>-0.88400000000001455</v>
      </c>
      <c r="E109" s="42">
        <f t="shared" ref="E109:AW109" ca="1" si="102">SUM(E$97,E$104,E$108)</f>
        <v>2.6539999999999848</v>
      </c>
      <c r="F109" s="42">
        <f t="shared" ca="1" si="102"/>
        <v>9.6000000000003638E-2</v>
      </c>
      <c r="G109" s="42">
        <f t="shared" ca="1" si="102"/>
        <v>1.7660000000000133</v>
      </c>
      <c r="H109" s="42">
        <f t="shared" ca="1" si="102"/>
        <v>1.7970000000000086</v>
      </c>
      <c r="I109" s="42">
        <f t="shared" ca="1" si="102"/>
        <v>2.211999999999994</v>
      </c>
      <c r="J109" s="31">
        <f t="shared" ca="1" si="102"/>
        <v>0.79154279876427225</v>
      </c>
      <c r="K109" s="31">
        <f t="shared" ca="1" si="102"/>
        <v>1.290164933185185</v>
      </c>
      <c r="L109" s="31">
        <f t="shared" ca="1" si="102"/>
        <v>1.3642030692955025</v>
      </c>
      <c r="M109" s="31">
        <f t="shared" ca="1" si="102"/>
        <v>1.4139093701479126</v>
      </c>
      <c r="N109" s="31">
        <f t="shared" ca="1" si="102"/>
        <v>1.4636301759716375</v>
      </c>
      <c r="O109" s="31">
        <f t="shared" ca="1" si="102"/>
        <v>1.4939622698642019</v>
      </c>
      <c r="P109" s="31">
        <f t="shared" ca="1" si="102"/>
        <v>1.5210129880455909</v>
      </c>
      <c r="Q109" s="31">
        <f t="shared" ca="1" si="102"/>
        <v>1.5460141703581947</v>
      </c>
      <c r="R109" s="31">
        <f t="shared" ca="1" si="102"/>
        <v>1.5711942735380298</v>
      </c>
      <c r="S109" s="31">
        <f t="shared" ca="1" si="102"/>
        <v>1.6039929447188079</v>
      </c>
      <c r="T109" s="31">
        <f t="shared" ca="1" si="102"/>
        <v>1.6387098664955815</v>
      </c>
      <c r="U109" s="31">
        <f t="shared" ca="1" si="102"/>
        <v>1.6751462253621412</v>
      </c>
      <c r="V109" s="31">
        <f t="shared" ca="1" si="102"/>
        <v>1.7119780304015748</v>
      </c>
      <c r="W109" s="31">
        <f t="shared" ca="1" si="102"/>
        <v>1.7498263842325201</v>
      </c>
      <c r="X109" s="31">
        <f t="shared" ca="1" si="102"/>
        <v>1.7924010837892581</v>
      </c>
      <c r="Y109" s="31">
        <f t="shared" ca="1" si="102"/>
        <v>1.8302297583754061</v>
      </c>
      <c r="Z109" s="31">
        <f t="shared" ca="1" si="102"/>
        <v>1.8781316185004258</v>
      </c>
      <c r="AA109" s="31">
        <f t="shared" ca="1" si="102"/>
        <v>1.9373109866683507</v>
      </c>
      <c r="AB109" s="31">
        <f t="shared" ca="1" si="102"/>
        <v>2.0123478183331969</v>
      </c>
      <c r="AC109" s="31">
        <f t="shared" ca="1" si="102"/>
        <v>2.1066316629784367</v>
      </c>
      <c r="AD109" s="31">
        <f t="shared" ca="1" si="102"/>
        <v>2.2193922263769821</v>
      </c>
      <c r="AE109" s="31">
        <f t="shared" ca="1" si="102"/>
        <v>2.3393874623548143</v>
      </c>
      <c r="AF109" s="31">
        <f t="shared" ca="1" si="102"/>
        <v>2.477160792042568</v>
      </c>
      <c r="AG109" s="31">
        <f t="shared" ca="1" si="102"/>
        <v>2.6195029458291117</v>
      </c>
      <c r="AH109" s="31">
        <f t="shared" ca="1" si="102"/>
        <v>2.7734740730687122</v>
      </c>
      <c r="AI109" s="31">
        <f t="shared" ca="1" si="102"/>
        <v>2.9321417912353951</v>
      </c>
      <c r="AJ109" s="31">
        <f t="shared" ca="1" si="102"/>
        <v>3.1029981242442943</v>
      </c>
      <c r="AK109" s="31">
        <f t="shared" ca="1" si="102"/>
        <v>3.2749397528873629</v>
      </c>
      <c r="AL109" s="31">
        <f t="shared" ca="1" si="102"/>
        <v>3.4535166443519785</v>
      </c>
      <c r="AM109" s="31">
        <f t="shared" ca="1" si="102"/>
        <v>3.640963370320506</v>
      </c>
      <c r="AN109" s="31">
        <f t="shared" ca="1" si="102"/>
        <v>3.832805459164689</v>
      </c>
      <c r="AO109" s="31">
        <f t="shared" ca="1" si="102"/>
        <v>4.0154837792871518</v>
      </c>
      <c r="AP109" s="31">
        <f t="shared" ca="1" si="102"/>
        <v>4.194892299404728</v>
      </c>
      <c r="AQ109" s="31">
        <f t="shared" ca="1" si="102"/>
        <v>4.3586421069633445</v>
      </c>
      <c r="AR109" s="31">
        <f t="shared" ca="1" si="102"/>
        <v>4.5056531871773302</v>
      </c>
      <c r="AS109" s="31">
        <f t="shared" ca="1" si="102"/>
        <v>4.6390154684291076</v>
      </c>
      <c r="AT109" s="31">
        <f t="shared" ca="1" si="102"/>
        <v>4.7795076490289716</v>
      </c>
      <c r="AU109" s="31">
        <f t="shared" ca="1" si="102"/>
        <v>4.9202957248829478</v>
      </c>
      <c r="AV109" s="31">
        <f t="shared" ca="1" si="102"/>
        <v>5.0716054838776472</v>
      </c>
      <c r="AW109" s="31">
        <f t="shared" ca="1" si="102"/>
        <v>5.2163776799004893</v>
      </c>
    </row>
    <row r="110" spans="1:49" ht="15" x14ac:dyDescent="0.25">
      <c r="A110" s="2"/>
      <c r="D110" s="55"/>
      <c r="E110" s="56"/>
      <c r="F110" s="56"/>
      <c r="G110" s="56"/>
      <c r="H110" s="56"/>
      <c r="I110" s="56"/>
      <c r="J110" s="57"/>
      <c r="K110" s="57"/>
      <c r="L110" s="57"/>
      <c r="M110" s="57"/>
      <c r="N110" s="57"/>
      <c r="O110" s="57"/>
      <c r="P110" s="57"/>
      <c r="Q110" s="57"/>
      <c r="R110" s="57"/>
      <c r="S110" s="57"/>
    </row>
    <row r="111" spans="1:49" x14ac:dyDescent="0.2">
      <c r="A111" s="22" t="s">
        <v>380</v>
      </c>
    </row>
    <row r="112" spans="1:49" ht="15" x14ac:dyDescent="0.25">
      <c r="A112" s="2" t="s">
        <v>377</v>
      </c>
      <c r="D112" s="41">
        <f t="shared" ref="D112" si="103">D$97</f>
        <v>5.5919999999999845</v>
      </c>
      <c r="E112" s="42">
        <f t="shared" ref="E112:AW112" ca="1" si="104">E$97</f>
        <v>7.1429999999999865</v>
      </c>
      <c r="F112" s="42">
        <f t="shared" ca="1" si="104"/>
        <v>5.3070000000000022</v>
      </c>
      <c r="G112" s="42">
        <f t="shared" ca="1" si="104"/>
        <v>7.5830000000000126</v>
      </c>
      <c r="H112" s="42">
        <f t="shared" ca="1" si="104"/>
        <v>11.612000000000009</v>
      </c>
      <c r="I112" s="42">
        <f t="shared" ca="1" si="104"/>
        <v>13.569999999999993</v>
      </c>
      <c r="J112" s="31">
        <f t="shared" ca="1" si="104"/>
        <v>12.590829636547156</v>
      </c>
      <c r="K112" s="31">
        <f t="shared" ca="1" si="104"/>
        <v>11.203051063814016</v>
      </c>
      <c r="L112" s="31">
        <f t="shared" ca="1" si="104"/>
        <v>10.045048438590584</v>
      </c>
      <c r="M112" s="31">
        <f t="shared" ca="1" si="104"/>
        <v>8.9224037610237446</v>
      </c>
      <c r="N112" s="31">
        <f t="shared" ca="1" si="104"/>
        <v>8.0015893068278672</v>
      </c>
      <c r="O112" s="31">
        <f t="shared" ca="1" si="104"/>
        <v>6.5549394250768103</v>
      </c>
      <c r="P112" s="31">
        <f t="shared" ca="1" si="104"/>
        <v>5.2940514418524742</v>
      </c>
      <c r="Q112" s="31">
        <f t="shared" ca="1" si="104"/>
        <v>4.0166888730824155</v>
      </c>
      <c r="R112" s="31">
        <f t="shared" ca="1" si="104"/>
        <v>2.5012693295021222</v>
      </c>
      <c r="S112" s="31">
        <f t="shared" ca="1" si="104"/>
        <v>0.88081019577438724</v>
      </c>
      <c r="T112" s="31">
        <f t="shared" ca="1" si="104"/>
        <v>-0.90800744559211921</v>
      </c>
      <c r="U112" s="31">
        <f t="shared" ca="1" si="104"/>
        <v>-2.9391087695535418</v>
      </c>
      <c r="V112" s="31">
        <f t="shared" ca="1" si="104"/>
        <v>-5.1881226729610148</v>
      </c>
      <c r="W112" s="31">
        <f t="shared" ca="1" si="104"/>
        <v>-7.4803663250729642</v>
      </c>
      <c r="X112" s="31">
        <f t="shared" ca="1" si="104"/>
        <v>-9.8582039488427426</v>
      </c>
      <c r="Y112" s="31">
        <f t="shared" ca="1" si="104"/>
        <v>-12.494111132159475</v>
      </c>
      <c r="Z112" s="31">
        <f t="shared" ca="1" si="104"/>
        <v>-15.268439938387502</v>
      </c>
      <c r="AA112" s="31">
        <f t="shared" ca="1" si="104"/>
        <v>-18.193939832269535</v>
      </c>
      <c r="AB112" s="31">
        <f t="shared" ca="1" si="104"/>
        <v>-21.269723031443704</v>
      </c>
      <c r="AC112" s="31">
        <f t="shared" ca="1" si="104"/>
        <v>-24.45011423067308</v>
      </c>
      <c r="AD112" s="31">
        <f t="shared" ca="1" si="104"/>
        <v>-27.681340491830611</v>
      </c>
      <c r="AE112" s="31">
        <f t="shared" ca="1" si="104"/>
        <v>-31.147664812060384</v>
      </c>
      <c r="AF112" s="31">
        <f t="shared" ca="1" si="104"/>
        <v>-34.863425260780105</v>
      </c>
      <c r="AG112" s="31">
        <f t="shared" ca="1" si="104"/>
        <v>-38.902686066093906</v>
      </c>
      <c r="AH112" s="31">
        <f t="shared" ca="1" si="104"/>
        <v>-43.254046549873863</v>
      </c>
      <c r="AI112" s="31">
        <f t="shared" ca="1" si="104"/>
        <v>-47.978799823097972</v>
      </c>
      <c r="AJ112" s="31">
        <f t="shared" ca="1" si="104"/>
        <v>-53.047502520244905</v>
      </c>
      <c r="AK112" s="31">
        <f t="shared" ca="1" si="104"/>
        <v>-58.587459993731215</v>
      </c>
      <c r="AL112" s="31">
        <f t="shared" ca="1" si="104"/>
        <v>-64.594600198718297</v>
      </c>
      <c r="AM112" s="31">
        <f t="shared" ca="1" si="104"/>
        <v>-71.113284890841271</v>
      </c>
      <c r="AN112" s="31">
        <f t="shared" ca="1" si="104"/>
        <v>-78.243873974926885</v>
      </c>
      <c r="AO112" s="31">
        <f t="shared" ca="1" si="104"/>
        <v>-86.110394872213192</v>
      </c>
      <c r="AP112" s="31">
        <f t="shared" ca="1" si="104"/>
        <v>-94.812519021621483</v>
      </c>
      <c r="AQ112" s="31">
        <f t="shared" ca="1" si="104"/>
        <v>-104.42012120078431</v>
      </c>
      <c r="AR112" s="31">
        <f t="shared" ca="1" si="104"/>
        <v>-115.04363417393307</v>
      </c>
      <c r="AS112" s="31">
        <f t="shared" ca="1" si="104"/>
        <v>-126.69620356048574</v>
      </c>
      <c r="AT112" s="31">
        <f t="shared" ca="1" si="104"/>
        <v>-139.30518261187615</v>
      </c>
      <c r="AU112" s="31">
        <f t="shared" ca="1" si="104"/>
        <v>-152.91684513030589</v>
      </c>
      <c r="AV112" s="31">
        <f t="shared" ca="1" si="104"/>
        <v>-167.53711825591097</v>
      </c>
      <c r="AW112" s="31">
        <f t="shared" ca="1" si="104"/>
        <v>-183.36128890674797</v>
      </c>
    </row>
    <row r="113" spans="1:49" ht="15" x14ac:dyDescent="0.25">
      <c r="A113" s="2" t="s">
        <v>741</v>
      </c>
      <c r="D113" s="40">
        <f t="shared" ref="D113:I113" si="105">D$325-D$46</f>
        <v>4.3289999999999997</v>
      </c>
      <c r="E113" s="39">
        <f t="shared" si="105"/>
        <v>-3.5170000000000003</v>
      </c>
      <c r="F113" s="39">
        <f t="shared" si="105"/>
        <v>2.0530000000000004</v>
      </c>
      <c r="G113" s="39">
        <f t="shared" si="105"/>
        <v>2.2170000000000001</v>
      </c>
      <c r="H113" s="39">
        <f t="shared" si="105"/>
        <v>2.347</v>
      </c>
      <c r="I113" s="39">
        <f t="shared" si="105"/>
        <v>2.629</v>
      </c>
      <c r="J113" s="43">
        <f t="shared" ref="J113:AW113" ca="1" si="106">J$325-J$46</f>
        <v>2.3608218359166373</v>
      </c>
      <c r="K113" s="43">
        <f t="shared" ca="1" si="106"/>
        <v>2.6834330693308099</v>
      </c>
      <c r="L113" s="43">
        <f t="shared" ca="1" si="106"/>
        <v>3.0307791562162878</v>
      </c>
      <c r="M113" s="43">
        <f t="shared" ca="1" si="106"/>
        <v>3.4028301266194698</v>
      </c>
      <c r="N113" s="43">
        <f t="shared" ca="1" si="106"/>
        <v>3.778955962228594</v>
      </c>
      <c r="O113" s="43">
        <f t="shared" ca="1" si="106"/>
        <v>4.1076603917726686</v>
      </c>
      <c r="P113" s="43">
        <f t="shared" ca="1" si="106"/>
        <v>4.4403394952913331</v>
      </c>
      <c r="Q113" s="43">
        <f t="shared" ca="1" si="106"/>
        <v>4.7752480790648715</v>
      </c>
      <c r="R113" s="43">
        <f t="shared" ca="1" si="106"/>
        <v>5.1120734491155</v>
      </c>
      <c r="S113" s="43">
        <f t="shared" ca="1" si="106"/>
        <v>5.4521314406946892</v>
      </c>
      <c r="T113" s="43">
        <f t="shared" ca="1" si="106"/>
        <v>5.796855568946099</v>
      </c>
      <c r="U113" s="43">
        <f t="shared" ca="1" si="106"/>
        <v>6.1464576758238838</v>
      </c>
      <c r="V113" s="43">
        <f t="shared" ca="1" si="106"/>
        <v>6.5004836660115082</v>
      </c>
      <c r="W113" s="43">
        <f t="shared" ca="1" si="106"/>
        <v>6.8584407382001009</v>
      </c>
      <c r="X113" s="43">
        <f t="shared" ca="1" si="106"/>
        <v>7.2204546524111564</v>
      </c>
      <c r="Y113" s="43">
        <f t="shared" ca="1" si="106"/>
        <v>7.5860494428302587</v>
      </c>
      <c r="Z113" s="43">
        <f t="shared" ca="1" si="106"/>
        <v>7.9554028170711382</v>
      </c>
      <c r="AA113" s="43">
        <f t="shared" ca="1" si="106"/>
        <v>8.3315226444050889</v>
      </c>
      <c r="AB113" s="43">
        <f t="shared" ca="1" si="106"/>
        <v>8.7187171770391689</v>
      </c>
      <c r="AC113" s="43">
        <f t="shared" ca="1" si="106"/>
        <v>9.1223448017660829</v>
      </c>
      <c r="AD113" s="43">
        <f t="shared" ca="1" si="106"/>
        <v>9.5487903713598623</v>
      </c>
      <c r="AE113" s="43">
        <f t="shared" ca="1" si="106"/>
        <v>10.003258857494931</v>
      </c>
      <c r="AF113" s="43">
        <f t="shared" ca="1" si="106"/>
        <v>10.490069930979017</v>
      </c>
      <c r="AG113" s="43">
        <f t="shared" ca="1" si="106"/>
        <v>11.012951686437273</v>
      </c>
      <c r="AH113" s="43">
        <f t="shared" ca="1" si="106"/>
        <v>11.574627376933631</v>
      </c>
      <c r="AI113" s="43">
        <f t="shared" ca="1" si="106"/>
        <v>12.178308560908894</v>
      </c>
      <c r="AJ113" s="43">
        <f t="shared" ca="1" si="106"/>
        <v>12.827006592819224</v>
      </c>
      <c r="AK113" s="43">
        <f t="shared" ca="1" si="106"/>
        <v>13.522957493484055</v>
      </c>
      <c r="AL113" s="43">
        <f t="shared" ca="1" si="106"/>
        <v>14.268257969156675</v>
      </c>
      <c r="AM113" s="43">
        <f t="shared" ca="1" si="106"/>
        <v>15.065908161289837</v>
      </c>
      <c r="AN113" s="43">
        <f t="shared" ca="1" si="106"/>
        <v>15.917855373664599</v>
      </c>
      <c r="AO113" s="43">
        <f t="shared" ca="1" si="106"/>
        <v>16.824298823323943</v>
      </c>
      <c r="AP113" s="43">
        <f t="shared" ca="1" si="106"/>
        <v>17.783112654514998</v>
      </c>
      <c r="AQ113" s="43">
        <f t="shared" ca="1" si="106"/>
        <v>18.790501612501053</v>
      </c>
      <c r="AR113" s="43">
        <f t="shared" ca="1" si="106"/>
        <v>19.841335521574461</v>
      </c>
      <c r="AS113" s="43">
        <f t="shared" ca="1" si="106"/>
        <v>20.929102587165168</v>
      </c>
      <c r="AT113" s="43">
        <f t="shared" ca="1" si="106"/>
        <v>22.048607335470003</v>
      </c>
      <c r="AU113" s="43">
        <f t="shared" ca="1" si="106"/>
        <v>23.202316613585964</v>
      </c>
      <c r="AV113" s="43">
        <f t="shared" ca="1" si="106"/>
        <v>24.39071654581489</v>
      </c>
      <c r="AW113" s="43">
        <f t="shared" ca="1" si="106"/>
        <v>25.613871075461045</v>
      </c>
    </row>
    <row r="114" spans="1:49" x14ac:dyDescent="0.2">
      <c r="A114" s="1" t="s">
        <v>734</v>
      </c>
      <c r="D114" s="62">
        <f t="shared" ref="D114:I114" si="107">D$202</f>
        <v>4.8420000000000005</v>
      </c>
      <c r="E114" s="52">
        <f t="shared" si="107"/>
        <v>4.875</v>
      </c>
      <c r="F114" s="52">
        <f t="shared" si="107"/>
        <v>5.2</v>
      </c>
      <c r="G114" s="52">
        <f t="shared" si="107"/>
        <v>5.3520000000000003</v>
      </c>
      <c r="H114" s="52">
        <f t="shared" si="107"/>
        <v>5.5049999999999999</v>
      </c>
      <c r="I114" s="52">
        <f t="shared" si="107"/>
        <v>5.6020000000000003</v>
      </c>
      <c r="J114" s="53">
        <f t="shared" ref="J114:AW114" ca="1" si="108">J$202</f>
        <v>5.7309008237348209</v>
      </c>
      <c r="K114" s="53">
        <f t="shared" ca="1" si="108"/>
        <v>5.8542584144870098</v>
      </c>
      <c r="L114" s="53">
        <f t="shared" ca="1" si="108"/>
        <v>5.989600533959198</v>
      </c>
      <c r="M114" s="53">
        <f t="shared" ca="1" si="108"/>
        <v>6.1348878206663375</v>
      </c>
      <c r="N114" s="53">
        <f t="shared" ca="1" si="108"/>
        <v>6.2903326753661215</v>
      </c>
      <c r="O114" s="53">
        <f t="shared" ca="1" si="108"/>
        <v>6.4559188870465753</v>
      </c>
      <c r="P114" s="53">
        <f t="shared" ca="1" si="108"/>
        <v>6.6317224993020334</v>
      </c>
      <c r="Q114" s="53">
        <f t="shared" ca="1" si="108"/>
        <v>6.8178775435408188</v>
      </c>
      <c r="R114" s="53">
        <f t="shared" ca="1" si="108"/>
        <v>7.0144462144135566</v>
      </c>
      <c r="S114" s="53">
        <f t="shared" ca="1" si="108"/>
        <v>7.2216927988244732</v>
      </c>
      <c r="T114" s="53">
        <f t="shared" ca="1" si="108"/>
        <v>7.4398270911186817</v>
      </c>
      <c r="U114" s="53">
        <f t="shared" ca="1" si="108"/>
        <v>7.6691811467522086</v>
      </c>
      <c r="V114" s="53">
        <f t="shared" ca="1" si="108"/>
        <v>7.9100445047405294</v>
      </c>
      <c r="W114" s="53">
        <f t="shared" ca="1" si="108"/>
        <v>8.1628691024650504</v>
      </c>
      <c r="X114" s="53">
        <f t="shared" ca="1" si="108"/>
        <v>8.4279833082862723</v>
      </c>
      <c r="Y114" s="53">
        <f t="shared" ca="1" si="108"/>
        <v>8.7057945899049187</v>
      </c>
      <c r="Z114" s="53">
        <f t="shared" ca="1" si="108"/>
        <v>8.9967852753682269</v>
      </c>
      <c r="AA114" s="53">
        <f t="shared" ca="1" si="108"/>
        <v>9.3015285416983478</v>
      </c>
      <c r="AB114" s="53">
        <f t="shared" ca="1" si="108"/>
        <v>9.6205628479808354</v>
      </c>
      <c r="AC114" s="53">
        <f t="shared" ca="1" si="108"/>
        <v>9.9545972220779184</v>
      </c>
      <c r="AD114" s="53">
        <f t="shared" ca="1" si="108"/>
        <v>10.304258367250918</v>
      </c>
      <c r="AE114" s="53">
        <f t="shared" ca="1" si="108"/>
        <v>10.67004533450784</v>
      </c>
      <c r="AF114" s="53">
        <f t="shared" ca="1" si="108"/>
        <v>11.052591134393488</v>
      </c>
      <c r="AG114" s="53">
        <f t="shared" ca="1" si="108"/>
        <v>11.452554892721908</v>
      </c>
      <c r="AH114" s="53">
        <f t="shared" ca="1" si="108"/>
        <v>11.870538659430977</v>
      </c>
      <c r="AI114" s="53">
        <f t="shared" ca="1" si="108"/>
        <v>12.306966153250524</v>
      </c>
      <c r="AJ114" s="53">
        <f t="shared" ca="1" si="108"/>
        <v>12.762632977507216</v>
      </c>
      <c r="AK114" s="53">
        <f t="shared" ca="1" si="108"/>
        <v>13.238048074638353</v>
      </c>
      <c r="AL114" s="53">
        <f t="shared" ca="1" si="108"/>
        <v>13.733619137377582</v>
      </c>
      <c r="AM114" s="53">
        <f t="shared" ca="1" si="108"/>
        <v>14.250000193033941</v>
      </c>
      <c r="AN114" s="53">
        <f t="shared" ca="1" si="108"/>
        <v>14.787913079122355</v>
      </c>
      <c r="AO114" s="53">
        <f t="shared" ca="1" si="108"/>
        <v>15.347420935338118</v>
      </c>
      <c r="AP114" s="53">
        <f t="shared" ca="1" si="108"/>
        <v>15.929431713173848</v>
      </c>
      <c r="AQ114" s="53">
        <f t="shared" ca="1" si="108"/>
        <v>16.53413555761739</v>
      </c>
      <c r="AR114" s="53">
        <f t="shared" ca="1" si="108"/>
        <v>17.162066621244438</v>
      </c>
      <c r="AS114" s="53">
        <f t="shared" ca="1" si="108"/>
        <v>17.813928053970319</v>
      </c>
      <c r="AT114" s="53">
        <f t="shared" ca="1" si="108"/>
        <v>18.490274672451754</v>
      </c>
      <c r="AU114" s="53">
        <f t="shared" ca="1" si="108"/>
        <v>19.191816490450503</v>
      </c>
      <c r="AV114" s="53">
        <f t="shared" ca="1" si="108"/>
        <v>19.919526086763383</v>
      </c>
      <c r="AW114" s="53">
        <f t="shared" ca="1" si="108"/>
        <v>20.674035700493633</v>
      </c>
    </row>
    <row r="115" spans="1:49" x14ac:dyDescent="0.2">
      <c r="A115" s="1" t="s">
        <v>737</v>
      </c>
      <c r="D115" s="18">
        <f>-SUM(Fiscal!D$99:D$100)</f>
        <v>1.0009999999999999</v>
      </c>
      <c r="E115" s="19">
        <f>-SUM(Fiscal!E$99:E$100)</f>
        <v>0.88800000000000001</v>
      </c>
      <c r="F115" s="19">
        <f>-SUM(Fiscal!F$99:F$100)</f>
        <v>0.96799999999999997</v>
      </c>
      <c r="G115" s="19">
        <f>-SUM(Fiscal!G$99:G$100)</f>
        <v>0.98499999999999999</v>
      </c>
      <c r="H115" s="19">
        <f>-SUM(Fiscal!H$99:H$100)</f>
        <v>0.97799999999999998</v>
      </c>
      <c r="I115" s="19">
        <f>-SUM(Fiscal!I$99:I$100)</f>
        <v>0.91600000000000004</v>
      </c>
      <c r="J115" s="7">
        <f>SUM(J$387,J$390)</f>
        <v>0.72199999999999998</v>
      </c>
      <c r="K115" s="7">
        <f t="shared" ref="K115:AW115" si="109">SUM(K$387,K$390)</f>
        <v>0.72699999999999998</v>
      </c>
      <c r="L115" s="7">
        <f t="shared" si="109"/>
        <v>0.74099999999999999</v>
      </c>
      <c r="M115" s="7">
        <f t="shared" si="109"/>
        <v>0.755</v>
      </c>
      <c r="N115" s="7">
        <f t="shared" si="109"/>
        <v>0.78</v>
      </c>
      <c r="O115" s="7">
        <f t="shared" si="109"/>
        <v>0.80200000000000005</v>
      </c>
      <c r="P115" s="7">
        <f t="shared" si="109"/>
        <v>0.82699999999999996</v>
      </c>
      <c r="Q115" s="7">
        <f t="shared" si="109"/>
        <v>0.85199999999999998</v>
      </c>
      <c r="R115" s="7">
        <f t="shared" si="109"/>
        <v>0.874</v>
      </c>
      <c r="S115" s="7">
        <f t="shared" si="109"/>
        <v>0.89600000000000002</v>
      </c>
      <c r="T115" s="7">
        <f t="shared" si="109"/>
        <v>0.92200000000000004</v>
      </c>
      <c r="U115" s="7">
        <f t="shared" si="109"/>
        <v>0.94500000000000006</v>
      </c>
      <c r="V115" s="7">
        <f t="shared" si="109"/>
        <v>0.96700000000000008</v>
      </c>
      <c r="W115" s="7">
        <f t="shared" si="109"/>
        <v>0.9890000000000001</v>
      </c>
      <c r="X115" s="7">
        <f t="shared" si="109"/>
        <v>1.0110000000000001</v>
      </c>
      <c r="Y115" s="7">
        <f t="shared" si="109"/>
        <v>1.0350000000000001</v>
      </c>
      <c r="Z115" s="7">
        <f t="shared" si="109"/>
        <v>1.0640000000000001</v>
      </c>
      <c r="AA115" s="7">
        <f t="shared" si="109"/>
        <v>1.0920000000000001</v>
      </c>
      <c r="AB115" s="7">
        <f t="shared" si="109"/>
        <v>1.125</v>
      </c>
      <c r="AC115" s="7">
        <f t="shared" si="109"/>
        <v>1.1619999999999999</v>
      </c>
      <c r="AD115" s="7">
        <f t="shared" si="109"/>
        <v>1.1949999999999998</v>
      </c>
      <c r="AE115" s="7">
        <f t="shared" si="109"/>
        <v>1.2299999999999998</v>
      </c>
      <c r="AF115" s="7">
        <f t="shared" si="109"/>
        <v>1.2629999999999997</v>
      </c>
      <c r="AG115" s="7">
        <f t="shared" si="109"/>
        <v>1.2969999999999997</v>
      </c>
      <c r="AH115" s="7">
        <f t="shared" si="109"/>
        <v>1.3399999999999996</v>
      </c>
      <c r="AI115" s="7">
        <f t="shared" si="109"/>
        <v>1.3819999999999997</v>
      </c>
      <c r="AJ115" s="7">
        <f t="shared" si="109"/>
        <v>1.4199999999999997</v>
      </c>
      <c r="AK115" s="7">
        <f t="shared" si="109"/>
        <v>1.4539999999999997</v>
      </c>
      <c r="AL115" s="7">
        <f t="shared" si="109"/>
        <v>1.4869999999999997</v>
      </c>
      <c r="AM115" s="7">
        <f t="shared" si="109"/>
        <v>1.5179999999999996</v>
      </c>
      <c r="AN115" s="7">
        <f t="shared" si="109"/>
        <v>1.5549999999999995</v>
      </c>
      <c r="AO115" s="7">
        <f t="shared" si="109"/>
        <v>1.5919999999999994</v>
      </c>
      <c r="AP115" s="7">
        <f t="shared" si="109"/>
        <v>1.6259999999999994</v>
      </c>
      <c r="AQ115" s="7">
        <f t="shared" si="109"/>
        <v>1.6659999999999995</v>
      </c>
      <c r="AR115" s="7">
        <f t="shared" si="109"/>
        <v>1.7039999999999995</v>
      </c>
      <c r="AS115" s="7">
        <f t="shared" si="109"/>
        <v>1.7419999999999995</v>
      </c>
      <c r="AT115" s="7">
        <f t="shared" si="109"/>
        <v>1.7829999999999995</v>
      </c>
      <c r="AU115" s="7">
        <f t="shared" si="109"/>
        <v>1.8249999999999995</v>
      </c>
      <c r="AV115" s="7">
        <f t="shared" si="109"/>
        <v>1.8739999999999994</v>
      </c>
      <c r="AW115" s="7">
        <f t="shared" si="109"/>
        <v>1.9149999999999994</v>
      </c>
    </row>
    <row r="116" spans="1:49" x14ac:dyDescent="0.2">
      <c r="A116" s="1" t="s">
        <v>752</v>
      </c>
      <c r="D116" s="18">
        <f>-Fiscal!D$101</f>
        <v>-0.373</v>
      </c>
      <c r="E116" s="19">
        <f>-Fiscal!E$101</f>
        <v>-0.44500000000000001</v>
      </c>
      <c r="F116" s="19">
        <f>-Fiscal!F$101</f>
        <v>-0.505</v>
      </c>
      <c r="G116" s="19">
        <f>-Fiscal!G$101</f>
        <v>-0.505</v>
      </c>
      <c r="H116" s="19">
        <f>-Fiscal!H$101</f>
        <v>-0.497</v>
      </c>
      <c r="I116" s="19">
        <f>-Fiscal!I$101</f>
        <v>-0.49099999999999999</v>
      </c>
      <c r="J116" s="7">
        <f t="shared" ref="J116:AW116" ca="1" si="110">J$465-I$465</f>
        <v>-0.27602053314737951</v>
      </c>
      <c r="K116" s="7">
        <f t="shared" ca="1" si="110"/>
        <v>-0.29121572037154486</v>
      </c>
      <c r="L116" s="7">
        <f t="shared" ca="1" si="110"/>
        <v>-0.29807939054864896</v>
      </c>
      <c r="M116" s="7">
        <f t="shared" ca="1" si="110"/>
        <v>-0.29415729330459328</v>
      </c>
      <c r="N116" s="7">
        <f t="shared" ca="1" si="110"/>
        <v>-0.28925467174950992</v>
      </c>
      <c r="O116" s="7">
        <f t="shared" ca="1" si="110"/>
        <v>-0.28042995295037532</v>
      </c>
      <c r="P116" s="7">
        <f t="shared" ca="1" si="110"/>
        <v>-0.27454680708428469</v>
      </c>
      <c r="Q116" s="7">
        <f t="shared" ca="1" si="110"/>
        <v>-0.27160523415123627</v>
      </c>
      <c r="R116" s="7">
        <f t="shared" ca="1" si="110"/>
        <v>-0.2784689043283457</v>
      </c>
      <c r="S116" s="7">
        <f t="shared" ca="1" si="110"/>
        <v>-0.28337152588342018</v>
      </c>
      <c r="T116" s="7">
        <f t="shared" ca="1" si="110"/>
        <v>-0.28925467174951258</v>
      </c>
      <c r="U116" s="7">
        <f t="shared" ca="1" si="110"/>
        <v>-0.29219624468255923</v>
      </c>
      <c r="V116" s="7">
        <f t="shared" ca="1" si="110"/>
        <v>-0.29807939054865162</v>
      </c>
      <c r="W116" s="7">
        <f t="shared" ca="1" si="110"/>
        <v>-0.30004043917068035</v>
      </c>
      <c r="X116" s="7">
        <f t="shared" ca="1" si="110"/>
        <v>-0.29905991485966688</v>
      </c>
      <c r="Y116" s="7">
        <f t="shared" ca="1" si="110"/>
        <v>-0.28925467174951169</v>
      </c>
      <c r="Z116" s="7">
        <f t="shared" ca="1" si="110"/>
        <v>-0.28435205019443721</v>
      </c>
      <c r="AA116" s="7">
        <f t="shared" ca="1" si="110"/>
        <v>-0.28042995295037443</v>
      </c>
      <c r="AB116" s="7">
        <f t="shared" ca="1" si="110"/>
        <v>-0.27454680708428381</v>
      </c>
      <c r="AC116" s="7">
        <f t="shared" ca="1" si="110"/>
        <v>-0.26670261259616135</v>
      </c>
      <c r="AD116" s="7">
        <f t="shared" ca="1" si="110"/>
        <v>-0.2598389424190537</v>
      </c>
      <c r="AE116" s="7">
        <f t="shared" ca="1" si="110"/>
        <v>-0.2519947479309308</v>
      </c>
      <c r="AF116" s="7">
        <f t="shared" ca="1" si="110"/>
        <v>-0.24120898050976392</v>
      </c>
      <c r="AG116" s="7">
        <f t="shared" ca="1" si="110"/>
        <v>-0.23140373739961051</v>
      </c>
      <c r="AH116" s="7">
        <f t="shared" ca="1" si="110"/>
        <v>-0.2215984942894571</v>
      </c>
      <c r="AI116" s="7">
        <f t="shared" ca="1" si="110"/>
        <v>-0.20983220255727408</v>
      </c>
      <c r="AJ116" s="7">
        <f t="shared" ca="1" si="110"/>
        <v>-0.20002695944712023</v>
      </c>
      <c r="AK116" s="7">
        <f t="shared" ca="1" si="110"/>
        <v>-0.18728014340392218</v>
      </c>
      <c r="AL116" s="7">
        <f t="shared" ca="1" si="110"/>
        <v>-0.1755138516717385</v>
      </c>
      <c r="AM116" s="7">
        <f t="shared" ca="1" si="110"/>
        <v>-0.16472808425056984</v>
      </c>
      <c r="AN116" s="7">
        <f t="shared" ca="1" si="110"/>
        <v>-0.15198126820737112</v>
      </c>
      <c r="AO116" s="7">
        <f t="shared" ca="1" si="110"/>
        <v>-0.14119550078620269</v>
      </c>
      <c r="AP116" s="7">
        <f t="shared" ca="1" si="110"/>
        <v>-0.13040973336503492</v>
      </c>
      <c r="AQ116" s="7">
        <f t="shared" ca="1" si="110"/>
        <v>-0.11962396594386615</v>
      </c>
      <c r="AR116" s="7">
        <f t="shared" ca="1" si="110"/>
        <v>-0.10883819852269838</v>
      </c>
      <c r="AS116" s="7">
        <f t="shared" ca="1" si="110"/>
        <v>-0.10001347972356023</v>
      </c>
      <c r="AT116" s="7">
        <f t="shared" ca="1" si="110"/>
        <v>-8.9227712302392015E-2</v>
      </c>
      <c r="AU116" s="7">
        <f t="shared" ca="1" si="110"/>
        <v>-8.0402993503254527E-2</v>
      </c>
      <c r="AV116" s="7">
        <f t="shared" ca="1" si="110"/>
        <v>-7.0597750393101455E-2</v>
      </c>
      <c r="AW116" s="7">
        <f t="shared" ca="1" si="110"/>
        <v>-6.3734080215994415E-2</v>
      </c>
    </row>
    <row r="117" spans="1:49" x14ac:dyDescent="0.2">
      <c r="A117" s="1" t="s">
        <v>753</v>
      </c>
      <c r="D117" s="18">
        <f>-Fiscal!D$102</f>
        <v>-0.746</v>
      </c>
      <c r="E117" s="19">
        <f>-Fiscal!E$102</f>
        <v>-0.17</v>
      </c>
      <c r="F117" s="19">
        <f>-Fiscal!F$102</f>
        <v>-4.3999999999999997E-2</v>
      </c>
      <c r="G117" s="19">
        <f>-Fiscal!G$102</f>
        <v>0.47899999999999998</v>
      </c>
      <c r="H117" s="19">
        <f>-Fiscal!H$102</f>
        <v>1.1970000000000001</v>
      </c>
      <c r="I117" s="19">
        <f>-Fiscal!I$102</f>
        <v>1.415</v>
      </c>
      <c r="J117" s="7">
        <f t="shared" ref="J117:AW117" ca="1" si="111">J$460-I$460</f>
        <v>1.8002540855301845</v>
      </c>
      <c r="K117" s="7">
        <f t="shared" ca="1" si="111"/>
        <v>1.8867477423469907</v>
      </c>
      <c r="L117" s="7">
        <f t="shared" ca="1" si="111"/>
        <v>1.9714669369463707</v>
      </c>
      <c r="M117" s="7">
        <f t="shared" ca="1" si="111"/>
        <v>2.0415223869645303</v>
      </c>
      <c r="N117" s="7">
        <f t="shared" ca="1" si="111"/>
        <v>2.1464197546217534</v>
      </c>
      <c r="O117" s="7">
        <f t="shared" ca="1" si="111"/>
        <v>2.1538117531684762</v>
      </c>
      <c r="P117" s="7">
        <f t="shared" ca="1" si="111"/>
        <v>2.2275308927826103</v>
      </c>
      <c r="Q117" s="7">
        <f t="shared" ca="1" si="111"/>
        <v>2.2821624321026519</v>
      </c>
      <c r="R117" s="7">
        <f t="shared" ca="1" si="111"/>
        <v>2.3420072149984748</v>
      </c>
      <c r="S117" s="7">
        <f t="shared" ca="1" si="111"/>
        <v>2.4275183845955226</v>
      </c>
      <c r="T117" s="7">
        <f t="shared" ca="1" si="111"/>
        <v>2.5170812804815199</v>
      </c>
      <c r="U117" s="7">
        <f t="shared" ca="1" si="111"/>
        <v>2.6060902592080168</v>
      </c>
      <c r="V117" s="7">
        <f t="shared" ca="1" si="111"/>
        <v>2.69395488091385</v>
      </c>
      <c r="W117" s="7">
        <f t="shared" ca="1" si="111"/>
        <v>2.7750973196436917</v>
      </c>
      <c r="X117" s="7">
        <f t="shared" ca="1" si="111"/>
        <v>2.8764185068648658</v>
      </c>
      <c r="Y117" s="7">
        <f t="shared" ca="1" si="111"/>
        <v>2.9896290951950846</v>
      </c>
      <c r="Z117" s="7">
        <f t="shared" ca="1" si="111"/>
        <v>3.1049090668171573</v>
      </c>
      <c r="AA117" s="7">
        <f t="shared" ca="1" si="111"/>
        <v>3.2226233494479573</v>
      </c>
      <c r="AB117" s="7">
        <f t="shared" ca="1" si="111"/>
        <v>3.3401627015157516</v>
      </c>
      <c r="AC117" s="7">
        <f t="shared" ca="1" si="111"/>
        <v>3.484880800092057</v>
      </c>
      <c r="AD117" s="7">
        <f t="shared" ca="1" si="111"/>
        <v>3.675344630522531</v>
      </c>
      <c r="AE117" s="7">
        <f t="shared" ca="1" si="111"/>
        <v>3.8805335769942815</v>
      </c>
      <c r="AF117" s="7">
        <f t="shared" ca="1" si="111"/>
        <v>4.0501606801746561</v>
      </c>
      <c r="AG117" s="7">
        <f t="shared" ca="1" si="111"/>
        <v>4.2104071238748446</v>
      </c>
      <c r="AH117" s="7">
        <f t="shared" ca="1" si="111"/>
        <v>4.3785673852476208</v>
      </c>
      <c r="AI117" s="7">
        <f t="shared" ca="1" si="111"/>
        <v>4.5549571128210857</v>
      </c>
      <c r="AJ117" s="7">
        <f t="shared" ca="1" si="111"/>
        <v>4.7401591632365125</v>
      </c>
      <c r="AK117" s="7">
        <f t="shared" ca="1" si="111"/>
        <v>4.9345094648574701</v>
      </c>
      <c r="AL117" s="7">
        <f t="shared" ca="1" si="111"/>
        <v>5.1384929059838811</v>
      </c>
      <c r="AM117" s="7">
        <f t="shared" ca="1" si="111"/>
        <v>5.3526933929389315</v>
      </c>
      <c r="AN117" s="7">
        <f t="shared" ca="1" si="111"/>
        <v>5.5776542978870509</v>
      </c>
      <c r="AO117" s="7">
        <f t="shared" ca="1" si="111"/>
        <v>5.8137561990743336</v>
      </c>
      <c r="AP117" s="7">
        <f t="shared" ca="1" si="111"/>
        <v>6.0619038491471429</v>
      </c>
      <c r="AQ117" s="7">
        <f t="shared" ca="1" si="111"/>
        <v>6.3224691284187031</v>
      </c>
      <c r="AR117" s="7">
        <f t="shared" ca="1" si="111"/>
        <v>6.5962800497804039</v>
      </c>
      <c r="AS117" s="7">
        <f t="shared" ca="1" si="111"/>
        <v>6.8841007868138888</v>
      </c>
      <c r="AT117" s="7">
        <f t="shared" ca="1" si="111"/>
        <v>7.136150456350606</v>
      </c>
      <c r="AU117" s="7">
        <f t="shared" ca="1" si="111"/>
        <v>7.4261690790489467</v>
      </c>
      <c r="AV117" s="7">
        <f t="shared" ca="1" si="111"/>
        <v>7.7280732198066744</v>
      </c>
      <c r="AW117" s="7">
        <f t="shared" ca="1" si="111"/>
        <v>8.0421759991239412</v>
      </c>
    </row>
    <row r="118" spans="1:49" x14ac:dyDescent="0.2">
      <c r="A118" s="1" t="s">
        <v>754</v>
      </c>
      <c r="D118" s="18">
        <f>-Fiscal!D$103</f>
        <v>-0.69899999999999995</v>
      </c>
      <c r="E118" s="19">
        <f>-Fiscal!E$103</f>
        <v>0.218</v>
      </c>
      <c r="F118" s="19">
        <f>-Fiscal!F$103</f>
        <v>0.22900000000000001</v>
      </c>
      <c r="G118" s="19">
        <f>-Fiscal!G$103</f>
        <v>0.27700000000000002</v>
      </c>
      <c r="H118" s="19">
        <f>-Fiscal!H$103</f>
        <v>0.30299999999999999</v>
      </c>
      <c r="I118" s="19">
        <f>-Fiscal!I$103</f>
        <v>0.35399999999999998</v>
      </c>
      <c r="J118" s="7">
        <f t="shared" ref="J118:AW118" ca="1" si="112">J$43-J$329</f>
        <v>0.29965005268566403</v>
      </c>
      <c r="K118" s="7">
        <f t="shared" ca="1" si="112"/>
        <v>0.29301615888185495</v>
      </c>
      <c r="L118" s="7">
        <f t="shared" ca="1" si="112"/>
        <v>0.28632177438374062</v>
      </c>
      <c r="M118" s="7">
        <f t="shared" ca="1" si="112"/>
        <v>0.28006679058336181</v>
      </c>
      <c r="N118" s="7">
        <f t="shared" ca="1" si="112"/>
        <v>0.27422507661412465</v>
      </c>
      <c r="O118" s="7">
        <f t="shared" ca="1" si="112"/>
        <v>0.26891182720354345</v>
      </c>
      <c r="P118" s="7">
        <f t="shared" ca="1" si="112"/>
        <v>0.26411165568046302</v>
      </c>
      <c r="Q118" s="7">
        <f t="shared" ca="1" si="112"/>
        <v>0.25984897977476606</v>
      </c>
      <c r="R118" s="7">
        <f t="shared" ca="1" si="112"/>
        <v>0.25614177049930731</v>
      </c>
      <c r="S118" s="7">
        <f t="shared" ca="1" si="112"/>
        <v>0.25294512809963243</v>
      </c>
      <c r="T118" s="7">
        <f t="shared" ca="1" si="112"/>
        <v>0.25026279218873837</v>
      </c>
      <c r="U118" s="7">
        <f t="shared" ca="1" si="112"/>
        <v>0.24804434387872054</v>
      </c>
      <c r="V118" s="7">
        <f t="shared" ca="1" si="112"/>
        <v>0.24626192455587248</v>
      </c>
      <c r="W118" s="7">
        <f t="shared" ca="1" si="112"/>
        <v>0.24488183490852833</v>
      </c>
      <c r="X118" s="7">
        <f t="shared" ca="1" si="112"/>
        <v>0.24386751240376836</v>
      </c>
      <c r="Y118" s="7">
        <f t="shared" ca="1" si="112"/>
        <v>0.24324795741364325</v>
      </c>
      <c r="Z118" s="7">
        <f t="shared" ca="1" si="112"/>
        <v>0.24294748971078595</v>
      </c>
      <c r="AA118" s="7">
        <f t="shared" ca="1" si="112"/>
        <v>0.24296651953547943</v>
      </c>
      <c r="AB118" s="7">
        <f t="shared" ca="1" si="112"/>
        <v>0.24327583597917135</v>
      </c>
      <c r="AC118" s="7">
        <f t="shared" ca="1" si="112"/>
        <v>0.24383064220962125</v>
      </c>
      <c r="AD118" s="7">
        <f t="shared" ca="1" si="112"/>
        <v>0.24465305752181099</v>
      </c>
      <c r="AE118" s="7">
        <f t="shared" ca="1" si="112"/>
        <v>0.2458134082744915</v>
      </c>
      <c r="AF118" s="7">
        <f t="shared" ca="1" si="112"/>
        <v>0.24728454773838626</v>
      </c>
      <c r="AG118" s="7">
        <f t="shared" ca="1" si="112"/>
        <v>0.24910033723805458</v>
      </c>
      <c r="AH118" s="7">
        <f t="shared" ca="1" si="112"/>
        <v>0.25126457542496206</v>
      </c>
      <c r="AI118" s="7">
        <f t="shared" ca="1" si="112"/>
        <v>0.25387872903307329</v>
      </c>
      <c r="AJ118" s="7">
        <f t="shared" ca="1" si="112"/>
        <v>0.25689087761279417</v>
      </c>
      <c r="AK118" s="7">
        <f t="shared" ca="1" si="112"/>
        <v>0.26037833808380551</v>
      </c>
      <c r="AL118" s="7">
        <f t="shared" ca="1" si="112"/>
        <v>0.26441409300275198</v>
      </c>
      <c r="AM118" s="7">
        <f t="shared" ca="1" si="112"/>
        <v>0.26899578290189541</v>
      </c>
      <c r="AN118" s="7">
        <f t="shared" ca="1" si="112"/>
        <v>0.27412120854128608</v>
      </c>
      <c r="AO118" s="7">
        <f t="shared" ca="1" si="112"/>
        <v>0.27998034525414117</v>
      </c>
      <c r="AP118" s="7">
        <f t="shared" ca="1" si="112"/>
        <v>0.28645028995130462</v>
      </c>
      <c r="AQ118" s="7">
        <f t="shared" ca="1" si="112"/>
        <v>0.2936856369548857</v>
      </c>
      <c r="AR118" s="7">
        <f t="shared" ca="1" si="112"/>
        <v>0.30167775930831398</v>
      </c>
      <c r="AS118" s="7">
        <f t="shared" ca="1" si="112"/>
        <v>0.31037075970960237</v>
      </c>
      <c r="AT118" s="7">
        <f t="shared" ca="1" si="112"/>
        <v>0.3197772062526536</v>
      </c>
      <c r="AU118" s="7">
        <f t="shared" ca="1" si="112"/>
        <v>0.3298871208484373</v>
      </c>
      <c r="AV118" s="7">
        <f t="shared" ca="1" si="112"/>
        <v>0.34061381500840593</v>
      </c>
      <c r="AW118" s="7">
        <f t="shared" ca="1" si="112"/>
        <v>0.35204491238618796</v>
      </c>
    </row>
    <row r="119" spans="1:49" ht="15" x14ac:dyDescent="0.25">
      <c r="A119" s="2" t="s">
        <v>739</v>
      </c>
      <c r="D119" s="40">
        <f t="shared" ref="D119:I119" si="113">-SUM(D$114:D$118)</f>
        <v>-4.0250000000000004</v>
      </c>
      <c r="E119" s="39">
        <f t="shared" si="113"/>
        <v>-5.3659999999999997</v>
      </c>
      <c r="F119" s="39">
        <f t="shared" si="113"/>
        <v>-5.8480000000000008</v>
      </c>
      <c r="G119" s="39">
        <f t="shared" si="113"/>
        <v>-6.588000000000001</v>
      </c>
      <c r="H119" s="39">
        <f t="shared" si="113"/>
        <v>-7.4859999999999998</v>
      </c>
      <c r="I119" s="39">
        <f t="shared" si="113"/>
        <v>-7.7960000000000012</v>
      </c>
      <c r="J119" s="43">
        <f t="shared" ref="J119:AW119" ca="1" si="114">-SUM(J$114:J$118)</f>
        <v>-8.276784428803289</v>
      </c>
      <c r="K119" s="43">
        <f t="shared" ca="1" si="114"/>
        <v>-8.4698065953443109</v>
      </c>
      <c r="L119" s="43">
        <f t="shared" ca="1" si="114"/>
        <v>-8.6903098547406596</v>
      </c>
      <c r="M119" s="43">
        <f t="shared" ca="1" si="114"/>
        <v>-8.9173197049096373</v>
      </c>
      <c r="N119" s="43">
        <f t="shared" ca="1" si="114"/>
        <v>-9.2017228348524895</v>
      </c>
      <c r="O119" s="43">
        <f t="shared" ca="1" si="114"/>
        <v>-9.4002125144682207</v>
      </c>
      <c r="P119" s="43">
        <f t="shared" ca="1" si="114"/>
        <v>-9.6758182406808224</v>
      </c>
      <c r="Q119" s="43">
        <f t="shared" ca="1" si="114"/>
        <v>-9.9402837212670008</v>
      </c>
      <c r="R119" s="43">
        <f t="shared" ca="1" si="114"/>
        <v>-10.208126295582991</v>
      </c>
      <c r="S119" s="43">
        <f t="shared" ca="1" si="114"/>
        <v>-10.514784785636209</v>
      </c>
      <c r="T119" s="43">
        <f t="shared" ca="1" si="114"/>
        <v>-10.839916492039428</v>
      </c>
      <c r="U119" s="43">
        <f t="shared" ca="1" si="114"/>
        <v>-11.176119505156388</v>
      </c>
      <c r="V119" s="43">
        <f t="shared" ca="1" si="114"/>
        <v>-11.5191819196616</v>
      </c>
      <c r="W119" s="43">
        <f t="shared" ca="1" si="114"/>
        <v>-11.871807817846589</v>
      </c>
      <c r="X119" s="43">
        <f t="shared" ca="1" si="114"/>
        <v>-12.260209412695239</v>
      </c>
      <c r="Y119" s="43">
        <f t="shared" ca="1" si="114"/>
        <v>-12.684416970764136</v>
      </c>
      <c r="Z119" s="43">
        <f t="shared" ca="1" si="114"/>
        <v>-13.124289781701734</v>
      </c>
      <c r="AA119" s="43">
        <f t="shared" ca="1" si="114"/>
        <v>-13.57868845773141</v>
      </c>
      <c r="AB119" s="43">
        <f t="shared" ca="1" si="114"/>
        <v>-14.054454578391473</v>
      </c>
      <c r="AC119" s="43">
        <f t="shared" ca="1" si="114"/>
        <v>-14.578606051783435</v>
      </c>
      <c r="AD119" s="43">
        <f t="shared" ca="1" si="114"/>
        <v>-15.159417112876207</v>
      </c>
      <c r="AE119" s="43">
        <f t="shared" ca="1" si="114"/>
        <v>-15.774397571845682</v>
      </c>
      <c r="AF119" s="43">
        <f t="shared" ca="1" si="114"/>
        <v>-16.371827381796766</v>
      </c>
      <c r="AG119" s="43">
        <f t="shared" ca="1" si="114"/>
        <v>-16.977658616435196</v>
      </c>
      <c r="AH119" s="43">
        <f t="shared" ca="1" si="114"/>
        <v>-17.618772125814104</v>
      </c>
      <c r="AI119" s="43">
        <f t="shared" ca="1" si="114"/>
        <v>-18.287969792547408</v>
      </c>
      <c r="AJ119" s="43">
        <f t="shared" ca="1" si="114"/>
        <v>-18.979656058909402</v>
      </c>
      <c r="AK119" s="43">
        <f t="shared" ca="1" si="114"/>
        <v>-19.699655734175707</v>
      </c>
      <c r="AL119" s="43">
        <f t="shared" ca="1" si="114"/>
        <v>-20.448012284692478</v>
      </c>
      <c r="AM119" s="43">
        <f t="shared" ca="1" si="114"/>
        <v>-21.2249612846242</v>
      </c>
      <c r="AN119" s="43">
        <f t="shared" ca="1" si="114"/>
        <v>-22.042707317343318</v>
      </c>
      <c r="AO119" s="43">
        <f t="shared" ca="1" si="114"/>
        <v>-22.891961978880389</v>
      </c>
      <c r="AP119" s="43">
        <f t="shared" ca="1" si="114"/>
        <v>-23.773376118907258</v>
      </c>
      <c r="AQ119" s="43">
        <f t="shared" ca="1" si="114"/>
        <v>-24.696666357047114</v>
      </c>
      <c r="AR119" s="43">
        <f t="shared" ca="1" si="114"/>
        <v>-25.655186231810461</v>
      </c>
      <c r="AS119" s="43">
        <f t="shared" ca="1" si="114"/>
        <v>-26.65038612077025</v>
      </c>
      <c r="AT119" s="43">
        <f t="shared" ca="1" si="114"/>
        <v>-27.639974622752622</v>
      </c>
      <c r="AU119" s="43">
        <f t="shared" ca="1" si="114"/>
        <v>-28.692469696844629</v>
      </c>
      <c r="AV119" s="43">
        <f t="shared" ca="1" si="114"/>
        <v>-29.791615371185362</v>
      </c>
      <c r="AW119" s="43">
        <f t="shared" ca="1" si="114"/>
        <v>-30.919522531787766</v>
      </c>
    </row>
    <row r="120" spans="1:49" x14ac:dyDescent="0.2">
      <c r="A120" s="1" t="s">
        <v>220</v>
      </c>
      <c r="D120" s="18">
        <f>Fiscal!D$105</f>
        <v>0.14099999999999999</v>
      </c>
      <c r="E120" s="19">
        <f>Fiscal!E$105</f>
        <v>-0.22900000000000001</v>
      </c>
      <c r="F120" s="19">
        <f>Fiscal!F$105</f>
        <v>0.188</v>
      </c>
      <c r="G120" s="19">
        <f>Fiscal!G$105</f>
        <v>0.11799999999999999</v>
      </c>
      <c r="H120" s="19">
        <f>Fiscal!H$105</f>
        <v>0.64500000000000002</v>
      </c>
      <c r="I120" s="19">
        <f>Fiscal!I$105</f>
        <v>0.76</v>
      </c>
      <c r="J120" s="7">
        <f t="shared" ref="J120:AW120" ca="1" si="115">J$342-I$342 -(J$447-I$447)</f>
        <v>0.78652070904707649</v>
      </c>
      <c r="K120" s="7">
        <f t="shared" ca="1" si="115"/>
        <v>0.73212836641771073</v>
      </c>
      <c r="L120" s="7">
        <f t="shared" ca="1" si="115"/>
        <v>0.76321834807621958</v>
      </c>
      <c r="M120" s="7">
        <f t="shared" ca="1" si="115"/>
        <v>0.79341272830779275</v>
      </c>
      <c r="N120" s="7">
        <f t="shared" ca="1" si="115"/>
        <v>0.8236764556859848</v>
      </c>
      <c r="O120" s="7">
        <f t="shared" ca="1" si="115"/>
        <v>0.84848656836816705</v>
      </c>
      <c r="P120" s="7">
        <f t="shared" ca="1" si="115"/>
        <v>0.87237360210676673</v>
      </c>
      <c r="Q120" s="7">
        <f t="shared" ca="1" si="115"/>
        <v>0.89610035834277202</v>
      </c>
      <c r="R120" s="7">
        <f t="shared" ca="1" si="115"/>
        <v>0.9205128003999592</v>
      </c>
      <c r="S120" s="7">
        <f t="shared" ca="1" si="115"/>
        <v>0.94785354553339829</v>
      </c>
      <c r="T120" s="7">
        <f t="shared" ca="1" si="115"/>
        <v>0.97661621805667664</v>
      </c>
      <c r="U120" s="7">
        <f t="shared" ca="1" si="115"/>
        <v>1.0056948132961026</v>
      </c>
      <c r="V120" s="7">
        <f t="shared" ca="1" si="115"/>
        <v>1.0349453838978206</v>
      </c>
      <c r="W120" s="7">
        <f t="shared" ca="1" si="115"/>
        <v>1.0645189837837457</v>
      </c>
      <c r="X120" s="7">
        <f t="shared" ca="1" si="115"/>
        <v>1.0959330502567539</v>
      </c>
      <c r="Y120" s="7">
        <f t="shared" ca="1" si="115"/>
        <v>1.1264109090537247</v>
      </c>
      <c r="Z120" s="7">
        <f t="shared" ca="1" si="115"/>
        <v>1.160273361320721</v>
      </c>
      <c r="AA120" s="7">
        <f t="shared" ca="1" si="115"/>
        <v>1.1994629597455475</v>
      </c>
      <c r="AB120" s="7">
        <f t="shared" ca="1" si="115"/>
        <v>1.2453746780751569</v>
      </c>
      <c r="AC120" s="7">
        <f t="shared" ca="1" si="115"/>
        <v>1.2991571632243932</v>
      </c>
      <c r="AD120" s="7">
        <f t="shared" ca="1" si="115"/>
        <v>1.3617557508280385</v>
      </c>
      <c r="AE120" s="7">
        <f t="shared" ca="1" si="115"/>
        <v>1.4293398773373625</v>
      </c>
      <c r="AF120" s="7">
        <f t="shared" ca="1" si="115"/>
        <v>1.5045726160324158</v>
      </c>
      <c r="AG120" s="7">
        <f t="shared" ca="1" si="115"/>
        <v>1.5830168088270771</v>
      </c>
      <c r="AH120" s="7">
        <f t="shared" ca="1" si="115"/>
        <v>1.6671260827012198</v>
      </c>
      <c r="AI120" s="7">
        <f t="shared" ca="1" si="115"/>
        <v>1.7558310438945082</v>
      </c>
      <c r="AJ120" s="7">
        <f t="shared" ca="1" si="115"/>
        <v>1.8494503521586907</v>
      </c>
      <c r="AK120" s="7">
        <f t="shared" ca="1" si="115"/>
        <v>1.9457268091292406</v>
      </c>
      <c r="AL120" s="7">
        <f t="shared" ca="1" si="115"/>
        <v>2.0469740679496375</v>
      </c>
      <c r="AM120" s="7">
        <f t="shared" ca="1" si="115"/>
        <v>2.1527507050023651</v>
      </c>
      <c r="AN120" s="7">
        <f t="shared" ca="1" si="115"/>
        <v>2.2611781705524301</v>
      </c>
      <c r="AO120" s="7">
        <f t="shared" ca="1" si="115"/>
        <v>2.3701646838009083</v>
      </c>
      <c r="AP120" s="7">
        <f t="shared" ca="1" si="115"/>
        <v>2.4763515145353168</v>
      </c>
      <c r="AQ120" s="7">
        <f t="shared" ca="1" si="115"/>
        <v>2.5797227814484351</v>
      </c>
      <c r="AR120" s="7">
        <f t="shared" ca="1" si="115"/>
        <v>2.6767876935199908</v>
      </c>
      <c r="AS120" s="7">
        <f t="shared" ca="1" si="115"/>
        <v>2.7679728611410042</v>
      </c>
      <c r="AT120" s="7">
        <f t="shared" ca="1" si="115"/>
        <v>2.8633902437696577</v>
      </c>
      <c r="AU120" s="7">
        <f t="shared" ca="1" si="115"/>
        <v>2.9597350909002493</v>
      </c>
      <c r="AV120" s="7">
        <f t="shared" ca="1" si="115"/>
        <v>3.0599071743604398</v>
      </c>
      <c r="AW120" s="7">
        <f t="shared" ca="1" si="115"/>
        <v>3.1599701799549322</v>
      </c>
    </row>
    <row r="121" spans="1:49" x14ac:dyDescent="0.2">
      <c r="A121" s="1" t="s">
        <v>221</v>
      </c>
      <c r="D121" s="18">
        <f>Fiscal!D$106</f>
        <v>0.19600000000000001</v>
      </c>
      <c r="E121" s="19">
        <f>Fiscal!E$106</f>
        <v>0.28599999999999998</v>
      </c>
      <c r="F121" s="19">
        <f>Fiscal!F$106</f>
        <v>0.879</v>
      </c>
      <c r="G121" s="19">
        <f>Fiscal!G$106</f>
        <v>0.68500000000000005</v>
      </c>
      <c r="H121" s="19">
        <f>Fiscal!H$106</f>
        <v>0.78100000000000003</v>
      </c>
      <c r="I121" s="19">
        <f>Fiscal!I$106</f>
        <v>0.53800000000000003</v>
      </c>
      <c r="J121" s="7">
        <f t="shared" ref="J121:AW121" ca="1" si="116">J$159-(J$338-I$338)+J$446-I$446-J$89-(J$216-J$94)</f>
        <v>0.83366273700063021</v>
      </c>
      <c r="K121" s="7">
        <f t="shared" ca="1" si="116"/>
        <v>0.86498095679726372</v>
      </c>
      <c r="L121" s="7">
        <f t="shared" ca="1" si="116"/>
        <v>0.91007219615884516</v>
      </c>
      <c r="M121" s="7">
        <f t="shared" ca="1" si="116"/>
        <v>0.9628999043369717</v>
      </c>
      <c r="N121" s="7">
        <f t="shared" ca="1" si="116"/>
        <v>1.0057092842491553</v>
      </c>
      <c r="O121" s="7">
        <f t="shared" ca="1" si="116"/>
        <v>1.0384212563512421</v>
      </c>
      <c r="P121" s="7">
        <f t="shared" ca="1" si="116"/>
        <v>1.0699179031369219</v>
      </c>
      <c r="Q121" s="7">
        <f t="shared" ca="1" si="116"/>
        <v>1.1072014425059873</v>
      </c>
      <c r="R121" s="7">
        <f t="shared" ca="1" si="116"/>
        <v>1.1417008552417611</v>
      </c>
      <c r="S121" s="7">
        <f t="shared" ca="1" si="116"/>
        <v>1.1804523856808693</v>
      </c>
      <c r="T121" s="7">
        <f t="shared" ca="1" si="116"/>
        <v>1.2216504318347834</v>
      </c>
      <c r="U121" s="7">
        <f t="shared" ca="1" si="116"/>
        <v>1.2586622807875489</v>
      </c>
      <c r="V121" s="7">
        <f t="shared" ca="1" si="116"/>
        <v>1.2982399863249876</v>
      </c>
      <c r="W121" s="7">
        <f t="shared" ca="1" si="116"/>
        <v>1.337441267098642</v>
      </c>
      <c r="X121" s="7">
        <f t="shared" ca="1" si="116"/>
        <v>1.3790844946820293</v>
      </c>
      <c r="Y121" s="7">
        <f t="shared" ca="1" si="116"/>
        <v>1.4175784965938618</v>
      </c>
      <c r="Z121" s="7">
        <f t="shared" ca="1" si="116"/>
        <v>1.4592552451877037</v>
      </c>
      <c r="AA121" s="7">
        <f t="shared" ca="1" si="116"/>
        <v>1.5013885994573339</v>
      </c>
      <c r="AB121" s="7">
        <f t="shared" ca="1" si="116"/>
        <v>1.5527920722389954</v>
      </c>
      <c r="AC121" s="7">
        <f t="shared" ca="1" si="116"/>
        <v>1.6053978522731249</v>
      </c>
      <c r="AD121" s="7">
        <f t="shared" ca="1" si="116"/>
        <v>1.667929615664443</v>
      </c>
      <c r="AE121" s="7">
        <f t="shared" ca="1" si="116"/>
        <v>1.7344991177796238</v>
      </c>
      <c r="AF121" s="7">
        <f t="shared" ca="1" si="116"/>
        <v>1.805740351839539</v>
      </c>
      <c r="AG121" s="7">
        <f t="shared" ca="1" si="116"/>
        <v>1.8862019228115887</v>
      </c>
      <c r="AH121" s="7">
        <f t="shared" ca="1" si="116"/>
        <v>1.9675108343483405</v>
      </c>
      <c r="AI121" s="7">
        <f t="shared" ca="1" si="116"/>
        <v>2.0541486451252045</v>
      </c>
      <c r="AJ121" s="7">
        <f t="shared" ca="1" si="116"/>
        <v>2.1443884379199059</v>
      </c>
      <c r="AK121" s="7">
        <f t="shared" ca="1" si="116"/>
        <v>2.236139618275077</v>
      </c>
      <c r="AL121" s="7">
        <f t="shared" ca="1" si="116"/>
        <v>2.3386538580147747</v>
      </c>
      <c r="AM121" s="7">
        <f t="shared" ca="1" si="116"/>
        <v>2.4379969994015198</v>
      </c>
      <c r="AN121" s="7">
        <f t="shared" ca="1" si="116"/>
        <v>2.5450003785105579</v>
      </c>
      <c r="AO121" s="7">
        <f t="shared" ca="1" si="116"/>
        <v>2.6506853832920108</v>
      </c>
      <c r="AP121" s="7">
        <f t="shared" ca="1" si="116"/>
        <v>2.7588128671095511</v>
      </c>
      <c r="AQ121" s="7">
        <f t="shared" ca="1" si="116"/>
        <v>2.8633077142600349</v>
      </c>
      <c r="AR121" s="7">
        <f t="shared" ca="1" si="116"/>
        <v>2.9677310589827037</v>
      </c>
      <c r="AS121" s="7">
        <f t="shared" ca="1" si="116"/>
        <v>3.0669442748970752</v>
      </c>
      <c r="AT121" s="7">
        <f t="shared" ca="1" si="116"/>
        <v>3.1713516066278835</v>
      </c>
      <c r="AU121" s="7">
        <f t="shared" ca="1" si="116"/>
        <v>3.272551190367782</v>
      </c>
      <c r="AV121" s="7">
        <f t="shared" ca="1" si="116"/>
        <v>3.3728815876137048</v>
      </c>
      <c r="AW121" s="7">
        <f t="shared" ca="1" si="116"/>
        <v>3.475947907028786</v>
      </c>
    </row>
    <row r="122" spans="1:49" x14ac:dyDescent="0.2">
      <c r="A122" s="1" t="s">
        <v>222</v>
      </c>
      <c r="D122" s="18">
        <f>Fiscal!D$107</f>
        <v>-0.105</v>
      </c>
      <c r="E122" s="19">
        <f>Fiscal!E$107</f>
        <v>-1.6E-2</v>
      </c>
      <c r="F122" s="19">
        <f>Fiscal!F$107</f>
        <v>-0.11600000000000001</v>
      </c>
      <c r="G122" s="19">
        <f>Fiscal!G$107</f>
        <v>-7.0000000000000001E-3</v>
      </c>
      <c r="H122" s="19">
        <f>Fiscal!H$107</f>
        <v>-8.9999999999999993E-3</v>
      </c>
      <c r="I122" s="19">
        <f>Fiscal!I$107</f>
        <v>-2E-3</v>
      </c>
      <c r="J122" s="7">
        <f t="shared" ref="J122:AW122" ca="1" si="117">J$396-I$396</f>
        <v>5.038070952042184E-2</v>
      </c>
      <c r="K122" s="7">
        <f t="shared" ca="1" si="117"/>
        <v>4.9731949649552076E-2</v>
      </c>
      <c r="L122" s="7">
        <f t="shared" ca="1" si="117"/>
        <v>5.0601851775358586E-2</v>
      </c>
      <c r="M122" s="7">
        <f t="shared" ca="1" si="117"/>
        <v>4.9722621093303054E-2</v>
      </c>
      <c r="N122" s="7">
        <f t="shared" ca="1" si="117"/>
        <v>4.8582235139139396E-2</v>
      </c>
      <c r="O122" s="7">
        <f t="shared" ca="1" si="117"/>
        <v>4.6700112714841202E-2</v>
      </c>
      <c r="P122" s="7">
        <f t="shared" ca="1" si="117"/>
        <v>4.8239773407273479E-2</v>
      </c>
      <c r="Q122" s="7">
        <f t="shared" ca="1" si="117"/>
        <v>4.9727326286698847E-2</v>
      </c>
      <c r="R122" s="7">
        <f t="shared" ca="1" si="117"/>
        <v>5.1177970674002538E-2</v>
      </c>
      <c r="S122" s="7">
        <f t="shared" ca="1" si="117"/>
        <v>5.2791256565216438E-2</v>
      </c>
      <c r="T122" s="7">
        <f t="shared" ca="1" si="117"/>
        <v>5.4423793640360651E-2</v>
      </c>
      <c r="U122" s="7">
        <f t="shared" ca="1" si="117"/>
        <v>5.6251656276286699E-2</v>
      </c>
      <c r="V122" s="7">
        <f t="shared" ca="1" si="117"/>
        <v>5.8218376447026987E-2</v>
      </c>
      <c r="W122" s="7">
        <f t="shared" ca="1" si="117"/>
        <v>6.0353769939183843E-2</v>
      </c>
      <c r="X122" s="7">
        <f t="shared" ca="1" si="117"/>
        <v>6.2680331422310109E-2</v>
      </c>
      <c r="Y122" s="7">
        <f t="shared" ca="1" si="117"/>
        <v>6.5000484900168409E-2</v>
      </c>
      <c r="Z122" s="7">
        <f t="shared" ca="1" si="117"/>
        <v>6.7649647587987527E-2</v>
      </c>
      <c r="AA122" s="7">
        <f t="shared" ca="1" si="117"/>
        <v>7.0408267638893296E-2</v>
      </c>
      <c r="AB122" s="7">
        <f t="shared" ca="1" si="117"/>
        <v>7.3378330219810772E-2</v>
      </c>
      <c r="AC122" s="7">
        <f t="shared" ca="1" si="117"/>
        <v>7.6625405954922954E-2</v>
      </c>
      <c r="AD122" s="7">
        <f t="shared" ca="1" si="117"/>
        <v>7.9953245813139562E-2</v>
      </c>
      <c r="AE122" s="7">
        <f t="shared" ca="1" si="117"/>
        <v>8.3207659271756107E-2</v>
      </c>
      <c r="AF122" s="7">
        <f t="shared" ca="1" si="117"/>
        <v>8.6692275007147934E-2</v>
      </c>
      <c r="AG122" s="7">
        <f t="shared" ca="1" si="117"/>
        <v>9.0225365437651472E-2</v>
      </c>
      <c r="AH122" s="7">
        <f t="shared" ca="1" si="117"/>
        <v>9.3903138502038352E-2</v>
      </c>
      <c r="AI122" s="7">
        <f t="shared" ca="1" si="117"/>
        <v>9.7416831698369677E-2</v>
      </c>
      <c r="AJ122" s="7">
        <f t="shared" ca="1" si="117"/>
        <v>0.10124259954296022</v>
      </c>
      <c r="AK122" s="7">
        <f t="shared" ca="1" si="117"/>
        <v>0.10498508210653146</v>
      </c>
      <c r="AL122" s="7">
        <f t="shared" ca="1" si="117"/>
        <v>0.10864486502458126</v>
      </c>
      <c r="AM122" s="7">
        <f t="shared" ca="1" si="117"/>
        <v>0.11245307097601964</v>
      </c>
      <c r="AN122" s="7">
        <f t="shared" ca="1" si="117"/>
        <v>0.11641769806018054</v>
      </c>
      <c r="AO122" s="7">
        <f t="shared" ca="1" si="117"/>
        <v>0.11992519310316396</v>
      </c>
      <c r="AP122" s="7">
        <f t="shared" ca="1" si="117"/>
        <v>0.12394194989322882</v>
      </c>
      <c r="AQ122" s="7">
        <f t="shared" ca="1" si="117"/>
        <v>0.12761142173082041</v>
      </c>
      <c r="AR122" s="7">
        <f t="shared" ca="1" si="117"/>
        <v>0.13142537252709419</v>
      </c>
      <c r="AS122" s="7">
        <f t="shared" ca="1" si="117"/>
        <v>0.13554593492665612</v>
      </c>
      <c r="AT122" s="7">
        <f t="shared" ca="1" si="117"/>
        <v>0.13977475342679169</v>
      </c>
      <c r="AU122" s="7">
        <f t="shared" ca="1" si="117"/>
        <v>0.1441894411450253</v>
      </c>
      <c r="AV122" s="7">
        <f t="shared" ca="1" si="117"/>
        <v>0.14904994791727733</v>
      </c>
      <c r="AW122" s="7">
        <f t="shared" ca="1" si="117"/>
        <v>0.15382630762060234</v>
      </c>
    </row>
    <row r="123" spans="1:49" x14ac:dyDescent="0.2">
      <c r="A123" s="1" t="s">
        <v>223</v>
      </c>
      <c r="D123" s="18">
        <f>Fiscal!D$108</f>
        <v>-1.2E-2</v>
      </c>
      <c r="E123" s="19">
        <f>Fiscal!E$108</f>
        <v>-3.0000000000000001E-3</v>
      </c>
      <c r="F123" s="19">
        <f>Fiscal!F$108</f>
        <v>-1.4E-2</v>
      </c>
      <c r="G123" s="19">
        <f>Fiscal!G$108</f>
        <v>-0.01</v>
      </c>
      <c r="H123" s="19">
        <f>Fiscal!H$108</f>
        <v>5.0000000000000001E-3</v>
      </c>
      <c r="I123" s="19">
        <f>Fiscal!I$108</f>
        <v>1E-3</v>
      </c>
      <c r="J123" s="7">
        <f t="shared" ref="J123:AW123" ca="1" si="118">J$400-I$400</f>
        <v>0.13033641283279263</v>
      </c>
      <c r="K123" s="7">
        <f t="shared" ca="1" si="118"/>
        <v>0.12951843703720689</v>
      </c>
      <c r="L123" s="7">
        <f t="shared" ca="1" si="118"/>
        <v>0.132991724131438</v>
      </c>
      <c r="M123" s="7">
        <f t="shared" ca="1" si="118"/>
        <v>0.13186832449546015</v>
      </c>
      <c r="N123" s="7">
        <f t="shared" ca="1" si="118"/>
        <v>0.13022636929870979</v>
      </c>
      <c r="O123" s="7">
        <f t="shared" ca="1" si="118"/>
        <v>0.12677709017191052</v>
      </c>
      <c r="P123" s="7">
        <f t="shared" ca="1" si="118"/>
        <v>0.13095681675266935</v>
      </c>
      <c r="Q123" s="7">
        <f t="shared" ca="1" si="118"/>
        <v>0.13499508592520737</v>
      </c>
      <c r="R123" s="7">
        <f t="shared" ca="1" si="118"/>
        <v>0.13893315938167916</v>
      </c>
      <c r="S123" s="7">
        <f t="shared" ca="1" si="118"/>
        <v>0.1433127567533683</v>
      </c>
      <c r="T123" s="7">
        <f t="shared" ca="1" si="118"/>
        <v>0.14774461543534478</v>
      </c>
      <c r="U123" s="7">
        <f t="shared" ca="1" si="118"/>
        <v>0.15270672564761867</v>
      </c>
      <c r="V123" s="7">
        <f t="shared" ca="1" si="118"/>
        <v>0.15804579328437907</v>
      </c>
      <c r="W123" s="7">
        <f t="shared" ca="1" si="118"/>
        <v>0.16384275944933702</v>
      </c>
      <c r="X123" s="7">
        <f t="shared" ca="1" si="118"/>
        <v>0.17015869056363275</v>
      </c>
      <c r="Y123" s="7">
        <f t="shared" ca="1" si="118"/>
        <v>0.17645722582566137</v>
      </c>
      <c r="Z123" s="7">
        <f t="shared" ca="1" si="118"/>
        <v>0.18364892446254544</v>
      </c>
      <c r="AA123" s="7">
        <f t="shared" ca="1" si="118"/>
        <v>0.19113776769252322</v>
      </c>
      <c r="AB123" s="7">
        <f t="shared" ca="1" si="118"/>
        <v>0.1992006152906951</v>
      </c>
      <c r="AC123" s="7">
        <f t="shared" ca="1" si="118"/>
        <v>0.20801547224358963</v>
      </c>
      <c r="AD123" s="7">
        <f t="shared" ca="1" si="118"/>
        <v>0.21704958007024366</v>
      </c>
      <c r="AE123" s="7">
        <f t="shared" ca="1" si="118"/>
        <v>0.22588435678735763</v>
      </c>
      <c r="AF123" s="7">
        <f t="shared" ca="1" si="118"/>
        <v>0.23534406507538286</v>
      </c>
      <c r="AG123" s="7">
        <f t="shared" ca="1" si="118"/>
        <v>0.24493536792358839</v>
      </c>
      <c r="AH123" s="7">
        <f t="shared" ca="1" si="118"/>
        <v>0.25491944162942026</v>
      </c>
      <c r="AI123" s="7">
        <f t="shared" ca="1" si="118"/>
        <v>0.26445808668382931</v>
      </c>
      <c r="AJ123" s="7">
        <f t="shared" ca="1" si="118"/>
        <v>0.27484392275176273</v>
      </c>
      <c r="AK123" s="7">
        <f t="shared" ca="1" si="118"/>
        <v>0.28500366374266584</v>
      </c>
      <c r="AL123" s="7">
        <f t="shared" ca="1" si="118"/>
        <v>0.29493889948490715</v>
      </c>
      <c r="AM123" s="7">
        <f t="shared" ca="1" si="118"/>
        <v>0.30527706017087297</v>
      </c>
      <c r="AN123" s="7">
        <f t="shared" ca="1" si="118"/>
        <v>0.3160398582912034</v>
      </c>
      <c r="AO123" s="7">
        <f t="shared" ca="1" si="118"/>
        <v>0.32556167717967632</v>
      </c>
      <c r="AP123" s="7">
        <f t="shared" ca="1" si="118"/>
        <v>0.33646599214101691</v>
      </c>
      <c r="AQ123" s="7">
        <f t="shared" ca="1" si="118"/>
        <v>0.34642753045417152</v>
      </c>
      <c r="AR123" s="7">
        <f t="shared" ca="1" si="118"/>
        <v>0.35678128670660136</v>
      </c>
      <c r="AS123" s="7">
        <f t="shared" ca="1" si="118"/>
        <v>0.36796740340996159</v>
      </c>
      <c r="AT123" s="7">
        <f t="shared" ca="1" si="118"/>
        <v>0.37944740363150053</v>
      </c>
      <c r="AU123" s="7">
        <f t="shared" ca="1" si="118"/>
        <v>0.39143198419028558</v>
      </c>
      <c r="AV123" s="7">
        <f t="shared" ca="1" si="118"/>
        <v>0.40462683254342835</v>
      </c>
      <c r="AW123" s="7">
        <f t="shared" ca="1" si="118"/>
        <v>0.41759324631847505</v>
      </c>
    </row>
    <row r="124" spans="1:49" x14ac:dyDescent="0.2">
      <c r="A124" s="1" t="s">
        <v>755</v>
      </c>
      <c r="D124" s="18">
        <f>-Fiscal!D$109</f>
        <v>0.14899999999999999</v>
      </c>
      <c r="E124" s="19">
        <f>-Fiscal!E$109</f>
        <v>1.7999999999999999E-2</v>
      </c>
      <c r="F124" s="19">
        <f>-Fiscal!F$109</f>
        <v>-3.0000000000000001E-3</v>
      </c>
      <c r="G124" s="19">
        <f>-Fiscal!G$109</f>
        <v>1.6E-2</v>
      </c>
      <c r="H124" s="19">
        <f>-Fiscal!H$109</f>
        <v>2.5999999999999999E-2</v>
      </c>
      <c r="I124" s="19">
        <f>-Fiscal!I$109</f>
        <v>1.4E-2</v>
      </c>
      <c r="J124" s="7">
        <f t="shared" ref="J124:AW124" ca="1" si="119">J$454-I$454</f>
        <v>0.11918238778749579</v>
      </c>
      <c r="K124" s="7">
        <f t="shared" ca="1" si="119"/>
        <v>0.11887551433314947</v>
      </c>
      <c r="L124" s="7">
        <f t="shared" ca="1" si="119"/>
        <v>0.12267847732495873</v>
      </c>
      <c r="M124" s="7">
        <f t="shared" ca="1" si="119"/>
        <v>0.12224141035665514</v>
      </c>
      <c r="N124" s="7">
        <f t="shared" ca="1" si="119"/>
        <v>0.12141068692184831</v>
      </c>
      <c r="O124" s="7">
        <f t="shared" ca="1" si="119"/>
        <v>0.11898450790580251</v>
      </c>
      <c r="P124" s="7">
        <f t="shared" ca="1" si="119"/>
        <v>0.1229073200615165</v>
      </c>
      <c r="Q124" s="7">
        <f t="shared" ca="1" si="119"/>
        <v>0.12669736974347368</v>
      </c>
      <c r="R124" s="7">
        <f t="shared" ca="1" si="119"/>
        <v>0.13039338241958021</v>
      </c>
      <c r="S124" s="7">
        <f t="shared" ca="1" si="119"/>
        <v>0.13450377994794538</v>
      </c>
      <c r="T124" s="7">
        <f t="shared" ca="1" si="119"/>
        <v>0.13866322645100038</v>
      </c>
      <c r="U124" s="7">
        <f t="shared" ca="1" si="119"/>
        <v>0.14332033161867042</v>
      </c>
      <c r="V124" s="7">
        <f t="shared" ca="1" si="119"/>
        <v>0.14833122384355368</v>
      </c>
      <c r="W124" s="7">
        <f t="shared" ca="1" si="119"/>
        <v>0.15377186903858764</v>
      </c>
      <c r="X124" s="7">
        <f t="shared" ca="1" si="119"/>
        <v>0.15969958006731044</v>
      </c>
      <c r="Y124" s="7">
        <f t="shared" ca="1" si="119"/>
        <v>0.16561096451116786</v>
      </c>
      <c r="Z124" s="7">
        <f t="shared" ca="1" si="119"/>
        <v>0.17236061243380352</v>
      </c>
      <c r="AA124" s="7">
        <f t="shared" ca="1" si="119"/>
        <v>0.17938914042174048</v>
      </c>
      <c r="AB124" s="7">
        <f t="shared" ca="1" si="119"/>
        <v>0.18695639056517788</v>
      </c>
      <c r="AC124" s="7">
        <f t="shared" ca="1" si="119"/>
        <v>0.19522942645342845</v>
      </c>
      <c r="AD124" s="7">
        <f t="shared" ca="1" si="119"/>
        <v>0.20370823656545145</v>
      </c>
      <c r="AE124" s="7">
        <f t="shared" ca="1" si="119"/>
        <v>0.21199996781372388</v>
      </c>
      <c r="AF124" s="7">
        <f t="shared" ca="1" si="119"/>
        <v>0.22087821808793962</v>
      </c>
      <c r="AG124" s="7">
        <f t="shared" ca="1" si="119"/>
        <v>0.22987997422559747</v>
      </c>
      <c r="AH124" s="7">
        <f t="shared" ca="1" si="119"/>
        <v>0.23925035885244572</v>
      </c>
      <c r="AI124" s="7">
        <f t="shared" ca="1" si="119"/>
        <v>0.24820269390247862</v>
      </c>
      <c r="AJ124" s="7">
        <f t="shared" ca="1" si="119"/>
        <v>0.25795014584397435</v>
      </c>
      <c r="AK124" s="7">
        <f t="shared" ca="1" si="119"/>
        <v>0.26748540004971311</v>
      </c>
      <c r="AL124" s="7">
        <f t="shared" ca="1" si="119"/>
        <v>0.27680994862639707</v>
      </c>
      <c r="AM124" s="7">
        <f t="shared" ca="1" si="119"/>
        <v>0.28651265563917683</v>
      </c>
      <c r="AN124" s="7">
        <f t="shared" ca="1" si="119"/>
        <v>0.29661389898133628</v>
      </c>
      <c r="AO124" s="7">
        <f t="shared" ca="1" si="119"/>
        <v>0.30555044211603288</v>
      </c>
      <c r="AP124" s="7">
        <f t="shared" ca="1" si="119"/>
        <v>0.31578450371159228</v>
      </c>
      <c r="AQ124" s="7">
        <f t="shared" ca="1" si="119"/>
        <v>0.32513373812427915</v>
      </c>
      <c r="AR124" s="7">
        <f t="shared" ca="1" si="119"/>
        <v>0.33485108209393033</v>
      </c>
      <c r="AS124" s="7">
        <f t="shared" ca="1" si="119"/>
        <v>0.34534962397970403</v>
      </c>
      <c r="AT124" s="7">
        <f t="shared" ca="1" si="119"/>
        <v>0.35612398530371081</v>
      </c>
      <c r="AU124" s="7">
        <f t="shared" ca="1" si="119"/>
        <v>0.36737191202541375</v>
      </c>
      <c r="AV124" s="7">
        <f t="shared" ca="1" si="119"/>
        <v>0.37975571525091212</v>
      </c>
      <c r="AW124" s="7">
        <f t="shared" ca="1" si="119"/>
        <v>0.39192512504123656</v>
      </c>
    </row>
    <row r="125" spans="1:49" x14ac:dyDescent="0.2">
      <c r="A125" s="1" t="s">
        <v>756</v>
      </c>
      <c r="D125" s="18">
        <f>-Fiscal!D$110</f>
        <v>0.19600000000000001</v>
      </c>
      <c r="E125" s="19">
        <f>-Fiscal!E$110</f>
        <v>0.84499999999999997</v>
      </c>
      <c r="F125" s="19">
        <f>-Fiscal!F$110</f>
        <v>-0.60599999999999998</v>
      </c>
      <c r="G125" s="19">
        <f>-Fiscal!G$110</f>
        <v>-0.97499999999999998</v>
      </c>
      <c r="H125" s="19">
        <f>-Fiscal!H$110</f>
        <v>0.26300000000000001</v>
      </c>
      <c r="I125" s="19">
        <f>-Fiscal!I$110</f>
        <v>8.6999999999999994E-2</v>
      </c>
      <c r="J125" s="7">
        <f t="shared" ref="J125:AW125" ca="1" si="120">SUM(J$450-J$447-(I$450-I$447),J$469-I$469)</f>
        <v>0.93534067187747372</v>
      </c>
      <c r="K125" s="7">
        <f t="shared" ca="1" si="120"/>
        <v>0.89237273476070911</v>
      </c>
      <c r="L125" s="7">
        <f t="shared" ca="1" si="120"/>
        <v>0.9153045523417056</v>
      </c>
      <c r="M125" s="7">
        <f t="shared" ca="1" si="120"/>
        <v>0.91310338200583274</v>
      </c>
      <c r="N125" s="7">
        <f t="shared" ca="1" si="120"/>
        <v>0.90710101559408862</v>
      </c>
      <c r="O125" s="7">
        <f t="shared" ca="1" si="120"/>
        <v>0.88706461632538947</v>
      </c>
      <c r="P125" s="7">
        <f t="shared" ca="1" si="120"/>
        <v>0.91092849850922875</v>
      </c>
      <c r="Q125" s="7">
        <f t="shared" ca="1" si="120"/>
        <v>0.93371649731657413</v>
      </c>
      <c r="R125" s="7">
        <f t="shared" ca="1" si="120"/>
        <v>0.95618889346994074</v>
      </c>
      <c r="S125" s="7">
        <f t="shared" ca="1" si="120"/>
        <v>0.9823846255401314</v>
      </c>
      <c r="T125" s="7">
        <f t="shared" ca="1" si="120"/>
        <v>1.0093080104951078</v>
      </c>
      <c r="U125" s="7">
        <f t="shared" ca="1" si="120"/>
        <v>1.0386752175968752</v>
      </c>
      <c r="V125" s="7">
        <f t="shared" ca="1" si="120"/>
        <v>1.0695616699639849</v>
      </c>
      <c r="W125" s="7">
        <f t="shared" ca="1" si="120"/>
        <v>1.102440308304196</v>
      </c>
      <c r="X125" s="7">
        <f t="shared" ca="1" si="120"/>
        <v>1.1385555679027402</v>
      </c>
      <c r="Y125" s="7">
        <f t="shared" ca="1" si="120"/>
        <v>1.173335953517455</v>
      </c>
      <c r="Z125" s="7">
        <f t="shared" ca="1" si="120"/>
        <v>1.2142040254728013</v>
      </c>
      <c r="AA125" s="7">
        <f t="shared" ca="1" si="120"/>
        <v>1.2592898702339017</v>
      </c>
      <c r="AB125" s="7">
        <f t="shared" ca="1" si="120"/>
        <v>1.3108728182595506</v>
      </c>
      <c r="AC125" s="7">
        <f t="shared" ca="1" si="120"/>
        <v>1.3705434340989981</v>
      </c>
      <c r="AD125" s="7">
        <f t="shared" ca="1" si="120"/>
        <v>1.4361242993179779</v>
      </c>
      <c r="AE125" s="7">
        <f t="shared" ca="1" si="120"/>
        <v>1.5029923780084324</v>
      </c>
      <c r="AF125" s="7">
        <f t="shared" ca="1" si="120"/>
        <v>1.577079095132941</v>
      </c>
      <c r="AG125" s="7">
        <f t="shared" ca="1" si="120"/>
        <v>1.6529510468231194</v>
      </c>
      <c r="AH125" s="7">
        <f t="shared" ca="1" si="120"/>
        <v>1.7335052868821421</v>
      </c>
      <c r="AI125" s="7">
        <f t="shared" ca="1" si="120"/>
        <v>1.8137445679873814</v>
      </c>
      <c r="AJ125" s="7">
        <f t="shared" ca="1" si="120"/>
        <v>1.9004981160474017</v>
      </c>
      <c r="AK125" s="7">
        <f t="shared" ca="1" si="120"/>
        <v>1.9867625838418803</v>
      </c>
      <c r="AL125" s="7">
        <f t="shared" ca="1" si="120"/>
        <v>2.0740569550423906</v>
      </c>
      <c r="AM125" s="7">
        <f t="shared" ca="1" si="120"/>
        <v>2.165311925783481</v>
      </c>
      <c r="AN125" s="7">
        <f t="shared" ca="1" si="120"/>
        <v>2.2593873112876857</v>
      </c>
      <c r="AO125" s="7">
        <f t="shared" ca="1" si="120"/>
        <v>2.3464101698752202</v>
      </c>
      <c r="AP125" s="7">
        <f t="shared" ca="1" si="120"/>
        <v>2.4376937670947889</v>
      </c>
      <c r="AQ125" s="7">
        <f t="shared" ca="1" si="120"/>
        <v>2.5212522280449399</v>
      </c>
      <c r="AR125" s="7">
        <f t="shared" ca="1" si="120"/>
        <v>2.6017232841346996</v>
      </c>
      <c r="AS125" s="7">
        <f t="shared" ca="1" si="120"/>
        <v>2.6815845886419893</v>
      </c>
      <c r="AT125" s="7">
        <f t="shared" ca="1" si="120"/>
        <v>2.7645295024701326</v>
      </c>
      <c r="AU125" s="7">
        <f t="shared" ca="1" si="120"/>
        <v>2.8494715144491423</v>
      </c>
      <c r="AV125" s="7">
        <f t="shared" ca="1" si="120"/>
        <v>2.9418233287783622</v>
      </c>
      <c r="AW125" s="7">
        <f t="shared" ca="1" si="120"/>
        <v>3.0316035030607225</v>
      </c>
    </row>
    <row r="126" spans="1:49" ht="15" x14ac:dyDescent="0.25">
      <c r="A126" s="2" t="s">
        <v>226</v>
      </c>
      <c r="D126" s="40">
        <f t="shared" ref="D126:I126" si="121">SUM(D$120:D$123)-SUM(D$124:D$125)</f>
        <v>-0.125</v>
      </c>
      <c r="E126" s="39">
        <f t="shared" si="121"/>
        <v>-0.82500000000000007</v>
      </c>
      <c r="F126" s="39">
        <f t="shared" si="121"/>
        <v>1.5459999999999998</v>
      </c>
      <c r="G126" s="39">
        <f t="shared" si="121"/>
        <v>1.7450000000000001</v>
      </c>
      <c r="H126" s="39">
        <f t="shared" si="121"/>
        <v>1.133</v>
      </c>
      <c r="I126" s="39">
        <f t="shared" si="121"/>
        <v>1.196</v>
      </c>
      <c r="J126" s="43">
        <f t="shared" ref="J126:AW126" ca="1" si="122">SUM(J$120:J$123)-SUM(J$124:J$125)</f>
        <v>0.74637750873595166</v>
      </c>
      <c r="K126" s="43">
        <f t="shared" ca="1" si="122"/>
        <v>0.76511146080787484</v>
      </c>
      <c r="L126" s="43">
        <f t="shared" ca="1" si="122"/>
        <v>0.81890109047519699</v>
      </c>
      <c r="M126" s="43">
        <f t="shared" ca="1" si="122"/>
        <v>0.90255878587103977</v>
      </c>
      <c r="N126" s="43">
        <f t="shared" ca="1" si="122"/>
        <v>0.97968264185705234</v>
      </c>
      <c r="O126" s="43">
        <f t="shared" ca="1" si="122"/>
        <v>1.0543359033749691</v>
      </c>
      <c r="P126" s="43">
        <f t="shared" ca="1" si="122"/>
        <v>1.0876522768328862</v>
      </c>
      <c r="Q126" s="43">
        <f t="shared" ca="1" si="122"/>
        <v>1.1276103460006177</v>
      </c>
      <c r="R126" s="43">
        <f t="shared" ca="1" si="122"/>
        <v>1.1657425098078811</v>
      </c>
      <c r="S126" s="43">
        <f t="shared" ca="1" si="122"/>
        <v>1.2075215390447753</v>
      </c>
      <c r="T126" s="43">
        <f t="shared" ca="1" si="122"/>
        <v>1.2524638220210571</v>
      </c>
      <c r="U126" s="43">
        <f t="shared" ca="1" si="122"/>
        <v>1.2913199267920112</v>
      </c>
      <c r="V126" s="43">
        <f t="shared" ca="1" si="122"/>
        <v>1.3315566461466757</v>
      </c>
      <c r="W126" s="43">
        <f t="shared" ca="1" si="122"/>
        <v>1.3699446029281246</v>
      </c>
      <c r="X126" s="43">
        <f t="shared" ca="1" si="122"/>
        <v>1.4096014189546757</v>
      </c>
      <c r="Y126" s="43">
        <f t="shared" ca="1" si="122"/>
        <v>1.4465001983447934</v>
      </c>
      <c r="Z126" s="43">
        <f t="shared" ca="1" si="122"/>
        <v>1.4842625406523529</v>
      </c>
      <c r="AA126" s="43">
        <f t="shared" ca="1" si="122"/>
        <v>1.5237185838786558</v>
      </c>
      <c r="AB126" s="43">
        <f t="shared" ca="1" si="122"/>
        <v>1.5729164869999295</v>
      </c>
      <c r="AC126" s="43">
        <f t="shared" ca="1" si="122"/>
        <v>1.6234230331436041</v>
      </c>
      <c r="AD126" s="43">
        <f t="shared" ca="1" si="122"/>
        <v>1.6868556564924351</v>
      </c>
      <c r="AE126" s="43">
        <f t="shared" ca="1" si="122"/>
        <v>1.7579386653539437</v>
      </c>
      <c r="AF126" s="43">
        <f t="shared" ca="1" si="122"/>
        <v>1.8343919947336049</v>
      </c>
      <c r="AG126" s="43">
        <f t="shared" ca="1" si="122"/>
        <v>1.9215484439511887</v>
      </c>
      <c r="AH126" s="43">
        <f t="shared" ca="1" si="122"/>
        <v>2.010703851446431</v>
      </c>
      <c r="AI126" s="43">
        <f t="shared" ca="1" si="122"/>
        <v>2.1099073455120516</v>
      </c>
      <c r="AJ126" s="43">
        <f t="shared" ca="1" si="122"/>
        <v>2.2114770504819434</v>
      </c>
      <c r="AK126" s="43">
        <f t="shared" ca="1" si="122"/>
        <v>2.3176071893619214</v>
      </c>
      <c r="AL126" s="43">
        <f t="shared" ca="1" si="122"/>
        <v>2.4383447868051134</v>
      </c>
      <c r="AM126" s="43">
        <f t="shared" ca="1" si="122"/>
        <v>2.5566532541281202</v>
      </c>
      <c r="AN126" s="43">
        <f t="shared" ca="1" si="122"/>
        <v>2.68263489514535</v>
      </c>
      <c r="AO126" s="43">
        <f t="shared" ca="1" si="122"/>
        <v>2.8143763253845062</v>
      </c>
      <c r="AP126" s="43">
        <f t="shared" ca="1" si="122"/>
        <v>2.9420940528727328</v>
      </c>
      <c r="AQ126" s="43">
        <f t="shared" ca="1" si="122"/>
        <v>3.0706834817242434</v>
      </c>
      <c r="AR126" s="43">
        <f t="shared" ca="1" si="122"/>
        <v>3.1961510455077597</v>
      </c>
      <c r="AS126" s="43">
        <f t="shared" ca="1" si="122"/>
        <v>3.3114962617530033</v>
      </c>
      <c r="AT126" s="43">
        <f t="shared" ca="1" si="122"/>
        <v>3.4333105196819904</v>
      </c>
      <c r="AU126" s="43">
        <f t="shared" ca="1" si="122"/>
        <v>3.5510642801287862</v>
      </c>
      <c r="AV126" s="43">
        <f t="shared" ca="1" si="122"/>
        <v>3.6648864984055756</v>
      </c>
      <c r="AW126" s="43">
        <f t="shared" ca="1" si="122"/>
        <v>3.7838090128208366</v>
      </c>
    </row>
    <row r="127" spans="1:49" ht="15" x14ac:dyDescent="0.25">
      <c r="A127" s="30" t="s">
        <v>382</v>
      </c>
      <c r="D127" s="6" t="str">
        <f t="shared" ref="D127" si="123">IF(ROUND(D$48-SUM(D$97,D$113,D$119,D$126),3)=0,"OK","ERROR")</f>
        <v>OK</v>
      </c>
      <c r="E127" s="6" t="str">
        <f t="shared" ref="E127:AW127" ca="1" si="124">IF(ROUND(E$48-SUM(E$97,E$113,E$119,E$126),3)=0,"OK","ERROR")</f>
        <v>OK</v>
      </c>
      <c r="F127" s="6" t="str">
        <f t="shared" ca="1" si="124"/>
        <v>OK</v>
      </c>
      <c r="G127" s="6" t="str">
        <f t="shared" ca="1" si="124"/>
        <v>OK</v>
      </c>
      <c r="H127" s="6" t="str">
        <f t="shared" ca="1" si="124"/>
        <v>OK</v>
      </c>
      <c r="I127" s="6" t="str">
        <f t="shared" ca="1" si="124"/>
        <v>OK</v>
      </c>
      <c r="J127" s="6" t="str">
        <f t="shared" ca="1" si="124"/>
        <v>OK</v>
      </c>
      <c r="K127" s="6" t="str">
        <f t="shared" ca="1" si="124"/>
        <v>OK</v>
      </c>
      <c r="L127" s="6" t="str">
        <f t="shared" ca="1" si="124"/>
        <v>OK</v>
      </c>
      <c r="M127" s="6" t="str">
        <f t="shared" ca="1" si="124"/>
        <v>OK</v>
      </c>
      <c r="N127" s="6" t="str">
        <f t="shared" ca="1" si="124"/>
        <v>OK</v>
      </c>
      <c r="O127" s="6" t="str">
        <f t="shared" ca="1" si="124"/>
        <v>OK</v>
      </c>
      <c r="P127" s="6" t="str">
        <f t="shared" ca="1" si="124"/>
        <v>OK</v>
      </c>
      <c r="Q127" s="6" t="str">
        <f t="shared" ca="1" si="124"/>
        <v>OK</v>
      </c>
      <c r="R127" s="6" t="str">
        <f t="shared" ca="1" si="124"/>
        <v>OK</v>
      </c>
      <c r="S127" s="6" t="str">
        <f t="shared" ca="1" si="124"/>
        <v>OK</v>
      </c>
      <c r="T127" s="6" t="str">
        <f t="shared" ca="1" si="124"/>
        <v>OK</v>
      </c>
      <c r="U127" s="6" t="str">
        <f t="shared" ca="1" si="124"/>
        <v>OK</v>
      </c>
      <c r="V127" s="6" t="str">
        <f t="shared" ca="1" si="124"/>
        <v>OK</v>
      </c>
      <c r="W127" s="6" t="str">
        <f t="shared" ca="1" si="124"/>
        <v>OK</v>
      </c>
      <c r="X127" s="6" t="str">
        <f t="shared" ca="1" si="124"/>
        <v>OK</v>
      </c>
      <c r="Y127" s="6" t="str">
        <f t="shared" ca="1" si="124"/>
        <v>OK</v>
      </c>
      <c r="Z127" s="6" t="str">
        <f t="shared" ca="1" si="124"/>
        <v>OK</v>
      </c>
      <c r="AA127" s="6" t="str">
        <f t="shared" ca="1" si="124"/>
        <v>OK</v>
      </c>
      <c r="AB127" s="6" t="str">
        <f t="shared" ca="1" si="124"/>
        <v>OK</v>
      </c>
      <c r="AC127" s="6" t="str">
        <f t="shared" ca="1" si="124"/>
        <v>OK</v>
      </c>
      <c r="AD127" s="6" t="str">
        <f t="shared" ca="1" si="124"/>
        <v>OK</v>
      </c>
      <c r="AE127" s="6" t="str">
        <f t="shared" ca="1" si="124"/>
        <v>OK</v>
      </c>
      <c r="AF127" s="6" t="str">
        <f t="shared" ca="1" si="124"/>
        <v>OK</v>
      </c>
      <c r="AG127" s="6" t="str">
        <f t="shared" ca="1" si="124"/>
        <v>OK</v>
      </c>
      <c r="AH127" s="6" t="str">
        <f t="shared" ca="1" si="124"/>
        <v>OK</v>
      </c>
      <c r="AI127" s="6" t="str">
        <f t="shared" ca="1" si="124"/>
        <v>OK</v>
      </c>
      <c r="AJ127" s="6" t="str">
        <f t="shared" ca="1" si="124"/>
        <v>OK</v>
      </c>
      <c r="AK127" s="6" t="str">
        <f t="shared" ca="1" si="124"/>
        <v>OK</v>
      </c>
      <c r="AL127" s="6" t="str">
        <f t="shared" ca="1" si="124"/>
        <v>OK</v>
      </c>
      <c r="AM127" s="6" t="str">
        <f t="shared" ca="1" si="124"/>
        <v>OK</v>
      </c>
      <c r="AN127" s="6" t="str">
        <f t="shared" ca="1" si="124"/>
        <v>OK</v>
      </c>
      <c r="AO127" s="6" t="str">
        <f t="shared" ca="1" si="124"/>
        <v>OK</v>
      </c>
      <c r="AP127" s="6" t="str">
        <f t="shared" ca="1" si="124"/>
        <v>OK</v>
      </c>
      <c r="AQ127" s="6" t="str">
        <f t="shared" ca="1" si="124"/>
        <v>OK</v>
      </c>
      <c r="AR127" s="6" t="str">
        <f t="shared" ca="1" si="124"/>
        <v>OK</v>
      </c>
      <c r="AS127" s="6" t="str">
        <f t="shared" ca="1" si="124"/>
        <v>OK</v>
      </c>
      <c r="AT127" s="6" t="str">
        <f t="shared" ca="1" si="124"/>
        <v>OK</v>
      </c>
      <c r="AU127" s="6" t="str">
        <f t="shared" ca="1" si="124"/>
        <v>OK</v>
      </c>
      <c r="AV127" s="6" t="str">
        <f t="shared" ca="1" si="124"/>
        <v>OK</v>
      </c>
      <c r="AW127" s="6" t="str">
        <f t="shared" ca="1" si="124"/>
        <v>OK</v>
      </c>
    </row>
    <row r="129" spans="1:49" x14ac:dyDescent="0.2">
      <c r="A129" s="22" t="s">
        <v>270</v>
      </c>
    </row>
    <row r="130" spans="1:49" x14ac:dyDescent="0.2">
      <c r="A130" s="22"/>
    </row>
    <row r="131" spans="1:49" x14ac:dyDescent="0.2">
      <c r="A131" s="22" t="s">
        <v>271</v>
      </c>
    </row>
    <row r="132" spans="1:49" x14ac:dyDescent="0.2">
      <c r="A132" s="1" t="s">
        <v>448</v>
      </c>
      <c r="B132" s="4" t="str">
        <f t="shared" ref="B132:B138" si="125">$B$43</f>
        <v>From Fiscal</v>
      </c>
      <c r="D132" s="18">
        <f>Fiscal!D$208</f>
        <v>25.309000000000001</v>
      </c>
      <c r="E132" s="19">
        <f>Fiscal!E$208</f>
        <v>26.577999999999999</v>
      </c>
      <c r="F132" s="19">
        <f>Fiscal!F$208</f>
        <v>27.777999999999999</v>
      </c>
      <c r="G132" s="19">
        <f>Fiscal!G$208</f>
        <v>28.835000000000001</v>
      </c>
      <c r="H132" s="19">
        <f>Fiscal!H$208</f>
        <v>30.256</v>
      </c>
      <c r="I132" s="19">
        <f>Fiscal!I$208</f>
        <v>31.795000000000002</v>
      </c>
      <c r="J132" s="7">
        <f ca="1">IF(OR(OFFSET(Assumptions!$B$29,0,$C$1)="FFD",OFFSET(Assumptions!$B$29,0,$C$1)="PFD"),I$132*(1+J$20)*IF(OFFSET(Assumptions!$B$29,0,$C$1)="FFD",(1+OFFSET(Assumptions!$B$30,0,$C$1)*J$30),(1+OFFSET(Assumptions!$B$30,0,$C$1)*J$29)*(1+J$34)),J$14*(I$132/I$14+MIN(ABS(OFFSET(Assumptions!$B$32,0,$C$1)-I$132/I$14),OFFSET(Assumptions!$B$31,0,$C$1))*SIGN(OFFSET(Assumptions!$B$32,0,$C$1)-I$132/I$14)))</f>
        <v>33.290648971370018</v>
      </c>
      <c r="K132" s="7">
        <f ca="1">IF(OR(OFFSET(Assumptions!$B$29,0,$C$1)="FFD",OFFSET(Assumptions!$B$29,0,$C$1)="PFD"),J$132*(1+K$20)*IF(OFFSET(Assumptions!$B$29,0,$C$1)="FFD",(1+OFFSET(Assumptions!$B$30,0,$C$1)*K$30),(1+OFFSET(Assumptions!$B$30,0,$C$1)*K$29)*(1+K$34)),K$14*(J$132/J$14+MIN(ABS(OFFSET(Assumptions!$B$32,0,$C$1)-J$132/J$14),OFFSET(Assumptions!$B$31,0,$C$1))*SIGN(OFFSET(Assumptions!$B$32,0,$C$1)-J$132/J$14)))</f>
        <v>34.844285296758088</v>
      </c>
      <c r="L132" s="7">
        <f ca="1">IF(OR(OFFSET(Assumptions!$B$29,0,$C$1)="FFD",OFFSET(Assumptions!$B$29,0,$C$1)="PFD"),K$132*(1+L$20)*IF(OFFSET(Assumptions!$B$29,0,$C$1)="FFD",(1+OFFSET(Assumptions!$B$30,0,$C$1)*L$30),(1+OFFSET(Assumptions!$B$30,0,$C$1)*L$29)*(1+L$34)),L$14*(K$132/K$14+MIN(ABS(OFFSET(Assumptions!$B$32,0,$C$1)-K$132/K$14),OFFSET(Assumptions!$B$31,0,$C$1))*SIGN(OFFSET(Assumptions!$B$32,0,$C$1)-K$132/K$14)))</f>
        <v>36.524074355967372</v>
      </c>
      <c r="M132" s="7">
        <f ca="1">IF(OR(OFFSET(Assumptions!$B$29,0,$C$1)="FFD",OFFSET(Assumptions!$B$29,0,$C$1)="PFD"),L$132*(1+M$20)*IF(OFFSET(Assumptions!$B$29,0,$C$1)="FFD",(1+OFFSET(Assumptions!$B$30,0,$C$1)*M$30),(1+OFFSET(Assumptions!$B$30,0,$C$1)*M$29)*(1+M$34)),M$14*(L$132/L$14+MIN(ABS(OFFSET(Assumptions!$B$32,0,$C$1)-L$132/L$14),OFFSET(Assumptions!$B$31,0,$C$1))*SIGN(OFFSET(Assumptions!$B$32,0,$C$1)-L$132/L$14)))</f>
        <v>38.278924960816219</v>
      </c>
      <c r="N132" s="7">
        <f ca="1">IF(OR(OFFSET(Assumptions!$B$29,0,$C$1)="FFD",OFFSET(Assumptions!$B$29,0,$C$1)="PFD"),M$132*(1+N$20)*IF(OFFSET(Assumptions!$B$29,0,$C$1)="FFD",(1+OFFSET(Assumptions!$B$30,0,$C$1)*N$30),(1+OFFSET(Assumptions!$B$30,0,$C$1)*N$29)*(1+N$34)),N$14*(M$132/M$14+MIN(ABS(OFFSET(Assumptions!$B$32,0,$C$1)-M$132/M$14),OFFSET(Assumptions!$B$31,0,$C$1))*SIGN(OFFSET(Assumptions!$B$32,0,$C$1)-M$132/M$14)))</f>
        <v>40.11419712993392</v>
      </c>
      <c r="O132" s="7">
        <f ca="1">IF(OR(OFFSET(Assumptions!$B$29,0,$C$1)="FFD",OFFSET(Assumptions!$B$29,0,$C$1)="PFD"),N$132*(1+O$20)*IF(OFFSET(Assumptions!$B$29,0,$C$1)="FFD",(1+OFFSET(Assumptions!$B$30,0,$C$1)*O$30),(1+OFFSET(Assumptions!$B$30,0,$C$1)*O$29)*(1+O$34)),O$14*(N$132/N$14+MIN(ABS(OFFSET(Assumptions!$B$32,0,$C$1)-N$132/N$14),OFFSET(Assumptions!$B$31,0,$C$1))*SIGN(OFFSET(Assumptions!$B$32,0,$C$1)-N$132/N$14)))</f>
        <v>42.018811266942457</v>
      </c>
      <c r="P132" s="7">
        <f ca="1">IF(OR(OFFSET(Assumptions!$B$29,0,$C$1)="FFD",OFFSET(Assumptions!$B$29,0,$C$1)="PFD"),O$132*(1+P$20)*IF(OFFSET(Assumptions!$B$29,0,$C$1)="FFD",(1+OFFSET(Assumptions!$B$30,0,$C$1)*P$30),(1+OFFSET(Assumptions!$B$30,0,$C$1)*P$29)*(1+P$34)),P$14*(O$132/O$14+MIN(ABS(OFFSET(Assumptions!$B$32,0,$C$1)-O$132/O$14),OFFSET(Assumptions!$B$31,0,$C$1))*SIGN(OFFSET(Assumptions!$B$32,0,$C$1)-O$132/O$14)))</f>
        <v>43.996141629088626</v>
      </c>
      <c r="Q132" s="7">
        <f ca="1">IF(OR(OFFSET(Assumptions!$B$29,0,$C$1)="FFD",OFFSET(Assumptions!$B$29,0,$C$1)="PFD"),P$132*(1+Q$20)*IF(OFFSET(Assumptions!$B$29,0,$C$1)="FFD",(1+OFFSET(Assumptions!$B$30,0,$C$1)*Q$30),(1+OFFSET(Assumptions!$B$30,0,$C$1)*Q$29)*(1+Q$34)),Q$14*(P$132/P$14+MIN(ABS(OFFSET(Assumptions!$B$32,0,$C$1)-P$132/P$14),OFFSET(Assumptions!$B$31,0,$C$1))*SIGN(OFFSET(Assumptions!$B$32,0,$C$1)-P$132/P$14)))</f>
        <v>45.93217732265596</v>
      </c>
      <c r="R132" s="7">
        <f ca="1">IF(OR(OFFSET(Assumptions!$B$29,0,$C$1)="FFD",OFFSET(Assumptions!$B$29,0,$C$1)="PFD"),Q$132*(1+R$20)*IF(OFFSET(Assumptions!$B$29,0,$C$1)="FFD",(1+OFFSET(Assumptions!$B$30,0,$C$1)*R$30),(1+OFFSET(Assumptions!$B$30,0,$C$1)*R$29)*(1+R$34)),R$14*(Q$132/Q$14+MIN(ABS(OFFSET(Assumptions!$B$32,0,$C$1)-Q$132/Q$14),OFFSET(Assumptions!$B$31,0,$C$1))*SIGN(OFFSET(Assumptions!$B$32,0,$C$1)-Q$132/Q$14)))</f>
        <v>47.829925843348356</v>
      </c>
      <c r="S132" s="7">
        <f ca="1">IF(OR(OFFSET(Assumptions!$B$29,0,$C$1)="FFD",OFFSET(Assumptions!$B$29,0,$C$1)="PFD"),R$132*(1+S$20)*IF(OFFSET(Assumptions!$B$29,0,$C$1)="FFD",(1+OFFSET(Assumptions!$B$30,0,$C$1)*S$30),(1+OFFSET(Assumptions!$B$30,0,$C$1)*S$29)*(1+S$34)),S$14*(R$132/R$14+MIN(ABS(OFFSET(Assumptions!$B$32,0,$C$1)-R$132/R$14),OFFSET(Assumptions!$B$31,0,$C$1))*SIGN(OFFSET(Assumptions!$B$32,0,$C$1)-R$132/R$14)))</f>
        <v>49.787497191581288</v>
      </c>
      <c r="T132" s="7">
        <f ca="1">IF(OR(OFFSET(Assumptions!$B$29,0,$C$1)="FFD",OFFSET(Assumptions!$B$29,0,$C$1)="PFD"),S$132*(1+T$20)*IF(OFFSET(Assumptions!$B$29,0,$C$1)="FFD",(1+OFFSET(Assumptions!$B$30,0,$C$1)*T$30),(1+OFFSET(Assumptions!$B$30,0,$C$1)*T$29)*(1+T$34)),T$14*(S$132/S$14+MIN(ABS(OFFSET(Assumptions!$B$32,0,$C$1)-S$132/S$14),OFFSET(Assumptions!$B$31,0,$C$1))*SIGN(OFFSET(Assumptions!$B$32,0,$C$1)-S$132/S$14)))</f>
        <v>51.805605227348487</v>
      </c>
      <c r="U132" s="7">
        <f ca="1">IF(OR(OFFSET(Assumptions!$B$29,0,$C$1)="FFD",OFFSET(Assumptions!$B$29,0,$C$1)="PFD"),T$132*(1+U$20)*IF(OFFSET(Assumptions!$B$29,0,$C$1)="FFD",(1+OFFSET(Assumptions!$B$30,0,$C$1)*U$30),(1+OFFSET(Assumptions!$B$30,0,$C$1)*U$29)*(1+U$34)),U$14*(T$132/T$14+MIN(ABS(OFFSET(Assumptions!$B$32,0,$C$1)-T$132/T$14),OFFSET(Assumptions!$B$31,0,$C$1))*SIGN(OFFSET(Assumptions!$B$32,0,$C$1)-T$132/T$14)))</f>
        <v>53.891492887193657</v>
      </c>
      <c r="V132" s="7">
        <f ca="1">IF(OR(OFFSET(Assumptions!$B$29,0,$C$1)="FFD",OFFSET(Assumptions!$B$29,0,$C$1)="PFD"),U$132*(1+V$20)*IF(OFFSET(Assumptions!$B$29,0,$C$1)="FFD",(1+OFFSET(Assumptions!$B$30,0,$C$1)*V$30),(1+OFFSET(Assumptions!$B$30,0,$C$1)*V$29)*(1+V$34)),V$14*(U$132/U$14+MIN(ABS(OFFSET(Assumptions!$B$32,0,$C$1)-U$132/U$14),OFFSET(Assumptions!$B$31,0,$C$1))*SIGN(OFFSET(Assumptions!$B$32,0,$C$1)-U$132/U$14)))</f>
        <v>56.05030919671924</v>
      </c>
      <c r="W132" s="7">
        <f ca="1">IF(OR(OFFSET(Assumptions!$B$29,0,$C$1)="FFD",OFFSET(Assumptions!$B$29,0,$C$1)="PFD"),V$132*(1+W$20)*IF(OFFSET(Assumptions!$B$29,0,$C$1)="FFD",(1+OFFSET(Assumptions!$B$30,0,$C$1)*W$30),(1+OFFSET(Assumptions!$B$30,0,$C$1)*W$29)*(1+W$34)),W$14*(V$132/V$14+MIN(ABS(OFFSET(Assumptions!$B$32,0,$C$1)-V$132/V$14),OFFSET(Assumptions!$B$31,0,$C$1))*SIGN(OFFSET(Assumptions!$B$32,0,$C$1)-V$132/V$14)))</f>
        <v>58.28830879130804</v>
      </c>
      <c r="X132" s="7">
        <f ca="1">IF(OR(OFFSET(Assumptions!$B$29,0,$C$1)="FFD",OFFSET(Assumptions!$B$29,0,$C$1)="PFD"),W$132*(1+X$20)*IF(OFFSET(Assumptions!$B$29,0,$C$1)="FFD",(1+OFFSET(Assumptions!$B$30,0,$C$1)*X$30),(1+OFFSET(Assumptions!$B$30,0,$C$1)*X$29)*(1+X$34)),X$14*(W$132/W$14+MIN(ABS(OFFSET(Assumptions!$B$32,0,$C$1)-W$132/W$14),OFFSET(Assumptions!$B$31,0,$C$1))*SIGN(OFFSET(Assumptions!$B$32,0,$C$1)-W$132/W$14)))</f>
        <v>60.612580439179837</v>
      </c>
      <c r="Y132" s="7">
        <f ca="1">IF(OR(OFFSET(Assumptions!$B$29,0,$C$1)="FFD",OFFSET(Assumptions!$B$29,0,$C$1)="PFD"),X$132*(1+Y$20)*IF(OFFSET(Assumptions!$B$29,0,$C$1)="FFD",(1+OFFSET(Assumptions!$B$30,0,$C$1)*Y$30),(1+OFFSET(Assumptions!$B$30,0,$C$1)*Y$29)*(1+Y$34)),Y$14*(X$132/X$14+MIN(ABS(OFFSET(Assumptions!$B$32,0,$C$1)-X$132/X$14),OFFSET(Assumptions!$B$31,0,$C$1))*SIGN(OFFSET(Assumptions!$B$32,0,$C$1)-X$132/X$14)))</f>
        <v>63.022886522813685</v>
      </c>
      <c r="Z132" s="7">
        <f ca="1">IF(OR(OFFSET(Assumptions!$B$29,0,$C$1)="FFD",OFFSET(Assumptions!$B$29,0,$C$1)="PFD"),Y$132*(1+Z$20)*IF(OFFSET(Assumptions!$B$29,0,$C$1)="FFD",(1+OFFSET(Assumptions!$B$30,0,$C$1)*Z$30),(1+OFFSET(Assumptions!$B$30,0,$C$1)*Z$29)*(1+Z$34)),Z$14*(Y$132/Y$14+MIN(ABS(OFFSET(Assumptions!$B$32,0,$C$1)-Y$132/Y$14),OFFSET(Assumptions!$B$31,0,$C$1))*SIGN(OFFSET(Assumptions!$B$32,0,$C$1)-Y$132/Y$14)))</f>
        <v>65.531427149663529</v>
      </c>
      <c r="AA132" s="7">
        <f ca="1">IF(OR(OFFSET(Assumptions!$B$29,0,$C$1)="FFD",OFFSET(Assumptions!$B$29,0,$C$1)="PFD"),Z$132*(1+AA$20)*IF(OFFSET(Assumptions!$B$29,0,$C$1)="FFD",(1+OFFSET(Assumptions!$B$30,0,$C$1)*AA$30),(1+OFFSET(Assumptions!$B$30,0,$C$1)*AA$29)*(1+AA$34)),AA$14*(Z$132/Z$14+MIN(ABS(OFFSET(Assumptions!$B$32,0,$C$1)-Z$132/Z$14),OFFSET(Assumptions!$B$31,0,$C$1))*SIGN(OFFSET(Assumptions!$B$32,0,$C$1)-Z$132/Z$14)))</f>
        <v>68.142261147114297</v>
      </c>
      <c r="AB132" s="7">
        <f ca="1">IF(OR(OFFSET(Assumptions!$B$29,0,$C$1)="FFD",OFFSET(Assumptions!$B$29,0,$C$1)="PFD"),AA$132*(1+AB$20)*IF(OFFSET(Assumptions!$B$29,0,$C$1)="FFD",(1+OFFSET(Assumptions!$B$30,0,$C$1)*AB$30),(1+OFFSET(Assumptions!$B$30,0,$C$1)*AB$29)*(1+AB$34)),AB$14*(AA$132/AA$14+MIN(ABS(OFFSET(Assumptions!$B$32,0,$C$1)-AA$132/AA$14),OFFSET(Assumptions!$B$31,0,$C$1))*SIGN(OFFSET(Assumptions!$B$32,0,$C$1)-AA$132/AA$14)))</f>
        <v>70.863229090774126</v>
      </c>
      <c r="AC132" s="7">
        <f ca="1">IF(OR(OFFSET(Assumptions!$B$29,0,$C$1)="FFD",OFFSET(Assumptions!$B$29,0,$C$1)="PFD"),AB$132*(1+AC$20)*IF(OFFSET(Assumptions!$B$29,0,$C$1)="FFD",(1+OFFSET(Assumptions!$B$30,0,$C$1)*AC$30),(1+OFFSET(Assumptions!$B$30,0,$C$1)*AC$29)*(1+AC$34)),AC$14*(AB$132/AB$14+MIN(ABS(OFFSET(Assumptions!$B$32,0,$C$1)-AB$132/AB$14),OFFSET(Assumptions!$B$31,0,$C$1))*SIGN(OFFSET(Assumptions!$B$32,0,$C$1)-AB$132/AB$14)))</f>
        <v>73.704603003872208</v>
      </c>
      <c r="AD132" s="7">
        <f ca="1">IF(OR(OFFSET(Assumptions!$B$29,0,$C$1)="FFD",OFFSET(Assumptions!$B$29,0,$C$1)="PFD"),AC$132*(1+AD$20)*IF(OFFSET(Assumptions!$B$29,0,$C$1)="FFD",(1+OFFSET(Assumptions!$B$30,0,$C$1)*AD$30),(1+OFFSET(Assumptions!$B$30,0,$C$1)*AD$29)*(1+AD$34)),AD$14*(AC$132/AC$14+MIN(ABS(OFFSET(Assumptions!$B$32,0,$C$1)-AC$132/AC$14),OFFSET(Assumptions!$B$31,0,$C$1))*SIGN(OFFSET(Assumptions!$B$32,0,$C$1)-AC$132/AC$14)))</f>
        <v>76.669377729563266</v>
      </c>
      <c r="AE132" s="7">
        <f ca="1">IF(OR(OFFSET(Assumptions!$B$29,0,$C$1)="FFD",OFFSET(Assumptions!$B$29,0,$C$1)="PFD"),AD$132*(1+AE$20)*IF(OFFSET(Assumptions!$B$29,0,$C$1)="FFD",(1+OFFSET(Assumptions!$B$30,0,$C$1)*AE$30),(1+OFFSET(Assumptions!$B$30,0,$C$1)*AE$29)*(1+AE$34)),AE$14*(AD$132/AD$14+MIN(ABS(OFFSET(Assumptions!$B$32,0,$C$1)-AD$132/AD$14),OFFSET(Assumptions!$B$31,0,$C$1))*SIGN(OFFSET(Assumptions!$B$32,0,$C$1)-AD$132/AD$14)))</f>
        <v>79.754830517425873</v>
      </c>
      <c r="AF132" s="7">
        <f ca="1">IF(OR(OFFSET(Assumptions!$B$29,0,$C$1)="FFD",OFFSET(Assumptions!$B$29,0,$C$1)="PFD"),AE$132*(1+AF$20)*IF(OFFSET(Assumptions!$B$29,0,$C$1)="FFD",(1+OFFSET(Assumptions!$B$30,0,$C$1)*AF$30),(1+OFFSET(Assumptions!$B$30,0,$C$1)*AF$29)*(1+AF$34)),AF$14*(AE$132/AE$14+MIN(ABS(OFFSET(Assumptions!$B$32,0,$C$1)-AE$132/AE$14),OFFSET(Assumptions!$B$31,0,$C$1))*SIGN(OFFSET(Assumptions!$B$32,0,$C$1)-AE$132/AE$14)))</f>
        <v>82.969497579905692</v>
      </c>
      <c r="AG132" s="7">
        <f ca="1">IF(OR(OFFSET(Assumptions!$B$29,0,$C$1)="FFD",OFFSET(Assumptions!$B$29,0,$C$1)="PFD"),AF$132*(1+AG$20)*IF(OFFSET(Assumptions!$B$29,0,$C$1)="FFD",(1+OFFSET(Assumptions!$B$30,0,$C$1)*AG$30),(1+OFFSET(Assumptions!$B$30,0,$C$1)*AG$29)*(1+AG$34)),AG$14*(AF$132/AF$14+MIN(ABS(OFFSET(Assumptions!$B$32,0,$C$1)-AF$132/AF$14),OFFSET(Assumptions!$B$31,0,$C$1))*SIGN(OFFSET(Assumptions!$B$32,0,$C$1)-AF$132/AF$14)))</f>
        <v>86.315176424401429</v>
      </c>
      <c r="AH132" s="7">
        <f ca="1">IF(OR(OFFSET(Assumptions!$B$29,0,$C$1)="FFD",OFFSET(Assumptions!$B$29,0,$C$1)="PFD"),AG$132*(1+AH$20)*IF(OFFSET(Assumptions!$B$29,0,$C$1)="FFD",(1+OFFSET(Assumptions!$B$30,0,$C$1)*AH$30),(1+OFFSET(Assumptions!$B$30,0,$C$1)*AH$29)*(1+AH$34)),AH$14*(AG$132/AG$14+MIN(ABS(OFFSET(Assumptions!$B$32,0,$C$1)-AG$132/AG$14),OFFSET(Assumptions!$B$31,0,$C$1))*SIGN(OFFSET(Assumptions!$B$32,0,$C$1)-AG$132/AG$14)))</f>
        <v>89.797232079084523</v>
      </c>
      <c r="AI132" s="7">
        <f ca="1">IF(OR(OFFSET(Assumptions!$B$29,0,$C$1)="FFD",OFFSET(Assumptions!$B$29,0,$C$1)="PFD"),AH$132*(1+AI$20)*IF(OFFSET(Assumptions!$B$29,0,$C$1)="FFD",(1+OFFSET(Assumptions!$B$30,0,$C$1)*AI$30),(1+OFFSET(Assumptions!$B$30,0,$C$1)*AI$29)*(1+AI$34)),AI$14*(AH$132/AH$14+MIN(ABS(OFFSET(Assumptions!$B$32,0,$C$1)-AH$132/AH$14),OFFSET(Assumptions!$B$31,0,$C$1))*SIGN(OFFSET(Assumptions!$B$32,0,$C$1)-AH$132/AH$14)))</f>
        <v>93.409580240048882</v>
      </c>
      <c r="AJ132" s="7">
        <f ca="1">IF(OR(OFFSET(Assumptions!$B$29,0,$C$1)="FFD",OFFSET(Assumptions!$B$29,0,$C$1)="PFD"),AI$132*(1+AJ$20)*IF(OFFSET(Assumptions!$B$29,0,$C$1)="FFD",(1+OFFSET(Assumptions!$B$30,0,$C$1)*AJ$30),(1+OFFSET(Assumptions!$B$30,0,$C$1)*AJ$29)*(1+AJ$34)),AJ$14*(AI$132/AI$14+MIN(ABS(OFFSET(Assumptions!$B$32,0,$C$1)-AI$132/AI$14),OFFSET(Assumptions!$B$31,0,$C$1))*SIGN(OFFSET(Assumptions!$B$32,0,$C$1)-AI$132/AI$14)))</f>
        <v>97.163793058246938</v>
      </c>
      <c r="AK132" s="7">
        <f ca="1">IF(OR(OFFSET(Assumptions!$B$29,0,$C$1)="FFD",OFFSET(Assumptions!$B$29,0,$C$1)="PFD"),AJ$132*(1+AK$20)*IF(OFFSET(Assumptions!$B$29,0,$C$1)="FFD",(1+OFFSET(Assumptions!$B$30,0,$C$1)*AK$30),(1+OFFSET(Assumptions!$B$30,0,$C$1)*AK$29)*(1+AK$34)),AK$14*(AJ$132/AJ$14+MIN(ABS(OFFSET(Assumptions!$B$32,0,$C$1)-AJ$132/AJ$14),OFFSET(Assumptions!$B$31,0,$C$1))*SIGN(OFFSET(Assumptions!$B$32,0,$C$1)-AJ$132/AJ$14)))</f>
        <v>101.05678220257126</v>
      </c>
      <c r="AL132" s="7">
        <f ca="1">IF(OR(OFFSET(Assumptions!$B$29,0,$C$1)="FFD",OFFSET(Assumptions!$B$29,0,$C$1)="PFD"),AK$132*(1+AL$20)*IF(OFFSET(Assumptions!$B$29,0,$C$1)="FFD",(1+OFFSET(Assumptions!$B$30,0,$C$1)*AL$30),(1+OFFSET(Assumptions!$B$30,0,$C$1)*AL$29)*(1+AL$34)),AL$14*(AK$132/AK$14+MIN(ABS(OFFSET(Assumptions!$B$32,0,$C$1)-AK$132/AK$14),OFFSET(Assumptions!$B$31,0,$C$1))*SIGN(OFFSET(Assumptions!$B$32,0,$C$1)-AK$132/AK$14)))</f>
        <v>105.08548105807238</v>
      </c>
      <c r="AM132" s="7">
        <f ca="1">IF(OR(OFFSET(Assumptions!$B$29,0,$C$1)="FFD",OFFSET(Assumptions!$B$29,0,$C$1)="PFD"),AL$132*(1+AM$20)*IF(OFFSET(Assumptions!$B$29,0,$C$1)="FFD",(1+OFFSET(Assumptions!$B$30,0,$C$1)*AM$30),(1+OFFSET(Assumptions!$B$30,0,$C$1)*AM$29)*(1+AM$34)),AM$14*(AL$132/AL$14+MIN(ABS(OFFSET(Assumptions!$B$32,0,$C$1)-AL$132/AL$14),OFFSET(Assumptions!$B$31,0,$C$1))*SIGN(OFFSET(Assumptions!$B$32,0,$C$1)-AL$132/AL$14)))</f>
        <v>109.25539335200524</v>
      </c>
      <c r="AN132" s="7">
        <f ca="1">IF(OR(OFFSET(Assumptions!$B$29,0,$C$1)="FFD",OFFSET(Assumptions!$B$29,0,$C$1)="PFD"),AM$132*(1+AN$20)*IF(OFFSET(Assumptions!$B$29,0,$C$1)="FFD",(1+OFFSET(Assumptions!$B$30,0,$C$1)*AN$30),(1+OFFSET(Assumptions!$B$30,0,$C$1)*AN$29)*(1+AN$34)),AN$14*(AM$132/AM$14+MIN(ABS(OFFSET(Assumptions!$B$32,0,$C$1)-AM$132/AM$14),OFFSET(Assumptions!$B$31,0,$C$1))*SIGN(OFFSET(Assumptions!$B$32,0,$C$1)-AM$132/AM$14)))</f>
        <v>113.57231939198888</v>
      </c>
      <c r="AO132" s="7">
        <f ca="1">IF(OR(OFFSET(Assumptions!$B$29,0,$C$1)="FFD",OFFSET(Assumptions!$B$29,0,$C$1)="PFD"),AN$132*(1+AO$20)*IF(OFFSET(Assumptions!$B$29,0,$C$1)="FFD",(1+OFFSET(Assumptions!$B$30,0,$C$1)*AO$30),(1+OFFSET(Assumptions!$B$30,0,$C$1)*AO$29)*(1+AO$34)),AO$14*(AN$132/AN$14+MIN(ABS(OFFSET(Assumptions!$B$32,0,$C$1)-AN$132/AN$14),OFFSET(Assumptions!$B$31,0,$C$1))*SIGN(OFFSET(Assumptions!$B$32,0,$C$1)-AN$132/AN$14)))</f>
        <v>118.01930810232652</v>
      </c>
      <c r="AP132" s="7">
        <f ca="1">IF(OR(OFFSET(Assumptions!$B$29,0,$C$1)="FFD",OFFSET(Assumptions!$B$29,0,$C$1)="PFD"),AO$132*(1+AP$20)*IF(OFFSET(Assumptions!$B$29,0,$C$1)="FFD",(1+OFFSET(Assumptions!$B$30,0,$C$1)*AP$30),(1+OFFSET(Assumptions!$B$30,0,$C$1)*AP$29)*(1+AP$34)),AP$14*(AO$132/AO$14+MIN(ABS(OFFSET(Assumptions!$B$32,0,$C$1)-AO$132/AO$14),OFFSET(Assumptions!$B$31,0,$C$1))*SIGN(OFFSET(Assumptions!$B$32,0,$C$1)-AO$132/AO$14)))</f>
        <v>122.61524359886798</v>
      </c>
      <c r="AQ132" s="7">
        <f ca="1">IF(OR(OFFSET(Assumptions!$B$29,0,$C$1)="FFD",OFFSET(Assumptions!$B$29,0,$C$1)="PFD"),AP$132*(1+AQ$20)*IF(OFFSET(Assumptions!$B$29,0,$C$1)="FFD",(1+OFFSET(Assumptions!$B$30,0,$C$1)*AQ$30),(1+OFFSET(Assumptions!$B$30,0,$C$1)*AQ$29)*(1+AQ$34)),AQ$14*(AP$132/AP$14+MIN(ABS(OFFSET(Assumptions!$B$32,0,$C$1)-AP$132/AP$14),OFFSET(Assumptions!$B$31,0,$C$1))*SIGN(OFFSET(Assumptions!$B$32,0,$C$1)-AP$132/AP$14)))</f>
        <v>127.34724808485549</v>
      </c>
      <c r="AR132" s="7">
        <f ca="1">IF(OR(OFFSET(Assumptions!$B$29,0,$C$1)="FFD",OFFSET(Assumptions!$B$29,0,$C$1)="PFD"),AQ$132*(1+AR$20)*IF(OFFSET(Assumptions!$B$29,0,$C$1)="FFD",(1+OFFSET(Assumptions!$B$30,0,$C$1)*AR$30),(1+OFFSET(Assumptions!$B$30,0,$C$1)*AR$29)*(1+AR$34)),AR$14*(AQ$132/AQ$14+MIN(ABS(OFFSET(Assumptions!$B$32,0,$C$1)-AQ$132/AQ$14),OFFSET(Assumptions!$B$31,0,$C$1))*SIGN(OFFSET(Assumptions!$B$32,0,$C$1)-AQ$132/AQ$14)))</f>
        <v>132.22067903590798</v>
      </c>
      <c r="AS132" s="7">
        <f ca="1">IF(OR(OFFSET(Assumptions!$B$29,0,$C$1)="FFD",OFFSET(Assumptions!$B$29,0,$C$1)="PFD"),AR$132*(1+AS$20)*IF(OFFSET(Assumptions!$B$29,0,$C$1)="FFD",(1+OFFSET(Assumptions!$B$30,0,$C$1)*AS$30),(1+OFFSET(Assumptions!$B$30,0,$C$1)*AS$29)*(1+AS$34)),AS$14*(AR$132/AR$14+MIN(ABS(OFFSET(Assumptions!$B$32,0,$C$1)-AR$132/AR$14),OFFSET(Assumptions!$B$31,0,$C$1))*SIGN(OFFSET(Assumptions!$B$32,0,$C$1)-AR$132/AR$14)))</f>
        <v>137.24690602586557</v>
      </c>
      <c r="AT132" s="7">
        <f ca="1">IF(OR(OFFSET(Assumptions!$B$29,0,$C$1)="FFD",OFFSET(Assumptions!$B$29,0,$C$1)="PFD"),AS$132*(1+AT$20)*IF(OFFSET(Assumptions!$B$29,0,$C$1)="FFD",(1+OFFSET(Assumptions!$B$30,0,$C$1)*AT$30),(1+OFFSET(Assumptions!$B$30,0,$C$1)*AT$29)*(1+AT$34)),AT$14*(AS$132/AS$14+MIN(ABS(OFFSET(Assumptions!$B$32,0,$C$1)-AS$132/AS$14),OFFSET(Assumptions!$B$31,0,$C$1))*SIGN(OFFSET(Assumptions!$B$32,0,$C$1)-AS$132/AS$14)))</f>
        <v>142.42994333767098</v>
      </c>
      <c r="AU132" s="7">
        <f ca="1">IF(OR(OFFSET(Assumptions!$B$29,0,$C$1)="FFD",OFFSET(Assumptions!$B$29,0,$C$1)="PFD"),AT$132*(1+AU$20)*IF(OFFSET(Assumptions!$B$29,0,$C$1)="FFD",(1+OFFSET(Assumptions!$B$30,0,$C$1)*AU$30),(1+OFFSET(Assumptions!$B$30,0,$C$1)*AU$29)*(1+AU$34)),AU$14*(AT$132/AT$14+MIN(ABS(OFFSET(Assumptions!$B$32,0,$C$1)-AT$132/AT$14),OFFSET(Assumptions!$B$31,0,$C$1))*SIGN(OFFSET(Assumptions!$B$32,0,$C$1)-AT$132/AT$14)))</f>
        <v>147.77668325386381</v>
      </c>
      <c r="AV132" s="7">
        <f ca="1">IF(OR(OFFSET(Assumptions!$B$29,0,$C$1)="FFD",OFFSET(Assumptions!$B$29,0,$C$1)="PFD"),AU$132*(1+AV$20)*IF(OFFSET(Assumptions!$B$29,0,$C$1)="FFD",(1+OFFSET(Assumptions!$B$30,0,$C$1)*AV$30),(1+OFFSET(Assumptions!$B$30,0,$C$1)*AV$29)*(1+AV$34)),AV$14*(AU$132/AU$14+MIN(ABS(OFFSET(Assumptions!$B$32,0,$C$1)-AU$132/AU$14),OFFSET(Assumptions!$B$31,0,$C$1))*SIGN(OFFSET(Assumptions!$B$32,0,$C$1)-AU$132/AU$14)))</f>
        <v>153.30365734924305</v>
      </c>
      <c r="AW132" s="7">
        <f ca="1">IF(OR(OFFSET(Assumptions!$B$29,0,$C$1)="FFD",OFFSET(Assumptions!$B$29,0,$C$1)="PFD"),AV$132*(1+AW$20)*IF(OFFSET(Assumptions!$B$29,0,$C$1)="FFD",(1+OFFSET(Assumptions!$B$30,0,$C$1)*AW$30),(1+OFFSET(Assumptions!$B$30,0,$C$1)*AW$29)*(1+AW$34)),AW$14*(AV$132/AV$14+MIN(ABS(OFFSET(Assumptions!$B$32,0,$C$1)-AV$132/AV$14),OFFSET(Assumptions!$B$31,0,$C$1))*SIGN(OFFSET(Assumptions!$B$32,0,$C$1)-AV$132/AV$14)))</f>
        <v>159.00774533643758</v>
      </c>
    </row>
    <row r="133" spans="1:49" x14ac:dyDescent="0.2">
      <c r="A133" s="1" t="s">
        <v>449</v>
      </c>
      <c r="B133" s="4" t="str">
        <f t="shared" si="125"/>
        <v>From Fiscal</v>
      </c>
      <c r="D133" s="18">
        <f>Fiscal!D$209</f>
        <v>10.295999999999999</v>
      </c>
      <c r="E133" s="19">
        <f>Fiscal!E$209</f>
        <v>10.952999999999999</v>
      </c>
      <c r="F133" s="19">
        <f>Fiscal!F$209</f>
        <v>10.944000000000001</v>
      </c>
      <c r="G133" s="19">
        <f>Fiscal!G$209</f>
        <v>11.858000000000001</v>
      </c>
      <c r="H133" s="19">
        <f>Fiscal!H$209</f>
        <v>12.811</v>
      </c>
      <c r="I133" s="19">
        <f>Fiscal!I$209</f>
        <v>13.457000000000001</v>
      </c>
      <c r="J133" s="7">
        <f ca="1">J$14*(I$133/I$14+MIN(ABS(OFFSET(Assumptions!$B$33,0,$C$1)-I$133/I$14),OFFSET(Assumptions!$B$31,0,$C$1))*SIGN(OFFSET(Assumptions!$B$33,0,$C$1)-I$133/I$14))</f>
        <v>13.868141029017716</v>
      </c>
      <c r="K133" s="7">
        <f ca="1">K$14*(J$133/J$14+MIN(ABS(OFFSET(Assumptions!$B$33,0,$C$1)-J$133/J$14),OFFSET(Assumptions!$B$31,0,$C$1))*SIGN(OFFSET(Assumptions!$B$33,0,$C$1)-J$133/J$14))</f>
        <v>14.285279844125572</v>
      </c>
      <c r="L133" s="7">
        <f ca="1">L$14*(K$133/K$14+MIN(ABS(OFFSET(Assumptions!$B$33,0,$C$1)-K$133/K$14),OFFSET(Assumptions!$B$31,0,$C$1))*SIGN(OFFSET(Assumptions!$B$33,0,$C$1)-K$133/K$14))</f>
        <v>14.73502604915676</v>
      </c>
      <c r="M133" s="7">
        <f ca="1">M$14*(L$133/L$14+MIN(ABS(OFFSET(Assumptions!$B$33,0,$C$1)-L$133/L$14),OFFSET(Assumptions!$B$31,0,$C$1))*SIGN(OFFSET(Assumptions!$B$33,0,$C$1)-L$133/L$14))</f>
        <v>15.194899392395934</v>
      </c>
      <c r="N133" s="7">
        <f ca="1">N$14*(M$133/M$14+MIN(ABS(OFFSET(Assumptions!$B$33,0,$C$1)-M$133/M$14),OFFSET(Assumptions!$B$31,0,$C$1))*SIGN(OFFSET(Assumptions!$B$33,0,$C$1)-M$133/M$14))</f>
        <v>15.665818327281336</v>
      </c>
      <c r="O133" s="7">
        <f ca="1">O$14*(N$133/N$14+MIN(ABS(OFFSET(Assumptions!$B$33,0,$C$1)-N$133/N$14),OFFSET(Assumptions!$B$31,0,$C$1))*SIGN(OFFSET(Assumptions!$B$33,0,$C$1)-N$133/N$14))</f>
        <v>16.150689346361375</v>
      </c>
      <c r="P133" s="7">
        <f ca="1">P$14*(O$133/O$14+MIN(ABS(OFFSET(Assumptions!$B$33,0,$C$1)-O$133/O$14),OFFSET(Assumptions!$B$31,0,$C$1))*SIGN(OFFSET(Assumptions!$B$33,0,$C$1)-O$133/O$14))</f>
        <v>16.833684252798044</v>
      </c>
      <c r="Q133" s="7">
        <f ca="1">Q$14*(P$133/P$14+MIN(ABS(OFFSET(Assumptions!$B$33,0,$C$1)-P$133/P$14),OFFSET(Assumptions!$B$31,0,$C$1))*SIGN(OFFSET(Assumptions!$B$33,0,$C$1)-P$133/P$14))</f>
        <v>17.537740432286824</v>
      </c>
      <c r="R133" s="7">
        <f ca="1">R$14*(Q$133/Q$14+MIN(ABS(OFFSET(Assumptions!$B$33,0,$C$1)-Q$133/Q$14),OFFSET(Assumptions!$B$31,0,$C$1))*SIGN(OFFSET(Assumptions!$B$33,0,$C$1)-Q$133/Q$14))</f>
        <v>18.262335322005736</v>
      </c>
      <c r="S133" s="7">
        <f ca="1">S$14*(R$133/R$14+MIN(ABS(OFFSET(Assumptions!$B$33,0,$C$1)-R$133/R$14),OFFSET(Assumptions!$B$31,0,$C$1))*SIGN(OFFSET(Assumptions!$B$33,0,$C$1)-R$133/R$14))</f>
        <v>19.009771654967402</v>
      </c>
      <c r="T133" s="7">
        <f ca="1">T$14*(S$133/S$14+MIN(ABS(OFFSET(Assumptions!$B$33,0,$C$1)-S$133/S$14),OFFSET(Assumptions!$B$31,0,$C$1))*SIGN(OFFSET(Assumptions!$B$33,0,$C$1)-S$133/S$14))</f>
        <v>19.780321995896696</v>
      </c>
      <c r="U133" s="7">
        <f ca="1">U$14*(T$133/T$14+MIN(ABS(OFFSET(Assumptions!$B$33,0,$C$1)-T$133/T$14),OFFSET(Assumptions!$B$31,0,$C$1))*SIGN(OFFSET(Assumptions!$B$33,0,$C$1)-T$133/T$14))</f>
        <v>20.576751829655763</v>
      </c>
      <c r="V133" s="7">
        <f ca="1">V$14*(U$133/U$14+MIN(ABS(OFFSET(Assumptions!$B$33,0,$C$1)-U$133/U$14),OFFSET(Assumptions!$B$31,0,$C$1))*SIGN(OFFSET(Assumptions!$B$33,0,$C$1)-U$133/U$14))</f>
        <v>21.401027147838256</v>
      </c>
      <c r="W133" s="7">
        <f ca="1">W$14*(V$133/V$14+MIN(ABS(OFFSET(Assumptions!$B$33,0,$C$1)-V$133/V$14),OFFSET(Assumptions!$B$31,0,$C$1))*SIGN(OFFSET(Assumptions!$B$33,0,$C$1)-V$133/V$14))</f>
        <v>22.255536083953981</v>
      </c>
      <c r="X133" s="7">
        <f ca="1">X$14*(W$133/W$14+MIN(ABS(OFFSET(Assumptions!$B$33,0,$C$1)-W$133/W$14),OFFSET(Assumptions!$B$31,0,$C$1))*SIGN(OFFSET(Assumptions!$B$33,0,$C$1)-W$133/W$14))</f>
        <v>23.142985258595939</v>
      </c>
      <c r="Y133" s="7">
        <f ca="1">Y$14*(X$133/X$14+MIN(ABS(OFFSET(Assumptions!$B$33,0,$C$1)-X$133/X$14),OFFSET(Assumptions!$B$31,0,$C$1))*SIGN(OFFSET(Assumptions!$B$33,0,$C$1)-X$133/X$14))</f>
        <v>24.063283945074318</v>
      </c>
      <c r="Z133" s="7">
        <f ca="1">Z$14*(Y$133/Y$14+MIN(ABS(OFFSET(Assumptions!$B$33,0,$C$1)-Y$133/Y$14),OFFSET(Assumptions!$B$31,0,$C$1))*SIGN(OFFSET(Assumptions!$B$33,0,$C$1)-Y$133/Y$14))</f>
        <v>25.021090366235168</v>
      </c>
      <c r="AA133" s="7">
        <f ca="1">AA$14*(Z$133/Z$14+MIN(ABS(OFFSET(Assumptions!$B$33,0,$C$1)-Z$133/Z$14),OFFSET(Assumptions!$B$31,0,$C$1))*SIGN(OFFSET(Assumptions!$B$33,0,$C$1)-Z$133/Z$14))</f>
        <v>26.017954256170913</v>
      </c>
      <c r="AB133" s="7">
        <f ca="1">AB$14*(AA$133/AA$14+MIN(ABS(OFFSET(Assumptions!$B$33,0,$C$1)-AA$133/AA$14),OFFSET(Assumptions!$B$31,0,$C$1))*SIGN(OFFSET(Assumptions!$B$33,0,$C$1)-AA$133/AA$14))</f>
        <v>27.056869289204666</v>
      </c>
      <c r="AC133" s="7">
        <f ca="1">AC$14*(AB$133/AB$14+MIN(ABS(OFFSET(Assumptions!$B$33,0,$C$1)-AB$133/AB$14),OFFSET(Assumptions!$B$31,0,$C$1))*SIGN(OFFSET(Assumptions!$B$33,0,$C$1)-AB$133/AB$14))</f>
        <v>28.141757510569388</v>
      </c>
      <c r="AD133" s="7">
        <f ca="1">AD$14*(AC$133/AC$14+MIN(ABS(OFFSET(Assumptions!$B$33,0,$C$1)-AC$133/AC$14),OFFSET(Assumptions!$B$31,0,$C$1))*SIGN(OFFSET(Assumptions!$B$33,0,$C$1)-AC$133/AC$14))</f>
        <v>29.273762405833249</v>
      </c>
      <c r="AE133" s="7">
        <f ca="1">AE$14*(AD$133/AD$14+MIN(ABS(OFFSET(Assumptions!$B$33,0,$C$1)-AD$133/AD$14),OFFSET(Assumptions!$B$31,0,$C$1))*SIGN(OFFSET(Assumptions!$B$33,0,$C$1)-AD$133/AD$14))</f>
        <v>30.451844379380791</v>
      </c>
      <c r="AF133" s="7">
        <f ca="1">AF$14*(AE$133/AE$14+MIN(ABS(OFFSET(Assumptions!$B$33,0,$C$1)-AE$133/AE$14),OFFSET(Assumptions!$B$31,0,$C$1))*SIGN(OFFSET(Assumptions!$B$33,0,$C$1)-AE$133/AE$14))</f>
        <v>31.679262712327628</v>
      </c>
      <c r="AG133" s="7">
        <f ca="1">AG$14*(AF$133/AF$14+MIN(ABS(OFFSET(Assumptions!$B$33,0,$C$1)-AF$133/AF$14),OFFSET(Assumptions!$B$31,0,$C$1))*SIGN(OFFSET(Assumptions!$B$33,0,$C$1)-AF$133/AF$14))</f>
        <v>32.956703725680548</v>
      </c>
      <c r="AH133" s="7">
        <f ca="1">AH$14*(AG$133/AG$14+MIN(ABS(OFFSET(Assumptions!$B$33,0,$C$1)-AG$133/AG$14),OFFSET(Assumptions!$B$31,0,$C$1))*SIGN(OFFSET(Assumptions!$B$33,0,$C$1)-AG$133/AG$14))</f>
        <v>34.286215884741367</v>
      </c>
      <c r="AI133" s="7">
        <f ca="1">AI$14*(AH$133/AH$14+MIN(ABS(OFFSET(Assumptions!$B$33,0,$C$1)-AH$133/AH$14),OFFSET(Assumptions!$B$31,0,$C$1))*SIGN(OFFSET(Assumptions!$B$33,0,$C$1)-AH$133/AH$14))</f>
        <v>35.66547609165503</v>
      </c>
      <c r="AJ133" s="7">
        <f ca="1">AJ$14*(AI$133/AI$14+MIN(ABS(OFFSET(Assumptions!$B$33,0,$C$1)-AI$133/AI$14),OFFSET(Assumptions!$B$31,0,$C$1))*SIGN(OFFSET(Assumptions!$B$33,0,$C$1)-AI$133/AI$14))</f>
        <v>37.098902804057929</v>
      </c>
      <c r="AK133" s="7">
        <f ca="1">AK$14*(AJ$133/AJ$14+MIN(ABS(OFFSET(Assumptions!$B$33,0,$C$1)-AJ$133/AJ$14),OFFSET(Assumptions!$B$31,0,$C$1))*SIGN(OFFSET(Assumptions!$B$33,0,$C$1)-AJ$133/AJ$14))</f>
        <v>38.585316840981754</v>
      </c>
      <c r="AL133" s="7">
        <f ca="1">AL$14*(AK$133/AK$14+MIN(ABS(OFFSET(Assumptions!$B$33,0,$C$1)-AK$133/AK$14),OFFSET(Assumptions!$B$31,0,$C$1))*SIGN(OFFSET(Assumptions!$B$33,0,$C$1)-AK$133/AK$14))</f>
        <v>40.123547313082184</v>
      </c>
      <c r="AM133" s="7">
        <f ca="1">AM$14*(AL$133/AL$14+MIN(ABS(OFFSET(Assumptions!$B$33,0,$C$1)-AL$133/AL$14),OFFSET(Assumptions!$B$31,0,$C$1))*SIGN(OFFSET(Assumptions!$B$33,0,$C$1)-AL$133/AL$14))</f>
        <v>41.715695643492907</v>
      </c>
      <c r="AN133" s="7">
        <f ca="1">AN$14*(AM$133/AM$14+MIN(ABS(OFFSET(Assumptions!$B$33,0,$C$1)-AM$133/AM$14),OFFSET(Assumptions!$B$31,0,$C$1))*SIGN(OFFSET(Assumptions!$B$33,0,$C$1)-AM$133/AM$14))</f>
        <v>43.363976495123033</v>
      </c>
      <c r="AO133" s="7">
        <f ca="1">AO$14*(AN$133/AN$14+MIN(ABS(OFFSET(Assumptions!$B$33,0,$C$1)-AN$133/AN$14),OFFSET(Assumptions!$B$31,0,$C$1))*SIGN(OFFSET(Assumptions!$B$33,0,$C$1)-AN$133/AN$14))</f>
        <v>45.061917639070124</v>
      </c>
      <c r="AP133" s="7">
        <f ca="1">AP$14*(AO$133/AO$14+MIN(ABS(OFFSET(Assumptions!$B$33,0,$C$1)-AO$133/AO$14),OFFSET(Assumptions!$B$31,0,$C$1))*SIGN(OFFSET(Assumptions!$B$33,0,$C$1)-AO$133/AO$14))</f>
        <v>46.81672937411323</v>
      </c>
      <c r="AQ133" s="7">
        <f ca="1">AQ$14*(AP$133/AP$14+MIN(ABS(OFFSET(Assumptions!$B$33,0,$C$1)-AP$133/AP$14),OFFSET(Assumptions!$B$31,0,$C$1))*SIGN(OFFSET(Assumptions!$B$33,0,$C$1)-AP$133/AP$14))</f>
        <v>48.623494723308461</v>
      </c>
      <c r="AR133" s="7">
        <f ca="1">AR$14*(AQ$133/AQ$14+MIN(ABS(OFFSET(Assumptions!$B$33,0,$C$1)-AQ$133/AQ$14),OFFSET(Assumptions!$B$31,0,$C$1))*SIGN(OFFSET(Assumptions!$B$33,0,$C$1)-AQ$133/AQ$14))</f>
        <v>50.484259268255776</v>
      </c>
      <c r="AS133" s="7">
        <f ca="1">AS$14*(AR$133/AR$14+MIN(ABS(OFFSET(Assumptions!$B$33,0,$C$1)-AR$133/AR$14),OFFSET(Assumptions!$B$31,0,$C$1))*SIGN(OFFSET(Assumptions!$B$33,0,$C$1)-AR$133/AR$14))</f>
        <v>52.403364118966856</v>
      </c>
      <c r="AT133" s="7">
        <f ca="1">AT$14*(AS$133/AS$14+MIN(ABS(OFFSET(Assumptions!$B$33,0,$C$1)-AS$133/AS$14),OFFSET(Assumptions!$B$31,0,$C$1))*SIGN(OFFSET(Assumptions!$B$33,0,$C$1)-AS$133/AS$14))</f>
        <v>54.382342001656191</v>
      </c>
      <c r="AU133" s="7">
        <f ca="1">AU$14*(AT$133/AT$14+MIN(ABS(OFFSET(Assumptions!$B$33,0,$C$1)-AT$133/AT$14),OFFSET(Assumptions!$B$31,0,$C$1))*SIGN(OFFSET(Assumptions!$B$33,0,$C$1)-AT$133/AT$14))</f>
        <v>56.423824515111633</v>
      </c>
      <c r="AV133" s="7">
        <f ca="1">AV$14*(AU$133/AU$14+MIN(ABS(OFFSET(Assumptions!$B$33,0,$C$1)-AU$133/AU$14),OFFSET(Assumptions!$B$31,0,$C$1))*SIGN(OFFSET(Assumptions!$B$33,0,$C$1)-AU$133/AU$14))</f>
        <v>58.534123715165535</v>
      </c>
      <c r="AW133" s="7">
        <f ca="1">AW$14*(AV$133/AV$14+MIN(ABS(OFFSET(Assumptions!$B$33,0,$C$1)-AV$133/AV$14),OFFSET(Assumptions!$B$31,0,$C$1))*SIGN(OFFSET(Assumptions!$B$33,0,$C$1)-AV$133/AV$14))</f>
        <v>60.712048219367077</v>
      </c>
    </row>
    <row r="134" spans="1:49" x14ac:dyDescent="0.2">
      <c r="A134" s="1" t="s">
        <v>450</v>
      </c>
      <c r="B134" s="4" t="str">
        <f t="shared" si="125"/>
        <v>From Fiscal</v>
      </c>
      <c r="D134" s="18">
        <f>Fiscal!D$210</f>
        <v>17.169</v>
      </c>
      <c r="E134" s="19">
        <f>Fiscal!E$210</f>
        <v>18.129000000000001</v>
      </c>
      <c r="F134" s="19">
        <f>Fiscal!F$210</f>
        <v>19.053999999999998</v>
      </c>
      <c r="G134" s="19">
        <f>Fiscal!G$210</f>
        <v>20.164000000000001</v>
      </c>
      <c r="H134" s="19">
        <f>Fiscal!H$210</f>
        <v>21.190999999999999</v>
      </c>
      <c r="I134" s="19">
        <f>Fiscal!I$210</f>
        <v>21.902999999999999</v>
      </c>
      <c r="J134" s="7">
        <f ca="1">J$14*(I$134/I$14+MIN(ABS(OFFSET(Assumptions!$B$34,0,$C$1)-I$134/I$14),OFFSET(Assumptions!$B$31,0,$C$1))*SIGN(OFFSET(Assumptions!$B$34,0,$C$1)-I$134/I$14))</f>
        <v>22.981828351644133</v>
      </c>
      <c r="K134" s="7">
        <f ca="1">K$14*(J$134/J$14+MIN(ABS(OFFSET(Assumptions!$B$34,0,$C$1)-J$134/J$14),OFFSET(Assumptions!$B$31,0,$C$1))*SIGN(OFFSET(Assumptions!$B$34,0,$C$1)-J$134/J$14))</f>
        <v>24.03720321738426</v>
      </c>
      <c r="L134" s="7">
        <f ca="1">L$14*(K$134/K$14+MIN(ABS(OFFSET(Assumptions!$B$34,0,$C$1)-K$134/K$14),OFFSET(Assumptions!$B$31,0,$C$1))*SIGN(OFFSET(Assumptions!$B$34,0,$C$1)-K$134/K$14))</f>
        <v>25.079102769280304</v>
      </c>
      <c r="M134" s="7">
        <f ca="1">M$14*(L$134/L$14+MIN(ABS(OFFSET(Assumptions!$B$34,0,$C$1)-L$134/L$14),OFFSET(Assumptions!$B$31,0,$C$1))*SIGN(OFFSET(Assumptions!$B$34,0,$C$1)-L$134/L$14))</f>
        <v>26.16268186178684</v>
      </c>
      <c r="N134" s="7">
        <f ca="1">N$14*(M$134/M$14+MIN(ABS(OFFSET(Assumptions!$B$34,0,$C$1)-M$134/M$14),OFFSET(Assumptions!$B$31,0,$C$1))*SIGN(OFFSET(Assumptions!$B$34,0,$C$1)-M$134/M$14))</f>
        <v>27.291012309371364</v>
      </c>
      <c r="O134" s="7">
        <f ca="1">O$14*(N$134/N$14+MIN(ABS(OFFSET(Assumptions!$B$34,0,$C$1)-N$134/N$14),OFFSET(Assumptions!$B$31,0,$C$1))*SIGN(OFFSET(Assumptions!$B$34,0,$C$1)-N$134/N$14))</f>
        <v>28.45597646739861</v>
      </c>
      <c r="P134" s="7">
        <f ca="1">P$14*(O$134/O$14+MIN(ABS(OFFSET(Assumptions!$B$34,0,$C$1)-O$134/O$14),OFFSET(Assumptions!$B$31,0,$C$1))*SIGN(OFFSET(Assumptions!$B$34,0,$C$1)-O$134/O$14))</f>
        <v>29.659348445406071</v>
      </c>
      <c r="Q134" s="7">
        <f ca="1">Q$14*(P$134/P$14+MIN(ABS(OFFSET(Assumptions!$B$34,0,$C$1)-P$134/P$14),OFFSET(Assumptions!$B$31,0,$C$1))*SIGN(OFFSET(Assumptions!$B$34,0,$C$1)-P$134/P$14))</f>
        <v>30.899828380695826</v>
      </c>
      <c r="R134" s="7">
        <f ca="1">R$14*(Q$134/Q$14+MIN(ABS(OFFSET(Assumptions!$B$34,0,$C$1)-Q$134/Q$14),OFFSET(Assumptions!$B$31,0,$C$1))*SIGN(OFFSET(Assumptions!$B$34,0,$C$1)-Q$134/Q$14))</f>
        <v>32.176495567343437</v>
      </c>
      <c r="S134" s="7">
        <f ca="1">S$14*(R$134/R$14+MIN(ABS(OFFSET(Assumptions!$B$34,0,$C$1)-R$134/R$14),OFFSET(Assumptions!$B$31,0,$C$1))*SIGN(OFFSET(Assumptions!$B$34,0,$C$1)-R$134/R$14))</f>
        <v>33.493407201609223</v>
      </c>
      <c r="T134" s="7">
        <f ca="1">T$14*(S$134/S$14+MIN(ABS(OFFSET(Assumptions!$B$34,0,$C$1)-S$134/S$14),OFFSET(Assumptions!$B$31,0,$C$1))*SIGN(OFFSET(Assumptions!$B$34,0,$C$1)-S$134/S$14))</f>
        <v>34.851043516579885</v>
      </c>
      <c r="U134" s="7">
        <f ca="1">U$14*(T$134/T$14+MIN(ABS(OFFSET(Assumptions!$B$34,0,$C$1)-T$134/T$14),OFFSET(Assumptions!$B$31,0,$C$1))*SIGN(OFFSET(Assumptions!$B$34,0,$C$1)-T$134/T$14))</f>
        <v>36.254277033203003</v>
      </c>
      <c r="V134" s="7">
        <f ca="1">V$14*(U$134/U$14+MIN(ABS(OFFSET(Assumptions!$B$34,0,$C$1)-U$134/U$14),OFFSET(Assumptions!$B$31,0,$C$1))*SIGN(OFFSET(Assumptions!$B$34,0,$C$1)-U$134/U$14))</f>
        <v>37.706571641429306</v>
      </c>
      <c r="W134" s="7">
        <f ca="1">W$14*(V$134/V$14+MIN(ABS(OFFSET(Assumptions!$B$34,0,$C$1)-V$134/V$14),OFFSET(Assumptions!$B$31,0,$C$1))*SIGN(OFFSET(Assumptions!$B$34,0,$C$1)-V$134/V$14))</f>
        <v>39.212135005061775</v>
      </c>
      <c r="X134" s="7">
        <f ca="1">X$14*(W$134/W$14+MIN(ABS(OFFSET(Assumptions!$B$34,0,$C$1)-W$134/W$14),OFFSET(Assumptions!$B$31,0,$C$1))*SIGN(OFFSET(Assumptions!$B$34,0,$C$1)-W$134/W$14))</f>
        <v>40.775735931811887</v>
      </c>
      <c r="Y134" s="7">
        <f ca="1">Y$14*(X$134/X$14+MIN(ABS(OFFSET(Assumptions!$B$34,0,$C$1)-X$134/X$14),OFFSET(Assumptions!$B$31,0,$C$1))*SIGN(OFFSET(Assumptions!$B$34,0,$C$1)-X$134/X$14))</f>
        <v>42.397214569892846</v>
      </c>
      <c r="Z134" s="7">
        <f ca="1">Z$14*(Y$134/Y$14+MIN(ABS(OFFSET(Assumptions!$B$34,0,$C$1)-Y$134/Y$14),OFFSET(Assumptions!$B$31,0,$C$1))*SIGN(OFFSET(Assumptions!$B$34,0,$C$1)-Y$134/Y$14))</f>
        <v>44.084778264319098</v>
      </c>
      <c r="AA134" s="7">
        <f ca="1">AA$14*(Z$134/Z$14+MIN(ABS(OFFSET(Assumptions!$B$34,0,$C$1)-Z$134/Z$14),OFFSET(Assumptions!$B$31,0,$C$1))*SIGN(OFFSET(Assumptions!$B$34,0,$C$1)-Z$134/Z$14))</f>
        <v>45.841157498967796</v>
      </c>
      <c r="AB134" s="7">
        <f ca="1">AB$14*(AA$134/AA$14+MIN(ABS(OFFSET(Assumptions!$B$34,0,$C$1)-AA$134/AA$14),OFFSET(Assumptions!$B$31,0,$C$1))*SIGN(OFFSET(Assumptions!$B$34,0,$C$1)-AA$134/AA$14))</f>
        <v>47.671626842884407</v>
      </c>
      <c r="AC134" s="7">
        <f ca="1">AC$14*(AB$134/AB$14+MIN(ABS(OFFSET(Assumptions!$B$34,0,$C$1)-AB$134/AB$14),OFFSET(Assumptions!$B$31,0,$C$1))*SIGN(OFFSET(Assumptions!$B$34,0,$C$1)-AB$134/AB$14))</f>
        <v>49.583096566241295</v>
      </c>
      <c r="AD134" s="7">
        <f ca="1">AD$14*(AC$134/AC$14+MIN(ABS(OFFSET(Assumptions!$B$34,0,$C$1)-AC$134/AC$14),OFFSET(Assumptions!$B$31,0,$C$1))*SIGN(OFFSET(Assumptions!$B$34,0,$C$1)-AC$134/AC$14))</f>
        <v>51.577581381706196</v>
      </c>
      <c r="AE134" s="7">
        <f ca="1">AE$14*(AD$134/AD$14+MIN(ABS(OFFSET(Assumptions!$B$34,0,$C$1)-AD$134/AD$14),OFFSET(Assumptions!$B$31,0,$C$1))*SIGN(OFFSET(Assumptions!$B$34,0,$C$1)-AD$134/AD$14))</f>
        <v>53.653249620813767</v>
      </c>
      <c r="AF134" s="7">
        <f ca="1">AF$14*(AE$134/AE$14+MIN(ABS(OFFSET(Assumptions!$B$34,0,$C$1)-AE$134/AE$14),OFFSET(Assumptions!$B$31,0,$C$1))*SIGN(OFFSET(Assumptions!$B$34,0,$C$1)-AE$134/AE$14))</f>
        <v>55.815843826482002</v>
      </c>
      <c r="AG134" s="7">
        <f ca="1">AG$14*(AF$134/AF$14+MIN(ABS(OFFSET(Assumptions!$B$34,0,$C$1)-AF$134/AF$14),OFFSET(Assumptions!$B$31,0,$C$1))*SIGN(OFFSET(Assumptions!$B$34,0,$C$1)-AF$134/AF$14))</f>
        <v>58.066573230960955</v>
      </c>
      <c r="AH134" s="7">
        <f ca="1">AH$14*(AG$134/AG$14+MIN(ABS(OFFSET(Assumptions!$B$34,0,$C$1)-AG$134/AG$14),OFFSET(Assumptions!$B$31,0,$C$1))*SIGN(OFFSET(Assumptions!$B$34,0,$C$1)-AG$134/AG$14))</f>
        <v>60.409047035020492</v>
      </c>
      <c r="AI134" s="7">
        <f ca="1">AI$14*(AH$134/AH$14+MIN(ABS(OFFSET(Assumptions!$B$34,0,$C$1)-AH$134/AH$14),OFFSET(Assumptions!$B$31,0,$C$1))*SIGN(OFFSET(Assumptions!$B$34,0,$C$1)-AH$134/AH$14))</f>
        <v>62.839172161487433</v>
      </c>
      <c r="AJ134" s="7">
        <f ca="1">AJ$14*(AI$134/AI$14+MIN(ABS(OFFSET(Assumptions!$B$34,0,$C$1)-AI$134/AI$14),OFFSET(Assumptions!$B$31,0,$C$1))*SIGN(OFFSET(Assumptions!$B$34,0,$C$1)-AI$134/AI$14))</f>
        <v>65.364733511911581</v>
      </c>
      <c r="AK134" s="7">
        <f ca="1">AK$14*(AJ$134/AJ$14+MIN(ABS(OFFSET(Assumptions!$B$34,0,$C$1)-AJ$134/AJ$14),OFFSET(Assumptions!$B$31,0,$C$1))*SIGN(OFFSET(Assumptions!$B$34,0,$C$1)-AJ$134/AJ$14))</f>
        <v>67.983653481729746</v>
      </c>
      <c r="AL134" s="7">
        <f ca="1">AL$14*(AK$134/AK$14+MIN(ABS(OFFSET(Assumptions!$B$34,0,$C$1)-AK$134/AK$14),OFFSET(Assumptions!$B$31,0,$C$1))*SIGN(OFFSET(Assumptions!$B$34,0,$C$1)-AK$134/AK$14))</f>
        <v>70.693869075430513</v>
      </c>
      <c r="AM134" s="7">
        <f ca="1">AM$14*(AL$134/AL$14+MIN(ABS(OFFSET(Assumptions!$B$34,0,$C$1)-AL$134/AL$14),OFFSET(Assumptions!$B$31,0,$C$1))*SIGN(OFFSET(Assumptions!$B$34,0,$C$1)-AL$134/AL$14))</f>
        <v>73.499082800439879</v>
      </c>
      <c r="AN134" s="7">
        <f ca="1">AN$14*(AM$134/AM$14+MIN(ABS(OFFSET(Assumptions!$B$34,0,$C$1)-AM$134/AM$14),OFFSET(Assumptions!$B$31,0,$C$1))*SIGN(OFFSET(Assumptions!$B$34,0,$C$1)-AM$134/AM$14))</f>
        <v>76.403196681883429</v>
      </c>
      <c r="AO134" s="7">
        <f ca="1">AO$14*(AN$134/AN$14+MIN(ABS(OFFSET(Assumptions!$B$34,0,$C$1)-AN$134/AN$14),OFFSET(Assumptions!$B$31,0,$C$1))*SIGN(OFFSET(Assumptions!$B$34,0,$C$1)-AN$134/AN$14))</f>
        <v>79.394807268837837</v>
      </c>
      <c r="AP134" s="7">
        <f ca="1">AP$14*(AO$134/AO$14+MIN(ABS(OFFSET(Assumptions!$B$34,0,$C$1)-AO$134/AO$14),OFFSET(Assumptions!$B$31,0,$C$1))*SIGN(OFFSET(Assumptions!$B$34,0,$C$1)-AO$134/AO$14))</f>
        <v>82.486618421056633</v>
      </c>
      <c r="AQ134" s="7">
        <f ca="1">AQ$14*(AP$134/AP$14+MIN(ABS(OFFSET(Assumptions!$B$34,0,$C$1)-AP$134/AP$14),OFFSET(Assumptions!$B$31,0,$C$1))*SIGN(OFFSET(Assumptions!$B$34,0,$C$1)-AP$134/AP$14))</f>
        <v>85.669966893448233</v>
      </c>
      <c r="AR134" s="7">
        <f ca="1">AR$14*(AQ$134/AQ$14+MIN(ABS(OFFSET(Assumptions!$B$34,0,$C$1)-AQ$134/AQ$14),OFFSET(Assumptions!$B$31,0,$C$1))*SIGN(OFFSET(Assumptions!$B$34,0,$C$1)-AQ$134/AQ$14))</f>
        <v>88.948456805974445</v>
      </c>
      <c r="AS134" s="7">
        <f ca="1">AS$14*(AR$134/AR$14+MIN(ABS(OFFSET(Assumptions!$B$34,0,$C$1)-AR$134/AR$14),OFFSET(Assumptions!$B$31,0,$C$1))*SIGN(OFFSET(Assumptions!$B$34,0,$C$1)-AR$134/AR$14))</f>
        <v>92.329736781036829</v>
      </c>
      <c r="AT134" s="7">
        <f ca="1">AT$14*(AS$134/AS$14+MIN(ABS(OFFSET(Assumptions!$B$34,0,$C$1)-AS$134/AS$14),OFFSET(Assumptions!$B$31,0,$C$1))*SIGN(OFFSET(Assumptions!$B$34,0,$C$1)-AS$134/AS$14))</f>
        <v>95.816507336251377</v>
      </c>
      <c r="AU134" s="7">
        <f ca="1">AU$14*(AT$134/AT$14+MIN(ABS(OFFSET(Assumptions!$B$34,0,$C$1)-AT$134/AT$14),OFFSET(Assumptions!$B$31,0,$C$1))*SIGN(OFFSET(Assumptions!$B$34,0,$C$1)-AT$134/AT$14))</f>
        <v>99.413405098053815</v>
      </c>
      <c r="AV134" s="7">
        <f ca="1">AV$14*(AU$134/AU$14+MIN(ABS(OFFSET(Assumptions!$B$34,0,$C$1)-AU$134/AU$14),OFFSET(Assumptions!$B$31,0,$C$1))*SIGN(OFFSET(Assumptions!$B$34,0,$C$1)-AU$134/AU$14))</f>
        <v>103.13155130767259</v>
      </c>
      <c r="AW134" s="7">
        <f ca="1">AW$14*(AV$134/AV$14+MIN(ABS(OFFSET(Assumptions!$B$34,0,$C$1)-AV$134/AV$14),OFFSET(Assumptions!$B$31,0,$C$1))*SIGN(OFFSET(Assumptions!$B$34,0,$C$1)-AV$134/AV$14))</f>
        <v>106.96884686269436</v>
      </c>
    </row>
    <row r="135" spans="1:49" x14ac:dyDescent="0.2">
      <c r="A135" s="1" t="s">
        <v>454</v>
      </c>
      <c r="B135" s="4" t="str">
        <f t="shared" si="125"/>
        <v>From Fiscal</v>
      </c>
      <c r="D135" s="18">
        <f>Fiscal!D$211</f>
        <v>3.2029999999999998</v>
      </c>
      <c r="E135" s="19">
        <f>Fiscal!E$211</f>
        <v>3.3769999999999998</v>
      </c>
      <c r="F135" s="19">
        <f>Fiscal!F$211</f>
        <v>3.4220000000000002</v>
      </c>
      <c r="G135" s="19">
        <f>Fiscal!G$211</f>
        <v>3.4870000000000001</v>
      </c>
      <c r="H135" s="19">
        <f>Fiscal!H$211</f>
        <v>3.56</v>
      </c>
      <c r="I135" s="19">
        <f>Fiscal!I$211</f>
        <v>3.617</v>
      </c>
      <c r="J135" s="7">
        <f ca="1">J$14*(I$135/I$14+MIN(ABS(OFFSET(Assumptions!$B$35,0,$C$1)-I$135/I$14),OFFSET(Assumptions!$B$31,0,$C$1))*SIGN(OFFSET(Assumptions!$B$35,0,$C$1)-I$135/I$14))</f>
        <v>3.9253085525835414</v>
      </c>
      <c r="K135" s="7">
        <f ca="1">K$14*(J$135/J$14+MIN(ABS(OFFSET(Assumptions!$B$35,0,$C$1)-J$135/J$14),OFFSET(Assumptions!$B$31,0,$C$1))*SIGN(OFFSET(Assumptions!$B$35,0,$C$1)-J$135/J$14))</f>
        <v>4.2227519165675051</v>
      </c>
      <c r="L135" s="7">
        <f ca="1">L$14*(K$135/K$14+MIN(ABS(OFFSET(Assumptions!$B$35,0,$C$1)-K$135/K$14),OFFSET(Assumptions!$B$31,0,$C$1))*SIGN(OFFSET(Assumptions!$B$35,0,$C$1)-K$135/K$14))</f>
        <v>4.4057883243330265</v>
      </c>
      <c r="M135" s="7">
        <f ca="1">M$14*(L$135/L$14+MIN(ABS(OFFSET(Assumptions!$B$35,0,$C$1)-L$135/L$14),OFFSET(Assumptions!$B$31,0,$C$1))*SIGN(OFFSET(Assumptions!$B$35,0,$C$1)-L$135/L$14))</f>
        <v>4.596146813557147</v>
      </c>
      <c r="N135" s="7">
        <f ca="1">N$14*(M$135/M$14+MIN(ABS(OFFSET(Assumptions!$B$35,0,$C$1)-M$135/M$14),OFFSET(Assumptions!$B$31,0,$C$1))*SIGN(OFFSET(Assumptions!$B$35,0,$C$1)-M$135/M$14))</f>
        <v>4.7943670273219965</v>
      </c>
      <c r="O135" s="7">
        <f ca="1">O$14*(N$135/N$14+MIN(ABS(OFFSET(Assumptions!$B$35,0,$C$1)-N$135/N$14),OFFSET(Assumptions!$B$31,0,$C$1))*SIGN(OFFSET(Assumptions!$B$35,0,$C$1)-N$135/N$14))</f>
        <v>4.9990228929213778</v>
      </c>
      <c r="P135" s="7">
        <f ca="1">P$14*(O$135/O$14+MIN(ABS(OFFSET(Assumptions!$B$35,0,$C$1)-O$135/O$14),OFFSET(Assumptions!$B$31,0,$C$1))*SIGN(OFFSET(Assumptions!$B$35,0,$C$1)-O$135/O$14))</f>
        <v>5.2104260782470124</v>
      </c>
      <c r="Q135" s="7">
        <f ca="1">Q$14*(P$135/P$14+MIN(ABS(OFFSET(Assumptions!$B$35,0,$C$1)-P$135/P$14),OFFSET(Assumptions!$B$31,0,$C$1))*SIGN(OFFSET(Assumptions!$B$35,0,$C$1)-P$135/P$14))</f>
        <v>5.4283482290411591</v>
      </c>
      <c r="R135" s="7">
        <f ca="1">R$14*(Q$135/Q$14+MIN(ABS(OFFSET(Assumptions!$B$35,0,$C$1)-Q$135/Q$14),OFFSET(Assumptions!$B$31,0,$C$1))*SIGN(OFFSET(Assumptions!$B$35,0,$C$1)-Q$135/Q$14))</f>
        <v>5.6526275996684419</v>
      </c>
      <c r="S135" s="7">
        <f ca="1">S$14*(R$135/R$14+MIN(ABS(OFFSET(Assumptions!$B$35,0,$C$1)-R$135/R$14),OFFSET(Assumptions!$B$31,0,$C$1))*SIGN(OFFSET(Assumptions!$B$35,0,$C$1)-R$135/R$14))</f>
        <v>5.8839769408232421</v>
      </c>
      <c r="T135" s="7">
        <f ca="1">T$14*(S$135/S$14+MIN(ABS(OFFSET(Assumptions!$B$35,0,$C$1)-S$135/S$14),OFFSET(Assumptions!$B$31,0,$C$1))*SIGN(OFFSET(Assumptions!$B$35,0,$C$1)-S$135/S$14))</f>
        <v>6.1224806177775477</v>
      </c>
      <c r="U135" s="7">
        <f ca="1">U$14*(T$135/T$14+MIN(ABS(OFFSET(Assumptions!$B$35,0,$C$1)-T$135/T$14),OFFSET(Assumptions!$B$31,0,$C$1))*SIGN(OFFSET(Assumptions!$B$35,0,$C$1)-T$135/T$14))</f>
        <v>6.3689946139410685</v>
      </c>
      <c r="V135" s="7">
        <f ca="1">V$14*(U$135/U$14+MIN(ABS(OFFSET(Assumptions!$B$35,0,$C$1)-U$135/U$14),OFFSET(Assumptions!$B$31,0,$C$1))*SIGN(OFFSET(Assumptions!$B$35,0,$C$1)-U$135/U$14))</f>
        <v>6.6241274505213639</v>
      </c>
      <c r="W135" s="7">
        <f ca="1">W$14*(V$135/V$14+MIN(ABS(OFFSET(Assumptions!$B$35,0,$C$1)-V$135/V$14),OFFSET(Assumptions!$B$31,0,$C$1))*SIGN(OFFSET(Assumptions!$B$35,0,$C$1)-V$135/V$14))</f>
        <v>6.888618311700041</v>
      </c>
      <c r="X135" s="7">
        <f ca="1">X$14*(W$135/W$14+MIN(ABS(OFFSET(Assumptions!$B$35,0,$C$1)-W$135/W$14),OFFSET(Assumptions!$B$31,0,$C$1))*SIGN(OFFSET(Assumptions!$B$35,0,$C$1)-W$135/W$14))</f>
        <v>7.1633049609939805</v>
      </c>
      <c r="Y135" s="7">
        <f ca="1">Y$14*(X$135/X$14+MIN(ABS(OFFSET(Assumptions!$B$35,0,$C$1)-X$135/X$14),OFFSET(Assumptions!$B$31,0,$C$1))*SIGN(OFFSET(Assumptions!$B$35,0,$C$1)-X$135/X$14))</f>
        <v>7.4481593163325268</v>
      </c>
      <c r="Z135" s="7">
        <f ca="1">Z$14*(Y$135/Y$14+MIN(ABS(OFFSET(Assumptions!$B$35,0,$C$1)-Y$135/Y$14),OFFSET(Assumptions!$B$31,0,$C$1))*SIGN(OFFSET(Assumptions!$B$35,0,$C$1)-Y$135/Y$14))</f>
        <v>7.7446232085965985</v>
      </c>
      <c r="AA135" s="7">
        <f ca="1">AA$14*(Z$135/Z$14+MIN(ABS(OFFSET(Assumptions!$B$35,0,$C$1)-Z$135/Z$14),OFFSET(Assumptions!$B$31,0,$C$1))*SIGN(OFFSET(Assumptions!$B$35,0,$C$1)-Z$135/Z$14))</f>
        <v>8.0531763173862334</v>
      </c>
      <c r="AB135" s="7">
        <f ca="1">AB$14*(AA$135/AA$14+MIN(ABS(OFFSET(Assumptions!$B$35,0,$C$1)-AA$135/AA$14),OFFSET(Assumptions!$B$31,0,$C$1))*SIGN(OFFSET(Assumptions!$B$35,0,$C$1)-AA$135/AA$14))</f>
        <v>8.3747452561823952</v>
      </c>
      <c r="AC135" s="7">
        <f ca="1">AC$14*(AB$135/AB$14+MIN(ABS(OFFSET(Assumptions!$B$35,0,$C$1)-AB$135/AB$14),OFFSET(Assumptions!$B$31,0,$C$1))*SIGN(OFFSET(Assumptions!$B$35,0,$C$1)-AB$135/AB$14))</f>
        <v>8.7105439913667144</v>
      </c>
      <c r="AD135" s="7">
        <f ca="1">AD$14*(AC$135/AC$14+MIN(ABS(OFFSET(Assumptions!$B$35,0,$C$1)-AC$135/AC$14),OFFSET(Assumptions!$B$31,0,$C$1))*SIGN(OFFSET(Assumptions!$B$35,0,$C$1)-AC$135/AC$14))</f>
        <v>9.0609264589483853</v>
      </c>
      <c r="AE135" s="7">
        <f ca="1">AE$14*(AD$135/AD$14+MIN(ABS(OFFSET(Assumptions!$B$35,0,$C$1)-AD$135/AD$14),OFFSET(Assumptions!$B$31,0,$C$1))*SIGN(OFFSET(Assumptions!$B$35,0,$C$1)-AD$135/AD$14))</f>
        <v>9.4255708793321489</v>
      </c>
      <c r="AF135" s="7">
        <f ca="1">AF$14*(AE$135/AE$14+MIN(ABS(OFFSET(Assumptions!$B$35,0,$C$1)-AE$135/AE$14),OFFSET(Assumptions!$B$31,0,$C$1))*SIGN(OFFSET(Assumptions!$B$35,0,$C$1)-AE$135/AE$14))</f>
        <v>9.8054860776252166</v>
      </c>
      <c r="AG135" s="7">
        <f ca="1">AG$14*(AF$135/AF$14+MIN(ABS(OFFSET(Assumptions!$B$35,0,$C$1)-AF$135/AF$14),OFFSET(Assumptions!$B$31,0,$C$1))*SIGN(OFFSET(Assumptions!$B$35,0,$C$1)-AF$135/AF$14))</f>
        <v>10.200884486520168</v>
      </c>
      <c r="AH135" s="7">
        <f ca="1">AH$14*(AG$135/AG$14+MIN(ABS(OFFSET(Assumptions!$B$35,0,$C$1)-AG$135/AG$14),OFFSET(Assumptions!$B$31,0,$C$1))*SIGN(OFFSET(Assumptions!$B$35,0,$C$1)-AG$135/AG$14))</f>
        <v>10.612400154800897</v>
      </c>
      <c r="AI135" s="7">
        <f ca="1">AI$14*(AH$135/AH$14+MIN(ABS(OFFSET(Assumptions!$B$35,0,$C$1)-AH$135/AH$14),OFFSET(Assumptions!$B$31,0,$C$1))*SIGN(OFFSET(Assumptions!$B$35,0,$C$1)-AH$135/AH$14))</f>
        <v>11.039314028369413</v>
      </c>
      <c r="AJ135" s="7">
        <f ca="1">AJ$14*(AI$135/AI$14+MIN(ABS(OFFSET(Assumptions!$B$35,0,$C$1)-AI$135/AI$14),OFFSET(Assumptions!$B$31,0,$C$1))*SIGN(OFFSET(Assumptions!$B$35,0,$C$1)-AI$135/AI$14))</f>
        <v>11.482993725065548</v>
      </c>
      <c r="AK135" s="7">
        <f ca="1">AK$14*(AJ$135/AJ$14+MIN(ABS(OFFSET(Assumptions!$B$35,0,$C$1)-AJ$135/AJ$14),OFFSET(Assumptions!$B$31,0,$C$1))*SIGN(OFFSET(Assumptions!$B$35,0,$C$1)-AJ$135/AJ$14))</f>
        <v>11.943074260303876</v>
      </c>
      <c r="AL135" s="7">
        <f ca="1">AL$14*(AK$135/AK$14+MIN(ABS(OFFSET(Assumptions!$B$35,0,$C$1)-AK$135/AK$14),OFFSET(Assumptions!$B$31,0,$C$1))*SIGN(OFFSET(Assumptions!$B$35,0,$C$1)-AK$135/AK$14))</f>
        <v>12.419193215954008</v>
      </c>
      <c r="AM135" s="7">
        <f ca="1">AM$14*(AL$135/AL$14+MIN(ABS(OFFSET(Assumptions!$B$35,0,$C$1)-AL$135/AL$14),OFFSET(Assumptions!$B$31,0,$C$1))*SIGN(OFFSET(Assumptions!$B$35,0,$C$1)-AL$135/AL$14))</f>
        <v>12.912001032509709</v>
      </c>
      <c r="AN135" s="7">
        <f ca="1">AN$14*(AM$135/AM$14+MIN(ABS(OFFSET(Assumptions!$B$35,0,$C$1)-AM$135/AM$14),OFFSET(Assumptions!$B$31,0,$C$1))*SIGN(OFFSET(Assumptions!$B$35,0,$C$1)-AM$135/AM$14))</f>
        <v>13.422183200871412</v>
      </c>
      <c r="AO135" s="7">
        <f ca="1">AO$14*(AN$135/AN$14+MIN(ABS(OFFSET(Assumptions!$B$35,0,$C$1)-AN$135/AN$14),OFFSET(Assumptions!$B$31,0,$C$1))*SIGN(OFFSET(Assumptions!$B$35,0,$C$1)-AN$135/AN$14))</f>
        <v>13.947736412093132</v>
      </c>
      <c r="AP135" s="7">
        <f ca="1">AP$14*(AO$135/AO$14+MIN(ABS(OFFSET(Assumptions!$B$35,0,$C$1)-AO$135/AO$14),OFFSET(Assumptions!$B$31,0,$C$1))*SIGN(OFFSET(Assumptions!$B$35,0,$C$1)-AO$135/AO$14))</f>
        <v>14.49089242532076</v>
      </c>
      <c r="AQ135" s="7">
        <f ca="1">AQ$14*(AP$135/AP$14+MIN(ABS(OFFSET(Assumptions!$B$35,0,$C$1)-AP$135/AP$14),OFFSET(Assumptions!$B$31,0,$C$1))*SIGN(OFFSET(Assumptions!$B$35,0,$C$1)-AP$135/AP$14))</f>
        <v>15.050129319119284</v>
      </c>
      <c r="AR135" s="7">
        <f ca="1">AR$14*(AQ$135/AQ$14+MIN(ABS(OFFSET(Assumptions!$B$35,0,$C$1)-AQ$135/AQ$14),OFFSET(Assumptions!$B$31,0,$C$1))*SIGN(OFFSET(Assumptions!$B$35,0,$C$1)-AQ$135/AQ$14))</f>
        <v>15.626080249698214</v>
      </c>
      <c r="AS135" s="7">
        <f ca="1">AS$14*(AR$135/AR$14+MIN(ABS(OFFSET(Assumptions!$B$35,0,$C$1)-AR$135/AR$14),OFFSET(Assumptions!$B$31,0,$C$1))*SIGN(OFFSET(Assumptions!$B$35,0,$C$1)-AR$135/AR$14))</f>
        <v>16.220088893965929</v>
      </c>
      <c r="AT135" s="7">
        <f ca="1">AT$14*(AS$135/AS$14+MIN(ABS(OFFSET(Assumptions!$B$35,0,$C$1)-AS$135/AS$14),OFFSET(Assumptions!$B$31,0,$C$1))*SIGN(OFFSET(Assumptions!$B$35,0,$C$1)-AS$135/AS$14))</f>
        <v>16.832629667179297</v>
      </c>
      <c r="AU135" s="7">
        <f ca="1">AU$14*(AT$135/AT$14+MIN(ABS(OFFSET(Assumptions!$B$35,0,$C$1)-AT$135/AT$14),OFFSET(Assumptions!$B$31,0,$C$1))*SIGN(OFFSET(Assumptions!$B$35,0,$C$1)-AT$135/AT$14))</f>
        <v>17.464517111820268</v>
      </c>
      <c r="AV135" s="7">
        <f ca="1">AV$14*(AU$135/AU$14+MIN(ABS(OFFSET(Assumptions!$B$35,0,$C$1)-AU$135/AU$14),OFFSET(Assumptions!$B$31,0,$C$1))*SIGN(OFFSET(Assumptions!$B$35,0,$C$1)-AU$135/AU$14))</f>
        <v>18.117704959455995</v>
      </c>
      <c r="AW135" s="7">
        <f ca="1">AW$14*(AV$135/AV$14+MIN(ABS(OFFSET(Assumptions!$B$35,0,$C$1)-AV$135/AV$14),OFFSET(Assumptions!$B$31,0,$C$1))*SIGN(OFFSET(Assumptions!$B$35,0,$C$1)-AV$135/AV$14))</f>
        <v>18.791824448851713</v>
      </c>
    </row>
    <row r="136" spans="1:49" x14ac:dyDescent="0.2">
      <c r="A136" s="1" t="s">
        <v>276</v>
      </c>
      <c r="B136" s="4" t="str">
        <f t="shared" si="125"/>
        <v>From Fiscal</v>
      </c>
      <c r="D136" s="18">
        <f>Fiscal!D$212</f>
        <v>10.078000000000001</v>
      </c>
      <c r="E136" s="19">
        <f>Fiscal!E$212</f>
        <v>9.8940000000000019</v>
      </c>
      <c r="F136" s="19">
        <f>Fiscal!F$212</f>
        <v>10.023</v>
      </c>
      <c r="G136" s="19">
        <f>Fiscal!G$212</f>
        <v>10.567</v>
      </c>
      <c r="H136" s="19">
        <f>Fiscal!H$212</f>
        <v>11.61</v>
      </c>
      <c r="I136" s="19">
        <f>Fiscal!I$212</f>
        <v>12.727999999999998</v>
      </c>
      <c r="J136" s="7">
        <f ca="1">J$14*(I$136/I$14+MIN(ABS(OFFSET(Assumptions!$B$36,0,$C$1)-I$136/I$14),OFFSET(Assumptions!$B$31,0,$C$1))*SIGN(OFFSET(Assumptions!$B$36,0,$C$1)-I$136/I$14))</f>
        <v>13.420220063534053</v>
      </c>
      <c r="K136" s="7">
        <f ca="1">K$14*(J$136/J$14+MIN(ABS(OFFSET(Assumptions!$B$36,0,$C$1)-J$136/J$14),OFFSET(Assumptions!$B$31,0,$C$1))*SIGN(OFFSET(Assumptions!$B$36,0,$C$1)-J$136/J$14))</f>
        <v>14.143467243606207</v>
      </c>
      <c r="L136" s="7">
        <f ca="1">L$14*(K$136/K$14+MIN(ABS(OFFSET(Assumptions!$B$36,0,$C$1)-K$136/K$14),OFFSET(Assumptions!$B$31,0,$C$1))*SIGN(OFFSET(Assumptions!$B$36,0,$C$1)-K$136/K$14))</f>
        <v>14.911898943896396</v>
      </c>
      <c r="M136" s="7">
        <f ca="1">M$14*(L$136/L$14+MIN(ABS(OFFSET(Assumptions!$B$36,0,$C$1)-L$136/L$14),OFFSET(Assumptions!$B$31,0,$C$1))*SIGN(OFFSET(Assumptions!$B$36,0,$C$1)-L$136/L$14))</f>
        <v>15.556189215116499</v>
      </c>
      <c r="N136" s="7">
        <f ca="1">N$14*(M$136/M$14+MIN(ABS(OFFSET(Assumptions!$B$36,0,$C$1)-M$136/M$14),OFFSET(Assumptions!$B$31,0,$C$1))*SIGN(OFFSET(Assumptions!$B$36,0,$C$1)-M$136/M$14))</f>
        <v>16.227088400166757</v>
      </c>
      <c r="O136" s="7">
        <f ca="1">O$14*(N$136/N$14+MIN(ABS(OFFSET(Assumptions!$B$36,0,$C$1)-N$136/N$14),OFFSET(Assumptions!$B$31,0,$C$1))*SIGN(OFFSET(Assumptions!$B$36,0,$C$1)-N$136/N$14))</f>
        <v>16.919769791426202</v>
      </c>
      <c r="P136" s="7">
        <f ca="1">P$14*(O$136/O$14+MIN(ABS(OFFSET(Assumptions!$B$36,0,$C$1)-O$136/O$14),OFFSET(Assumptions!$B$31,0,$C$1))*SIGN(OFFSET(Assumptions!$B$36,0,$C$1)-O$136/O$14))</f>
        <v>17.635288264836042</v>
      </c>
      <c r="Q136" s="7">
        <f ca="1">Q$14*(P$136/P$14+MIN(ABS(OFFSET(Assumptions!$B$36,0,$C$1)-P$136/P$14),OFFSET(Assumptions!$B$31,0,$C$1))*SIGN(OFFSET(Assumptions!$B$36,0,$C$1)-P$136/P$14))</f>
        <v>18.372870929062383</v>
      </c>
      <c r="R136" s="7">
        <f ca="1">R$14*(Q$136/Q$14+MIN(ABS(OFFSET(Assumptions!$B$36,0,$C$1)-Q$136/Q$14),OFFSET(Assumptions!$B$31,0,$C$1))*SIGN(OFFSET(Assumptions!$B$36,0,$C$1)-Q$136/Q$14))</f>
        <v>19.131970337339343</v>
      </c>
      <c r="S136" s="7">
        <f ca="1">S$14*(R$136/R$14+MIN(ABS(OFFSET(Assumptions!$B$36,0,$C$1)-R$136/R$14),OFFSET(Assumptions!$B$31,0,$C$1))*SIGN(OFFSET(Assumptions!$B$36,0,$C$1)-R$136/R$14))</f>
        <v>19.914998876632513</v>
      </c>
      <c r="T136" s="7">
        <f ca="1">T$14*(S$136/S$14+MIN(ABS(OFFSET(Assumptions!$B$36,0,$C$1)-S$136/S$14),OFFSET(Assumptions!$B$31,0,$C$1))*SIGN(OFFSET(Assumptions!$B$36,0,$C$1)-S$136/S$14))</f>
        <v>20.722242090939393</v>
      </c>
      <c r="U136" s="7">
        <f ca="1">U$14*(T$136/T$14+MIN(ABS(OFFSET(Assumptions!$B$36,0,$C$1)-T$136/T$14),OFFSET(Assumptions!$B$31,0,$C$1))*SIGN(OFFSET(Assumptions!$B$36,0,$C$1)-T$136/T$14))</f>
        <v>21.556597154877462</v>
      </c>
      <c r="V136" s="7">
        <f ca="1">V$14*(U$136/U$14+MIN(ABS(OFFSET(Assumptions!$B$36,0,$C$1)-U$136/U$14),OFFSET(Assumptions!$B$31,0,$C$1))*SIGN(OFFSET(Assumptions!$B$36,0,$C$1)-U$136/U$14))</f>
        <v>22.420123678687695</v>
      </c>
      <c r="W136" s="7">
        <f ca="1">W$14*(V$136/V$14+MIN(ABS(OFFSET(Assumptions!$B$36,0,$C$1)-V$136/V$14),OFFSET(Assumptions!$B$31,0,$C$1))*SIGN(OFFSET(Assumptions!$B$36,0,$C$1)-V$136/V$14))</f>
        <v>23.315323516523215</v>
      </c>
      <c r="X136" s="7">
        <f ca="1">X$14*(W$136/W$14+MIN(ABS(OFFSET(Assumptions!$B$36,0,$C$1)-W$136/W$14),OFFSET(Assumptions!$B$31,0,$C$1))*SIGN(OFFSET(Assumptions!$B$36,0,$C$1)-W$136/W$14))</f>
        <v>24.245032175671934</v>
      </c>
      <c r="Y136" s="7">
        <f ca="1">Y$14*(X$136/X$14+MIN(ABS(OFFSET(Assumptions!$B$36,0,$C$1)-X$136/X$14),OFFSET(Assumptions!$B$31,0,$C$1))*SIGN(OFFSET(Assumptions!$B$36,0,$C$1)-X$136/X$14))</f>
        <v>25.209154609125473</v>
      </c>
      <c r="Z136" s="7">
        <f ca="1">Z$14*(Y$136/Y$14+MIN(ABS(OFFSET(Assumptions!$B$36,0,$C$1)-Y$136/Y$14),OFFSET(Assumptions!$B$31,0,$C$1))*SIGN(OFFSET(Assumptions!$B$36,0,$C$1)-Y$136/Y$14))</f>
        <v>26.212570859865409</v>
      </c>
      <c r="AA136" s="7">
        <f ca="1">AA$14*(Z$136/Z$14+MIN(ABS(OFFSET(Assumptions!$B$36,0,$C$1)-Z$136/Z$14),OFFSET(Assumptions!$B$31,0,$C$1))*SIGN(OFFSET(Assumptions!$B$36,0,$C$1)-Z$136/Z$14))</f>
        <v>27.256904458845714</v>
      </c>
      <c r="AB136" s="7">
        <f ca="1">AB$14*(AA$136/AA$14+MIN(ABS(OFFSET(Assumptions!$B$36,0,$C$1)-AA$136/AA$14),OFFSET(Assumptions!$B$31,0,$C$1))*SIGN(OFFSET(Assumptions!$B$36,0,$C$1)-AA$136/AA$14))</f>
        <v>28.345291636309646</v>
      </c>
      <c r="AC136" s="7">
        <f ca="1">AC$14*(AB$136/AB$14+MIN(ABS(OFFSET(Assumptions!$B$36,0,$C$1)-AB$136/AB$14),OFFSET(Assumptions!$B$31,0,$C$1))*SIGN(OFFSET(Assumptions!$B$36,0,$C$1)-AB$136/AB$14))</f>
        <v>29.481841201548878</v>
      </c>
      <c r="AD136" s="7">
        <f ca="1">AD$14*(AC$136/AC$14+MIN(ABS(OFFSET(Assumptions!$B$36,0,$C$1)-AC$136/AC$14),OFFSET(Assumptions!$B$31,0,$C$1))*SIGN(OFFSET(Assumptions!$B$36,0,$C$1)-AC$136/AC$14))</f>
        <v>30.667751091825306</v>
      </c>
      <c r="AE136" s="7">
        <f ca="1">AE$14*(AD$136/AD$14+MIN(ABS(OFFSET(Assumptions!$B$36,0,$C$1)-AD$136/AD$14),OFFSET(Assumptions!$B$31,0,$C$1))*SIGN(OFFSET(Assumptions!$B$36,0,$C$1)-AD$136/AD$14))</f>
        <v>31.901932206970347</v>
      </c>
      <c r="AF136" s="7">
        <f ca="1">AF$14*(AE$136/AE$14+MIN(ABS(OFFSET(Assumptions!$B$36,0,$C$1)-AE$136/AE$14),OFFSET(Assumptions!$B$31,0,$C$1))*SIGN(OFFSET(Assumptions!$B$36,0,$C$1)-AE$136/AE$14))</f>
        <v>33.187799031962271</v>
      </c>
      <c r="AG136" s="7">
        <f ca="1">AG$14*(AF$136/AF$14+MIN(ABS(OFFSET(Assumptions!$B$36,0,$C$1)-AF$136/AF$14),OFFSET(Assumptions!$B$31,0,$C$1))*SIGN(OFFSET(Assumptions!$B$36,0,$C$1)-AF$136/AF$14))</f>
        <v>34.52607056976057</v>
      </c>
      <c r="AH136" s="7">
        <f ca="1">AH$14*(AG$136/AG$14+MIN(ABS(OFFSET(Assumptions!$B$36,0,$C$1)-AG$136/AG$14),OFFSET(Assumptions!$B$31,0,$C$1))*SIGN(OFFSET(Assumptions!$B$36,0,$C$1)-AG$136/AG$14))</f>
        <v>35.918892831633805</v>
      </c>
      <c r="AI136" s="7">
        <f ca="1">AI$14*(AH$136/AH$14+MIN(ABS(OFFSET(Assumptions!$B$36,0,$C$1)-AH$136/AH$14),OFFSET(Assumptions!$B$31,0,$C$1))*SIGN(OFFSET(Assumptions!$B$36,0,$C$1)-AH$136/AH$14))</f>
        <v>37.36383209601955</v>
      </c>
      <c r="AJ136" s="7">
        <f ca="1">AJ$14*(AI$136/AI$14+MIN(ABS(OFFSET(Assumptions!$B$36,0,$C$1)-AI$136/AI$14),OFFSET(Assumptions!$B$31,0,$C$1))*SIGN(OFFSET(Assumptions!$B$36,0,$C$1)-AI$136/AI$14))</f>
        <v>38.865517223298774</v>
      </c>
      <c r="AK136" s="7">
        <f ca="1">AK$14*(AJ$136/AJ$14+MIN(ABS(OFFSET(Assumptions!$B$36,0,$C$1)-AJ$136/AJ$14),OFFSET(Assumptions!$B$31,0,$C$1))*SIGN(OFFSET(Assumptions!$B$36,0,$C$1)-AJ$136/AJ$14))</f>
        <v>40.422712881028502</v>
      </c>
      <c r="AL136" s="7">
        <f ca="1">AL$14*(AK$136/AK$14+MIN(ABS(OFFSET(Assumptions!$B$36,0,$C$1)-AK$136/AK$14),OFFSET(Assumptions!$B$31,0,$C$1))*SIGN(OFFSET(Assumptions!$B$36,0,$C$1)-AK$136/AK$14))</f>
        <v>42.034192423228951</v>
      </c>
      <c r="AM136" s="7">
        <f ca="1">AM$14*(AL$136/AL$14+MIN(ABS(OFFSET(Assumptions!$B$36,0,$C$1)-AL$136/AL$14),OFFSET(Assumptions!$B$31,0,$C$1))*SIGN(OFFSET(Assumptions!$B$36,0,$C$1)-AL$136/AL$14))</f>
        <v>43.702157340802088</v>
      </c>
      <c r="AN136" s="7">
        <f ca="1">AN$14*(AM$136/AM$14+MIN(ABS(OFFSET(Assumptions!$B$36,0,$C$1)-AM$136/AM$14),OFFSET(Assumptions!$B$31,0,$C$1))*SIGN(OFFSET(Assumptions!$B$36,0,$C$1)-AM$136/AM$14))</f>
        <v>45.428927756795552</v>
      </c>
      <c r="AO136" s="7">
        <f ca="1">AO$14*(AN$136/AN$14+MIN(ABS(OFFSET(Assumptions!$B$36,0,$C$1)-AN$136/AN$14),OFFSET(Assumptions!$B$31,0,$C$1))*SIGN(OFFSET(Assumptions!$B$36,0,$C$1)-AN$136/AN$14))</f>
        <v>47.207723240930605</v>
      </c>
      <c r="AP136" s="7">
        <f ca="1">AP$14*(AO$136/AO$14+MIN(ABS(OFFSET(Assumptions!$B$36,0,$C$1)-AO$136/AO$14),OFFSET(Assumptions!$B$31,0,$C$1))*SIGN(OFFSET(Assumptions!$B$36,0,$C$1)-AO$136/AO$14))</f>
        <v>49.046097439547189</v>
      </c>
      <c r="AQ136" s="7">
        <f ca="1">AQ$14*(AP$136/AP$14+MIN(ABS(OFFSET(Assumptions!$B$36,0,$C$1)-AP$136/AP$14),OFFSET(Assumptions!$B$31,0,$C$1))*SIGN(OFFSET(Assumptions!$B$36,0,$C$1)-AP$136/AP$14))</f>
        <v>50.938899233942195</v>
      </c>
      <c r="AR136" s="7">
        <f ca="1">AR$14*(AQ$136/AQ$14+MIN(ABS(OFFSET(Assumptions!$B$36,0,$C$1)-AQ$136/AQ$14),OFFSET(Assumptions!$B$31,0,$C$1))*SIGN(OFFSET(Assumptions!$B$36,0,$C$1)-AQ$136/AQ$14))</f>
        <v>52.888271614363184</v>
      </c>
      <c r="AS136" s="7">
        <f ca="1">AS$14*(AR$136/AR$14+MIN(ABS(OFFSET(Assumptions!$B$36,0,$C$1)-AR$136/AR$14),OFFSET(Assumptions!$B$31,0,$C$1))*SIGN(OFFSET(Assumptions!$B$36,0,$C$1)-AR$136/AR$14))</f>
        <v>54.898762410346222</v>
      </c>
      <c r="AT136" s="7">
        <f ca="1">AT$14*(AS$136/AS$14+MIN(ABS(OFFSET(Assumptions!$B$36,0,$C$1)-AS$136/AS$14),OFFSET(Assumptions!$B$31,0,$C$1))*SIGN(OFFSET(Assumptions!$B$36,0,$C$1)-AS$136/AS$14))</f>
        <v>56.971977335068388</v>
      </c>
      <c r="AU136" s="7">
        <f ca="1">AU$14*(AT$136/AT$14+MIN(ABS(OFFSET(Assumptions!$B$36,0,$C$1)-AT$136/AT$14),OFFSET(Assumptions!$B$31,0,$C$1))*SIGN(OFFSET(Assumptions!$B$36,0,$C$1)-AT$136/AT$14))</f>
        <v>59.110673301545518</v>
      </c>
      <c r="AV136" s="7">
        <f ca="1">AV$14*(AU$136/AU$14+MIN(ABS(OFFSET(Assumptions!$B$36,0,$C$1)-AU$136/AU$14),OFFSET(Assumptions!$B$31,0,$C$1))*SIGN(OFFSET(Assumptions!$B$36,0,$C$1)-AU$136/AU$14))</f>
        <v>61.321462939697213</v>
      </c>
      <c r="AW136" s="7">
        <f ca="1">AW$14*(AV$136/AV$14+MIN(ABS(OFFSET(Assumptions!$B$36,0,$C$1)-AV$136/AV$14),OFFSET(Assumptions!$B$31,0,$C$1))*SIGN(OFFSET(Assumptions!$B$36,0,$C$1)-AV$136/AV$14))</f>
        <v>63.603098134575028</v>
      </c>
    </row>
    <row r="137" spans="1:49" ht="15" x14ac:dyDescent="0.25">
      <c r="A137" s="2" t="s">
        <v>451</v>
      </c>
      <c r="D137" s="40">
        <f t="shared" ref="D137:I137" si="126">SUM(D$132:D$136)</f>
        <v>66.055000000000007</v>
      </c>
      <c r="E137" s="39">
        <f t="shared" si="126"/>
        <v>68.930999999999997</v>
      </c>
      <c r="F137" s="39">
        <f t="shared" si="126"/>
        <v>71.220999999999989</v>
      </c>
      <c r="G137" s="39">
        <f t="shared" si="126"/>
        <v>74.911000000000001</v>
      </c>
      <c r="H137" s="39">
        <f t="shared" si="126"/>
        <v>79.427999999999997</v>
      </c>
      <c r="I137" s="39">
        <f t="shared" si="126"/>
        <v>83.5</v>
      </c>
      <c r="J137" s="43">
        <f t="shared" ref="J137:AW137" ca="1" si="127">SUM(J$132:J$136)</f>
        <v>87.486146968149455</v>
      </c>
      <c r="K137" s="43">
        <f t="shared" ca="1" si="127"/>
        <v>91.53298751844163</v>
      </c>
      <c r="L137" s="43">
        <f t="shared" ca="1" si="127"/>
        <v>95.655890442633876</v>
      </c>
      <c r="M137" s="43">
        <f t="shared" ca="1" si="127"/>
        <v>99.788842243672633</v>
      </c>
      <c r="N137" s="43">
        <f t="shared" ca="1" si="127"/>
        <v>104.09248319407538</v>
      </c>
      <c r="O137" s="43">
        <f t="shared" ca="1" si="127"/>
        <v>108.54426976505002</v>
      </c>
      <c r="P137" s="43">
        <f t="shared" ca="1" si="127"/>
        <v>113.33488867037579</v>
      </c>
      <c r="Q137" s="43">
        <f t="shared" ca="1" si="127"/>
        <v>118.17096529374216</v>
      </c>
      <c r="R137" s="43">
        <f t="shared" ca="1" si="127"/>
        <v>123.0533546697053</v>
      </c>
      <c r="S137" s="43">
        <f t="shared" ca="1" si="127"/>
        <v>128.08965186561366</v>
      </c>
      <c r="T137" s="43">
        <f t="shared" ca="1" si="127"/>
        <v>133.281693448542</v>
      </c>
      <c r="U137" s="43">
        <f t="shared" ca="1" si="127"/>
        <v>138.64811351887096</v>
      </c>
      <c r="V137" s="43">
        <f t="shared" ca="1" si="127"/>
        <v>144.20215911519585</v>
      </c>
      <c r="W137" s="43">
        <f t="shared" ca="1" si="127"/>
        <v>149.95992170854706</v>
      </c>
      <c r="X137" s="43">
        <f t="shared" ca="1" si="127"/>
        <v>155.93963876625355</v>
      </c>
      <c r="Y137" s="43">
        <f t="shared" ca="1" si="127"/>
        <v>162.14069896323883</v>
      </c>
      <c r="Z137" s="43">
        <f t="shared" ca="1" si="127"/>
        <v>168.59448984867981</v>
      </c>
      <c r="AA137" s="43">
        <f t="shared" ca="1" si="127"/>
        <v>175.31145367848495</v>
      </c>
      <c r="AB137" s="43">
        <f t="shared" ca="1" si="127"/>
        <v>182.31176211535524</v>
      </c>
      <c r="AC137" s="43">
        <f t="shared" ca="1" si="127"/>
        <v>189.62184227359847</v>
      </c>
      <c r="AD137" s="43">
        <f t="shared" ca="1" si="127"/>
        <v>197.2493990678764</v>
      </c>
      <c r="AE137" s="43">
        <f t="shared" ca="1" si="127"/>
        <v>205.18742760392291</v>
      </c>
      <c r="AF137" s="43">
        <f t="shared" ca="1" si="127"/>
        <v>213.4578892283028</v>
      </c>
      <c r="AG137" s="43">
        <f t="shared" ca="1" si="127"/>
        <v>222.0654084373237</v>
      </c>
      <c r="AH137" s="43">
        <f t="shared" ca="1" si="127"/>
        <v>231.02378798528107</v>
      </c>
      <c r="AI137" s="43">
        <f t="shared" ca="1" si="127"/>
        <v>240.3173746175803</v>
      </c>
      <c r="AJ137" s="43">
        <f t="shared" ca="1" si="127"/>
        <v>249.97594032258075</v>
      </c>
      <c r="AK137" s="43">
        <f t="shared" ca="1" si="127"/>
        <v>259.99153966661515</v>
      </c>
      <c r="AL137" s="43">
        <f t="shared" ca="1" si="127"/>
        <v>270.35628308576804</v>
      </c>
      <c r="AM137" s="43">
        <f t="shared" ca="1" si="127"/>
        <v>281.08433016924982</v>
      </c>
      <c r="AN137" s="43">
        <f t="shared" ca="1" si="127"/>
        <v>292.1906035266623</v>
      </c>
      <c r="AO137" s="43">
        <f t="shared" ca="1" si="127"/>
        <v>303.6314926632582</v>
      </c>
      <c r="AP137" s="43">
        <f t="shared" ca="1" si="127"/>
        <v>315.45558125890574</v>
      </c>
      <c r="AQ137" s="43">
        <f t="shared" ca="1" si="127"/>
        <v>327.62973825467367</v>
      </c>
      <c r="AR137" s="43">
        <f t="shared" ca="1" si="127"/>
        <v>340.16774697419959</v>
      </c>
      <c r="AS137" s="43">
        <f t="shared" ca="1" si="127"/>
        <v>353.09885823018135</v>
      </c>
      <c r="AT137" s="43">
        <f t="shared" ca="1" si="127"/>
        <v>366.43339967782623</v>
      </c>
      <c r="AU137" s="43">
        <f t="shared" ca="1" si="127"/>
        <v>380.1891032803951</v>
      </c>
      <c r="AV137" s="43">
        <f t="shared" ca="1" si="127"/>
        <v>394.4085002712344</v>
      </c>
      <c r="AW137" s="43">
        <f t="shared" ca="1" si="127"/>
        <v>409.08356300192577</v>
      </c>
    </row>
    <row r="138" spans="1:49" x14ac:dyDescent="0.2">
      <c r="A138" s="1" t="s">
        <v>452</v>
      </c>
      <c r="B138" s="4" t="str">
        <f t="shared" si="125"/>
        <v>From Fiscal</v>
      </c>
      <c r="D138" s="18">
        <f>D$137-Fiscal!D$149</f>
        <v>-0.58099999999998886</v>
      </c>
      <c r="E138" s="19">
        <f>E$137-Fiscal!E$149</f>
        <v>-0.75100000000000477</v>
      </c>
      <c r="F138" s="19">
        <f>F$137-Fiscal!F$149</f>
        <v>-0.75000000000001421</v>
      </c>
      <c r="G138" s="19">
        <f>G$137-Fiscal!G$149</f>
        <v>-0.76699999999999591</v>
      </c>
      <c r="H138" s="19">
        <f>H$137-Fiscal!H$149</f>
        <v>-0.84100000000000819</v>
      </c>
      <c r="I138" s="19">
        <f>I$137-Fiscal!I$149</f>
        <v>-0.90099999999999625</v>
      </c>
      <c r="J138" s="7">
        <f ca="1">J$14*(I$138/I$14-MIN(ABS(OFFSET(Assumptions!$B$37,0,$C$1)+I$138/I$14),OFFSET(Assumptions!$B$31,0,$C$1))*SIGN(OFFSET(Assumptions!$B$37,0,$C$1)+I$138/I$14))</f>
        <v>-0.93539103554866121</v>
      </c>
      <c r="K138" s="7">
        <f ca="1">K$14*(J$138/J$14-MIN(ABS(OFFSET(Assumptions!$B$37,0,$C$1)+J$138/J$14),OFFSET(Assumptions!$B$31,0,$C$1))*SIGN(OFFSET(Assumptions!$B$37,0,$C$1)+J$138/J$14))</f>
        <v>-0.97448121151557809</v>
      </c>
      <c r="L138" s="7">
        <f ca="1">L$14*(K$138/K$14-MIN(ABS(OFFSET(Assumptions!$B$37,0,$C$1)+K$138/K$14),OFFSET(Assumptions!$B$31,0,$C$1))*SIGN(OFFSET(Assumptions!$B$37,0,$C$1)+K$138/K$14))</f>
        <v>-1.0167203825383908</v>
      </c>
      <c r="M138" s="7">
        <f ca="1">M$14*(L$138/L$14-MIN(ABS(OFFSET(Assumptions!$B$37,0,$C$1)+L$138/L$14),OFFSET(Assumptions!$B$31,0,$C$1))*SIGN(OFFSET(Assumptions!$B$37,0,$C$1)+L$138/L$14))</f>
        <v>-1.060649264667034</v>
      </c>
      <c r="N138" s="7">
        <f ca="1">N$14*(M$138/M$14-MIN(ABS(OFFSET(Assumptions!$B$37,0,$C$1)+M$138/M$14),OFFSET(Assumptions!$B$31,0,$C$1))*SIGN(OFFSET(Assumptions!$B$37,0,$C$1)+M$138/M$14))</f>
        <v>-1.1063923909204607</v>
      </c>
      <c r="O138" s="7">
        <f ca="1">O$14*(N$138/N$14-MIN(ABS(OFFSET(Assumptions!$B$37,0,$C$1)+N$138/N$14),OFFSET(Assumptions!$B$31,0,$C$1))*SIGN(OFFSET(Assumptions!$B$37,0,$C$1)+N$138/N$14))</f>
        <v>-1.1536206675972411</v>
      </c>
      <c r="P138" s="7">
        <f ca="1">P$14*(O$138/O$14-MIN(ABS(OFFSET(Assumptions!$B$37,0,$C$1)+O$138/O$14),OFFSET(Assumptions!$B$31,0,$C$1))*SIGN(OFFSET(Assumptions!$B$37,0,$C$1)+O$138/O$14))</f>
        <v>-1.2024060180570031</v>
      </c>
      <c r="Q138" s="7">
        <f ca="1">Q$14*(P$138/P$14-MIN(ABS(OFFSET(Assumptions!$B$37,0,$C$1)+P$138/P$14),OFFSET(Assumptions!$B$31,0,$C$1))*SIGN(OFFSET(Assumptions!$B$37,0,$C$1)+P$138/P$14))</f>
        <v>-1.2526957451633445</v>
      </c>
      <c r="R138" s="7">
        <f ca="1">R$14*(Q$138/Q$14-MIN(ABS(OFFSET(Assumptions!$B$37,0,$C$1)+Q$138/Q$14),OFFSET(Assumptions!$B$31,0,$C$1))*SIGN(OFFSET(Assumptions!$B$37,0,$C$1)+Q$138/Q$14))</f>
        <v>-1.3044525230004098</v>
      </c>
      <c r="S138" s="7">
        <f ca="1">S$14*(R$138/R$14-MIN(ABS(OFFSET(Assumptions!$B$37,0,$C$1)+R$138/R$14),OFFSET(Assumptions!$B$31,0,$C$1))*SIGN(OFFSET(Assumptions!$B$37,0,$C$1)+R$138/R$14))</f>
        <v>-1.3578408324976714</v>
      </c>
      <c r="T138" s="7">
        <f ca="1">T$14*(S$138/S$14-MIN(ABS(OFFSET(Assumptions!$B$37,0,$C$1)+S$138/S$14),OFFSET(Assumptions!$B$31,0,$C$1))*SIGN(OFFSET(Assumptions!$B$37,0,$C$1)+S$138/S$14))</f>
        <v>-1.4128801425640496</v>
      </c>
      <c r="U138" s="7">
        <f ca="1">U$14*(T$138/T$14-MIN(ABS(OFFSET(Assumptions!$B$37,0,$C$1)+T$138/T$14),OFFSET(Assumptions!$B$31,0,$C$1))*SIGN(OFFSET(Assumptions!$B$37,0,$C$1)+T$138/T$14))</f>
        <v>-1.4697679878325542</v>
      </c>
      <c r="V138" s="7">
        <f ca="1">V$14*(U$138/U$14-MIN(ABS(OFFSET(Assumptions!$B$37,0,$C$1)+U$138/U$14),OFFSET(Assumptions!$B$31,0,$C$1))*SIGN(OFFSET(Assumptions!$B$37,0,$C$1)+U$138/U$14))</f>
        <v>-1.5286447962741612</v>
      </c>
      <c r="W138" s="7">
        <f ca="1">W$14*(V$138/V$14-MIN(ABS(OFFSET(Assumptions!$B$37,0,$C$1)+V$138/V$14),OFFSET(Assumptions!$B$31,0,$C$1))*SIGN(OFFSET(Assumptions!$B$37,0,$C$1)+V$138/V$14))</f>
        <v>-1.5896811488538558</v>
      </c>
      <c r="X138" s="7">
        <f ca="1">X$14*(W$138/W$14-MIN(ABS(OFFSET(Assumptions!$B$37,0,$C$1)+W$138/W$14),OFFSET(Assumptions!$B$31,0,$C$1))*SIGN(OFFSET(Assumptions!$B$37,0,$C$1)+W$138/W$14))</f>
        <v>-1.6530703756139955</v>
      </c>
      <c r="Y138" s="7">
        <f ca="1">Y$14*(X$138/X$14-MIN(ABS(OFFSET(Assumptions!$B$37,0,$C$1)+X$138/X$14),OFFSET(Assumptions!$B$31,0,$C$1))*SIGN(OFFSET(Assumptions!$B$37,0,$C$1)+X$138/X$14))</f>
        <v>-1.718805996076737</v>
      </c>
      <c r="Z138" s="7">
        <f ca="1">Z$14*(Y$138/Y$14-MIN(ABS(OFFSET(Assumptions!$B$37,0,$C$1)+Y$138/Y$14),OFFSET(Assumptions!$B$31,0,$C$1))*SIGN(OFFSET(Assumptions!$B$37,0,$C$1)+Y$138/Y$14))</f>
        <v>-1.787220740445369</v>
      </c>
      <c r="AA138" s="7">
        <f ca="1">AA$14*(Z$138/Z$14-MIN(ABS(OFFSET(Assumptions!$B$37,0,$C$1)+Z$138/Z$14),OFFSET(Assumptions!$B$31,0,$C$1))*SIGN(OFFSET(Assumptions!$B$37,0,$C$1)+Z$138/Z$14))</f>
        <v>-1.8584253040122078</v>
      </c>
      <c r="AB138" s="7">
        <f ca="1">AB$14*(AA$138/AA$14-MIN(ABS(OFFSET(Assumptions!$B$37,0,$C$1)+AA$138/AA$14),OFFSET(Assumptions!$B$31,0,$C$1))*SIGN(OFFSET(Assumptions!$B$37,0,$C$1)+AA$138/AA$14))</f>
        <v>-1.9326335206574761</v>
      </c>
      <c r="AC138" s="7">
        <f ca="1">AC$14*(AB$138/AB$14-MIN(ABS(OFFSET(Assumptions!$B$37,0,$C$1)+AB$138/AB$14),OFFSET(Assumptions!$B$31,0,$C$1))*SIGN(OFFSET(Assumptions!$B$37,0,$C$1)+AB$138/AB$14))</f>
        <v>-2.0101255364692419</v>
      </c>
      <c r="AD138" s="7">
        <f ca="1">AD$14*(AC$138/AC$14-MIN(ABS(OFFSET(Assumptions!$B$37,0,$C$1)+AC$138/AC$14),OFFSET(Assumptions!$B$31,0,$C$1))*SIGN(OFFSET(Assumptions!$B$37,0,$C$1)+AC$138/AC$14))</f>
        <v>-2.0909830289880889</v>
      </c>
      <c r="AE138" s="7">
        <f ca="1">AE$14*(AD$138/AD$14-MIN(ABS(OFFSET(Assumptions!$B$37,0,$C$1)+AD$138/AD$14),OFFSET(Assumptions!$B$31,0,$C$1))*SIGN(OFFSET(Assumptions!$B$37,0,$C$1)+AD$138/AD$14))</f>
        <v>-2.1751317413843423</v>
      </c>
      <c r="AF138" s="7">
        <f ca="1">AF$14*(AE$138/AE$14-MIN(ABS(OFFSET(Assumptions!$B$37,0,$C$1)+AE$138/AE$14),OFFSET(Assumptions!$B$31,0,$C$1))*SIGN(OFFSET(Assumptions!$B$37,0,$C$1)+AE$138/AE$14))</f>
        <v>-2.2628044794519733</v>
      </c>
      <c r="AG138" s="7">
        <f ca="1">AG$14*(AF$138/AF$14-MIN(ABS(OFFSET(Assumptions!$B$37,0,$C$1)+AF$138/AF$14),OFFSET(Assumptions!$B$31,0,$C$1))*SIGN(OFFSET(Assumptions!$B$37,0,$C$1)+AF$138/AF$14))</f>
        <v>-2.3540502661200389</v>
      </c>
      <c r="AH138" s="7">
        <f ca="1">AH$14*(AG$138/AG$14-MIN(ABS(OFFSET(Assumptions!$B$37,0,$C$1)+AG$138/AG$14),OFFSET(Assumptions!$B$31,0,$C$1))*SIGN(OFFSET(Assumptions!$B$37,0,$C$1)+AG$138/AG$14))</f>
        <v>-2.4490154203386689</v>
      </c>
      <c r="AI138" s="7">
        <f ca="1">AI$14*(AH$138/AH$14-MIN(ABS(OFFSET(Assumptions!$B$37,0,$C$1)+AH$138/AH$14),OFFSET(Assumptions!$B$31,0,$C$1))*SIGN(OFFSET(Assumptions!$B$37,0,$C$1)+AH$138/AH$14))</f>
        <v>-2.5475340065467877</v>
      </c>
      <c r="AJ138" s="7">
        <f ca="1">AJ$14*(AI$138/AI$14-MIN(ABS(OFFSET(Assumptions!$B$37,0,$C$1)+AI$138/AI$14),OFFSET(Assumptions!$B$31,0,$C$1))*SIGN(OFFSET(Assumptions!$B$37,0,$C$1)+AI$138/AI$14))</f>
        <v>-2.6499216288612804</v>
      </c>
      <c r="AK138" s="7">
        <f ca="1">AK$14*(AJ$138/AJ$14-MIN(ABS(OFFSET(Assumptions!$B$37,0,$C$1)+AJ$138/AJ$14),OFFSET(Assumptions!$B$31,0,$C$1))*SIGN(OFFSET(Assumptions!$B$37,0,$C$1)+AJ$138/AJ$14))</f>
        <v>-2.7560940600701254</v>
      </c>
      <c r="AL138" s="7">
        <f ca="1">AL$14*(AK$138/AK$14-MIN(ABS(OFFSET(Assumptions!$B$37,0,$C$1)+AK$138/AK$14),OFFSET(Assumptions!$B$31,0,$C$1))*SIGN(OFFSET(Assumptions!$B$37,0,$C$1)+AK$138/AK$14))</f>
        <v>-2.8659676652201558</v>
      </c>
      <c r="AM138" s="7">
        <f ca="1">AM$14*(AL$138/AL$14-MIN(ABS(OFFSET(Assumptions!$B$37,0,$C$1)+AL$138/AL$14),OFFSET(Assumptions!$B$31,0,$C$1))*SIGN(OFFSET(Assumptions!$B$37,0,$C$1)+AL$138/AL$14))</f>
        <v>-2.9796925459637791</v>
      </c>
      <c r="AN138" s="7">
        <f ca="1">AN$14*(AM$138/AM$14-MIN(ABS(OFFSET(Assumptions!$B$37,0,$C$1)+AM$138/AM$14),OFFSET(Assumptions!$B$31,0,$C$1))*SIGN(OFFSET(Assumptions!$B$37,0,$C$1)+AM$138/AM$14))</f>
        <v>-3.0974268925087878</v>
      </c>
      <c r="AO138" s="7">
        <f ca="1">AO$14*(AN$138/AN$14-MIN(ABS(OFFSET(Assumptions!$B$37,0,$C$1)+AN$138/AN$14),OFFSET(Assumptions!$B$31,0,$C$1))*SIGN(OFFSET(Assumptions!$B$37,0,$C$1)+AN$138/AN$14))</f>
        <v>-3.2187084027907233</v>
      </c>
      <c r="AP138" s="7">
        <f ca="1">AP$14*(AO$138/AO$14-MIN(ABS(OFFSET(Assumptions!$B$37,0,$C$1)+AO$138/AO$14),OFFSET(Assumptions!$B$31,0,$C$1))*SIGN(OFFSET(Assumptions!$B$37,0,$C$1)+AO$138/AO$14))</f>
        <v>-3.3440520981509447</v>
      </c>
      <c r="AQ138" s="7">
        <f ca="1">AQ$14*(AP$138/AP$14-MIN(ABS(OFFSET(Assumptions!$B$37,0,$C$1)+AP$138/AP$14),OFFSET(Assumptions!$B$31,0,$C$1))*SIGN(OFFSET(Assumptions!$B$37,0,$C$1)+AP$138/AP$14))</f>
        <v>-3.4731067659506043</v>
      </c>
      <c r="AR138" s="7">
        <f ca="1">AR$14*(AQ$138/AQ$14-MIN(ABS(OFFSET(Assumptions!$B$37,0,$C$1)+AQ$138/AQ$14),OFFSET(Assumptions!$B$31,0,$C$1))*SIGN(OFFSET(Assumptions!$B$37,0,$C$1)+AQ$138/AQ$14))</f>
        <v>-3.6060185191611267</v>
      </c>
      <c r="AS138" s="7">
        <f ca="1">AS$14*(AR$138/AR$14-MIN(ABS(OFFSET(Assumptions!$B$37,0,$C$1)+AR$138/AR$14),OFFSET(Assumptions!$B$31,0,$C$1))*SIGN(OFFSET(Assumptions!$B$37,0,$C$1)+AR$138/AR$14))</f>
        <v>-3.7430974370690611</v>
      </c>
      <c r="AT138" s="7">
        <f ca="1">AT$14*(AS$138/AS$14-MIN(ABS(OFFSET(Assumptions!$B$37,0,$C$1)+AS$138/AS$14),OFFSET(Assumptions!$B$31,0,$C$1))*SIGN(OFFSET(Assumptions!$B$37,0,$C$1)+AS$138/AS$14))</f>
        <v>-3.8844530001182993</v>
      </c>
      <c r="AU138" s="7">
        <f ca="1">AU$14*(AT$138/AT$14-MIN(ABS(OFFSET(Assumptions!$B$37,0,$C$1)+AT$138/AT$14),OFFSET(Assumptions!$B$31,0,$C$1))*SIGN(OFFSET(Assumptions!$B$37,0,$C$1)+AT$138/AT$14))</f>
        <v>-4.0302731796508313</v>
      </c>
      <c r="AV138" s="7">
        <f ca="1">AV$14*(AU$138/AU$14-MIN(ABS(OFFSET(Assumptions!$B$37,0,$C$1)+AU$138/AU$14),OFFSET(Assumptions!$B$31,0,$C$1))*SIGN(OFFSET(Assumptions!$B$37,0,$C$1)+AU$138/AU$14))</f>
        <v>-4.1810088367975382</v>
      </c>
      <c r="AW138" s="7">
        <f ca="1">AW$14*(AV$138/AV$14-MIN(ABS(OFFSET(Assumptions!$B$37,0,$C$1)+AV$138/AV$14),OFFSET(Assumptions!$B$31,0,$C$1))*SIGN(OFFSET(Assumptions!$B$37,0,$C$1)+AV$138/AV$14))</f>
        <v>-4.3365748728119344</v>
      </c>
    </row>
    <row r="139" spans="1:49" ht="15" x14ac:dyDescent="0.25">
      <c r="A139" s="2" t="s">
        <v>453</v>
      </c>
      <c r="D139" s="40">
        <f t="shared" ref="D139:I139" si="128">D$137-D$138</f>
        <v>66.635999999999996</v>
      </c>
      <c r="E139" s="39">
        <f t="shared" si="128"/>
        <v>69.682000000000002</v>
      </c>
      <c r="F139" s="39">
        <f t="shared" si="128"/>
        <v>71.971000000000004</v>
      </c>
      <c r="G139" s="39">
        <f t="shared" si="128"/>
        <v>75.677999999999997</v>
      </c>
      <c r="H139" s="39">
        <f t="shared" si="128"/>
        <v>80.269000000000005</v>
      </c>
      <c r="I139" s="39">
        <f t="shared" si="128"/>
        <v>84.400999999999996</v>
      </c>
      <c r="J139" s="43">
        <f t="shared" ref="J139:AW139" ca="1" si="129">J$137-J$138</f>
        <v>88.421538003698117</v>
      </c>
      <c r="K139" s="43">
        <f t="shared" ca="1" si="129"/>
        <v>92.50746872995721</v>
      </c>
      <c r="L139" s="43">
        <f t="shared" ca="1" si="129"/>
        <v>96.672610825172271</v>
      </c>
      <c r="M139" s="43">
        <f t="shared" ca="1" si="129"/>
        <v>100.84949150833967</v>
      </c>
      <c r="N139" s="43">
        <f t="shared" ca="1" si="129"/>
        <v>105.19887558499585</v>
      </c>
      <c r="O139" s="43">
        <f t="shared" ca="1" si="129"/>
        <v>109.69789043264726</v>
      </c>
      <c r="P139" s="43">
        <f t="shared" ca="1" si="129"/>
        <v>114.53729468843279</v>
      </c>
      <c r="Q139" s="43">
        <f t="shared" ca="1" si="129"/>
        <v>119.42366103890551</v>
      </c>
      <c r="R139" s="43">
        <f t="shared" ca="1" si="129"/>
        <v>124.35780719270571</v>
      </c>
      <c r="S139" s="43">
        <f t="shared" ca="1" si="129"/>
        <v>129.44749269811132</v>
      </c>
      <c r="T139" s="43">
        <f t="shared" ca="1" si="129"/>
        <v>134.69457359110606</v>
      </c>
      <c r="U139" s="43">
        <f t="shared" ca="1" si="129"/>
        <v>140.1178815067035</v>
      </c>
      <c r="V139" s="43">
        <f t="shared" ca="1" si="129"/>
        <v>145.73080391147002</v>
      </c>
      <c r="W139" s="43">
        <f t="shared" ca="1" si="129"/>
        <v>151.54960285740091</v>
      </c>
      <c r="X139" s="43">
        <f t="shared" ca="1" si="129"/>
        <v>157.59270914186754</v>
      </c>
      <c r="Y139" s="43">
        <f t="shared" ca="1" si="129"/>
        <v>163.85950495931556</v>
      </c>
      <c r="Z139" s="43">
        <f t="shared" ca="1" si="129"/>
        <v>170.38171058912519</v>
      </c>
      <c r="AA139" s="43">
        <f t="shared" ca="1" si="129"/>
        <v>177.16987898249715</v>
      </c>
      <c r="AB139" s="43">
        <f t="shared" ca="1" si="129"/>
        <v>184.24439563601271</v>
      </c>
      <c r="AC139" s="43">
        <f t="shared" ca="1" si="129"/>
        <v>191.63196781006772</v>
      </c>
      <c r="AD139" s="43">
        <f t="shared" ca="1" si="129"/>
        <v>199.34038209686449</v>
      </c>
      <c r="AE139" s="43">
        <f t="shared" ca="1" si="129"/>
        <v>207.36255934530726</v>
      </c>
      <c r="AF139" s="43">
        <f t="shared" ca="1" si="129"/>
        <v>215.72069370775478</v>
      </c>
      <c r="AG139" s="43">
        <f t="shared" ca="1" si="129"/>
        <v>224.41945870344372</v>
      </c>
      <c r="AH139" s="43">
        <f t="shared" ca="1" si="129"/>
        <v>233.47280340561974</v>
      </c>
      <c r="AI139" s="43">
        <f t="shared" ca="1" si="129"/>
        <v>242.86490862412708</v>
      </c>
      <c r="AJ139" s="43">
        <f t="shared" ca="1" si="129"/>
        <v>252.62586195144203</v>
      </c>
      <c r="AK139" s="43">
        <f t="shared" ca="1" si="129"/>
        <v>262.74763372668525</v>
      </c>
      <c r="AL139" s="43">
        <f t="shared" ca="1" si="129"/>
        <v>273.22225075098822</v>
      </c>
      <c r="AM139" s="43">
        <f t="shared" ca="1" si="129"/>
        <v>284.06402271521358</v>
      </c>
      <c r="AN139" s="43">
        <f t="shared" ca="1" si="129"/>
        <v>295.28803041917109</v>
      </c>
      <c r="AO139" s="43">
        <f t="shared" ca="1" si="129"/>
        <v>306.8502010660489</v>
      </c>
      <c r="AP139" s="43">
        <f t="shared" ca="1" si="129"/>
        <v>318.79963335705668</v>
      </c>
      <c r="AQ139" s="43">
        <f t="shared" ca="1" si="129"/>
        <v>331.10284502062427</v>
      </c>
      <c r="AR139" s="43">
        <f t="shared" ca="1" si="129"/>
        <v>343.77376549336071</v>
      </c>
      <c r="AS139" s="43">
        <f t="shared" ca="1" si="129"/>
        <v>356.84195566725043</v>
      </c>
      <c r="AT139" s="43">
        <f t="shared" ca="1" si="129"/>
        <v>370.31785267794453</v>
      </c>
      <c r="AU139" s="43">
        <f t="shared" ca="1" si="129"/>
        <v>384.21937646004591</v>
      </c>
      <c r="AV139" s="43">
        <f t="shared" ca="1" si="129"/>
        <v>398.58950910803196</v>
      </c>
      <c r="AW139" s="43">
        <f t="shared" ca="1" si="129"/>
        <v>413.42013787473769</v>
      </c>
    </row>
    <row r="140" spans="1:49" ht="15" x14ac:dyDescent="0.25">
      <c r="A140" s="2"/>
      <c r="D140" s="55"/>
      <c r="E140" s="56"/>
      <c r="F140" s="56"/>
      <c r="G140" s="56"/>
      <c r="H140" s="56"/>
      <c r="I140" s="56"/>
      <c r="J140" s="56"/>
      <c r="K140" s="56"/>
      <c r="L140" s="56"/>
      <c r="M140" s="56"/>
      <c r="N140" s="56"/>
      <c r="O140" s="56"/>
      <c r="P140" s="56"/>
      <c r="Q140" s="56"/>
      <c r="R140" s="56"/>
      <c r="S140" s="56"/>
    </row>
    <row r="141" spans="1:49" x14ac:dyDescent="0.2">
      <c r="A141" s="22" t="s">
        <v>292</v>
      </c>
    </row>
    <row r="142" spans="1:49" ht="15" x14ac:dyDescent="0.25">
      <c r="A142" s="2" t="s">
        <v>462</v>
      </c>
      <c r="B142" s="4" t="str">
        <f t="shared" ref="B142:B144" si="130">$B$43</f>
        <v>From Fiscal</v>
      </c>
      <c r="D142" s="47">
        <f>Fiscal!D$150</f>
        <v>0.99299999999999999</v>
      </c>
      <c r="E142" s="44">
        <f>Fiscal!E$150</f>
        <v>1.1779999999999999</v>
      </c>
      <c r="F142" s="44">
        <f>Fiscal!F$150</f>
        <v>1.2250000000000001</v>
      </c>
      <c r="G142" s="44">
        <f>Fiscal!G$150</f>
        <v>1.323</v>
      </c>
      <c r="H142" s="44">
        <f>Fiscal!H$150</f>
        <v>1.409</v>
      </c>
      <c r="I142" s="44">
        <f>Fiscal!I$150</f>
        <v>1.4179999999999999</v>
      </c>
      <c r="J142" s="8">
        <f ca="1">IF(J$6=OFFSET(Assumptions!$B$8,0,$C$1),AVERAGE(G$142/G$14,H$142/H$14,I$142/I$14),I$142/I$14) *J$14</f>
        <v>1.5045671806531824</v>
      </c>
      <c r="K142" s="8">
        <f ca="1">IF(K$6=OFFSET(Assumptions!$B$8,0,$C$1),AVERAGE(H$142/H$14,I$142/I$14,J$142/J$14),J$142/J$14) *K$14</f>
        <v>1.5674433400460115</v>
      </c>
      <c r="L142" s="8">
        <f ca="1">IF(L$6=OFFSET(Assumptions!$B$8,0,$C$1),AVERAGE(I$142/I$14,J$142/J$14,K$142/K$14),K$142/K$14) *L$14</f>
        <v>1.6353846266776972</v>
      </c>
      <c r="M142" s="8">
        <f ca="1">IF(M$6=OFFSET(Assumptions!$B$8,0,$C$1),AVERAGE(J$142/J$14,K$142/K$14,L$142/L$14),L$142/L$14) *M$14</f>
        <v>1.7060437968233368</v>
      </c>
      <c r="N142" s="8">
        <f ca="1">IF(N$6=OFFSET(Assumptions!$B$8,0,$C$1),AVERAGE(K$142/K$14,L$142/L$14,M$142/M$14),M$142/M$14) *N$14</f>
        <v>1.7796211606057593</v>
      </c>
      <c r="O142" s="8">
        <f ca="1">IF(O$6=OFFSET(Assumptions!$B$8,0,$C$1),AVERAGE(L$142/L$14,M$142/M$14,N$142/N$14),N$142/N$14) *O$14</f>
        <v>1.8555873740781945</v>
      </c>
      <c r="P142" s="8">
        <f ca="1">IF(P$6=OFFSET(Assumptions!$B$8,0,$C$1),AVERAGE(M$142/M$14,N$142/N$14,O$142/O$14),O$142/O$14) *P$14</f>
        <v>1.9340581252495135</v>
      </c>
      <c r="Q142" s="8">
        <f ca="1">IF(Q$6=OFFSET(Assumptions!$B$8,0,$C$1),AVERAGE(N$142/N$14,O$142/O$14,P$142/P$14),P$142/P$14) *Q$14</f>
        <v>2.0149486512997496</v>
      </c>
      <c r="R142" s="8">
        <f ca="1">IF(R$6=OFFSET(Assumptions!$B$8,0,$C$1),AVERAGE(O$142/O$14,P$142/P$14,Q$142/Q$14),Q$142/Q$14) *R$14</f>
        <v>2.0981989138643575</v>
      </c>
      <c r="S142" s="8">
        <f ca="1">IF(S$6=OFFSET(Assumptions!$B$8,0,$C$1),AVERAGE(P$142/P$14,Q$142/Q$14,R$142/R$14),R$142/R$14) *S$14</f>
        <v>2.1840734788830596</v>
      </c>
      <c r="T142" s="8">
        <f ca="1">IF(T$6=OFFSET(Assumptions!$B$8,0,$C$1),AVERAGE(Q$142/Q$14,R$142/R$14,S$142/S$14),S$142/S$14) *T$14</f>
        <v>2.2726036619022865</v>
      </c>
      <c r="U142" s="8">
        <f ca="1">IF(U$6=OFFSET(Assumptions!$B$8,0,$C$1),AVERAGE(R$142/R$14,S$142/S$14,T$142/T$14),T$142/T$14) *U$14</f>
        <v>2.3641071954152673</v>
      </c>
      <c r="V142" s="8">
        <f ca="1">IF(V$6=OFFSET(Assumptions!$B$8,0,$C$1),AVERAGE(S$142/S$14,T$142/T$14,U$142/U$14),U$142/U$14) *V$14</f>
        <v>2.4588099564171255</v>
      </c>
      <c r="W142" s="8">
        <f ca="1">IF(W$6=OFFSET(Assumptions!$B$8,0,$C$1),AVERAGE(T$142/T$14,U$142/U$14,V$142/V$14),V$142/V$14) *W$14</f>
        <v>2.5569863226940583</v>
      </c>
      <c r="X142" s="8">
        <f ca="1">IF(X$6=OFFSET(Assumptions!$B$8,0,$C$1),AVERAGE(U$142/U$14,V$142/V$14,W$142/W$14),W$142/W$14) *X$14</f>
        <v>2.6589472636970335</v>
      </c>
      <c r="Y142" s="8">
        <f ca="1">IF(Y$6=OFFSET(Assumptions!$B$8,0,$C$1),AVERAGE(V$142/V$14,W$142/W$14,X$142/X$14),X$142/X$14) *Y$14</f>
        <v>2.7646823556418711</v>
      </c>
      <c r="Z142" s="8">
        <f ca="1">IF(Z$6=OFFSET(Assumptions!$B$8,0,$C$1),AVERAGE(W$142/W$14,X$142/X$14,Y$142/Y$14),Y$142/Y$14) *Z$14</f>
        <v>2.8747267917524266</v>
      </c>
      <c r="AA142" s="8">
        <f ca="1">IF(AA$6=OFFSET(Assumptions!$B$8,0,$C$1),AVERAGE(X$142/X$14,Y$142/Y$14,Z$142/Z$14),Z$142/Z$14) *AA$14</f>
        <v>2.9892586243058141</v>
      </c>
      <c r="AB142" s="8">
        <f ca="1">IF(AB$6=OFFSET(Assumptions!$B$8,0,$C$1),AVERAGE(Y$142/Y$14,Z$142/Z$14,AA$142/AA$14),AA$142/AA$14) *AB$14</f>
        <v>3.1086218029723511</v>
      </c>
      <c r="AC142" s="8">
        <f ca="1">IF(AC$6=OFFSET(Assumptions!$B$8,0,$C$1),AVERAGE(Z$142/Z$14,AA$142/AA$14,AB$142/AB$14),AB$142/AB$14) *AC$14</f>
        <v>3.2332669399493721</v>
      </c>
      <c r="AD142" s="8">
        <f ca="1">IF(AD$6=OFFSET(Assumptions!$B$8,0,$C$1),AVERAGE(AA$142/AA$14,AB$142/AB$14,AC$142/AC$14),AC$142/AC$14) *AD$14</f>
        <v>3.3633254127488357</v>
      </c>
      <c r="AE142" s="8">
        <f ca="1">IF(AE$6=OFFSET(Assumptions!$B$8,0,$C$1),AVERAGE(AB$142/AB$14,AC$142/AC$14,AD$142/AD$14),AD$142/AD$14) *AE$14</f>
        <v>3.4986777799984998</v>
      </c>
      <c r="AF142" s="8">
        <f ca="1">IF(AF$6=OFFSET(Assumptions!$B$8,0,$C$1),AVERAGE(AC$142/AC$14,AD$142/AD$14,AE$142/AE$14),AE$142/AE$14) *AF$14</f>
        <v>3.6396985075033217</v>
      </c>
      <c r="AG142" s="8">
        <f ca="1">IF(AG$6=OFFSET(Assumptions!$B$8,0,$C$1),AVERAGE(AD$142/AD$14,AE$142/AE$14,AF$142/AF$14),AF$142/AF$14) *AG$14</f>
        <v>3.7864664481572827</v>
      </c>
      <c r="AH142" s="8">
        <f ca="1">IF(AH$6=OFFSET(Assumptions!$B$8,0,$C$1),AVERAGE(AE$142/AE$14,AF$142/AF$14,AG$142/AG$14),AG$142/AG$14) *AH$14</f>
        <v>3.9392169545369065</v>
      </c>
      <c r="AI142" s="8">
        <f ca="1">IF(AI$6=OFFSET(Assumptions!$B$8,0,$C$1),AVERAGE(AF$142/AF$14,AG$142/AG$14,AH$142/AH$14),AH$142/AH$14) *AI$14</f>
        <v>4.0976831209420004</v>
      </c>
      <c r="AJ142" s="8">
        <f ca="1">IF(AJ$6=OFFSET(Assumptions!$B$8,0,$C$1),AVERAGE(AG$142/AG$14,AH$142/AH$14,AI$142/AI$14),AI$142/AI$14) *AJ$14</f>
        <v>4.2623725934567123</v>
      </c>
      <c r="AK142" s="8">
        <f ca="1">IF(AK$6=OFFSET(Assumptions!$B$8,0,$C$1),AVERAGE(AH$142/AH$14,AI$142/AI$14,AJ$142/AJ$14),AJ$142/AJ$14) *AK$14</f>
        <v>4.4331498934479256</v>
      </c>
      <c r="AL142" s="8">
        <f ca="1">IF(AL$6=OFFSET(Assumptions!$B$8,0,$C$1),AVERAGE(AI$142/AI$14,AJ$142/AJ$14,AK$142/AK$14),AK$142/AK$14) *AL$14</f>
        <v>4.6098804949250045</v>
      </c>
      <c r="AM142" s="8">
        <f ca="1">IF(AM$6=OFFSET(Assumptions!$B$8,0,$C$1),AVERAGE(AJ$142/AJ$14,AK$142/AK$14,AL$142/AL$14),AL$142/AL$14) *AM$14</f>
        <v>4.7928058349034757</v>
      </c>
      <c r="AN142" s="8">
        <f ca="1">IF(AN$6=OFFSET(Assumptions!$B$8,0,$C$1),AVERAGE(AK$142/AK$14,AL$142/AL$14,AM$142/AM$14),AM$142/AM$14) *AN$14</f>
        <v>4.9821803607597834</v>
      </c>
      <c r="AO142" s="8">
        <f ca="1">IF(AO$6=OFFSET(Assumptions!$B$8,0,$C$1),AVERAGE(AL$142/AL$14,AM$142/AM$14,AN$142/AN$14),AN$142/AN$14) *AO$14</f>
        <v>5.1772604642196356</v>
      </c>
      <c r="AP142" s="8">
        <f ca="1">IF(AP$6=OFFSET(Assumptions!$B$8,0,$C$1),AVERAGE(AM$142/AM$14,AN$142/AN$14,AO$142/AO$14),AO$142/AO$14) *AP$14</f>
        <v>5.3788745519900649</v>
      </c>
      <c r="AQ142" s="8">
        <f ca="1">IF(AQ$6=OFFSET(Assumptions!$B$8,0,$C$1),AVERAGE(AN$142/AN$14,AO$142/AO$14,AP$142/AP$14),AP$142/AP$14) *AQ$14</f>
        <v>5.5864577020333765</v>
      </c>
      <c r="AR142" s="8">
        <f ca="1">IF(AR$6=OFFSET(Assumptions!$B$8,0,$C$1),AVERAGE(AO$142/AO$14,AP$142/AP$14,AQ$142/AQ$14),AQ$142/AQ$14) *AR$14</f>
        <v>5.8002449356113965</v>
      </c>
      <c r="AS142" s="8">
        <f ca="1">IF(AS$6=OFFSET(Assumptions!$B$8,0,$C$1),AVERAGE(AP$142/AP$14,AQ$142/AQ$14,AR$142/AR$14),AR$142/AR$14) *AS$14</f>
        <v>6.0207350121736072</v>
      </c>
      <c r="AT142" s="8">
        <f ca="1">IF(AT$6=OFFSET(Assumptions!$B$8,0,$C$1),AVERAGE(AQ$142/AQ$14,AR$142/AR$14,AS$142/AS$14),AS$142/AS$14) *AT$14</f>
        <v>6.2481040299255115</v>
      </c>
      <c r="AU142" s="8">
        <f ca="1">IF(AU$6=OFFSET(Assumptions!$B$8,0,$C$1),AVERAGE(AR$142/AR$14,AS$142/AS$14,AT$142/AT$14),AT$142/AT$14) *AU$14</f>
        <v>6.4826543389018134</v>
      </c>
      <c r="AV142" s="8">
        <f ca="1">IF(AV$6=OFFSET(Assumptions!$B$8,0,$C$1),AVERAGE(AS$142/AS$14,AT$142/AT$14,AU$142/AU$14),AU$142/AU$14) *AV$14</f>
        <v>6.7251111447488992</v>
      </c>
      <c r="AW142" s="8">
        <f ca="1">IF(AW$6=OFFSET(Assumptions!$B$8,0,$C$1),AVERAGE(AT$142/AT$14,AU$142/AU$14,AV$142/AV$14),AV$142/AV$14) *AW$14</f>
        <v>6.9753375669791291</v>
      </c>
    </row>
    <row r="143" spans="1:49" x14ac:dyDescent="0.2">
      <c r="A143" s="1" t="s">
        <v>278</v>
      </c>
      <c r="B143" s="4" t="str">
        <f t="shared" si="130"/>
        <v>From Fiscal</v>
      </c>
      <c r="D143" s="18">
        <f>Fiscal!D$215</f>
        <v>3.2759999999999998</v>
      </c>
      <c r="E143" s="19">
        <f>Fiscal!E$215</f>
        <v>2.766</v>
      </c>
      <c r="F143" s="19">
        <f>Fiscal!F$215</f>
        <v>2.6680000000000001</v>
      </c>
      <c r="G143" s="19">
        <f>Fiscal!G$215</f>
        <v>2.7519999999999998</v>
      </c>
      <c r="H143" s="19">
        <f>Fiscal!H$215</f>
        <v>2.891</v>
      </c>
      <c r="I143" s="19">
        <f>Fiscal!I$215</f>
        <v>3.0110000000000001</v>
      </c>
      <c r="J143" s="7">
        <f>I$143*(Exogenous!Q$23-Exogenous!Q$24)/(Exogenous!P$23-Exogenous!P$24)</f>
        <v>3.1574626324099264</v>
      </c>
      <c r="K143" s="7">
        <f>J$143*(Exogenous!R$23-Exogenous!R$24)/(Exogenous!Q$23-Exogenous!Q$24)</f>
        <v>3.3034896683506916</v>
      </c>
      <c r="L143" s="7">
        <f>K$143*(Exogenous!S$23-Exogenous!S$24)/(Exogenous!R$23-Exogenous!R$24)</f>
        <v>3.4621626588744023</v>
      </c>
      <c r="M143" s="7">
        <f>L$143*(Exogenous!T$23-Exogenous!T$24)/(Exogenous!S$23-Exogenous!S$24)</f>
        <v>3.6169054117890558</v>
      </c>
      <c r="N143" s="7">
        <f>M$143*(Exogenous!U$23-Exogenous!U$24)/(Exogenous!T$23-Exogenous!T$24)</f>
        <v>3.7805587988901208</v>
      </c>
      <c r="O143" s="7">
        <f>N$143*(Exogenous!V$23-Exogenous!V$24)/(Exogenous!U$23-Exogenous!U$24)</f>
        <v>3.9503931135580856</v>
      </c>
      <c r="P143" s="7">
        <f>O$143*(Exogenous!W$23-Exogenous!W$24)/(Exogenous!V$23-Exogenous!V$24)</f>
        <v>4.1326334733391263</v>
      </c>
      <c r="Q143" s="7">
        <f>P$143*(Exogenous!X$23-Exogenous!X$24)/(Exogenous!W$23-Exogenous!W$24)</f>
        <v>4.3038105674654483</v>
      </c>
      <c r="R143" s="7">
        <f>Q$143*(Exogenous!Y$23-Exogenous!Y$24)/(Exogenous!X$23-Exogenous!X$24)</f>
        <v>4.4915149336390447</v>
      </c>
      <c r="S143" s="7">
        <f>R$143*(Exogenous!Z$23-Exogenous!Z$24)/(Exogenous!Y$23-Exogenous!Y$24)</f>
        <v>4.6780632420368828</v>
      </c>
      <c r="T143" s="7">
        <f>S$143*(Exogenous!AA$23-Exogenous!AA$24)/(Exogenous!Z$23-Exogenous!Z$24)</f>
        <v>4.885674650891854</v>
      </c>
      <c r="U143" s="7">
        <f>T$143*(Exogenous!AB$23-Exogenous!AB$24)/(Exogenous!AA$23-Exogenous!AA$24)</f>
        <v>5.0993604519056719</v>
      </c>
      <c r="V143" s="7">
        <f>U$143*(Exogenous!AC$23-Exogenous!AC$24)/(Exogenous!AB$23-Exogenous!AB$24)</f>
        <v>5.3267268106319721</v>
      </c>
      <c r="W143" s="7">
        <f>V$143*(Exogenous!AD$23-Exogenous!AD$24)/(Exogenous!AC$23-Exogenous!AC$24)</f>
        <v>5.5674076981520884</v>
      </c>
      <c r="X143" s="7">
        <f>W$143*(Exogenous!AE$23-Exogenous!AE$24)/(Exogenous!AD$23-Exogenous!AD$24)</f>
        <v>5.820083629646037</v>
      </c>
      <c r="Y143" s="7">
        <f>X$143*(Exogenous!AF$23-Exogenous!AF$24)/(Exogenous!AE$23-Exogenous!AE$24)</f>
        <v>6.0656869572333658</v>
      </c>
      <c r="Z143" s="7">
        <f>Y$143*(Exogenous!AG$23-Exogenous!AG$24)/(Exogenous!AF$23-Exogenous!AF$24)</f>
        <v>6.356669146539291</v>
      </c>
      <c r="AA143" s="7">
        <f>Z$143*(Exogenous!AH$23-Exogenous!AH$24)/(Exogenous!AG$23-Exogenous!AG$24)</f>
        <v>6.6587996028623975</v>
      </c>
      <c r="AB143" s="7">
        <f>AA$143*(Exogenous!AI$23-Exogenous!AI$24)/(Exogenous!AH$23-Exogenous!AH$24)</f>
        <v>6.9701741738484646</v>
      </c>
      <c r="AC143" s="7">
        <f>AB$143*(Exogenous!AJ$23-Exogenous!AJ$24)/(Exogenous!AI$23-Exogenous!AI$24)</f>
        <v>7.2933606615880144</v>
      </c>
      <c r="AD143" s="7">
        <f>AC$143*(Exogenous!AK$23-Exogenous!AK$24)/(Exogenous!AJ$23-Exogenous!AJ$24)</f>
        <v>7.6661231393579099</v>
      </c>
      <c r="AE143" s="7">
        <f>AD$143*(Exogenous!AL$23-Exogenous!AL$24)/(Exogenous!AK$23-Exogenous!AK$24)</f>
        <v>8.0489384808614641</v>
      </c>
      <c r="AF143" s="7">
        <f>AE$143*(Exogenous!AM$23-Exogenous!AM$24)/(Exogenous!AL$23-Exogenous!AL$24)</f>
        <v>8.4348380468617137</v>
      </c>
      <c r="AG143" s="7">
        <f>AF$143*(Exogenous!AN$23-Exogenous!AN$24)/(Exogenous!AM$23-Exogenous!AM$24)</f>
        <v>8.8609681909439217</v>
      </c>
      <c r="AH143" s="7">
        <f>AG$143*(Exogenous!AO$23-Exogenous!AO$24)/(Exogenous!AN$23-Exogenous!AN$24)</f>
        <v>9.2986195350953516</v>
      </c>
      <c r="AI143" s="7">
        <f>AH$143*(Exogenous!AP$23-Exogenous!AP$24)/(Exogenous!AO$23-Exogenous!AO$24)</f>
        <v>9.7402616420847909</v>
      </c>
      <c r="AJ143" s="7">
        <f>AI$143*(Exogenous!AQ$23-Exogenous!AQ$24)/(Exogenous!AP$23-Exogenous!AP$24)</f>
        <v>10.22697354068119</v>
      </c>
      <c r="AK143" s="7">
        <f>AJ$143*(Exogenous!AR$23-Exogenous!AR$24)/(Exogenous!AQ$23-Exogenous!AQ$24)</f>
        <v>10.736013991589747</v>
      </c>
      <c r="AL143" s="7">
        <f>AK$143*(Exogenous!AS$23-Exogenous!AS$24)/(Exogenous!AR$23-Exogenous!AR$24)</f>
        <v>11.268382157903694</v>
      </c>
      <c r="AM143" s="7">
        <f>AL$143*(Exogenous!AT$23-Exogenous!AT$24)/(Exogenous!AS$23-Exogenous!AS$24)</f>
        <v>11.825141219305118</v>
      </c>
      <c r="AN143" s="7">
        <f>AM$143*(Exogenous!AU$23-Exogenous!AU$24)/(Exogenous!AT$23-Exogenous!AT$24)</f>
        <v>12.40734632318958</v>
      </c>
      <c r="AO143" s="7">
        <f>AN$143*(Exogenous!AV$23-Exogenous!AV$24)/(Exogenous!AU$23-Exogenous!AU$24)</f>
        <v>13.016081526003394</v>
      </c>
      <c r="AP143" s="7">
        <f>AO$143*(Exogenous!AW$23-Exogenous!AW$24)/(Exogenous!AV$23-Exogenous!AV$24)</f>
        <v>13.65254990266425</v>
      </c>
      <c r="AQ143" s="7">
        <f>AP$143*(Exogenous!AX$23-Exogenous!AX$24)/(Exogenous!AW$23-Exogenous!AW$24)</f>
        <v>14.317975787842224</v>
      </c>
      <c r="AR143" s="7">
        <f>AQ$143*(Exogenous!AY$23-Exogenous!AY$24)/(Exogenous!AX$23-Exogenous!AX$24)</f>
        <v>15.024993646574675</v>
      </c>
      <c r="AS143" s="7">
        <f>AR$143*(Exogenous!AZ$23-Exogenous!AZ$24)/(Exogenous!AY$23-Exogenous!AY$24)</f>
        <v>15.78674329369573</v>
      </c>
      <c r="AT143" s="7">
        <f>AS$143*(Exogenous!BA$23-Exogenous!BA$24)/(Exogenous!AZ$23-Exogenous!AZ$24)</f>
        <v>16.557060461503912</v>
      </c>
      <c r="AU143" s="7">
        <f>AT$143*(Exogenous!BB$23-Exogenous!BB$24)/(Exogenous!BA$23-Exogenous!BA$24)</f>
        <v>17.361125965067476</v>
      </c>
      <c r="AV143" s="7">
        <f>AU$143*(Exogenous!BC$23-Exogenous!BC$24)/(Exogenous!BB$23-Exogenous!BB$24)</f>
        <v>18.200385498011268</v>
      </c>
      <c r="AW143" s="7">
        <f>AV$143*(Exogenous!BD$23-Exogenous!BD$24)/(Exogenous!BC$23-Exogenous!BC$24)</f>
        <v>19.076346370727236</v>
      </c>
    </row>
    <row r="144" spans="1:49" x14ac:dyDescent="0.2">
      <c r="A144" s="1" t="s">
        <v>463</v>
      </c>
      <c r="B144" s="4" t="str">
        <f t="shared" si="130"/>
        <v>From Fiscal</v>
      </c>
      <c r="D144" s="18">
        <f>Fiscal!D$216-D$142</f>
        <v>0.68400000000000005</v>
      </c>
      <c r="E144" s="19">
        <f>Fiscal!E$216-E$142</f>
        <v>0.69300000000000006</v>
      </c>
      <c r="F144" s="19">
        <f>Fiscal!F$216-F$142</f>
        <v>0.7</v>
      </c>
      <c r="G144" s="19">
        <f>Fiscal!G$216-G$142</f>
        <v>0.70799999999999974</v>
      </c>
      <c r="H144" s="19">
        <f>Fiscal!H$216-H$142</f>
        <v>0.71500000000000008</v>
      </c>
      <c r="I144" s="19">
        <f>Fiscal!I$216-I$142</f>
        <v>0.7220000000000002</v>
      </c>
      <c r="J144" s="7">
        <f ca="1">IF(J$6=OFFSET(Assumptions!$B$8,0,$C$1),AVERAGE(G$144/G$14,H$144/H$14,I$144/I$14),I$144/I$14) *J$14</f>
        <v>0.7782587579932978</v>
      </c>
      <c r="K144" s="7">
        <f ca="1">IF(K$6=OFFSET(Assumptions!$B$8,0,$C$1),AVERAGE(H$144/H$14,I$144/I$14,J$144/J$14),J$144/J$14) *K$14</f>
        <v>0.81078234507247893</v>
      </c>
      <c r="L144" s="7">
        <f ca="1">IF(L$6=OFFSET(Assumptions!$B$8,0,$C$1),AVERAGE(I$144/I$14,J$144/J$14,K$144/K$14),K$144/K$14) *L$14</f>
        <v>0.84592594120454878</v>
      </c>
      <c r="M144" s="7">
        <f ca="1">IF(M$6=OFFSET(Assumptions!$B$8,0,$C$1),AVERAGE(J$144/J$14,K$144/K$14,L$144/L$14),L$144/L$14) *M$14</f>
        <v>0.88247540121238244</v>
      </c>
      <c r="N144" s="7">
        <f ca="1">IF(N$6=OFFSET(Assumptions!$B$8,0,$C$1),AVERAGE(K$144/K$14,L$144/L$14,M$144/M$14),M$144/M$14) *N$14</f>
        <v>0.9205343383539395</v>
      </c>
      <c r="O144" s="7">
        <f ca="1">IF(O$6=OFFSET(Assumptions!$B$8,0,$C$1),AVERAGE(L$144/L$14,M$144/M$14,N$144/N$14),N$144/N$14) *O$14</f>
        <v>0.95982894194940305</v>
      </c>
      <c r="P144" s="7">
        <f ca="1">IF(P$6=OFFSET(Assumptions!$B$8,0,$C$1),AVERAGE(M$144/M$14,N$144/N$14,O$144/O$14),O$144/O$14) *P$14</f>
        <v>1.0004190532655886</v>
      </c>
      <c r="Q144" s="7">
        <f ca="1">IF(Q$6=OFFSET(Assumptions!$B$8,0,$C$1),AVERAGE(N$144/N$14,O$144/O$14,P$144/P$14),P$144/P$14) *Q$14</f>
        <v>1.0422608275291683</v>
      </c>
      <c r="R144" s="7">
        <f ca="1">IF(R$6=OFFSET(Assumptions!$B$8,0,$C$1),AVERAGE(O$144/O$14,P$144/P$14,Q$144/Q$14),Q$144/Q$14) *R$14</f>
        <v>1.0853232090427807</v>
      </c>
      <c r="S144" s="7">
        <f ca="1">IF(S$6=OFFSET(Assumptions!$B$8,0,$C$1),AVERAGE(P$144/P$14,Q$144/Q$14,R$144/R$14),R$144/R$14) *S$14</f>
        <v>1.129743048298915</v>
      </c>
      <c r="T144" s="7">
        <f ca="1">IF(T$6=OFFSET(Assumptions!$B$8,0,$C$1),AVERAGE(Q$144/Q$14,R$144/R$14,S$144/S$14),S$144/S$14) *T$14</f>
        <v>1.1755365437090377</v>
      </c>
      <c r="U144" s="7">
        <f ca="1">IF(U$6=OFFSET(Assumptions!$B$8,0,$C$1),AVERAGE(R$144/R$14,S$144/S$14,T$144/T$14),T$144/T$14) *U$14</f>
        <v>1.222868046921074</v>
      </c>
      <c r="V144" s="7">
        <f ca="1">IF(V$6=OFFSET(Assumptions!$B$8,0,$C$1),AVERAGE(S$144/S$14,T$144/T$14,U$144/U$14),U$144/U$14) *V$14</f>
        <v>1.2718543960210493</v>
      </c>
      <c r="W144" s="7">
        <f ca="1">IF(W$6=OFFSET(Assumptions!$B$8,0,$C$1),AVERAGE(T$144/T$14,U$144/U$14,V$144/V$14),V$144/V$14) *W$14</f>
        <v>1.3226375168184938</v>
      </c>
      <c r="X144" s="7">
        <f ca="1">IF(X$6=OFFSET(Assumptions!$B$8,0,$C$1),AVERAGE(U$144/U$14,V$144/V$14,W$144/W$14),W$144/W$14) *X$14</f>
        <v>1.3753782626816025</v>
      </c>
      <c r="Y144" s="7">
        <f ca="1">IF(Y$6=OFFSET(Assumptions!$B$8,0,$C$1),AVERAGE(V$144/V$14,W$144/W$14,X$144/X$14),X$144/X$14) *Y$14</f>
        <v>1.4300712417598593</v>
      </c>
      <c r="Z144" s="7">
        <f ca="1">IF(Z$6=OFFSET(Assumptions!$B$8,0,$C$1),AVERAGE(W$144/W$14,X$144/X$14,Y$144/Y$14),Y$144/Y$14) *Z$14</f>
        <v>1.4869932903547869</v>
      </c>
      <c r="AA144" s="7">
        <f ca="1">IF(AA$6=OFFSET(Assumptions!$B$8,0,$C$1),AVERAGE(X$144/X$14,Y$144/Y$14,Z$144/Z$14),Z$144/Z$14) *AA$14</f>
        <v>1.5462365085373071</v>
      </c>
      <c r="AB144" s="7">
        <f ca="1">IF(AB$6=OFFSET(Assumptions!$B$8,0,$C$1),AVERAGE(Y$144/Y$14,Z$144/Z$14,AA$144/AA$14),AA$144/AA$14) *AB$14</f>
        <v>1.607978809162808</v>
      </c>
      <c r="AC144" s="7">
        <f ca="1">IF(AC$6=OFFSET(Assumptions!$B$8,0,$C$1),AVERAGE(Z$144/Z$14,AA$144/AA$14,AB$144/AB$14),AB$144/AB$14) *AC$14</f>
        <v>1.6724532777947285</v>
      </c>
      <c r="AD144" s="7">
        <f ca="1">IF(AD$6=OFFSET(Assumptions!$B$8,0,$C$1),AVERAGE(AA$144/AA$14,AB$144/AB$14,AC$144/AC$14),AC$144/AC$14) *AD$14</f>
        <v>1.7397278713183444</v>
      </c>
      <c r="AE144" s="7">
        <f ca="1">IF(AE$6=OFFSET(Assumptions!$B$8,0,$C$1),AVERAGE(AB$144/AB$14,AC$144/AC$14,AD$144/AD$14),AD$144/AD$14) *AE$14</f>
        <v>1.8097408069862919</v>
      </c>
      <c r="AF144" s="7">
        <f ca="1">IF(AF$6=OFFSET(Assumptions!$B$8,0,$C$1),AVERAGE(AC$144/AC$14,AD$144/AD$14,AE$144/AE$14),AE$144/AE$14) *AF$14</f>
        <v>1.8826857825583148</v>
      </c>
      <c r="AG144" s="7">
        <f ca="1">IF(AG$6=OFFSET(Assumptions!$B$8,0,$C$1),AVERAGE(AD$144/AD$14,AE$144/AE$14,AF$144/AF$14),AF$144/AF$14) *AG$14</f>
        <v>1.9586035858145294</v>
      </c>
      <c r="AH144" s="7">
        <f ca="1">IF(AH$6=OFFSET(Assumptions!$B$8,0,$C$1),AVERAGE(AE$144/AE$14,AF$144/AF$14,AG$144/AG$14),AG$144/AG$14) *AH$14</f>
        <v>2.0376159562201126</v>
      </c>
      <c r="AI144" s="7">
        <f ca="1">IF(AI$6=OFFSET(Assumptions!$B$8,0,$C$1),AVERAGE(AF$144/AF$14,AG$144/AG$14,AH$144/AH$14),AH$144/AH$14) *AI$14</f>
        <v>2.1195848330082181</v>
      </c>
      <c r="AJ144" s="7">
        <f ca="1">IF(AJ$6=OFFSET(Assumptions!$B$8,0,$C$1),AVERAGE(AG$144/AG$14,AH$144/AH$14,AI$144/AI$14),AI$144/AI$14) *AJ$14</f>
        <v>2.2047728033308376</v>
      </c>
      <c r="AK144" s="7">
        <f ca="1">IF(AK$6=OFFSET(Assumptions!$B$8,0,$C$1),AVERAGE(AH$144/AH$14,AI$144/AI$14,AJ$144/AJ$14),AJ$144/AJ$14) *AK$14</f>
        <v>2.29310978893949</v>
      </c>
      <c r="AL144" s="7">
        <f ca="1">IF(AL$6=OFFSET(Assumptions!$B$8,0,$C$1),AVERAGE(AI$144/AI$14,AJ$144/AJ$14,AK$144/AK$14),AK$144/AK$14) *AL$14</f>
        <v>2.3845262043535551</v>
      </c>
      <c r="AM144" s="7">
        <f ca="1">IF(AM$6=OFFSET(Assumptions!$B$8,0,$C$1),AVERAGE(AJ$144/AJ$14,AK$144/AK$14,AL$144/AL$14),AL$144/AL$14) *AM$14</f>
        <v>2.4791469363007597</v>
      </c>
      <c r="AN144" s="7">
        <f ca="1">IF(AN$6=OFFSET(Assumptions!$B$8,0,$C$1),AVERAGE(AK$144/AK$14,AL$144/AL$14,AM$144/AM$14),AM$144/AM$14) *AN$14</f>
        <v>2.5771036013029271</v>
      </c>
      <c r="AO144" s="7">
        <f ca="1">IF(AO$6=OFFSET(Assumptions!$B$8,0,$C$1),AVERAGE(AL$144/AL$14,AM$144/AM$14,AN$144/AN$14),AN$144/AN$14) *AO$14</f>
        <v>2.6780115574115788</v>
      </c>
      <c r="AP144" s="7">
        <f ca="1">IF(AP$6=OFFSET(Assumptions!$B$8,0,$C$1),AVERAGE(AM$144/AM$14,AN$144/AN$14,AO$144/AO$14),AO$144/AO$14) *AP$14</f>
        <v>2.7822993097697335</v>
      </c>
      <c r="AQ144" s="7">
        <f ca="1">IF(AQ$6=OFFSET(Assumptions!$B$8,0,$C$1),AVERAGE(AN$144/AN$14,AO$144/AO$14,AP$144/AP$14),AP$144/AP$14) *AQ$14</f>
        <v>2.889674644424387</v>
      </c>
      <c r="AR144" s="7">
        <f ca="1">IF(AR$6=OFFSET(Assumptions!$B$8,0,$C$1),AVERAGE(AO$144/AO$14,AP$144/AP$14,AQ$144/AQ$14),AQ$144/AQ$14) *AR$14</f>
        <v>3.0002591294634802</v>
      </c>
      <c r="AS144" s="7">
        <f ca="1">IF(AS$6=OFFSET(Assumptions!$B$8,0,$C$1),AVERAGE(AP$144/AP$14,AQ$144/AQ$14,AR$144/AR$14),AR$144/AR$14) *AS$14</f>
        <v>3.1143107553009233</v>
      </c>
      <c r="AT144" s="7">
        <f ca="1">IF(AT$6=OFFSET(Assumptions!$B$8,0,$C$1),AVERAGE(AQ$144/AQ$14,AR$144/AR$14,AS$144/AS$14),AS$144/AS$14) *AT$14</f>
        <v>3.2319206112363243</v>
      </c>
      <c r="AU144" s="7">
        <f ca="1">IF(AU$6=OFFSET(Assumptions!$B$8,0,$C$1),AVERAGE(AR$144/AR$14,AS$144/AS$14,AT$144/AT$14),AT$144/AT$14) *AU$14</f>
        <v>3.3532450921223118</v>
      </c>
      <c r="AV144" s="7">
        <f ca="1">IF(AV$6=OFFSET(Assumptions!$B$8,0,$C$1),AVERAGE(AS$144/AS$14,AT$144/AT$14,AU$144/AU$14),AU$144/AU$14) *AV$14</f>
        <v>3.4786593208865311</v>
      </c>
      <c r="AW144" s="7">
        <f ca="1">IF(AW$6=OFFSET(Assumptions!$B$8,0,$C$1),AVERAGE(AT$144/AT$14,AU$144/AU$14,AV$144/AV$14),AV$144/AV$14) *AW$14</f>
        <v>3.6080924941513248</v>
      </c>
    </row>
    <row r="145" spans="1:49" ht="15" x14ac:dyDescent="0.25">
      <c r="A145" s="2" t="s">
        <v>464</v>
      </c>
      <c r="D145" s="40">
        <f t="shared" ref="D145:I145" si="131">SUM(D$142:D$144)</f>
        <v>4.9530000000000003</v>
      </c>
      <c r="E145" s="39">
        <f t="shared" si="131"/>
        <v>4.6370000000000005</v>
      </c>
      <c r="F145" s="39">
        <f t="shared" si="131"/>
        <v>4.593</v>
      </c>
      <c r="G145" s="39">
        <f t="shared" si="131"/>
        <v>4.7829999999999995</v>
      </c>
      <c r="H145" s="39">
        <f t="shared" si="131"/>
        <v>5.0149999999999997</v>
      </c>
      <c r="I145" s="39">
        <f t="shared" si="131"/>
        <v>5.1510000000000007</v>
      </c>
      <c r="J145" s="43">
        <f t="shared" ref="J145:AW145" ca="1" si="132">SUM(J$142:J$144)</f>
        <v>5.4402885710564064</v>
      </c>
      <c r="K145" s="43">
        <f t="shared" ca="1" si="132"/>
        <v>5.6817153534691816</v>
      </c>
      <c r="L145" s="43">
        <f t="shared" ca="1" si="132"/>
        <v>5.9434732267566481</v>
      </c>
      <c r="M145" s="43">
        <f t="shared" ca="1" si="132"/>
        <v>6.2054246098247754</v>
      </c>
      <c r="N145" s="43">
        <f t="shared" ca="1" si="132"/>
        <v>6.4807142978498193</v>
      </c>
      <c r="O145" s="43">
        <f t="shared" ca="1" si="132"/>
        <v>6.7658094295856825</v>
      </c>
      <c r="P145" s="43">
        <f t="shared" ca="1" si="132"/>
        <v>7.0671106518542279</v>
      </c>
      <c r="Q145" s="43">
        <f t="shared" ca="1" si="132"/>
        <v>7.3610200462943665</v>
      </c>
      <c r="R145" s="43">
        <f t="shared" ca="1" si="132"/>
        <v>7.6750370565461825</v>
      </c>
      <c r="S145" s="43">
        <f t="shared" ca="1" si="132"/>
        <v>7.9918797692188566</v>
      </c>
      <c r="T145" s="43">
        <f t="shared" ca="1" si="132"/>
        <v>8.333814856503178</v>
      </c>
      <c r="U145" s="43">
        <f t="shared" ca="1" si="132"/>
        <v>8.6863356942420129</v>
      </c>
      <c r="V145" s="43">
        <f t="shared" ca="1" si="132"/>
        <v>9.0573911630701467</v>
      </c>
      <c r="W145" s="43">
        <f t="shared" ca="1" si="132"/>
        <v>9.4470315376646408</v>
      </c>
      <c r="X145" s="43">
        <f t="shared" ca="1" si="132"/>
        <v>9.8544091560246727</v>
      </c>
      <c r="Y145" s="43">
        <f t="shared" ca="1" si="132"/>
        <v>10.260440554635098</v>
      </c>
      <c r="Z145" s="43">
        <f t="shared" ca="1" si="132"/>
        <v>10.718389228646505</v>
      </c>
      <c r="AA145" s="43">
        <f t="shared" ca="1" si="132"/>
        <v>11.194294735705519</v>
      </c>
      <c r="AB145" s="43">
        <f t="shared" ca="1" si="132"/>
        <v>11.686774785983623</v>
      </c>
      <c r="AC145" s="43">
        <f t="shared" ca="1" si="132"/>
        <v>12.199080879332115</v>
      </c>
      <c r="AD145" s="43">
        <f t="shared" ca="1" si="132"/>
        <v>12.76917642342509</v>
      </c>
      <c r="AE145" s="43">
        <f t="shared" ca="1" si="132"/>
        <v>13.357357067846257</v>
      </c>
      <c r="AF145" s="43">
        <f t="shared" ca="1" si="132"/>
        <v>13.957222336923351</v>
      </c>
      <c r="AG145" s="43">
        <f t="shared" ca="1" si="132"/>
        <v>14.606038224915734</v>
      </c>
      <c r="AH145" s="43">
        <f t="shared" ca="1" si="132"/>
        <v>15.27545244585237</v>
      </c>
      <c r="AI145" s="43">
        <f t="shared" ca="1" si="132"/>
        <v>15.957529596035009</v>
      </c>
      <c r="AJ145" s="43">
        <f t="shared" ca="1" si="132"/>
        <v>16.69411893746874</v>
      </c>
      <c r="AK145" s="43">
        <f t="shared" ca="1" si="132"/>
        <v>17.462273673977162</v>
      </c>
      <c r="AL145" s="43">
        <f t="shared" ca="1" si="132"/>
        <v>18.262788857182255</v>
      </c>
      <c r="AM145" s="43">
        <f t="shared" ca="1" si="132"/>
        <v>19.09709399050935</v>
      </c>
      <c r="AN145" s="43">
        <f t="shared" ca="1" si="132"/>
        <v>19.96663028525229</v>
      </c>
      <c r="AO145" s="43">
        <f t="shared" ca="1" si="132"/>
        <v>20.871353547634609</v>
      </c>
      <c r="AP145" s="43">
        <f t="shared" ca="1" si="132"/>
        <v>21.813723764424047</v>
      </c>
      <c r="AQ145" s="43">
        <f t="shared" ca="1" si="132"/>
        <v>22.794108134299989</v>
      </c>
      <c r="AR145" s="43">
        <f t="shared" ca="1" si="132"/>
        <v>23.82549771164955</v>
      </c>
      <c r="AS145" s="43">
        <f t="shared" ca="1" si="132"/>
        <v>24.921789061170262</v>
      </c>
      <c r="AT145" s="43">
        <f t="shared" ca="1" si="132"/>
        <v>26.037085102665749</v>
      </c>
      <c r="AU145" s="43">
        <f t="shared" ca="1" si="132"/>
        <v>27.1970253960916</v>
      </c>
      <c r="AV145" s="43">
        <f t="shared" ca="1" si="132"/>
        <v>28.404155963646698</v>
      </c>
      <c r="AW145" s="43">
        <f t="shared" ca="1" si="132"/>
        <v>29.65977643185769</v>
      </c>
    </row>
    <row r="146" spans="1:49" ht="15" x14ac:dyDescent="0.25">
      <c r="A146" s="2"/>
      <c r="D146" s="55"/>
      <c r="E146" s="56"/>
      <c r="F146" s="56"/>
      <c r="G146" s="56"/>
      <c r="H146" s="56"/>
      <c r="I146" s="56"/>
      <c r="J146" s="56"/>
      <c r="K146" s="56"/>
      <c r="L146" s="56"/>
      <c r="M146" s="56"/>
      <c r="N146" s="56"/>
      <c r="O146" s="56"/>
      <c r="P146" s="56"/>
      <c r="Q146" s="56"/>
      <c r="R146" s="56"/>
      <c r="S146" s="56"/>
    </row>
    <row r="147" spans="1:49" x14ac:dyDescent="0.2">
      <c r="A147" s="22" t="s">
        <v>154</v>
      </c>
    </row>
    <row r="148" spans="1:49" ht="15" x14ac:dyDescent="0.25">
      <c r="A148" s="2" t="s">
        <v>465</v>
      </c>
      <c r="B148" s="4" t="str">
        <f t="shared" ref="B148:B149" si="133">$B$43</f>
        <v>From Fiscal</v>
      </c>
      <c r="D148" s="47">
        <f>Fiscal!D$151</f>
        <v>1.393</v>
      </c>
      <c r="E148" s="44">
        <f>Fiscal!E$151</f>
        <v>1.47</v>
      </c>
      <c r="F148" s="44">
        <f>Fiscal!F$151</f>
        <v>1.5209999999999999</v>
      </c>
      <c r="G148" s="44">
        <f>Fiscal!G$151</f>
        <v>1.5649999999999999</v>
      </c>
      <c r="H148" s="44">
        <f>Fiscal!H$151</f>
        <v>1.5980000000000001</v>
      </c>
      <c r="I148" s="44">
        <f>Fiscal!I$151</f>
        <v>1.607</v>
      </c>
      <c r="J148" s="8">
        <f ca="1">IF(J$6=OFFSET(Assumptions!$B$8,0,$C$1),AVERAGE(G$148/G$14,H$148/H$14,I$148/I$14),I$148/I$14) *J$14</f>
        <v>1.7304805664079186</v>
      </c>
      <c r="K148" s="8">
        <f ca="1">IF(K$6=OFFSET(Assumptions!$B$8,0,$C$1),AVERAGE(H$148/H$14,I$148/I$14,J$148/J$14),J$148/J$14) *K$14</f>
        <v>1.8027976907734928</v>
      </c>
      <c r="L148" s="8">
        <f ca="1">IF(L$6=OFFSET(Assumptions!$B$8,0,$C$1),AVERAGE(I$148/I$14,J$148/J$14,K$148/K$14),K$148/K$14) *L$14</f>
        <v>1.8809404800651219</v>
      </c>
      <c r="M148" s="8">
        <f ca="1">IF(M$6=OFFSET(Assumptions!$B$8,0,$C$1),AVERAGE(J$148/J$14,K$148/K$14,L$148/L$14),L$148/L$14) *M$14</f>
        <v>1.9622092478196176</v>
      </c>
      <c r="N148" s="8">
        <f ca="1">IF(N$6=OFFSET(Assumptions!$B$8,0,$C$1),AVERAGE(K$148/K$14,L$148/L$14,M$148/M$14),M$148/M$14) *N$14</f>
        <v>2.0468343810740413</v>
      </c>
      <c r="O148" s="8">
        <f ca="1">IF(O$6=OFFSET(Assumptions!$B$8,0,$C$1),AVERAGE(L$148/L$14,M$148/M$14,N$148/N$14),N$148/N$14) *O$14</f>
        <v>2.1342070539649747</v>
      </c>
      <c r="P148" s="8">
        <f ca="1">IF(P$6=OFFSET(Assumptions!$B$8,0,$C$1),AVERAGE(M$148/M$14,N$148/N$14,O$148/O$14),O$148/O$14) *P$14</f>
        <v>2.2244603252575517</v>
      </c>
      <c r="Q148" s="8">
        <f ca="1">IF(Q$6=OFFSET(Assumptions!$B$8,0,$C$1),AVERAGE(N$148/N$14,O$148/O$14,P$148/P$14),P$148/P$14) *Q$14</f>
        <v>2.3174967048465822</v>
      </c>
      <c r="R148" s="8">
        <f ca="1">IF(R$6=OFFSET(Assumptions!$B$8,0,$C$1),AVERAGE(O$148/O$14,P$148/P$14,Q$148/Q$14),Q$148/Q$14) *R$14</f>
        <v>2.4132471395023933</v>
      </c>
      <c r="S148" s="8">
        <f ca="1">IF(S$6=OFFSET(Assumptions!$B$8,0,$C$1),AVERAGE(P$148/P$14,Q$148/Q$14,R$148/R$14),R$148/R$14) *S$14</f>
        <v>2.5120159202018919</v>
      </c>
      <c r="T148" s="8">
        <f ca="1">IF(T$6=OFFSET(Assumptions!$B$8,0,$C$1),AVERAGE(Q$148/Q$14,R$148/R$14,S$148/S$14),S$148/S$14) *T$14</f>
        <v>2.6138390645754113</v>
      </c>
      <c r="U148" s="8">
        <f ca="1">IF(U$6=OFFSET(Assumptions!$B$8,0,$C$1),AVERAGE(R$148/R$14,S$148/S$14,T$148/T$14),T$148/T$14) *U$14</f>
        <v>2.7190820132040834</v>
      </c>
      <c r="V148" s="8">
        <f ca="1">IF(V$6=OFFSET(Assumptions!$B$8,0,$C$1),AVERAGE(S$148/S$14,T$148/T$14,U$148/U$14),U$148/U$14) *V$14</f>
        <v>2.8280045589077214</v>
      </c>
      <c r="W148" s="8">
        <f ca="1">IF(W$6=OFFSET(Assumptions!$B$8,0,$C$1),AVERAGE(T$148/T$14,U$148/U$14,V$148/V$14),V$148/V$14) *W$14</f>
        <v>2.9409222777755635</v>
      </c>
      <c r="X148" s="8">
        <f ca="1">IF(X$6=OFFSET(Assumptions!$B$8,0,$C$1),AVERAGE(U$148/U$14,V$148/V$14,W$148/W$14),W$148/W$14) *X$14</f>
        <v>3.058192831863892</v>
      </c>
      <c r="Y148" s="8">
        <f ca="1">IF(Y$6=OFFSET(Assumptions!$B$8,0,$C$1),AVERAGE(V$148/V$14,W$148/W$14,X$148/X$14),X$148/X$14) *Y$14</f>
        <v>3.1798042322391558</v>
      </c>
      <c r="Z148" s="8">
        <f ca="1">IF(Z$6=OFFSET(Assumptions!$B$8,0,$C$1),AVERAGE(W$148/W$14,X$148/X$14,Y$148/Y$14),Y$148/Y$14) *Z$14</f>
        <v>3.3063720323210117</v>
      </c>
      <c r="AA148" s="8">
        <f ca="1">IF(AA$6=OFFSET(Assumptions!$B$8,0,$C$1),AVERAGE(X$148/X$14,Y$148/Y$14,Z$148/Z$14),Z$148/Z$14) *AA$14</f>
        <v>3.4381010192464609</v>
      </c>
      <c r="AB148" s="8">
        <f ca="1">IF(AB$6=OFFSET(Assumptions!$B$8,0,$C$1),AVERAGE(Y$148/Y$14,Z$148/Z$14,AA$148/AA$14),AA$148/AA$14) *AB$14</f>
        <v>3.5753867873285787</v>
      </c>
      <c r="AC148" s="8">
        <f ca="1">IF(AC$6=OFFSET(Assumptions!$B$8,0,$C$1),AVERAGE(Z$148/Z$14,AA$148/AA$14,AB$148/AB$14),AB$148/AB$14) *AC$14</f>
        <v>3.7187476089718814</v>
      </c>
      <c r="AD148" s="8">
        <f ca="1">IF(AD$6=OFFSET(Assumptions!$B$8,0,$C$1),AVERAGE(AA$148/AA$14,AB$148/AB$14,AC$148/AC$14),AC$148/AC$14) *AD$14</f>
        <v>3.8683345882508373</v>
      </c>
      <c r="AE148" s="8">
        <f ca="1">IF(AE$6=OFFSET(Assumptions!$B$8,0,$C$1),AVERAGE(AB$148/AB$14,AC$148/AC$14,AD$148/AD$14),AD$148/AD$14) *AE$14</f>
        <v>4.0240103494628867</v>
      </c>
      <c r="AF148" s="8">
        <f ca="1">IF(AF$6=OFFSET(Assumptions!$B$8,0,$C$1),AVERAGE(AC$148/AC$14,AD$148/AD$14,AE$148/AE$14),AE$148/AE$14) *AF$14</f>
        <v>4.186205585106574</v>
      </c>
      <c r="AG148" s="8">
        <f ca="1">IF(AG$6=OFFSET(Assumptions!$B$8,0,$C$1),AVERAGE(AD$148/AD$14,AE$148/AE$14,AF$148/AF$14),AF$148/AF$14) *AG$14</f>
        <v>4.3550109879754109</v>
      </c>
      <c r="AH148" s="8">
        <f ca="1">IF(AH$6=OFFSET(Assumptions!$B$8,0,$C$1),AVERAGE(AE$148/AE$14,AF$148/AF$14,AG$148/AG$14),AG$148/AG$14) *AH$14</f>
        <v>4.5306972492456801</v>
      </c>
      <c r="AI148" s="8">
        <f ca="1">IF(AI$6=OFFSET(Assumptions!$B$8,0,$C$1),AVERAGE(AF$148/AF$14,AG$148/AG$14,AH$148/AH$14),AH$148/AH$14) *AI$14</f>
        <v>4.7129573868608912</v>
      </c>
      <c r="AJ148" s="8">
        <f ca="1">IF(AJ$6=OFFSET(Assumptions!$B$8,0,$C$1),AVERAGE(AG$148/AG$14,AH$148/AH$14,AI$148/AI$14),AI$148/AI$14) *AJ$14</f>
        <v>4.9023752708499302</v>
      </c>
      <c r="AK148" s="8">
        <f ca="1">IF(AK$6=OFFSET(Assumptions!$B$8,0,$C$1),AVERAGE(AH$148/AH$14,AI$148/AI$14,AJ$148/AJ$14),AJ$148/AJ$14) *AK$14</f>
        <v>5.0987950802266795</v>
      </c>
      <c r="AL148" s="8">
        <f ca="1">IF(AL$6=OFFSET(Assumptions!$B$8,0,$C$1),AVERAGE(AI$148/AI$14,AJ$148/AJ$14,AK$148/AK$14),AK$148/AK$14) *AL$14</f>
        <v>5.3020620896884294</v>
      </c>
      <c r="AM148" s="8">
        <f ca="1">IF(AM$6=OFFSET(Assumptions!$B$8,0,$C$1),AVERAGE(AJ$148/AJ$14,AK$148/AK$14,AL$148/AL$14),AL$148/AL$14) *AM$14</f>
        <v>5.5124539884395913</v>
      </c>
      <c r="AN148" s="8">
        <f ca="1">IF(AN$6=OFFSET(Assumptions!$B$8,0,$C$1),AVERAGE(AK$148/AK$14,AL$148/AL$14,AM$148/AM$14),AM$148/AM$14) *AN$14</f>
        <v>5.730263429573875</v>
      </c>
      <c r="AO148" s="8">
        <f ca="1">IF(AO$6=OFFSET(Assumptions!$B$8,0,$C$1),AVERAGE(AL$148/AL$14,AM$148/AM$14,AN$148/AN$14),AN$148/AN$14) *AO$14</f>
        <v>5.9546351507379418</v>
      </c>
      <c r="AP148" s="8">
        <f ca="1">IF(AP$6=OFFSET(Assumptions!$B$8,0,$C$1),AVERAGE(AM$148/AM$14,AN$148/AN$14,AO$148/AO$14),AO$148/AO$14) *AP$14</f>
        <v>6.1865219453504121</v>
      </c>
      <c r="AQ148" s="8">
        <f ca="1">IF(AQ$6=OFFSET(Assumptions!$B$8,0,$C$1),AVERAGE(AN$148/AN$14,AO$148/AO$14,AP$148/AP$14),AP$148/AP$14) *AQ$14</f>
        <v>6.4252740673445539</v>
      </c>
      <c r="AR148" s="8">
        <f ca="1">IF(AR$6=OFFSET(Assumptions!$B$8,0,$C$1),AVERAGE(AO$148/AO$14,AP$148/AP$14,AQ$148/AQ$14),AQ$148/AQ$14) *AR$14</f>
        <v>6.6711618268344717</v>
      </c>
      <c r="AS148" s="8">
        <f ca="1">IF(AS$6=OFFSET(Assumptions!$B$8,0,$C$1),AVERAGE(AP$148/AP$14,AQ$148/AQ$14,AR$148/AR$14),AR$148/AR$14) *AS$14</f>
        <v>6.9247588728706972</v>
      </c>
      <c r="AT148" s="8">
        <f ca="1">IF(AT$6=OFFSET(Assumptions!$B$8,0,$C$1),AVERAGE(AQ$148/AQ$14,AR$148/AR$14,AS$148/AS$14),AS$148/AS$14) *AT$14</f>
        <v>7.186267745111361</v>
      </c>
      <c r="AU148" s="8">
        <f ca="1">IF(AU$6=OFFSET(Assumptions!$B$8,0,$C$1),AVERAGE(AR$148/AR$14,AS$148/AS$14,AT$148/AT$14),AT$148/AT$14) *AU$14</f>
        <v>7.4560361919760973</v>
      </c>
      <c r="AV148" s="8">
        <f ca="1">IF(AV$6=OFFSET(Assumptions!$B$8,0,$C$1),AVERAGE(AS$148/AS$14,AT$148/AT$14,AU$148/AU$14),AU$148/AU$14) *AV$14</f>
        <v>7.7348983100036692</v>
      </c>
      <c r="AW148" s="8">
        <f ca="1">IF(AW$6=OFFSET(Assumptions!$B$8,0,$C$1),AVERAGE(AT$148/AT$14,AU$148/AU$14,AV$148/AV$14),AV$148/AV$14) *AW$14</f>
        <v>8.0226966658625347</v>
      </c>
    </row>
    <row r="149" spans="1:49" ht="15" x14ac:dyDescent="0.25">
      <c r="A149" s="2" t="s">
        <v>466</v>
      </c>
      <c r="B149" s="4" t="str">
        <f t="shared" si="133"/>
        <v>From Fiscal</v>
      </c>
      <c r="D149" s="47">
        <f>Fiscal!D$11</f>
        <v>16.866</v>
      </c>
      <c r="E149" s="44">
        <f>Fiscal!E$11</f>
        <v>16.866</v>
      </c>
      <c r="F149" s="44">
        <f>Fiscal!F$11</f>
        <v>17.259</v>
      </c>
      <c r="G149" s="44">
        <f>Fiscal!G$11</f>
        <v>17.87</v>
      </c>
      <c r="H149" s="44">
        <f>Fiscal!H$11</f>
        <v>18.207999999999998</v>
      </c>
      <c r="I149" s="44">
        <f>Fiscal!I$11</f>
        <v>18.509</v>
      </c>
      <c r="J149" s="8">
        <f ca="1">IF(J$6=OFFSET(Assumptions!$B$8,0,$C$1),AVERAGE((G$149-G$148)/G$14,(H$149-H$148)/H$14,(I$149-I$148)/I$14),(I$149-I$148)/I$14) *J$14 +J$148</f>
        <v>19.800891643261295</v>
      </c>
      <c r="K149" s="8">
        <f ca="1">IF(K$6=OFFSET(Assumptions!$B$8,0,$C$1),AVERAGE((H$149-H$148)/H$14,(I$149-I$148)/I$14,(J$149-J$148)/J$14),(J$149-J$148)/J$14) *K$14 +K$148</f>
        <v>20.628374812568055</v>
      </c>
      <c r="L149" s="8">
        <f ca="1">IF(L$6=OFFSET(Assumptions!$B$8,0,$C$1),AVERAGE((I$149-I$148)/I$14,(J$149-J$148)/J$14,(K$149-K$148)/K$14),(K$149-K$148)/K$14) *L$14 +L$148</f>
        <v>21.52251770761228</v>
      </c>
      <c r="M149" s="8">
        <f ca="1">IF(M$6=OFFSET(Assumptions!$B$8,0,$C$1),AVERAGE((J$149-J$148)/J$14,(K$149-K$148)/K$14,(L$149-L$148)/L$14),(L$149-L$148)/L$14) *M$14 +M$148</f>
        <v>22.452429372340454</v>
      </c>
      <c r="N149" s="8">
        <f ca="1">IF(N$6=OFFSET(Assumptions!$B$8,0,$C$1),AVERAGE((K$149-K$148)/K$14,(L$149-L$148)/L$14,(M$149-M$148)/M$14),(M$149-M$148)/M$14) *N$14 +N$148</f>
        <v>23.420745992818695</v>
      </c>
      <c r="O149" s="8">
        <f ca="1">IF(O$6=OFFSET(Assumptions!$B$8,0,$C$1),AVERAGE((L$149-L$148)/L$14,(M$149-M$148)/M$14,(N$149-N$148)/N$14),(N$149-N$148)/N$14) *O$14 +O$148</f>
        <v>24.420501125629396</v>
      </c>
      <c r="P149" s="8">
        <f ca="1">IF(P$6=OFFSET(Assumptions!$B$8,0,$C$1),AVERAGE((M$149-M$148)/M$14,(N$149-N$148)/N$14,(O$149-O$148)/O$14),(O$149-O$148)/O$14) *P$14 +P$148</f>
        <v>25.453217285524669</v>
      </c>
      <c r="Q149" s="8">
        <f ca="1">IF(Q$6=OFFSET(Assumptions!$B$8,0,$C$1),AVERAGE((N$149-N$148)/N$14,(O$149-O$148)/O$14,(P$149-P$148)/P$14),(P$149-P$148)/P$14) *Q$14 +Q$148</f>
        <v>26.517778949425761</v>
      </c>
      <c r="R149" s="8">
        <f ca="1">IF(R$6=OFFSET(Assumptions!$B$8,0,$C$1),AVERAGE((O$149-O$148)/O$14,(P$149-P$148)/P$14,(Q$149-Q$148)/Q$14),(Q$149-Q$148)/Q$14) *R$14 +R$148</f>
        <v>27.613395981028969</v>
      </c>
      <c r="S149" s="8">
        <f ca="1">IF(S$6=OFFSET(Assumptions!$B$8,0,$C$1),AVERAGE((P$149-P$148)/P$14,(Q$149-Q$148)/Q$14,(R$149-R$148)/R$14),(R$149-R$148)/R$14) *S$14 +S$148</f>
        <v>28.743550206584604</v>
      </c>
      <c r="T149" s="8">
        <f ca="1">IF(T$6=OFFSET(Assumptions!$B$8,0,$C$1),AVERAGE((Q$149-Q$148)/Q$14,(R$149-R$148)/R$14,(S$149-S$148)/S$14),(S$149-S$148)/S$14) *T$14 +T$148</f>
        <v>29.908653755075392</v>
      </c>
      <c r="U149" s="8">
        <f ca="1">IF(U$6=OFFSET(Assumptions!$B$8,0,$C$1),AVERAGE((R$149-R$148)/R$14,(S$149-S$148)/S$14,(T$149-T$148)/T$14),(T$149-T$148)/T$14) *U$14 +U$148</f>
        <v>31.112888152425114</v>
      </c>
      <c r="V149" s="8">
        <f ca="1">IF(V$6=OFFSET(Assumptions!$B$8,0,$C$1),AVERAGE((S$149-S$148)/S$14,(T$149-T$148)/T$14,(U$149-U$148)/U$14),(U$149-U$148)/U$14) *V$14 +V$148</f>
        <v>32.359226058121941</v>
      </c>
      <c r="W149" s="8">
        <f ca="1">IF(W$6=OFFSET(Assumptions!$B$8,0,$C$1),AVERAGE((T$149-T$148)/T$14,(U$149-U$148)/U$14,(V$149-V$148)/V$14),(V$149-V$148)/V$14) *W$14 +W$148</f>
        <v>33.651278427451658</v>
      </c>
      <c r="X149" s="8">
        <f ca="1">IF(X$6=OFFSET(Assumptions!$B$8,0,$C$1),AVERAGE((U$149-U$148)/U$14,(V$149-V$148)/V$14,(W$149-W$148)/W$14),(W$149-W$148)/W$14) *X$14 +X$148</f>
        <v>34.99313778116187</v>
      </c>
      <c r="Y149" s="8">
        <f ca="1">IF(Y$6=OFFSET(Assumptions!$B$8,0,$C$1),AVERAGE((V$149-V$148)/V$14,(W$149-W$148)/W$14,(X$149-X$148)/X$14),(X$149-X$148)/X$14) *Y$14 +Y$148</f>
        <v>36.38466693679657</v>
      </c>
      <c r="Z149" s="8">
        <f ca="1">IF(Z$6=OFFSET(Assumptions!$B$8,0,$C$1),AVERAGE((W$149-W$148)/W$14,(X$149-X$148)/X$14,(Y$149-Y$148)/Y$14),(Y$149-Y$148)/Y$14) *Z$14 +Z$148</f>
        <v>37.832909317321537</v>
      </c>
      <c r="AA149" s="8">
        <f ca="1">IF(AA$6=OFFSET(Assumptions!$B$8,0,$C$1),AVERAGE((X$149-X$148)/X$14,(Y$149-Y$148)/Y$14,(Z$149-Z$148)/Z$14),(Z$149-Z$148)/Z$14) *AA$14 +AA$148</f>
        <v>39.34020818390271</v>
      </c>
      <c r="AB149" s="8">
        <f ca="1">IF(AB$6=OFFSET(Assumptions!$B$8,0,$C$1),AVERAGE((Y$149-Y$148)/Y$14,(Z$149-Z$148)/Z$14,(AA$149-AA$148)/AA$14),(AA$149-AA$148)/AA$14) *AB$14 +AB$148</f>
        <v>40.911090094237387</v>
      </c>
      <c r="AC149" s="8">
        <f ca="1">IF(AC$6=OFFSET(Assumptions!$B$8,0,$C$1),AVERAGE((Z$149-Z$148)/Z$14,(AA$149-AA$148)/AA$14,(AB$149-AB$148)/AB$14),(AB$149-AB$148)/AB$14) *AC$14 +AC$148</f>
        <v>42.551485340709519</v>
      </c>
      <c r="AD149" s="8">
        <f ca="1">IF(AD$6=OFFSET(Assumptions!$B$8,0,$C$1),AVERAGE((AA$149-AA$148)/AA$14,(AB$149-AB$148)/AB$14,(AC$149-AC$148)/AC$14),(AC$149-AC$148)/AC$14) *AD$14 +AD$148</f>
        <v>44.263122920144305</v>
      </c>
      <c r="AE149" s="8">
        <f ca="1">IF(AE$6=OFFSET(Assumptions!$B$8,0,$C$1),AVERAGE((AB$149-AB$148)/AB$14,(AC$149-AC$148)/AC$14,(AD$149-AD$148)/AD$14),(AD$149-AD$148)/AD$14) *AE$14 +AE$148</f>
        <v>46.044430921563013</v>
      </c>
      <c r="AF149" s="8">
        <f ca="1">IF(AF$6=OFFSET(Assumptions!$B$8,0,$C$1),AVERAGE((AC$149-AC$148)/AC$14,(AD$149-AD$148)/AD$14,(AE$149-AE$148)/AE$14),(AE$149-AE$148)/AE$14) *AF$14 +AF$148</f>
        <v>47.900337510968086</v>
      </c>
      <c r="AG149" s="8">
        <f ca="1">IF(AG$6=OFFSET(Assumptions!$B$8,0,$C$1),AVERAGE((AD$149-AD$148)/AD$14,(AE$149-AE$148)/AE$14,(AF$149-AF$148)/AF$14),(AF$149-AF$148)/AF$14) *AG$14 +AG$148</f>
        <v>49.831880433718823</v>
      </c>
      <c r="AH149" s="8">
        <f ca="1">IF(AH$6=OFFSET(Assumptions!$B$8,0,$C$1),AVERAGE((AE$149-AE$148)/AE$14,(AF$149-AF$148)/AF$14,(AG$149-AG$148)/AG$14),(AG$149-AG$148)/AG$14) *AH$14 +AH$148</f>
        <v>51.842157052914473</v>
      </c>
      <c r="AI149" s="8">
        <f ca="1">IF(AI$6=OFFSET(Assumptions!$B$8,0,$C$1),AVERAGE((AF$149-AF$148)/AF$14,(AG$149-AG$148)/AG$14,(AH$149-AH$148)/AH$14),(AH$149-AH$148)/AH$14) *AI$14 +AI$148</f>
        <v>53.92765474983225</v>
      </c>
      <c r="AJ149" s="8">
        <f ca="1">IF(AJ$6=OFFSET(Assumptions!$B$8,0,$C$1),AVERAGE((AG$149-AG$148)/AG$14,(AH$149-AH$148)/AH$14,(AI$149-AI$148)/AI$14),(AI$149-AI$148)/AI$14) *AJ$14 +AJ$148</f>
        <v>56.095054412660168</v>
      </c>
      <c r="AK149" s="8">
        <f ca="1">IF(AK$6=OFFSET(Assumptions!$B$8,0,$C$1),AVERAGE((AH$149-AH$148)/AH$14,(AI$149-AI$148)/AI$14,(AJ$149-AJ$148)/AJ$14),(AJ$149-AJ$148)/AJ$14) *AK$14 +AK$148</f>
        <v>58.342573071671936</v>
      </c>
      <c r="AL149" s="8">
        <f ca="1">IF(AL$6=OFFSET(Assumptions!$B$8,0,$C$1),AVERAGE((AI$149-AI$148)/AI$14,(AJ$149-AJ$148)/AJ$14,(AK$149-AK$148)/AK$14),(AK$149-AK$148)/AK$14) *AL$14 +AL$148</f>
        <v>60.6684402944149</v>
      </c>
      <c r="AM149" s="8">
        <f ca="1">IF(AM$6=OFFSET(Assumptions!$B$8,0,$C$1),AVERAGE((AJ$149-AJ$148)/AJ$14,(AK$149-AK$148)/AK$14,(AL$149-AL$148)/AL$14),(AL$149-AL$148)/AL$14) *AM$14 +AM$148</f>
        <v>63.075833518390425</v>
      </c>
      <c r="AN149" s="8">
        <f ca="1">IF(AN$6=OFFSET(Assumptions!$B$8,0,$C$1),AVERAGE((AK$149-AK$148)/AK$14,(AL$149-AL$148)/AL$14,(AM$149-AM$148)/AM$14),(AM$149-AM$148)/AM$14) *AN$14 +AN$148</f>
        <v>65.568101404259664</v>
      </c>
      <c r="AO149" s="8">
        <f ca="1">IF(AO$6=OFFSET(Assumptions!$B$8,0,$C$1),AVERAGE((AL$149-AL$148)/AL$14,(AM$149-AM$148)/AM$14,(AN$149-AN$148)/AN$14),(AN$149-AN$148)/AN$14) *AO$14 +AO$148</f>
        <v>68.135457677900959</v>
      </c>
      <c r="AP149" s="8">
        <f ca="1">IF(AP$6=OFFSET(Assumptions!$B$8,0,$C$1),AVERAGE((AM$149-AM$148)/AM$14,(AN$149-AN$148)/AN$14,(AO$149-AO$148)/AO$14),(AO$149-AO$148)/AO$14) *AP$14 +AP$148</f>
        <v>70.788804605197427</v>
      </c>
      <c r="AQ149" s="8">
        <f ca="1">IF(AQ$6=OFFSET(Assumptions!$B$8,0,$C$1),AVERAGE((AN$149-AN$148)/AN$14,(AO$149-AO$148)/AO$14,(AP$149-AP$148)/AP$14),(AP$149-AP$148)/AP$14) *AQ$14 +AQ$148</f>
        <v>73.52070751643204</v>
      </c>
      <c r="AR149" s="8">
        <f ca="1">IF(AR$6=OFFSET(Assumptions!$B$8,0,$C$1),AVERAGE((AO$149-AO$148)/AO$14,(AP$149-AP$148)/AP$14,(AQ$149-AQ$148)/AQ$14),(AQ$149-AQ$148)/AQ$14) *AR$14 +AR$148</f>
        <v>76.33425941442917</v>
      </c>
      <c r="AS149" s="8">
        <f ca="1">IF(AS$6=OFFSET(Assumptions!$B$8,0,$C$1),AVERAGE((AP$149-AP$148)/AP$14,(AQ$149-AQ$148)/AQ$14,(AR$149-AR$148)/AR$14),(AR$149-AR$148)/AR$14) *AS$14 +AS$148</f>
        <v>79.236024234613083</v>
      </c>
      <c r="AT149" s="8">
        <f ca="1">IF(AT$6=OFFSET(Assumptions!$B$8,0,$C$1),AVERAGE((AQ$149-AQ$148)/AQ$14,(AR$149-AR$148)/AR$14,(AS$149-AS$148)/AS$14),(AS$149-AS$148)/AS$14) *AT$14 +AT$148</f>
        <v>82.22831952154452</v>
      </c>
      <c r="AU149" s="8">
        <f ca="1">IF(AU$6=OFFSET(Assumptions!$B$8,0,$C$1),AVERAGE((AR$149-AR$148)/AR$14,(AS$149-AS$148)/AS$14,(AT$149-AT$148)/AT$14),(AT$149-AT$148)/AT$14) *AU$14 +AU$148</f>
        <v>85.315124359941279</v>
      </c>
      <c r="AV149" s="8">
        <f ca="1">IF(AV$6=OFFSET(Assumptions!$B$8,0,$C$1),AVERAGE((AS$149-AS$148)/AS$14,(AT$149-AT$148)/AT$14,(AU$149-AU$148)/AU$14),(AU$149-AU$148)/AU$14) *AV$14 +AV$148</f>
        <v>88.505982835709148</v>
      </c>
      <c r="AW149" s="8">
        <f ca="1">IF(AW$6=OFFSET(Assumptions!$B$8,0,$C$1),AVERAGE((AT$149-AT$148)/AT$14,(AU$149-AU$148)/AU$14,(AV$149-AV$148)/AV$14),(AV$149-AV$148)/AV$14) *AW$14 +AW$148</f>
        <v>91.799093529982528</v>
      </c>
    </row>
    <row r="150" spans="1:49" ht="15" x14ac:dyDescent="0.25">
      <c r="A150" s="2"/>
      <c r="B150" s="4"/>
      <c r="D150" s="47"/>
      <c r="E150" s="44"/>
      <c r="F150" s="44"/>
      <c r="G150" s="44"/>
      <c r="H150" s="44"/>
      <c r="I150" s="8"/>
      <c r="J150" s="8"/>
      <c r="K150" s="8"/>
      <c r="L150" s="8"/>
      <c r="M150" s="8"/>
      <c r="N150" s="8"/>
      <c r="O150" s="8"/>
      <c r="P150" s="8"/>
      <c r="Q150" s="8"/>
      <c r="R150" s="8"/>
      <c r="S150" s="8"/>
    </row>
    <row r="151" spans="1:49" x14ac:dyDescent="0.2">
      <c r="A151" s="22" t="s">
        <v>155</v>
      </c>
    </row>
    <row r="152" spans="1:49" x14ac:dyDescent="0.2">
      <c r="A152" s="1" t="s">
        <v>687</v>
      </c>
      <c r="D152" s="18">
        <f t="shared" ref="D152:AW152" si="134">D$389</f>
        <v>0.60399999999999998</v>
      </c>
      <c r="E152" s="19">
        <f t="shared" si="134"/>
        <v>0.59399999999999997</v>
      </c>
      <c r="F152" s="19">
        <f t="shared" si="134"/>
        <v>0.60799999999999998</v>
      </c>
      <c r="G152" s="19">
        <f t="shared" si="134"/>
        <v>0.61699999999999999</v>
      </c>
      <c r="H152" s="19">
        <f t="shared" si="134"/>
        <v>0.622</v>
      </c>
      <c r="I152" s="19">
        <f t="shared" si="134"/>
        <v>0.625</v>
      </c>
      <c r="J152" s="7">
        <f t="shared" si="134"/>
        <v>0.63900000000000001</v>
      </c>
      <c r="K152" s="7">
        <f t="shared" si="134"/>
        <v>0.66400000000000003</v>
      </c>
      <c r="L152" s="7">
        <f t="shared" si="134"/>
        <v>0.68400000000000005</v>
      </c>
      <c r="M152" s="7">
        <f t="shared" si="134"/>
        <v>0.71099999999999997</v>
      </c>
      <c r="N152" s="7">
        <f t="shared" si="134"/>
        <v>0.72899999999999998</v>
      </c>
      <c r="O152" s="7">
        <f t="shared" si="134"/>
        <v>0.746</v>
      </c>
      <c r="P152" s="7">
        <f t="shared" si="134"/>
        <v>0.76300000000000001</v>
      </c>
      <c r="Q152" s="7">
        <f t="shared" si="134"/>
        <v>0.78500000000000003</v>
      </c>
      <c r="R152" s="7">
        <f t="shared" si="134"/>
        <v>0.80400000000000005</v>
      </c>
      <c r="S152" s="7">
        <f t="shared" si="134"/>
        <v>0.82599999999999996</v>
      </c>
      <c r="T152" s="7">
        <f t="shared" si="134"/>
        <v>0.85</v>
      </c>
      <c r="U152" s="7">
        <f t="shared" si="134"/>
        <v>0.87</v>
      </c>
      <c r="V152" s="7">
        <f t="shared" si="134"/>
        <v>0.89300000000000002</v>
      </c>
      <c r="W152" s="7">
        <f t="shared" si="134"/>
        <v>0.91600000000000004</v>
      </c>
      <c r="X152" s="7">
        <f t="shared" si="134"/>
        <v>0.94100000000000006</v>
      </c>
      <c r="Y152" s="7">
        <f t="shared" si="134"/>
        <v>0.96400000000000008</v>
      </c>
      <c r="Z152" s="7">
        <f t="shared" si="134"/>
        <v>0.9890000000000001</v>
      </c>
      <c r="AA152" s="7">
        <f t="shared" si="134"/>
        <v>1.012</v>
      </c>
      <c r="AB152" s="7">
        <f t="shared" si="134"/>
        <v>1.0409999999999999</v>
      </c>
      <c r="AC152" s="7">
        <f t="shared" si="134"/>
        <v>1.0669999999999999</v>
      </c>
      <c r="AD152" s="7">
        <f t="shared" si="134"/>
        <v>1.0979999999999999</v>
      </c>
      <c r="AE152" s="7">
        <f t="shared" si="134"/>
        <v>1.1299999999999999</v>
      </c>
      <c r="AF152" s="7">
        <f t="shared" si="134"/>
        <v>1.1619999999999999</v>
      </c>
      <c r="AG152" s="7">
        <f t="shared" si="134"/>
        <v>1.2009999999999998</v>
      </c>
      <c r="AH152" s="7">
        <f t="shared" si="134"/>
        <v>1.2369999999999999</v>
      </c>
      <c r="AI152" s="7">
        <f t="shared" si="134"/>
        <v>1.2749999999999999</v>
      </c>
      <c r="AJ152" s="7">
        <f t="shared" si="134"/>
        <v>1.3129999999999999</v>
      </c>
      <c r="AK152" s="7">
        <f t="shared" si="134"/>
        <v>1.3499999999999999</v>
      </c>
      <c r="AL152" s="7">
        <f t="shared" si="134"/>
        <v>1.3939999999999999</v>
      </c>
      <c r="AM152" s="7">
        <f t="shared" si="134"/>
        <v>1.4309999999999998</v>
      </c>
      <c r="AN152" s="7">
        <f t="shared" si="134"/>
        <v>1.4729999999999999</v>
      </c>
      <c r="AO152" s="7">
        <f t="shared" si="134"/>
        <v>1.5119999999999998</v>
      </c>
      <c r="AP152" s="7">
        <f t="shared" si="134"/>
        <v>1.5539999999999998</v>
      </c>
      <c r="AQ152" s="7">
        <f t="shared" si="134"/>
        <v>1.5929999999999997</v>
      </c>
      <c r="AR152" s="7">
        <f t="shared" si="134"/>
        <v>1.6349999999999998</v>
      </c>
      <c r="AS152" s="7">
        <f t="shared" si="134"/>
        <v>1.6749999999999998</v>
      </c>
      <c r="AT152" s="7">
        <f t="shared" si="134"/>
        <v>1.7189999999999999</v>
      </c>
      <c r="AU152" s="7">
        <f t="shared" si="134"/>
        <v>1.7599999999999998</v>
      </c>
      <c r="AV152" s="7">
        <f t="shared" si="134"/>
        <v>1.7989999999999997</v>
      </c>
      <c r="AW152" s="7">
        <f t="shared" si="134"/>
        <v>1.8419999999999996</v>
      </c>
    </row>
    <row r="153" spans="1:49" x14ac:dyDescent="0.2">
      <c r="A153" s="1" t="s">
        <v>688</v>
      </c>
      <c r="D153" s="18">
        <f t="shared" ref="D153:I153" si="135">D$363-D$365</f>
        <v>0.56200000000000006</v>
      </c>
      <c r="E153" s="19">
        <f t="shared" si="135"/>
        <v>0.19099999999999995</v>
      </c>
      <c r="F153" s="19">
        <f t="shared" si="135"/>
        <v>0.63</v>
      </c>
      <c r="G153" s="19">
        <f t="shared" si="135"/>
        <v>0.67700000000000005</v>
      </c>
      <c r="H153" s="19">
        <f t="shared" si="135"/>
        <v>0.73</v>
      </c>
      <c r="I153" s="19">
        <f t="shared" si="135"/>
        <v>0.78799999999999992</v>
      </c>
      <c r="J153" s="7">
        <f t="shared" ref="J153:AW153" ca="1" si="136">J$363-J$365</f>
        <v>0.70440856539395513</v>
      </c>
      <c r="K153" s="7">
        <f t="shared" ca="1" si="136"/>
        <v>0.8173590591788662</v>
      </c>
      <c r="L153" s="7">
        <f t="shared" ca="1" si="136"/>
        <v>0.939510085157931</v>
      </c>
      <c r="M153" s="7">
        <f t="shared" ca="1" si="136"/>
        <v>1.0707254409545628</v>
      </c>
      <c r="N153" s="7">
        <f t="shared" ca="1" si="136"/>
        <v>1.2033577593693323</v>
      </c>
      <c r="O153" s="7">
        <f t="shared" ca="1" si="136"/>
        <v>1.3177337288104733</v>
      </c>
      <c r="P153" s="7">
        <f t="shared" ca="1" si="136"/>
        <v>1.4330984056097051</v>
      </c>
      <c r="Q153" s="7">
        <f t="shared" ca="1" si="136"/>
        <v>1.5489782132719752</v>
      </c>
      <c r="R153" s="7">
        <f t="shared" ca="1" si="136"/>
        <v>1.6653267984868729</v>
      </c>
      <c r="S153" s="7">
        <f t="shared" ca="1" si="136"/>
        <v>1.7825549807031975</v>
      </c>
      <c r="T153" s="7">
        <f t="shared" ca="1" si="136"/>
        <v>1.9011663804694277</v>
      </c>
      <c r="U153" s="7">
        <f t="shared" ca="1" si="136"/>
        <v>2.0212031602367242</v>
      </c>
      <c r="V153" s="7">
        <f t="shared" ca="1" si="136"/>
        <v>2.1424623944845842</v>
      </c>
      <c r="W153" s="7">
        <f t="shared" ca="1" si="136"/>
        <v>2.2647167936328292</v>
      </c>
      <c r="X153" s="7">
        <f t="shared" ca="1" si="136"/>
        <v>2.387983497758392</v>
      </c>
      <c r="Y153" s="7">
        <f t="shared" ca="1" si="136"/>
        <v>2.512086464623895</v>
      </c>
      <c r="Z153" s="7">
        <f t="shared" ca="1" si="136"/>
        <v>2.6370304304879517</v>
      </c>
      <c r="AA153" s="7">
        <f t="shared" ca="1" si="136"/>
        <v>2.7638666201188622</v>
      </c>
      <c r="AB153" s="7">
        <f t="shared" ca="1" si="136"/>
        <v>2.8941922411896193</v>
      </c>
      <c r="AC153" s="7">
        <f t="shared" ca="1" si="136"/>
        <v>3.030000714329387</v>
      </c>
      <c r="AD153" s="7">
        <f t="shared" ca="1" si="136"/>
        <v>3.1736140868119502</v>
      </c>
      <c r="AE153" s="7">
        <f t="shared" ca="1" si="136"/>
        <v>3.3269032412140933</v>
      </c>
      <c r="AF153" s="7">
        <f t="shared" ca="1" si="136"/>
        <v>3.4914777646249098</v>
      </c>
      <c r="AG153" s="7">
        <f t="shared" ca="1" si="136"/>
        <v>3.6686825666682639</v>
      </c>
      <c r="AH153" s="7">
        <f t="shared" ca="1" si="136"/>
        <v>3.8594562724711281</v>
      </c>
      <c r="AI153" s="7">
        <f t="shared" ca="1" si="136"/>
        <v>4.0650009849409852</v>
      </c>
      <c r="AJ153" s="7">
        <f t="shared" ca="1" si="136"/>
        <v>4.2863708672788379</v>
      </c>
      <c r="AK153" s="7">
        <f t="shared" ca="1" si="136"/>
        <v>4.5242938072677301</v>
      </c>
      <c r="AL153" s="7">
        <f t="shared" ca="1" si="136"/>
        <v>4.7794827108155777</v>
      </c>
      <c r="AM153" s="7">
        <f t="shared" ca="1" si="136"/>
        <v>5.0529859196277371</v>
      </c>
      <c r="AN153" s="7">
        <f t="shared" ca="1" si="136"/>
        <v>5.3454473351050522</v>
      </c>
      <c r="AO153" s="7">
        <f t="shared" ca="1" si="136"/>
        <v>5.656860456289392</v>
      </c>
      <c r="AP153" s="7">
        <f t="shared" ca="1" si="136"/>
        <v>5.9863051778111629</v>
      </c>
      <c r="AQ153" s="7">
        <f t="shared" ca="1" si="136"/>
        <v>6.3322471385735275</v>
      </c>
      <c r="AR153" s="7">
        <f t="shared" ca="1" si="136"/>
        <v>6.6926032129788888</v>
      </c>
      <c r="AS153" s="7">
        <f t="shared" ca="1" si="136"/>
        <v>7.0647057583182651</v>
      </c>
      <c r="AT153" s="7">
        <f t="shared" ca="1" si="136"/>
        <v>7.4475618574385276</v>
      </c>
      <c r="AU153" s="7">
        <f t="shared" ca="1" si="136"/>
        <v>7.8414188593573542</v>
      </c>
      <c r="AV153" s="7">
        <f t="shared" ca="1" si="136"/>
        <v>8.2463582428851421</v>
      </c>
      <c r="AW153" s="7">
        <f t="shared" ca="1" si="136"/>
        <v>8.6623120761321282</v>
      </c>
    </row>
    <row r="154" spans="1:49" x14ac:dyDescent="0.2">
      <c r="A154" s="1" t="s">
        <v>689</v>
      </c>
      <c r="B154" s="4" t="str">
        <f t="shared" ref="B154:B158" si="137">$B$43</f>
        <v>From Fiscal</v>
      </c>
      <c r="D154" s="18">
        <f>Fiscal!D$152-SUM(D$152:D$153)</f>
        <v>1.286</v>
      </c>
      <c r="E154" s="19">
        <f>Fiscal!E$152-SUM(E$152:E$153)</f>
        <v>1.619</v>
      </c>
      <c r="F154" s="19">
        <f>Fiscal!F$152-SUM(F$152:F$153)</f>
        <v>2.016</v>
      </c>
      <c r="G154" s="19">
        <f>Fiscal!G$152-SUM(G$152:G$153)</f>
        <v>1.6949999999999998</v>
      </c>
      <c r="H154" s="19">
        <f>Fiscal!H$152-SUM(H$152:H$153)</f>
        <v>1.8900000000000001</v>
      </c>
      <c r="I154" s="19">
        <f>Fiscal!I$152-SUM(I$152:I$153)</f>
        <v>2.0730000000000004</v>
      </c>
      <c r="J154" s="7">
        <f t="shared" ref="J154:AW154" ca="1" si="138">AVERAGE(SUM(I$334,I$347,I$356,I$380)-SUM(I$372-I$338,I$392),SUM(J$334,J$347,J$356,J$380)-SUM(J$372-J$338,J$392))*J$35</f>
        <v>1.5725482474241197</v>
      </c>
      <c r="K154" s="7">
        <f t="shared" ca="1" si="138"/>
        <v>1.7168122453429739</v>
      </c>
      <c r="L154" s="7">
        <f t="shared" ca="1" si="138"/>
        <v>1.8705710528842752</v>
      </c>
      <c r="M154" s="7">
        <f t="shared" ca="1" si="138"/>
        <v>2.0344592460487934</v>
      </c>
      <c r="N154" s="7">
        <f t="shared" ca="1" si="138"/>
        <v>2.186720742872919</v>
      </c>
      <c r="O154" s="7">
        <f t="shared" ca="1" si="138"/>
        <v>2.2814370210842729</v>
      </c>
      <c r="P154" s="7">
        <f t="shared" ca="1" si="138"/>
        <v>2.3783608165695784</v>
      </c>
      <c r="Q154" s="7">
        <f t="shared" ca="1" si="138"/>
        <v>2.4783750837324221</v>
      </c>
      <c r="R154" s="7">
        <f t="shared" ca="1" si="138"/>
        <v>2.5813889461402995</v>
      </c>
      <c r="S154" s="7">
        <f t="shared" ca="1" si="138"/>
        <v>2.6875307641822745</v>
      </c>
      <c r="T154" s="7">
        <f t="shared" ca="1" si="138"/>
        <v>2.7969862314629697</v>
      </c>
      <c r="U154" s="7">
        <f t="shared" ca="1" si="138"/>
        <v>2.909974408625597</v>
      </c>
      <c r="V154" s="7">
        <f t="shared" ca="1" si="138"/>
        <v>3.0268364620158867</v>
      </c>
      <c r="W154" s="7">
        <f t="shared" ca="1" si="138"/>
        <v>3.1478863488022353</v>
      </c>
      <c r="X154" s="7">
        <f t="shared" ca="1" si="138"/>
        <v>3.2734914297135558</v>
      </c>
      <c r="Y154" s="7">
        <f t="shared" ca="1" si="138"/>
        <v>3.4038403255687628</v>
      </c>
      <c r="Z154" s="7">
        <f t="shared" ca="1" si="138"/>
        <v>3.5392623788019386</v>
      </c>
      <c r="AA154" s="7">
        <f t="shared" ca="1" si="138"/>
        <v>3.6802052183937897</v>
      </c>
      <c r="AB154" s="7">
        <f t="shared" ca="1" si="138"/>
        <v>3.8269964499153826</v>
      </c>
      <c r="AC154" s="7">
        <f t="shared" ca="1" si="138"/>
        <v>3.9801347360550059</v>
      </c>
      <c r="AD154" s="7">
        <f t="shared" ca="1" si="138"/>
        <v>4.1399853303754197</v>
      </c>
      <c r="AE154" s="7">
        <f t="shared" ca="1" si="138"/>
        <v>4.3065557239327177</v>
      </c>
      <c r="AF154" s="7">
        <f t="shared" ca="1" si="138"/>
        <v>4.4800059686679452</v>
      </c>
      <c r="AG154" s="7">
        <f t="shared" ca="1" si="138"/>
        <v>4.6606205649205545</v>
      </c>
      <c r="AH154" s="7">
        <f t="shared" ca="1" si="138"/>
        <v>4.8485967063276663</v>
      </c>
      <c r="AI154" s="7">
        <f t="shared" ca="1" si="138"/>
        <v>5.0439145903212053</v>
      </c>
      <c r="AJ154" s="7">
        <f t="shared" ca="1" si="138"/>
        <v>5.2467253042512327</v>
      </c>
      <c r="AK154" s="7">
        <f t="shared" ca="1" si="138"/>
        <v>5.4572624183772636</v>
      </c>
      <c r="AL154" s="7">
        <f t="shared" ca="1" si="138"/>
        <v>5.6753564792721782</v>
      </c>
      <c r="AM154" s="7">
        <f t="shared" ca="1" si="138"/>
        <v>5.9010745837112522</v>
      </c>
      <c r="AN154" s="7">
        <f t="shared" ca="1" si="138"/>
        <v>6.1347279460304005</v>
      </c>
      <c r="AO154" s="7">
        <f t="shared" ca="1" si="138"/>
        <v>6.3760095715219025</v>
      </c>
      <c r="AP154" s="7">
        <f t="shared" ca="1" si="138"/>
        <v>6.6249726792189794</v>
      </c>
      <c r="AQ154" s="7">
        <f t="shared" ca="1" si="138"/>
        <v>6.88178263066097</v>
      </c>
      <c r="AR154" s="7">
        <f t="shared" ca="1" si="138"/>
        <v>7.1462323819228342</v>
      </c>
      <c r="AS154" s="7">
        <f t="shared" ca="1" si="138"/>
        <v>7.4187824497711281</v>
      </c>
      <c r="AT154" s="7">
        <f t="shared" ca="1" si="138"/>
        <v>7.6998563711840955</v>
      </c>
      <c r="AU154" s="7">
        <f t="shared" ca="1" si="138"/>
        <v>7.9897544176640283</v>
      </c>
      <c r="AV154" s="7">
        <f t="shared" ca="1" si="138"/>
        <v>8.289121477543933</v>
      </c>
      <c r="AW154" s="7">
        <f t="shared" ca="1" si="138"/>
        <v>8.5983267804800434</v>
      </c>
    </row>
    <row r="155" spans="1:49" ht="15" x14ac:dyDescent="0.25">
      <c r="A155" s="2" t="s">
        <v>690</v>
      </c>
      <c r="D155" s="40">
        <f t="shared" ref="D155:I155" si="139">SUM(D$152:D$154)</f>
        <v>2.452</v>
      </c>
      <c r="E155" s="39">
        <f t="shared" si="139"/>
        <v>2.4039999999999999</v>
      </c>
      <c r="F155" s="39">
        <f t="shared" si="139"/>
        <v>3.254</v>
      </c>
      <c r="G155" s="39">
        <f t="shared" si="139"/>
        <v>2.9889999999999999</v>
      </c>
      <c r="H155" s="39">
        <f t="shared" si="139"/>
        <v>3.242</v>
      </c>
      <c r="I155" s="39">
        <f t="shared" si="139"/>
        <v>3.4860000000000002</v>
      </c>
      <c r="J155" s="43">
        <f t="shared" ref="J155:AW155" ca="1" si="140">SUM(J$152:J$154)</f>
        <v>2.9159568128180746</v>
      </c>
      <c r="K155" s="43">
        <f t="shared" ca="1" si="140"/>
        <v>3.1981713045218401</v>
      </c>
      <c r="L155" s="43">
        <f t="shared" ca="1" si="140"/>
        <v>3.4940811380422061</v>
      </c>
      <c r="M155" s="43">
        <f t="shared" ca="1" si="140"/>
        <v>3.8161846870033562</v>
      </c>
      <c r="N155" s="43">
        <f t="shared" ca="1" si="140"/>
        <v>4.1190785022422514</v>
      </c>
      <c r="O155" s="43">
        <f t="shared" ca="1" si="140"/>
        <v>4.3451707498947467</v>
      </c>
      <c r="P155" s="43">
        <f t="shared" ca="1" si="140"/>
        <v>4.5744592221792839</v>
      </c>
      <c r="Q155" s="43">
        <f t="shared" ca="1" si="140"/>
        <v>4.8123532970043978</v>
      </c>
      <c r="R155" s="43">
        <f t="shared" ca="1" si="140"/>
        <v>5.0507157446271727</v>
      </c>
      <c r="S155" s="43">
        <f t="shared" ca="1" si="140"/>
        <v>5.2960857448854721</v>
      </c>
      <c r="T155" s="43">
        <f t="shared" ca="1" si="140"/>
        <v>5.5481526119323972</v>
      </c>
      <c r="U155" s="43">
        <f t="shared" ca="1" si="140"/>
        <v>5.8011775688623217</v>
      </c>
      <c r="V155" s="43">
        <f t="shared" ca="1" si="140"/>
        <v>6.0622988565004707</v>
      </c>
      <c r="W155" s="43">
        <f t="shared" ca="1" si="140"/>
        <v>6.3286031424350639</v>
      </c>
      <c r="X155" s="43">
        <f t="shared" ca="1" si="140"/>
        <v>6.6024749274719472</v>
      </c>
      <c r="Y155" s="43">
        <f t="shared" ca="1" si="140"/>
        <v>6.8799267901926573</v>
      </c>
      <c r="Z155" s="43">
        <f t="shared" ca="1" si="140"/>
        <v>7.1652928092898911</v>
      </c>
      <c r="AA155" s="43">
        <f t="shared" ca="1" si="140"/>
        <v>7.4560718385126519</v>
      </c>
      <c r="AB155" s="43">
        <f t="shared" ca="1" si="140"/>
        <v>7.7621886911050018</v>
      </c>
      <c r="AC155" s="43">
        <f t="shared" ca="1" si="140"/>
        <v>8.0771354503843931</v>
      </c>
      <c r="AD155" s="43">
        <f t="shared" ca="1" si="140"/>
        <v>8.4115994171873698</v>
      </c>
      <c r="AE155" s="43">
        <f t="shared" ca="1" si="140"/>
        <v>8.7634589651468104</v>
      </c>
      <c r="AF155" s="43">
        <f t="shared" ca="1" si="140"/>
        <v>9.1334837332928558</v>
      </c>
      <c r="AG155" s="43">
        <f t="shared" ca="1" si="140"/>
        <v>9.530303131588818</v>
      </c>
      <c r="AH155" s="43">
        <f t="shared" ca="1" si="140"/>
        <v>9.9450529787987954</v>
      </c>
      <c r="AI155" s="43">
        <f t="shared" ca="1" si="140"/>
        <v>10.38391557526219</v>
      </c>
      <c r="AJ155" s="43">
        <f t="shared" ca="1" si="140"/>
        <v>10.846096171530071</v>
      </c>
      <c r="AK155" s="43">
        <f t="shared" ca="1" si="140"/>
        <v>11.331556225644993</v>
      </c>
      <c r="AL155" s="43">
        <f t="shared" ca="1" si="140"/>
        <v>11.848839190087755</v>
      </c>
      <c r="AM155" s="43">
        <f t="shared" ca="1" si="140"/>
        <v>12.385060503338989</v>
      </c>
      <c r="AN155" s="43">
        <f t="shared" ca="1" si="140"/>
        <v>12.953175281135453</v>
      </c>
      <c r="AO155" s="43">
        <f t="shared" ca="1" si="140"/>
        <v>13.544870027811294</v>
      </c>
      <c r="AP155" s="43">
        <f t="shared" ca="1" si="140"/>
        <v>14.165277857030143</v>
      </c>
      <c r="AQ155" s="43">
        <f t="shared" ca="1" si="140"/>
        <v>14.807029769234497</v>
      </c>
      <c r="AR155" s="43">
        <f t="shared" ca="1" si="140"/>
        <v>15.473835594901724</v>
      </c>
      <c r="AS155" s="43">
        <f t="shared" ca="1" si="140"/>
        <v>16.158488208089395</v>
      </c>
      <c r="AT155" s="43">
        <f t="shared" ca="1" si="140"/>
        <v>16.866418228622621</v>
      </c>
      <c r="AU155" s="43">
        <f t="shared" ca="1" si="140"/>
        <v>17.591173277021383</v>
      </c>
      <c r="AV155" s="43">
        <f t="shared" ca="1" si="140"/>
        <v>18.334479720429073</v>
      </c>
      <c r="AW155" s="43">
        <f t="shared" ca="1" si="140"/>
        <v>19.10263885661217</v>
      </c>
    </row>
    <row r="156" spans="1:49" x14ac:dyDescent="0.2">
      <c r="A156" s="1" t="s">
        <v>295</v>
      </c>
      <c r="B156" s="4" t="str">
        <f t="shared" si="137"/>
        <v>From Fiscal</v>
      </c>
      <c r="D156" s="18">
        <f>Fiscal!D$219</f>
        <v>1.429</v>
      </c>
      <c r="E156" s="19">
        <f>Fiscal!E$219</f>
        <v>1.47</v>
      </c>
      <c r="F156" s="19">
        <f>Fiscal!F$219</f>
        <v>1.411</v>
      </c>
      <c r="G156" s="19">
        <f>Fiscal!G$219</f>
        <v>1.43</v>
      </c>
      <c r="H156" s="19">
        <f>Fiscal!H$219</f>
        <v>1.4750000000000001</v>
      </c>
      <c r="I156" s="19">
        <f>Fiscal!I$219</f>
        <v>1.528</v>
      </c>
      <c r="J156" s="7">
        <f>I$156*Exogenous!Q$27/Exogenous!P$27</f>
        <v>1.5975413368759914</v>
      </c>
      <c r="K156" s="7">
        <f>J$156*Exogenous!R$27/Exogenous!Q$27</f>
        <v>1.676441547823813</v>
      </c>
      <c r="L156" s="7">
        <f>K$156*Exogenous!S$27/Exogenous!R$27</f>
        <v>1.7561794509410302</v>
      </c>
      <c r="M156" s="7">
        <f>L$156*Exogenous!T$27/Exogenous!S$27</f>
        <v>1.8383464429449301</v>
      </c>
      <c r="N156" s="7">
        <f>M$156*Exogenous!U$27/Exogenous!T$27</f>
        <v>1.9212845438006589</v>
      </c>
      <c r="O156" s="7">
        <f>N$156*Exogenous!V$27/Exogenous!U$27</f>
        <v>2.0066342092493894</v>
      </c>
      <c r="P156" s="7">
        <f>O$156*Exogenous!W$27/Exogenous!V$27</f>
        <v>2.0965721670652058</v>
      </c>
      <c r="Q156" s="7">
        <f>P$156*Exogenous!X$27/Exogenous!W$27</f>
        <v>2.1893108705312194</v>
      </c>
      <c r="R156" s="7">
        <f>Q$156*Exogenous!Y$27/Exogenous!X$27</f>
        <v>2.2841680297963842</v>
      </c>
      <c r="S156" s="7">
        <f>R$156*Exogenous!Z$27/Exogenous!Y$27</f>
        <v>2.3819423394643611</v>
      </c>
      <c r="T156" s="7">
        <f>S$156*Exogenous!AA$27/Exogenous!Z$27</f>
        <v>2.4830085397156605</v>
      </c>
      <c r="U156" s="7">
        <f>T$156*Exogenous!AB$27/Exogenous!AA$27</f>
        <v>2.5876800116656153</v>
      </c>
      <c r="V156" s="7">
        <f>U$156*Exogenous!AC$27/Exogenous!AB$27</f>
        <v>2.6962161716722113</v>
      </c>
      <c r="W156" s="7">
        <f>V$156*Exogenous!AD$27/Exogenous!AC$27</f>
        <v>2.8089616203798142</v>
      </c>
      <c r="X156" s="7">
        <f>W$156*Exogenous!AE$27/Exogenous!AD$27</f>
        <v>2.9261584364787194</v>
      </c>
      <c r="Y156" s="7">
        <f>X$156*Exogenous!AF$27/Exogenous!AE$27</f>
        <v>3.0477681197804412</v>
      </c>
      <c r="Z156" s="7">
        <f>Y$156*Exogenous!AG$27/Exogenous!AF$27</f>
        <v>3.1743036652581216</v>
      </c>
      <c r="AA156" s="7">
        <f>Z$156*Exogenous!AH$27/Exogenous!AG$27</f>
        <v>3.3065859835949452</v>
      </c>
      <c r="AB156" s="7">
        <f>AA$156*Exogenous!AI$27/Exogenous!AH$27</f>
        <v>3.4448969274017176</v>
      </c>
      <c r="AC156" s="7">
        <f>AB$156*Exogenous!AJ$27/Exogenous!AI$27</f>
        <v>3.5895168955811103</v>
      </c>
      <c r="AD156" s="7">
        <f>AC$156*Exogenous!AK$27/Exogenous!AJ$27</f>
        <v>3.741358603521971</v>
      </c>
      <c r="AE156" s="7">
        <f>AD$156*Exogenous!AL$27/Exogenous!AK$27</f>
        <v>3.9014160163730462</v>
      </c>
      <c r="AF156" s="7">
        <f>AE$156*Exogenous!AM$27/Exogenous!AL$27</f>
        <v>4.0698888895473511</v>
      </c>
      <c r="AG156" s="7">
        <f>AF$156*Exogenous!AN$27/Exogenous!AM$27</f>
        <v>4.2474155343024007</v>
      </c>
      <c r="AH156" s="7">
        <f>AG$156*Exogenous!AO$27/Exogenous!AN$27</f>
        <v>4.4348535823655606</v>
      </c>
      <c r="AI156" s="7">
        <f>AH$156*Exogenous!AP$27/Exogenous!AO$27</f>
        <v>4.6323909495293689</v>
      </c>
      <c r="AJ156" s="7">
        <f>AI$156*Exogenous!AQ$27/Exogenous!AP$27</f>
        <v>4.8407785685185356</v>
      </c>
      <c r="AK156" s="7">
        <f>AJ$156*Exogenous!AR$27/Exogenous!AQ$27</f>
        <v>5.061186761864291</v>
      </c>
      <c r="AL156" s="7">
        <f>AK$156*Exogenous!AS$27/Exogenous!AR$27</f>
        <v>5.2944225472176818</v>
      </c>
      <c r="AM156" s="7">
        <f>AL$156*Exogenous!AT$27/Exogenous!AS$27</f>
        <v>5.5412962151301279</v>
      </c>
      <c r="AN156" s="7">
        <f>AM$156*Exogenous!AU$27/Exogenous!AT$27</f>
        <v>5.8026690437791881</v>
      </c>
      <c r="AO156" s="7">
        <f>AN$156*Exogenous!AV$27/Exogenous!AU$27</f>
        <v>6.0794538329598282</v>
      </c>
      <c r="AP156" s="7">
        <f>AO$156*Exogenous!AW$27/Exogenous!AV$27</f>
        <v>6.3726147243235367</v>
      </c>
      <c r="AQ156" s="7">
        <f>AP$156*Exogenous!AX$27/Exogenous!AW$27</f>
        <v>6.6831727436938602</v>
      </c>
      <c r="AR156" s="7">
        <f>AQ$156*Exogenous!AY$27/Exogenous!AX$27</f>
        <v>7.0124279659162232</v>
      </c>
      <c r="AS156" s="7">
        <f>AR$156*Exogenous!AZ$27/Exogenous!AY$27</f>
        <v>7.3622226762533636</v>
      </c>
      <c r="AT156" s="7">
        <f>AS$156*Exogenous!BA$27/Exogenous!AZ$27</f>
        <v>7.7231615630266681</v>
      </c>
      <c r="AU156" s="7">
        <f>AT$156*Exogenous!BB$27/Exogenous!BA$27</f>
        <v>8.1017957689602245</v>
      </c>
      <c r="AV156" s="7">
        <f>AU$156*Exogenous!BC$27/Exogenous!BB$27</f>
        <v>8.4989928213049275</v>
      </c>
      <c r="AW156" s="7">
        <f>AV$156*Exogenous!BD$27/Exogenous!BC$27</f>
        <v>8.915662778532738</v>
      </c>
    </row>
    <row r="157" spans="1:49" x14ac:dyDescent="0.2">
      <c r="A157" s="1" t="s">
        <v>529</v>
      </c>
      <c r="B157" s="4" t="str">
        <f t="shared" si="137"/>
        <v>From Fiscal</v>
      </c>
      <c r="D157" s="18">
        <f>Fiscal!D$220</f>
        <v>1.0429999999999999</v>
      </c>
      <c r="E157" s="19">
        <f>Fiscal!E$220</f>
        <v>1.0609999999999999</v>
      </c>
      <c r="F157" s="19">
        <f>Fiscal!F$220</f>
        <v>1.1140000000000001</v>
      </c>
      <c r="G157" s="19">
        <f>Fiscal!G$220</f>
        <v>1.2669999999999999</v>
      </c>
      <c r="H157" s="19">
        <f>Fiscal!H$220</f>
        <v>1.347</v>
      </c>
      <c r="I157" s="19">
        <f>Fiscal!I$220</f>
        <v>1.4490000000000001</v>
      </c>
      <c r="J157" s="7">
        <f t="shared" ref="J157:AW157" ca="1" si="141">AVERAGE(SUM(I$335-I$334,I$349,I$358,I$381),SUM(J$335-J$334,J$349,J$358,J$381))*J$35</f>
        <v>1.3638596801259453</v>
      </c>
      <c r="K157" s="7">
        <f t="shared" ca="1" si="141"/>
        <v>1.4672887796928056</v>
      </c>
      <c r="L157" s="7">
        <f t="shared" ca="1" si="141"/>
        <v>1.5891514600005108</v>
      </c>
      <c r="M157" s="7">
        <f t="shared" ca="1" si="141"/>
        <v>1.7210134883049839</v>
      </c>
      <c r="N157" s="7">
        <f t="shared" ca="1" si="141"/>
        <v>1.8450919868057709</v>
      </c>
      <c r="O157" s="7">
        <f t="shared" ca="1" si="141"/>
        <v>1.9233936987075362</v>
      </c>
      <c r="P157" s="7">
        <f t="shared" ca="1" si="141"/>
        <v>2.0051065032988524</v>
      </c>
      <c r="Q157" s="7">
        <f t="shared" ca="1" si="141"/>
        <v>2.0894247682625906</v>
      </c>
      <c r="R157" s="7">
        <f t="shared" ca="1" si="141"/>
        <v>2.1762718790983171</v>
      </c>
      <c r="S157" s="7">
        <f t="shared" ca="1" si="141"/>
        <v>2.2657560516196655</v>
      </c>
      <c r="T157" s="7">
        <f t="shared" ca="1" si="141"/>
        <v>2.3580338371167748</v>
      </c>
      <c r="U157" s="7">
        <f t="shared" ca="1" si="141"/>
        <v>2.4532899173743692</v>
      </c>
      <c r="V157" s="7">
        <f t="shared" ca="1" si="141"/>
        <v>2.5518119168999505</v>
      </c>
      <c r="W157" s="7">
        <f t="shared" ca="1" si="141"/>
        <v>2.6538645211675318</v>
      </c>
      <c r="X157" s="7">
        <f t="shared" ca="1" si="141"/>
        <v>2.7597574381833465</v>
      </c>
      <c r="Y157" s="7">
        <f t="shared" ca="1" si="141"/>
        <v>2.8696496870617474</v>
      </c>
      <c r="Z157" s="7">
        <f t="shared" ca="1" si="141"/>
        <v>2.9838189240152775</v>
      </c>
      <c r="AA157" s="7">
        <f t="shared" ca="1" si="141"/>
        <v>3.1026425281926469</v>
      </c>
      <c r="AB157" s="7">
        <f t="shared" ca="1" si="141"/>
        <v>3.2263966915225484</v>
      </c>
      <c r="AC157" s="7">
        <f t="shared" ca="1" si="141"/>
        <v>3.3555018177520841</v>
      </c>
      <c r="AD157" s="7">
        <f t="shared" ca="1" si="141"/>
        <v>3.490265838415</v>
      </c>
      <c r="AE157" s="7">
        <f t="shared" ca="1" si="141"/>
        <v>3.6306950689387847</v>
      </c>
      <c r="AF157" s="7">
        <f t="shared" ca="1" si="141"/>
        <v>3.77692444309195</v>
      </c>
      <c r="AG157" s="7">
        <f t="shared" ca="1" si="141"/>
        <v>3.9291938124045309</v>
      </c>
      <c r="AH157" s="7">
        <f t="shared" ca="1" si="141"/>
        <v>4.0876694234113016</v>
      </c>
      <c r="AI157" s="7">
        <f t="shared" ca="1" si="141"/>
        <v>4.2523345813123168</v>
      </c>
      <c r="AJ157" s="7">
        <f t="shared" ca="1" si="141"/>
        <v>4.4233166621667799</v>
      </c>
      <c r="AK157" s="7">
        <f t="shared" ca="1" si="141"/>
        <v>4.6008125802708966</v>
      </c>
      <c r="AL157" s="7">
        <f t="shared" ca="1" si="141"/>
        <v>4.7846794758170432</v>
      </c>
      <c r="AM157" s="7">
        <f t="shared" ca="1" si="141"/>
        <v>4.9749739155715078</v>
      </c>
      <c r="AN157" s="7">
        <f t="shared" ca="1" si="141"/>
        <v>5.1719582726294533</v>
      </c>
      <c r="AO157" s="7">
        <f t="shared" ca="1" si="141"/>
        <v>5.3753737313054524</v>
      </c>
      <c r="AP157" s="7">
        <f t="shared" ca="1" si="141"/>
        <v>5.5852651585637085</v>
      </c>
      <c r="AQ157" s="7">
        <f t="shared" ca="1" si="141"/>
        <v>5.8017719644952432</v>
      </c>
      <c r="AR157" s="7">
        <f t="shared" ca="1" si="141"/>
        <v>6.02471959815822</v>
      </c>
      <c r="AS157" s="7">
        <f t="shared" ca="1" si="141"/>
        <v>6.2544963039086081</v>
      </c>
      <c r="AT157" s="7">
        <f t="shared" ca="1" si="141"/>
        <v>6.4914591498344549</v>
      </c>
      <c r="AU157" s="7">
        <f t="shared" ca="1" si="141"/>
        <v>6.7358612835396956</v>
      </c>
      <c r="AV157" s="7">
        <f t="shared" ca="1" si="141"/>
        <v>6.9882463861098101</v>
      </c>
      <c r="AW157" s="7">
        <f t="shared" ca="1" si="141"/>
        <v>7.2489257411733252</v>
      </c>
    </row>
    <row r="158" spans="1:49" x14ac:dyDescent="0.2">
      <c r="A158" s="1" t="s">
        <v>530</v>
      </c>
      <c r="B158" s="4" t="str">
        <f t="shared" si="137"/>
        <v>From Fiscal</v>
      </c>
      <c r="D158" s="18">
        <f>Fiscal!D$221</f>
        <v>-1.4</v>
      </c>
      <c r="E158" s="19">
        <f>Fiscal!E$221</f>
        <v>-1.214</v>
      </c>
      <c r="F158" s="19">
        <f>Fiscal!F$221</f>
        <v>-1.512</v>
      </c>
      <c r="G158" s="19">
        <f>Fiscal!G$221</f>
        <v>-1.1890000000000001</v>
      </c>
      <c r="H158" s="19">
        <f>Fiscal!H$221</f>
        <v>-1.2390000000000001</v>
      </c>
      <c r="I158" s="19">
        <f>Fiscal!I$221</f>
        <v>-1.29</v>
      </c>
      <c r="J158" s="7">
        <f ca="1">IF(J$6=OFFSET(Assumptions!$B$8,0,$C$1),AVERAGE(G$158/SUM(G$155:G$157),H$158/SUM(H$155:H$157),I$158/SUM(I$155:I$157)),I$158/SUM(I$155:I$157))*SUM(J$155:J$157)</f>
        <v>-1.200995727114279</v>
      </c>
      <c r="K158" s="7">
        <f ca="1">IF(K$6=OFFSET(Assumptions!$B$8,0,$C$1),AVERAGE(H$158/SUM(H$155:H$157),I$158/SUM(I$155:I$157),J$158/SUM(J$155:J$157)),J$158/SUM(J$155:J$157))*SUM(K$155:K$157)</f>
        <v>-1.2959219061349054</v>
      </c>
      <c r="L158" s="7">
        <f ca="1">IF(L$6=OFFSET(Assumptions!$B$8,0,$C$1),AVERAGE(I$158/SUM(I$155:I$157),J$158/SUM(J$155:J$157),K$158/SUM(K$155:K$157)),K$158/SUM(K$155:K$157))*SUM(L$155:L$157)</f>
        <v>-1.3975845753558525</v>
      </c>
      <c r="M158" s="7">
        <f ca="1">IF(M$6=OFFSET(Assumptions!$B$8,0,$C$1),AVERAGE(J$158/SUM(J$155:J$157),K$158/SUM(K$155:K$157),L$158/SUM(L$155:L$157)),L$158/SUM(L$155:L$157))*SUM(M$155:M$157)</f>
        <v>-1.5071394031379166</v>
      </c>
      <c r="N158" s="7">
        <f ca="1">IF(N$6=OFFSET(Assumptions!$B$8,0,$C$1),AVERAGE(K$158/SUM(K$155:K$157),L$158/SUM(L$155:L$157),M$158/SUM(M$155:M$157)),M$158/SUM(M$155:M$157))*SUM(N$155:N$157)</f>
        <v>-1.6113359225386952</v>
      </c>
      <c r="O158" s="7">
        <f ca="1">IF(O$6=OFFSET(Assumptions!$B$8,0,$C$1),AVERAGE(L$158/SUM(L$155:L$157),M$158/SUM(M$155:M$157),N$158/SUM(N$155:N$157)),N$158/SUM(N$155:N$157))*SUM(O$155:O$157)</f>
        <v>-1.6909772242684822</v>
      </c>
      <c r="P158" s="7">
        <f ca="1">IF(P$6=OFFSET(Assumptions!$B$8,0,$C$1),AVERAGE(M$158/SUM(M$155:M$157),N$158/SUM(N$155:N$157),O$158/SUM(O$155:O$157)),O$158/SUM(O$155:O$157))*SUM(P$155:P$157)</f>
        <v>-1.7729062681756</v>
      </c>
      <c r="Q158" s="7">
        <f ca="1">IF(Q$6=OFFSET(Assumptions!$B$8,0,$C$1),AVERAGE(N$158/SUM(N$155:N$157),O$158/SUM(O$155:O$157),P$158/SUM(P$155:P$157)),P$158/SUM(P$155:P$157))*SUM(Q$155:Q$157)</f>
        <v>-1.8576985242097994</v>
      </c>
      <c r="R158" s="7">
        <f ca="1">IF(R$6=OFFSET(Assumptions!$B$8,0,$C$1),AVERAGE(O$158/SUM(O$155:O$157),P$158/SUM(P$155:P$157),Q$158/SUM(Q$155:Q$157)),Q$158/SUM(Q$155:Q$157))*SUM(R$155:R$157)</f>
        <v>-1.9435361314640938</v>
      </c>
      <c r="S158" s="7">
        <f ca="1">IF(S$6=OFFSET(Assumptions!$B$8,0,$C$1),AVERAGE(P$158/SUM(P$155:P$157),Q$158/SUM(Q$155:Q$157),R$158/SUM(R$155:R$157)),R$158/SUM(R$155:R$157))*SUM(S$155:S$157)</f>
        <v>-2.0319406448342527</v>
      </c>
      <c r="T158" s="7">
        <f ca="1">IF(T$6=OFFSET(Assumptions!$B$8,0,$C$1),AVERAGE(Q$158/SUM(Q$155:Q$157),R$158/SUM(R$155:R$157),S$158/SUM(S$155:S$157)),S$158/SUM(S$155:S$157))*SUM(T$155:T$157)</f>
        <v>-2.122957143490062</v>
      </c>
      <c r="U158" s="7">
        <f ca="1">IF(U$6=OFFSET(Assumptions!$B$8,0,$C$1),AVERAGE(R$158/SUM(R$155:R$157),S$158/SUM(S$155:S$157),T$158/SUM(T$155:T$157)),T$158/SUM(T$155:T$157))*SUM(U$155:U$157)</f>
        <v>-2.2155147252829774</v>
      </c>
      <c r="V158" s="7">
        <f ca="1">IF(V$6=OFFSET(Assumptions!$B$8,0,$C$1),AVERAGE(S$158/SUM(S$155:S$157),T$158/SUM(T$155:T$157),U$158/SUM(U$155:U$157)),U$158/SUM(U$155:U$157))*SUM(V$155:V$157)</f>
        <v>-2.3111838221552881</v>
      </c>
      <c r="W158" s="7">
        <f ca="1">IF(W$6=OFFSET(Assumptions!$B$8,0,$C$1),AVERAGE(T$158/SUM(T$155:T$157),U$158/SUM(U$155:U$157),V$158/SUM(V$155:V$157)),V$158/SUM(V$155:V$157))*SUM(W$155:W$157)</f>
        <v>-2.4094936188472182</v>
      </c>
      <c r="X158" s="7">
        <f ca="1">IF(X$6=OFFSET(Assumptions!$B$8,0,$C$1),AVERAGE(U$158/SUM(U$155:U$157),V$158/SUM(V$155:V$157),W$158/SUM(W$155:W$157)),W$158/SUM(W$155:W$157))*SUM(X$155:X$157)</f>
        <v>-2.511044124554402</v>
      </c>
      <c r="Y158" s="7">
        <f ca="1">IF(Y$6=OFFSET(Assumptions!$B$8,0,$C$1),AVERAGE(V$158/SUM(V$155:V$157),W$158/SUM(W$155:W$157),X$158/SUM(X$155:X$157)),X$158/SUM(X$155:X$157))*SUM(Y$155:Y$157)</f>
        <v>-2.6150451656128832</v>
      </c>
      <c r="Z158" s="7">
        <f ca="1">IF(Z$6=OFFSET(Assumptions!$B$8,0,$C$1),AVERAGE(W$158/SUM(W$155:W$157),X$158/SUM(X$155:X$157),Y$158/SUM(Y$155:Y$157)),Y$158/SUM(Y$155:Y$157))*SUM(Z$155:Z$157)</f>
        <v>-2.7225439436504622</v>
      </c>
      <c r="AA158" s="7">
        <f ca="1">IF(AA$6=OFFSET(Assumptions!$B$8,0,$C$1),AVERAGE(X$158/SUM(X$155:X$157),Y$158/SUM(Y$155:Y$157),Z$158/SUM(Z$155:Z$157)),Z$158/SUM(Z$155:Z$157))*SUM(AA$155:AA$157)</f>
        <v>-2.833274229344763</v>
      </c>
      <c r="AB158" s="7">
        <f ca="1">IF(AB$6=OFFSET(Assumptions!$B$8,0,$C$1),AVERAGE(Y$158/SUM(Y$155:Y$157),Z$158/SUM(Z$155:Z$157),AA$158/SUM(AA$155:AA$157)),AA$158/SUM(AA$155:AA$157))*SUM(AB$155:AB$157)</f>
        <v>-2.9493781191565684</v>
      </c>
      <c r="AC158" s="7">
        <f ca="1">IF(AC$6=OFFSET(Assumptions!$B$8,0,$C$1),AVERAGE(Z$158/SUM(Z$155:Z$157),AA$158/SUM(AA$155:AA$157),AB$158/SUM(AB$155:AB$157)),AB$158/SUM(AB$155:AB$157))*SUM(AC$155:AC$157)</f>
        <v>-3.0696689711725953</v>
      </c>
      <c r="AD158" s="7">
        <f ca="1">IF(AD$6=OFFSET(Assumptions!$B$8,0,$C$1),AVERAGE(AA$158/SUM(AA$155:AA$157),AB$158/SUM(AB$155:AB$157),AC$158/SUM(AC$155:AC$157)),AC$158/SUM(AC$155:AC$157))*SUM(AD$155:AD$157)</f>
        <v>-3.1965800887225915</v>
      </c>
      <c r="AE158" s="7">
        <f ca="1">IF(AE$6=OFFSET(Assumptions!$B$8,0,$C$1),AVERAGE(AB$158/SUM(AB$155:AB$157),AC$158/SUM(AC$155:AC$157),AD$158/SUM(AD$155:AD$157)),AD$158/SUM(AD$155:AD$157))*SUM(AE$155:AE$157)</f>
        <v>-3.329882332873304</v>
      </c>
      <c r="AF158" s="7">
        <f ca="1">IF(AF$6=OFFSET(Assumptions!$B$8,0,$C$1),AVERAGE(AC$158/SUM(AC$155:AC$157),AD$158/SUM(AD$155:AD$157),AE$158/SUM(AE$155:AE$157)),AE$158/SUM(AE$155:AE$157))*SUM(AF$155:AF$157)</f>
        <v>-3.4698013651382809</v>
      </c>
      <c r="AG158" s="7">
        <f ca="1">IF(AG$6=OFFSET(Assumptions!$B$8,0,$C$1),AVERAGE(AD$158/SUM(AD$155:AD$157),AE$158/SUM(AE$155:AE$157),AF$158/SUM(AF$155:AF$157)),AF$158/SUM(AF$155:AF$157))*SUM(AG$155:AG$157)</f>
        <v>-3.6182799895086437</v>
      </c>
      <c r="AH158" s="7">
        <f ca="1">IF(AH$6=OFFSET(Assumptions!$B$8,0,$C$1),AVERAGE(AE$158/SUM(AE$155:AE$157),AF$158/SUM(AF$155:AF$157),AG$158/SUM(AG$155:AG$157)),AG$158/SUM(AG$155:AG$157))*SUM(AH$155:AH$157)</f>
        <v>-3.7737160965598133</v>
      </c>
      <c r="AI158" s="7">
        <f ca="1">IF(AI$6=OFFSET(Assumptions!$B$8,0,$C$1),AVERAGE(AF$158/SUM(AF$155:AF$157),AG$158/SUM(AG$155:AG$157),AH$158/SUM(AH$155:AH$157)),AH$158/SUM(AH$155:AH$157))*SUM(AI$155:AI$157)</f>
        <v>-3.9374079825998942</v>
      </c>
      <c r="AJ158" s="7">
        <f ca="1">IF(AJ$6=OFFSET(Assumptions!$B$8,0,$C$1),AVERAGE(AG$158/SUM(AG$155:AG$157),AH$158/SUM(AH$155:AH$157),AI$158/SUM(AI$155:AI$157)),AI$158/SUM(AI$155:AI$157))*SUM(AJ$155:AJ$157)</f>
        <v>-4.1093727223769561</v>
      </c>
      <c r="AK158" s="7">
        <f ca="1">IF(AK$6=OFFSET(Assumptions!$B$8,0,$C$1),AVERAGE(AH$158/SUM(AH$155:AH$157),AI$158/SUM(AI$155:AI$157),AJ$158/SUM(AJ$155:AJ$157)),AJ$158/SUM(AJ$155:AJ$157))*SUM(AK$155:AK$157)</f>
        <v>-4.2898818251146533</v>
      </c>
      <c r="AL158" s="7">
        <f ca="1">IF(AL$6=OFFSET(Assumptions!$B$8,0,$C$1),AVERAGE(AI$158/SUM(AI$155:AI$157),AJ$158/SUM(AJ$155:AJ$157),AK$158/SUM(AK$155:AK$157)),AK$158/SUM(AK$155:AK$157))*SUM(AL$155:AL$157)</f>
        <v>-4.4808167996434012</v>
      </c>
      <c r="AM158" s="7">
        <f ca="1">IF(AM$6=OFFSET(Assumptions!$B$8,0,$C$1),AVERAGE(AJ$158/SUM(AJ$155:AJ$157),AK$158/SUM(AK$155:AK$157),AL$158/SUM(AL$155:AL$157)),AL$158/SUM(AL$155:AL$157))*SUM(AM$155:AM$157)</f>
        <v>-4.6797219146951985</v>
      </c>
      <c r="AN158" s="7">
        <f ca="1">IF(AN$6=OFFSET(Assumptions!$B$8,0,$C$1),AVERAGE(AK$158/SUM(AK$155:AK$157),AL$158/SUM(AL$155:AL$157),AM$158/SUM(AM$155:AM$157)),AM$158/SUM(AM$155:AM$157))*SUM(AN$155:AN$157)</f>
        <v>-4.8894740648732018</v>
      </c>
      <c r="AO158" s="7">
        <f ca="1">IF(AO$6=OFFSET(Assumptions!$B$8,0,$C$1),AVERAGE(AL$158/SUM(AL$155:AL$157),AM$158/SUM(AM$155:AM$157),AN$158/SUM(AN$155:AN$157)),AN$158/SUM(AN$155:AN$157))*SUM(AO$155:AO$157)</f>
        <v>-5.1085080841764157</v>
      </c>
      <c r="AP158" s="7">
        <f ca="1">IF(AP$6=OFFSET(Assumptions!$B$8,0,$C$1),AVERAGE(AM$158/SUM(AM$155:AM$157),AN$158/SUM(AN$155:AN$157),AO$158/SUM(AO$155:AO$157)),AO$158/SUM(AO$155:AO$157))*SUM(AP$155:AP$157)</f>
        <v>-5.3380790710396262</v>
      </c>
      <c r="AQ158" s="7">
        <f ca="1">IF(AQ$6=OFFSET(Assumptions!$B$8,0,$C$1),AVERAGE(AN$158/SUM(AN$155:AN$157),AO$158/SUM(AO$155:AO$157),AP$158/SUM(AP$155:AP$157)),AP$158/SUM(AP$155:AP$157))*SUM(AQ$155:AQ$157)</f>
        <v>-5.5769183502140915</v>
      </c>
      <c r="AR158" s="7">
        <f ca="1">IF(AR$6=OFFSET(Assumptions!$B$8,0,$C$1),AVERAGE(AO$158/SUM(AO$155:AO$157),AP$158/SUM(AP$155:AP$157),AQ$158/SUM(AQ$155:AQ$157)),AQ$158/SUM(AQ$155:AQ$157))*SUM(AR$155:AR$157)</f>
        <v>-5.8260139915296172</v>
      </c>
      <c r="AS158" s="7">
        <f ca="1">IF(AS$6=OFFSET(Assumptions!$B$8,0,$C$1),AVERAGE(AP$158/SUM(AP$155:AP$157),AQ$158/SUM(AQ$155:AQ$157),AR$158/SUM(AR$155:AR$157)),AR$158/SUM(AR$155:AR$157))*SUM(AS$155:AS$157)</f>
        <v>-6.0843490633830193</v>
      </c>
      <c r="AT158" s="7">
        <f ca="1">IF(AT$6=OFFSET(Assumptions!$B$8,0,$C$1),AVERAGE(AQ$158/SUM(AQ$155:AQ$157),AR$158/SUM(AR$155:AR$157),AS$158/SUM(AS$155:AS$157)),AS$158/SUM(AS$155:AS$157))*SUM(AT$155:AT$157)</f>
        <v>-6.3511863738501724</v>
      </c>
      <c r="AU158" s="7">
        <f ca="1">IF(AU$6=OFFSET(Assumptions!$B$8,0,$C$1),AVERAGE(AR$158/SUM(AR$155:AR$157),AS$158/SUM(AS$155:AS$157),AT$158/SUM(AT$155:AT$157)),AT$158/SUM(AT$155:AT$157))*SUM(AU$155:AU$157)</f>
        <v>-6.6265978333774038</v>
      </c>
      <c r="AV158" s="7">
        <f ca="1">IF(AV$6=OFFSET(Assumptions!$B$8,0,$C$1),AVERAGE(AS$158/SUM(AS$155:AS$157),AT$158/SUM(AT$155:AT$157),AU$158/SUM(AU$155:AU$157)),AU$158/SUM(AU$155:AU$157))*SUM(AV$155:AV$157)</f>
        <v>-6.9112245829082823</v>
      </c>
      <c r="AW158" s="7">
        <f ca="1">IF(AW$6=OFFSET(Assumptions!$B$8,0,$C$1),AVERAGE(AT$158/SUM(AT$155:AT$157),AU$158/SUM(AU$155:AU$157),AV$158/SUM(AV$155:AV$157)),AV$158/SUM(AV$155:AV$157))*SUM(AW$155:AW$157)</f>
        <v>-7.2066038197002227</v>
      </c>
    </row>
    <row r="159" spans="1:49" ht="15" x14ac:dyDescent="0.25">
      <c r="A159" s="2" t="s">
        <v>691</v>
      </c>
      <c r="D159" s="40">
        <f t="shared" ref="D159:I159" si="142">SUM(D$155:D$158)</f>
        <v>3.5240000000000005</v>
      </c>
      <c r="E159" s="39">
        <f t="shared" si="142"/>
        <v>3.7209999999999996</v>
      </c>
      <c r="F159" s="39">
        <f t="shared" si="142"/>
        <v>4.2669999999999995</v>
      </c>
      <c r="G159" s="39">
        <f t="shared" si="142"/>
        <v>4.4969999999999999</v>
      </c>
      <c r="H159" s="39">
        <f t="shared" si="142"/>
        <v>4.8250000000000002</v>
      </c>
      <c r="I159" s="39">
        <f t="shared" si="142"/>
        <v>5.173</v>
      </c>
      <c r="J159" s="43">
        <f t="shared" ref="J159:AW159" ca="1" si="143">SUM(J$155:J$158)</f>
        <v>4.6763621027057329</v>
      </c>
      <c r="K159" s="43">
        <f t="shared" ca="1" si="143"/>
        <v>5.0459797259035524</v>
      </c>
      <c r="L159" s="43">
        <f t="shared" ca="1" si="143"/>
        <v>5.4418274736278942</v>
      </c>
      <c r="M159" s="43">
        <f t="shared" ca="1" si="143"/>
        <v>5.8684052151153541</v>
      </c>
      <c r="N159" s="43">
        <f t="shared" ca="1" si="143"/>
        <v>6.2741191103099858</v>
      </c>
      <c r="O159" s="43">
        <f t="shared" ca="1" si="143"/>
        <v>6.5842214335831892</v>
      </c>
      <c r="P159" s="43">
        <f t="shared" ca="1" si="143"/>
        <v>6.9032316243677432</v>
      </c>
      <c r="Q159" s="43">
        <f t="shared" ca="1" si="143"/>
        <v>7.2333904115884087</v>
      </c>
      <c r="R159" s="43">
        <f t="shared" ca="1" si="143"/>
        <v>7.5676195220577798</v>
      </c>
      <c r="S159" s="43">
        <f t="shared" ca="1" si="143"/>
        <v>7.9118434911352455</v>
      </c>
      <c r="T159" s="43">
        <f t="shared" ca="1" si="143"/>
        <v>8.2662378452747696</v>
      </c>
      <c r="U159" s="43">
        <f t="shared" ca="1" si="143"/>
        <v>8.6266327726193293</v>
      </c>
      <c r="V159" s="43">
        <f t="shared" ca="1" si="143"/>
        <v>8.999143122917344</v>
      </c>
      <c r="W159" s="43">
        <f t="shared" ca="1" si="143"/>
        <v>9.3819356651351917</v>
      </c>
      <c r="X159" s="43">
        <f t="shared" ca="1" si="143"/>
        <v>9.7773466775796098</v>
      </c>
      <c r="Y159" s="43">
        <f t="shared" ca="1" si="143"/>
        <v>10.182299431421962</v>
      </c>
      <c r="Z159" s="43">
        <f t="shared" ca="1" si="143"/>
        <v>10.600871454912829</v>
      </c>
      <c r="AA159" s="43">
        <f t="shared" ca="1" si="143"/>
        <v>11.03202612095548</v>
      </c>
      <c r="AB159" s="43">
        <f t="shared" ca="1" si="143"/>
        <v>11.484104190872699</v>
      </c>
      <c r="AC159" s="43">
        <f t="shared" ca="1" si="143"/>
        <v>11.952485192544993</v>
      </c>
      <c r="AD159" s="43">
        <f t="shared" ca="1" si="143"/>
        <v>12.446643770401751</v>
      </c>
      <c r="AE159" s="43">
        <f t="shared" ca="1" si="143"/>
        <v>12.96568771758534</v>
      </c>
      <c r="AF159" s="43">
        <f t="shared" ca="1" si="143"/>
        <v>13.510495700793875</v>
      </c>
      <c r="AG159" s="43">
        <f t="shared" ca="1" si="143"/>
        <v>14.088632488787106</v>
      </c>
      <c r="AH159" s="43">
        <f t="shared" ca="1" si="143"/>
        <v>14.693859888015844</v>
      </c>
      <c r="AI159" s="43">
        <f t="shared" ca="1" si="143"/>
        <v>15.331233123503985</v>
      </c>
      <c r="AJ159" s="43">
        <f t="shared" ca="1" si="143"/>
        <v>16.000818679838428</v>
      </c>
      <c r="AK159" s="43">
        <f t="shared" ca="1" si="143"/>
        <v>16.703673742665529</v>
      </c>
      <c r="AL159" s="43">
        <f t="shared" ca="1" si="143"/>
        <v>17.447124413479081</v>
      </c>
      <c r="AM159" s="43">
        <f t="shared" ca="1" si="143"/>
        <v>18.221608719345426</v>
      </c>
      <c r="AN159" s="43">
        <f t="shared" ca="1" si="143"/>
        <v>19.038328532670892</v>
      </c>
      <c r="AO159" s="43">
        <f t="shared" ca="1" si="143"/>
        <v>19.891189507900158</v>
      </c>
      <c r="AP159" s="43">
        <f t="shared" ca="1" si="143"/>
        <v>20.785078668877762</v>
      </c>
      <c r="AQ159" s="43">
        <f t="shared" ca="1" si="143"/>
        <v>21.715056127209508</v>
      </c>
      <c r="AR159" s="43">
        <f t="shared" ca="1" si="143"/>
        <v>22.68496916744655</v>
      </c>
      <c r="AS159" s="43">
        <f t="shared" ca="1" si="143"/>
        <v>23.690858124868345</v>
      </c>
      <c r="AT159" s="43">
        <f t="shared" ca="1" si="143"/>
        <v>24.729852567633571</v>
      </c>
      <c r="AU159" s="43">
        <f t="shared" ca="1" si="143"/>
        <v>25.802232496143901</v>
      </c>
      <c r="AV159" s="43">
        <f t="shared" ca="1" si="143"/>
        <v>26.910494344935529</v>
      </c>
      <c r="AW159" s="43">
        <f t="shared" ca="1" si="143"/>
        <v>28.060623556618008</v>
      </c>
    </row>
    <row r="160" spans="1:49" ht="15" x14ac:dyDescent="0.25">
      <c r="A160" s="2"/>
      <c r="D160" s="55"/>
      <c r="E160" s="56"/>
      <c r="F160" s="56"/>
      <c r="G160" s="56"/>
      <c r="H160" s="56"/>
      <c r="I160" s="56"/>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row>
    <row r="161" spans="1:49" x14ac:dyDescent="0.2">
      <c r="A161" s="22" t="s">
        <v>156</v>
      </c>
    </row>
    <row r="162" spans="1:49" ht="15" x14ac:dyDescent="0.25">
      <c r="A162" s="2" t="s">
        <v>468</v>
      </c>
      <c r="B162" s="4" t="str">
        <f t="shared" ref="B162:B163" si="144">$B$43</f>
        <v>From Fiscal</v>
      </c>
      <c r="D162" s="47">
        <f>Fiscal!D$153</f>
        <v>0.73899999999999999</v>
      </c>
      <c r="E162" s="44">
        <f>Fiscal!E$153</f>
        <v>0.59499999999999997</v>
      </c>
      <c r="F162" s="44">
        <f>Fiscal!F$153</f>
        <v>0.57299999999999995</v>
      </c>
      <c r="G162" s="44">
        <f>Fiscal!G$153</f>
        <v>0.54300000000000004</v>
      </c>
      <c r="H162" s="44">
        <f>Fiscal!H$153</f>
        <v>0.502</v>
      </c>
      <c r="I162" s="44">
        <f>Fiscal!I$153</f>
        <v>0.502</v>
      </c>
      <c r="J162" s="8">
        <f ca="1">IF(J$6=OFFSET(Assumptions!$B$8,0,$C$1),AVERAGE(G$162/G$14,H$162/H$14,I$162/I$14),I$162/I$14) *J$14</f>
        <v>0.56214703078952732</v>
      </c>
      <c r="K162" s="8">
        <f ca="1">IF(K$6=OFFSET(Assumptions!$B$8,0,$C$1),AVERAGE(H$162/H$14,I$162/I$14,J$162/J$14),J$162/J$14) *K$14</f>
        <v>0.58563926614108086</v>
      </c>
      <c r="L162" s="8">
        <f ca="1">IF(L$6=OFFSET(Assumptions!$B$8,0,$C$1),AVERAGE(I$162/I$14,J$162/J$14,K$162/K$14),K$162/K$14) *L$14</f>
        <v>0.61102397015372678</v>
      </c>
      <c r="M162" s="8">
        <f ca="1">IF(M$6=OFFSET(Assumptions!$B$8,0,$C$1),AVERAGE(J$162/J$14,K$162/K$14,L$162/L$14),L$162/L$14) *M$14</f>
        <v>0.63742414902654998</v>
      </c>
      <c r="N162" s="8">
        <f ca="1">IF(N$6=OFFSET(Assumptions!$B$8,0,$C$1),AVERAGE(K$162/K$14,L$162/L$14,M$162/M$14),M$162/M$14) *N$14</f>
        <v>0.66491464404429557</v>
      </c>
      <c r="O162" s="8">
        <f ca="1">IF(O$6=OFFSET(Assumptions!$B$8,0,$C$1),AVERAGE(L$162/L$14,M$162/M$14,N$162/N$14),N$162/N$14) *O$14</f>
        <v>0.69329767797789077</v>
      </c>
      <c r="P162" s="8">
        <f ca="1">IF(P$6=OFFSET(Assumptions!$B$8,0,$C$1),AVERAGE(M$162/M$14,N$162/N$14,O$162/O$14),O$162/O$14) *P$14</f>
        <v>0.72261647499939063</v>
      </c>
      <c r="Q162" s="8">
        <f ca="1">IF(Q$6=OFFSET(Assumptions!$B$8,0,$C$1),AVERAGE(N$162/N$14,O$162/O$14,P$162/P$14),P$162/P$14) *Q$14</f>
        <v>0.75283936542453067</v>
      </c>
      <c r="R162" s="8">
        <f ca="1">IF(R$6=OFFSET(Assumptions!$B$8,0,$C$1),AVERAGE(O$162/O$14,P$162/P$14,Q$162/Q$14),Q$162/Q$14) *R$14</f>
        <v>0.78394391729494017</v>
      </c>
      <c r="S162" s="8">
        <f ca="1">IF(S$6=OFFSET(Assumptions!$B$8,0,$C$1),AVERAGE(P$162/P$14,Q$162/Q$14,R$162/R$14),R$162/R$14) *S$14</f>
        <v>0.81602897960810872</v>
      </c>
      <c r="T162" s="8">
        <f ca="1">IF(T$6=OFFSET(Assumptions!$B$8,0,$C$1),AVERAGE(Q$162/Q$14,R$162/R$14,S$162/S$14),S$162/S$14) *T$14</f>
        <v>0.84910625269996642</v>
      </c>
      <c r="U162" s="8">
        <f ca="1">IF(U$6=OFFSET(Assumptions!$B$8,0,$C$1),AVERAGE(R$162/R$14,S$162/S$14,T$162/T$14),T$162/T$14) *U$14</f>
        <v>0.8832944500317339</v>
      </c>
      <c r="V162" s="8">
        <f ca="1">IF(V$6=OFFSET(Assumptions!$B$8,0,$C$1),AVERAGE(S$162/S$14,T$162/T$14,U$162/U$14),U$162/U$14) *V$14</f>
        <v>0.91867796536379975</v>
      </c>
      <c r="W162" s="8">
        <f ca="1">IF(W$6=OFFSET(Assumptions!$B$8,0,$C$1),AVERAGE(T$162/T$14,U$162/U$14,V$162/V$14),V$162/V$14) *W$14</f>
        <v>0.95535931366512539</v>
      </c>
      <c r="X162" s="8">
        <f ca="1">IF(X$6=OFFSET(Assumptions!$B$8,0,$C$1),AVERAGE(U$162/U$14,V$162/V$14,W$162/W$14),W$162/W$14) *X$14</f>
        <v>0.99345468154125138</v>
      </c>
      <c r="Y162" s="8">
        <f ca="1">IF(Y$6=OFFSET(Assumptions!$B$8,0,$C$1),AVERAGE(V$162/V$14,W$162/W$14,X$162/X$14),X$162/X$14) *Y$14</f>
        <v>1.0329601743842123</v>
      </c>
      <c r="Z162" s="8">
        <f ca="1">IF(Z$6=OFFSET(Assumptions!$B$8,0,$C$1),AVERAGE(W$162/W$14,X$162/X$14,Y$162/Y$14),Y$162/Y$14) *Z$14</f>
        <v>1.0740757548713533</v>
      </c>
      <c r="AA162" s="8">
        <f ca="1">IF(AA$6=OFFSET(Assumptions!$B$8,0,$C$1),AVERAGE(X$162/X$14,Y$162/Y$14,Z$162/Z$14),Z$162/Z$14) *AA$14</f>
        <v>1.1168679481536894</v>
      </c>
      <c r="AB162" s="8">
        <f ca="1">IF(AB$6=OFFSET(Assumptions!$B$8,0,$C$1),AVERAGE(Y$162/Y$14,Z$162/Z$14,AA$162/AA$14),AA$162/AA$14) *AB$14</f>
        <v>1.1614652631395603</v>
      </c>
      <c r="AC162" s="8">
        <f ca="1">IF(AC$6=OFFSET(Assumptions!$B$8,0,$C$1),AVERAGE(Z$162/Z$14,AA$162/AA$14,AB$162/AB$14),AB$162/AB$14) *AC$14</f>
        <v>1.208036060745</v>
      </c>
      <c r="AD162" s="8">
        <f ca="1">IF(AD$6=OFFSET(Assumptions!$B$8,0,$C$1),AVERAGE(AA$162/AA$14,AB$162/AB$14,AC$162/AC$14),AC$162/AC$14) *AD$14</f>
        <v>1.2566294271651679</v>
      </c>
      <c r="AE162" s="8">
        <f ca="1">IF(AE$6=OFFSET(Assumptions!$B$8,0,$C$1),AVERAGE(AB$162/AB$14,AC$162/AC$14,AD$162/AD$14),AD$162/AD$14) *AE$14</f>
        <v>1.3072007358698414</v>
      </c>
      <c r="AF162" s="8">
        <f ca="1">IF(AF$6=OFFSET(Assumptions!$B$8,0,$C$1),AVERAGE(AC$162/AC$14,AD$162/AD$14,AE$162/AE$14),AE$162/AE$14) *AF$14</f>
        <v>1.359889897421404</v>
      </c>
      <c r="AG162" s="8">
        <f ca="1">IF(AG$6=OFFSET(Assumptions!$B$8,0,$C$1),AVERAGE(AD$162/AD$14,AE$162/AE$14,AF$162/AF$14),AF$162/AF$14) *AG$14</f>
        <v>1.4147263733957767</v>
      </c>
      <c r="AH162" s="8">
        <f ca="1">IF(AH$6=OFFSET(Assumptions!$B$8,0,$C$1),AVERAGE(AE$162/AE$14,AF$162/AF$14,AG$162/AG$14),AG$162/AG$14) *AH$14</f>
        <v>1.4717980978870846</v>
      </c>
      <c r="AI162" s="8">
        <f ca="1">IF(AI$6=OFFSET(Assumptions!$B$8,0,$C$1),AVERAGE(AF$162/AF$14,AG$162/AG$14,AH$162/AH$14),AH$162/AH$14) *AI$14</f>
        <v>1.5310053476999841</v>
      </c>
      <c r="AJ162" s="8">
        <f ca="1">IF(AJ$6=OFFSET(Assumptions!$B$8,0,$C$1),AVERAGE(AG$162/AG$14,AH$162/AH$14,AI$162/AI$14),AI$162/AI$14) *AJ$14</f>
        <v>1.5925377931546607</v>
      </c>
      <c r="AK162" s="8">
        <f ca="1">IF(AK$6=OFFSET(Assumptions!$B$8,0,$C$1),AVERAGE(AH$162/AH$14,AI$162/AI$14,AJ$162/AJ$14),AJ$162/AJ$14) *AK$14</f>
        <v>1.6563448157660643</v>
      </c>
      <c r="AL162" s="8">
        <f ca="1">IF(AL$6=OFFSET(Assumptions!$B$8,0,$C$1),AVERAGE(AI$162/AI$14,AJ$162/AJ$14,AK$162/AK$14),AK$162/AK$14) *AL$14</f>
        <v>1.7223761529821642</v>
      </c>
      <c r="AM162" s="8">
        <f ca="1">IF(AM$6=OFFSET(Assumptions!$B$8,0,$C$1),AVERAGE(AJ$162/AJ$14,AK$162/AK$14,AL$162/AL$14),AL$162/AL$14) *AM$14</f>
        <v>1.7907220122082175</v>
      </c>
      <c r="AN162" s="8">
        <f ca="1">IF(AN$6=OFFSET(Assumptions!$B$8,0,$C$1),AVERAGE(AK$162/AK$14,AL$162/AL$14,AM$162/AM$14),AM$162/AM$14) *AN$14</f>
        <v>1.86147746187254</v>
      </c>
      <c r="AO162" s="8">
        <f ca="1">IF(AO$6=OFFSET(Assumptions!$B$8,0,$C$1),AVERAGE(AL$162/AL$14,AM$162/AM$14,AN$162/AN$14),AN$162/AN$14) *AO$14</f>
        <v>1.9343646697926686</v>
      </c>
      <c r="AP162" s="8">
        <f ca="1">IF(AP$6=OFFSET(Assumptions!$B$8,0,$C$1),AVERAGE(AM$162/AM$14,AN$162/AN$14,AO$162/AO$14),AO$162/AO$14) *AP$14</f>
        <v>2.0096931511412266</v>
      </c>
      <c r="AQ162" s="8">
        <f ca="1">IF(AQ$6=OFFSET(Assumptions!$B$8,0,$C$1),AVERAGE(AN$162/AN$14,AO$162/AO$14,AP$162/AP$14),AP$162/AP$14) *AQ$14</f>
        <v>2.087251835751192</v>
      </c>
      <c r="AR162" s="8">
        <f ca="1">IF(AR$6=OFFSET(Assumptions!$B$8,0,$C$1),AVERAGE(AO$162/AO$14,AP$162/AP$14,AQ$162/AQ$14),AQ$162/AQ$14) *AR$14</f>
        <v>2.1671285339285489</v>
      </c>
      <c r="AS162" s="8">
        <f ca="1">IF(AS$6=OFFSET(Assumptions!$B$8,0,$C$1),AVERAGE(AP$162/AP$14,AQ$162/AQ$14,AR$162/AR$14),AR$162/AR$14) *AS$14</f>
        <v>2.2495095957061908</v>
      </c>
      <c r="AT162" s="8">
        <f ca="1">IF(AT$6=OFFSET(Assumptions!$B$8,0,$C$1),AVERAGE(AQ$162/AQ$14,AR$162/AR$14,AS$162/AS$14),AS$162/AS$14) *AT$14</f>
        <v>2.3344608161410778</v>
      </c>
      <c r="AU162" s="8">
        <f ca="1">IF(AU$6=OFFSET(Assumptions!$B$8,0,$C$1),AVERAGE(AR$162/AR$14,AS$162/AS$14,AT$162/AT$14),AT$162/AT$14) *AU$14</f>
        <v>2.4220951613914865</v>
      </c>
      <c r="AV162" s="8">
        <f ca="1">IF(AV$6=OFFSET(Assumptions!$B$8,0,$C$1),AVERAGE(AS$162/AS$14,AT$162/AT$14,AU$162/AU$14),AU$162/AU$14) *AV$14</f>
        <v>2.5126835879198928</v>
      </c>
      <c r="AW162" s="8">
        <f ca="1">IF(AW$6=OFFSET(Assumptions!$B$8,0,$C$1),AVERAGE(AT$162/AT$14,AU$162/AU$14,AV$162/AV$14),AV$162/AV$14) *AW$14</f>
        <v>2.606174953470445</v>
      </c>
    </row>
    <row r="163" spans="1:49" ht="15" x14ac:dyDescent="0.25">
      <c r="A163" s="2" t="s">
        <v>469</v>
      </c>
      <c r="B163" s="4" t="str">
        <f t="shared" si="144"/>
        <v>From Fiscal</v>
      </c>
      <c r="D163" s="47">
        <f>Fiscal!D$13</f>
        <v>3.6150000000000002</v>
      </c>
      <c r="E163" s="44">
        <f>Fiscal!E$13</f>
        <v>3.6070000000000002</v>
      </c>
      <c r="F163" s="44">
        <f>Fiscal!F$13</f>
        <v>3.6150000000000002</v>
      </c>
      <c r="G163" s="44">
        <f>Fiscal!G$13</f>
        <v>3.6880000000000002</v>
      </c>
      <c r="H163" s="44">
        <f>Fiscal!H$13</f>
        <v>3.746</v>
      </c>
      <c r="I163" s="44">
        <f>Fiscal!I$13</f>
        <v>3.8780000000000001</v>
      </c>
      <c r="J163" s="8">
        <f ca="1">IF(J$6=OFFSET(Assumptions!$B$8,0,$C$1),AVERAGE((G$163-G$162)/G$14,(H$163-H$162)/H$14,(I$163-I$162)/I$14),(I$163-I$162)/I$14) *J$14 +J$162</f>
        <v>4.1024364994954983</v>
      </c>
      <c r="K163" s="8">
        <f ca="1">IF(K$6=OFFSET(Assumptions!$B$8,0,$C$1),AVERAGE((H$163-H$162)/H$14,(I$163-I$162)/I$14,(J$163-J$162)/J$14),(J$163-J$162)/J$14) *K$14 +K$162</f>
        <v>4.2738781303898108</v>
      </c>
      <c r="L163" s="8">
        <f ca="1">IF(L$6=OFFSET(Assumptions!$B$8,0,$C$1),AVERAGE((I$163-I$162)/I$14,(J$163-J$162)/J$14,(K$163-K$162)/K$14),(K$163-K$162)/K$14) *L$14 +L$162</f>
        <v>4.4591306187363333</v>
      </c>
      <c r="M163" s="8">
        <f ca="1">IF(M$6=OFFSET(Assumptions!$B$8,0,$C$1),AVERAGE((J$163-J$162)/J$14,(K$163-K$162)/K$14,(L$163-L$162)/L$14),(L$163-L$162)/L$14) *M$14 +M$162</f>
        <v>4.6517938393335623</v>
      </c>
      <c r="N163" s="8">
        <f ca="1">IF(N$6=OFFSET(Assumptions!$B$8,0,$C$1),AVERAGE((K$163-K$162)/K$14,(L$163-L$162)/L$14,(M$163-M$162)/M$14),(M$163-M$162)/M$14) *N$14 +N$162</f>
        <v>4.8524139688957577</v>
      </c>
      <c r="O163" s="8">
        <f ca="1">IF(O$6=OFFSET(Assumptions!$B$8,0,$C$1),AVERAGE((L$163-L$162)/L$14,(M$163-M$162)/M$14,(N$163-N$162)/N$14),(N$163-N$162)/N$14) *O$14 +O$162</f>
        <v>5.0595476687964087</v>
      </c>
      <c r="P163" s="8">
        <f ca="1">IF(P$6=OFFSET(Assumptions!$B$8,0,$C$1),AVERAGE((M$163-M$162)/M$14,(N$163-N$162)/N$14,(O$163-O$162)/O$14),(O$163-O$162)/O$14) *P$14 +P$162</f>
        <v>5.273510380390511</v>
      </c>
      <c r="Q163" s="8">
        <f ca="1">IF(Q$6=OFFSET(Assumptions!$B$8,0,$C$1),AVERAGE((N$163-N$162)/N$14,(O$163-O$162)/O$14,(P$163-P$162)/P$14),(P$163-P$162)/P$14) *Q$14 +Q$162</f>
        <v>5.4940709846619749</v>
      </c>
      <c r="R163" s="8">
        <f ca="1">IF(R$6=OFFSET(Assumptions!$B$8,0,$C$1),AVERAGE((O$163-O$162)/O$14,(P$163-P$162)/P$14,(Q$163-Q$162)/Q$14),(Q$163-Q$162)/Q$14) *R$14 +R$162</f>
        <v>5.7210657776690654</v>
      </c>
      <c r="S163" s="8">
        <f ca="1">IF(S$6=OFFSET(Assumptions!$B$8,0,$C$1),AVERAGE((P$163-P$162)/P$14,(Q$163-Q$162)/Q$14,(R$163-R$162)/R$14),(R$163-R$162)/R$14) *S$14 +S$162</f>
        <v>5.9552161396077592</v>
      </c>
      <c r="T163" s="8">
        <f ca="1">IF(T$6=OFFSET(Assumptions!$B$8,0,$C$1),AVERAGE((Q$163-Q$162)/Q$14,(R$163-R$162)/R$14,(S$163-S$162)/S$14),(S$163-S$162)/S$14) *T$14 +T$162</f>
        <v>6.1966074571874898</v>
      </c>
      <c r="U163" s="8">
        <f ca="1">IF(U$6=OFFSET(Assumptions!$B$8,0,$C$1),AVERAGE((R$163-R$162)/R$14,(S$163-S$162)/S$14,(T$163-T$162)/T$14),(T$163-T$162)/T$14) *U$14 +U$162</f>
        <v>6.4461060774840551</v>
      </c>
      <c r="V163" s="8">
        <f ca="1">IF(V$6=OFFSET(Assumptions!$B$8,0,$C$1),AVERAGE((S$163-S$162)/S$14,(T$163-T$162)/T$14,(U$163-U$162)/U$14),(U$163-U$162)/U$14) *V$14 +V$162</f>
        <v>6.7043278892667342</v>
      </c>
      <c r="W163" s="8">
        <f ca="1">IF(W$6=OFFSET(Assumptions!$B$8,0,$C$1),AVERAGE((T$163-T$162)/T$14,(U$163-U$162)/U$14,(V$163-V$162)/V$14),(V$163-V$162)/V$14) *W$14 +W$162</f>
        <v>6.9720210262574502</v>
      </c>
      <c r="X163" s="8">
        <f ca="1">IF(X$6=OFFSET(Assumptions!$B$8,0,$C$1),AVERAGE((U$163-U$162)/U$14,(V$163-V$162)/V$14,(W$163-W$162)/W$14),(W$163-W$162)/W$14) *X$14 +X$162</f>
        <v>7.2500333950450777</v>
      </c>
      <c r="Y163" s="8">
        <f ca="1">IF(Y$6=OFFSET(Assumptions!$B$8,0,$C$1),AVERAGE((V$163-V$162)/V$14,(W$163-W$162)/W$14,(X$163-X$162)/X$14),(X$163-X$162)/X$14) *Y$14 +Y$162</f>
        <v>7.5383365735603087</v>
      </c>
      <c r="Z163" s="8">
        <f ca="1">IF(Z$6=OFFSET(Assumptions!$B$8,0,$C$1),AVERAGE((W$163-W$162)/W$14,(X$163-X$162)/X$14,(Y$163-Y$162)/Y$14),(Y$163-Y$162)/Y$14) *Z$14 +Z$162</f>
        <v>7.838389849393665</v>
      </c>
      <c r="AA163" s="8">
        <f ca="1">IF(AA$6=OFFSET(Assumptions!$B$8,0,$C$1),AVERAGE((X$163-X$162)/X$14,(Y$163-Y$162)/Y$14,(Z$163-Z$162)/Z$14),(Z$163-Z$162)/Z$14) *AA$14 +AA$162</f>
        <v>8.1506787097801734</v>
      </c>
      <c r="AB163" s="8">
        <f ca="1">IF(AB$6=OFFSET(Assumptions!$B$8,0,$C$1),AVERAGE((Y$163-Y$162)/Y$14,(Z$163-Z$162)/Z$14,(AA$163-AA$162)/AA$14),(AA$163-AA$162)/AA$14) *AB$14 +AB$162</f>
        <v>8.4761409870078452</v>
      </c>
      <c r="AC163" s="8">
        <f ca="1">IF(AC$6=OFFSET(Assumptions!$B$8,0,$C$1),AVERAGE((Z$163-Z$162)/Z$14,(AA$163-AA$162)/AA$14,(AB$163-AB$162)/AB$14),(AB$163-AB$162)/AB$14) *AC$14 +AC$162</f>
        <v>8.8160053453392244</v>
      </c>
      <c r="AD163" s="8">
        <f ca="1">IF(AD$6=OFFSET(Assumptions!$B$8,0,$C$1),AVERAGE((AA$163-AA$162)/AA$14,(AB$163-AB$162)/AB$14,(AC$163-AC$162)/AC$14),(AC$163-AC$162)/AC$14) *AD$14 +AD$162</f>
        <v>9.1706300060004562</v>
      </c>
      <c r="AE163" s="8">
        <f ca="1">IF(AE$6=OFFSET(Assumptions!$B$8,0,$C$1),AVERAGE((AB$163-AB$162)/AB$14,(AC$163-AC$162)/AC$14,(AD$163-AD$162)/AD$14),(AD$163-AD$162)/AD$14) *AE$14 +AE$162</f>
        <v>9.5396892935073652</v>
      </c>
      <c r="AF163" s="8">
        <f ca="1">IF(AF$6=OFFSET(Assumptions!$B$8,0,$C$1),AVERAGE((AC$163-AC$162)/AC$14,(AD$163-AD$162)/AD$14,(AE$163-AE$162)/AE$14),(AE$163-AE$162)/AE$14) *AF$14 +AF$162</f>
        <v>9.9242042471367746</v>
      </c>
      <c r="AG163" s="8">
        <f ca="1">IF(AG$6=OFFSET(Assumptions!$B$8,0,$C$1),AVERAGE((AD$163-AD$162)/AD$14,(AE$163-AE$162)/AE$14,(AF$163-AF$162)/AF$14),(AF$163-AF$162)/AF$14) *AG$14 +AG$162</f>
        <v>10.324389871572105</v>
      </c>
      <c r="AH163" s="8">
        <f ca="1">IF(AH$6=OFFSET(Assumptions!$B$8,0,$C$1),AVERAGE((AE$163-AE$162)/AE$14,(AF$163-AF$162)/AF$14,(AG$163-AG$162)/AG$14),(AG$163-AG$162)/AG$14) *AH$14 +AH$162</f>
        <v>10.740887892229541</v>
      </c>
      <c r="AI163" s="8">
        <f ca="1">IF(AI$6=OFFSET(Assumptions!$B$8,0,$C$1),AVERAGE((AF$163-AF$162)/AF$14,(AG$163-AG$162)/AG$14,(AH$163-AH$162)/AH$14),(AH$163-AH$162)/AH$14) *AI$14 +AI$162</f>
        <v>11.172970549192161</v>
      </c>
      <c r="AJ163" s="8">
        <f ca="1">IF(AJ$6=OFFSET(Assumptions!$B$8,0,$C$1),AVERAGE((AG$163-AG$162)/AG$14,(AH$163-AH$162)/AH$14,(AI$163-AI$162)/AI$14),(AI$163-AI$162)/AI$14) *AJ$14 +AJ$162</f>
        <v>11.622022018488266</v>
      </c>
      <c r="AK163" s="8">
        <f ca="1">IF(AK$6=OFFSET(Assumptions!$B$8,0,$C$1),AVERAGE((AH$163-AH$162)/AH$14,(AI$163-AI$162)/AI$14,(AJ$163-AJ$162)/AJ$14),(AJ$163-AJ$162)/AJ$14) *AK$14 +AK$162</f>
        <v>12.087672896546827</v>
      </c>
      <c r="AL163" s="8">
        <f ca="1">IF(AL$6=OFFSET(Assumptions!$B$8,0,$C$1),AVERAGE((AI$163-AI$162)/AI$14,(AJ$163-AJ$162)/AJ$14,(AK$163-AK$162)/AK$14),(AK$163-AK$162)/AK$14) *AL$14 +AL$162</f>
        <v>12.569556377324735</v>
      </c>
      <c r="AM163" s="8">
        <f ca="1">IF(AM$6=OFFSET(Assumptions!$B$8,0,$C$1),AVERAGE((AJ$163-AJ$162)/AJ$14,(AK$163-AK$162)/AK$14,(AL$163-AL$162)/AL$14),(AL$163-AL$162)/AL$14) *AM$14 +AM$162</f>
        <v>13.068330776407741</v>
      </c>
      <c r="AN163" s="8">
        <f ca="1">IF(AN$6=OFFSET(Assumptions!$B$8,0,$C$1),AVERAGE((AK$163-AK$162)/AK$14,(AL$163-AL$162)/AL$14,(AM$163-AM$162)/AM$14),(AM$163-AM$162)/AM$14) *AN$14 +AN$162</f>
        <v>13.584689884154791</v>
      </c>
      <c r="AO163" s="8">
        <f ca="1">IF(AO$6=OFFSET(Assumptions!$B$8,0,$C$1),AVERAGE((AL$163-AL$162)/AL$14,(AM$163-AM$162)/AM$14,(AN$163-AN$162)/AN$14),(AN$163-AN$162)/AN$14) *AO$14 +AO$162</f>
        <v>14.116606136915015</v>
      </c>
      <c r="AP163" s="8">
        <f ca="1">IF(AP$6=OFFSET(Assumptions!$B$8,0,$C$1),AVERAGE((AM$163-AM$162)/AM$14,(AN$163-AN$162)/AN$14,(AO$163-AO$162)/AO$14),(AO$163-AO$162)/AO$14) *AP$14 +AP$162</f>
        <v>14.666338314459139</v>
      </c>
      <c r="AQ163" s="8">
        <f ca="1">IF(AQ$6=OFFSET(Assumptions!$B$8,0,$C$1),AVERAGE((AN$163-AN$162)/AN$14,(AO$163-AO$162)/AO$14,(AP$163-AP$162)/AP$14),(AP$163-AP$162)/AP$14) *AQ$14 +AQ$162</f>
        <v>15.232346068960489</v>
      </c>
      <c r="AR163" s="8">
        <f ca="1">IF(AR$6=OFFSET(Assumptions!$B$8,0,$C$1),AVERAGE((AO$163-AO$162)/AO$14,(AP$163-AP$162)/AP$14,(AQ$163-AQ$162)/AQ$14),(AQ$163-AQ$162)/AQ$14) *AR$14 +AR$162</f>
        <v>15.815270222454172</v>
      </c>
      <c r="AS163" s="8">
        <f ca="1">IF(AS$6=OFFSET(Assumptions!$B$8,0,$C$1),AVERAGE((AP$163-AP$162)/AP$14,(AQ$163-AQ$162)/AQ$14,(AR$163-AR$162)/AR$14),(AR$163-AR$162)/AR$14) *AS$14 +AS$162</f>
        <v>16.416470720176498</v>
      </c>
      <c r="AT163" s="8">
        <f ca="1">IF(AT$6=OFFSET(Assumptions!$B$8,0,$C$1),AVERAGE((AQ$163-AQ$162)/AQ$14,(AR$163-AR$162)/AR$14,(AS$163-AS$162)/AS$14),(AS$163-AS$162)/AS$14) *AT$14 +AT$162</f>
        <v>17.03642772128223</v>
      </c>
      <c r="AU163" s="8">
        <f ca="1">IF(AU$6=OFFSET(Assumptions!$B$8,0,$C$1),AVERAGE((AR$163-AR$162)/AR$14,(AS$163-AS$162)/AS$14,(AT$163-AT$162)/AT$14),(AT$163-AT$162)/AT$14) *AU$14 +AU$162</f>
        <v>17.675965630180784</v>
      </c>
      <c r="AV163" s="8">
        <f ca="1">IF(AV$6=OFFSET(Assumptions!$B$8,0,$C$1),AVERAGE((AS$163-AS$162)/AS$14,(AT$163-AT$162)/AT$14,(AU$163-AU$162)/AU$14),(AU$163-AU$162)/AU$14) *AV$14 +AV$162</f>
        <v>18.33706183289495</v>
      </c>
      <c r="AW163" s="8">
        <f ca="1">IF(AW$6=OFFSET(Assumptions!$B$8,0,$C$1),AVERAGE((AT$163-AT$162)/AT$14,(AU$163-AU$162)/AU$14,(AV$163-AV$162)/AV$14),(AV$163-AV$162)/AV$14) *AW$14 +AW$162</f>
        <v>19.019343103479237</v>
      </c>
    </row>
    <row r="164" spans="1:49" ht="15" x14ac:dyDescent="0.25">
      <c r="A164" s="2"/>
      <c r="B164" s="4"/>
    </row>
    <row r="165" spans="1:49" x14ac:dyDescent="0.2">
      <c r="A165" s="22" t="s">
        <v>158</v>
      </c>
      <c r="C165" s="7"/>
      <c r="D165" s="7"/>
    </row>
    <row r="166" spans="1:49" x14ac:dyDescent="0.2">
      <c r="A166" s="1" t="s">
        <v>477</v>
      </c>
      <c r="B166" s="4" t="str">
        <f t="shared" ref="B166:B182" si="145">$B$43</f>
        <v>From Fiscal</v>
      </c>
      <c r="D166" s="18">
        <f>Fiscal!D$224</f>
        <v>11.590999999999999</v>
      </c>
      <c r="E166" s="19">
        <f>Fiscal!E$224</f>
        <v>12.260999999999999</v>
      </c>
      <c r="F166" s="19">
        <f>Fiscal!F$224</f>
        <v>12.912000000000001</v>
      </c>
      <c r="G166" s="19">
        <f>Fiscal!G$224</f>
        <v>13.473000000000001</v>
      </c>
      <c r="H166" s="19">
        <f>Fiscal!H$224</f>
        <v>14.161</v>
      </c>
      <c r="I166" s="19">
        <f>Fiscal!I$224</f>
        <v>14.916</v>
      </c>
      <c r="J166" s="7">
        <f ca="1">I$166*(1+Popn!Q$222)*J$188/I$188</f>
        <v>15.736157684123881</v>
      </c>
      <c r="K166" s="7">
        <f ca="1">J$166*(1+Popn!R$222)*K$188/J$188</f>
        <v>16.756594314454279</v>
      </c>
      <c r="L166" s="7">
        <f ca="1">K$166*(1+Popn!S$222)*L$188/K$188</f>
        <v>17.917605386978057</v>
      </c>
      <c r="M166" s="7">
        <f ca="1">L$166*(1+Popn!T$222)*M$188/L$188</f>
        <v>19.179708906509557</v>
      </c>
      <c r="N166" s="7">
        <f ca="1">M$166*(1+Popn!U$222)*N$188/M$188</f>
        <v>20.512926894170981</v>
      </c>
      <c r="O166" s="7">
        <f ca="1">N$166*(1+Popn!V$222)*O$188/N$188</f>
        <v>21.950269939006439</v>
      </c>
      <c r="P166" s="7">
        <f ca="1">O$166*(1+Popn!W$222)*P$188/O$188</f>
        <v>23.483284568229102</v>
      </c>
      <c r="Q166" s="7">
        <f ca="1">P$166*(1+Popn!X$222)*Q$188/P$188</f>
        <v>25.071911918462842</v>
      </c>
      <c r="R166" s="7">
        <f ca="1">Q$166*(1+Popn!Y$222)*R$188/Q$188</f>
        <v>26.70158128432065</v>
      </c>
      <c r="S166" s="7">
        <f ca="1">R$166*(1+Popn!Z$222)*S$188/R$188</f>
        <v>28.335366844264747</v>
      </c>
      <c r="T166" s="7">
        <f ca="1">S$166*(1+Popn!AA$222)*T$188/S$188</f>
        <v>30.011171744446052</v>
      </c>
      <c r="U166" s="7">
        <f ca="1">T$166*(1+Popn!AB$222)*U$188/T$188</f>
        <v>31.756157643303581</v>
      </c>
      <c r="V166" s="7">
        <f ca="1">U$166*(1+Popn!AC$222)*V$188/U$188</f>
        <v>33.580646375546735</v>
      </c>
      <c r="W166" s="7">
        <f ca="1">V$166*(1+Popn!AD$222)*W$188/V$188</f>
        <v>35.48726154367143</v>
      </c>
      <c r="X166" s="7">
        <f ca="1">W$166*(1+Popn!AE$222)*X$188/W$188</f>
        <v>37.451360723820279</v>
      </c>
      <c r="Y166" s="7">
        <f ca="1">X$166*(1+Popn!AF$222)*Y$188/X$188</f>
        <v>39.531819289939975</v>
      </c>
      <c r="Z166" s="7">
        <f ca="1">Y$166*(1+Popn!AG$222)*Z$188/Y$188</f>
        <v>41.650016590691848</v>
      </c>
      <c r="AA166" s="7">
        <f ca="1">Z$166*(1+Popn!AH$222)*AA$188/Z$188</f>
        <v>43.771479613469502</v>
      </c>
      <c r="AB166" s="7">
        <f ca="1">AA$166*(1+Popn!AI$222)*AB$188/AA$188</f>
        <v>45.88332601870848</v>
      </c>
      <c r="AC166" s="7">
        <f ca="1">AB$166*(1+Popn!AJ$222)*AC$188/AB$188</f>
        <v>47.975154993116782</v>
      </c>
      <c r="AD166" s="7">
        <f ca="1">AC$166*(1+Popn!AK$222)*AD$188/AC$188</f>
        <v>50.038121904694734</v>
      </c>
      <c r="AE166" s="7">
        <f ca="1">AD$166*(1+Popn!AL$222)*AE$188/AD$188</f>
        <v>52.158403402235066</v>
      </c>
      <c r="AF166" s="7">
        <f ca="1">AE$166*(1+Popn!AM$222)*AF$188/AE$188</f>
        <v>54.295168192970195</v>
      </c>
      <c r="AG166" s="7">
        <f ca="1">AF$166*(1+Popn!AN$222)*AG$188/AF$188</f>
        <v>56.545460888745801</v>
      </c>
      <c r="AH166" s="7">
        <f ca="1">AG$166*(1+Popn!AO$222)*AH$188/AG$188</f>
        <v>58.870042174343929</v>
      </c>
      <c r="AI166" s="7">
        <f ca="1">AH$166*(1+Popn!AP$222)*AI$188/AH$188</f>
        <v>61.289176774335203</v>
      </c>
      <c r="AJ166" s="7">
        <f ca="1">AI$166*(1+Popn!AQ$222)*AJ$188/AI$188</f>
        <v>63.812722380378375</v>
      </c>
      <c r="AK166" s="7">
        <f ca="1">AJ$166*(1+Popn!AR$222)*AK$188/AJ$188</f>
        <v>66.488143343535967</v>
      </c>
      <c r="AL166" s="7">
        <f ca="1">AK$166*(1+Popn!AS$222)*AL$188/AK$188</f>
        <v>69.267448193982133</v>
      </c>
      <c r="AM166" s="7">
        <f ca="1">AL$166*(1+Popn!AT$222)*AM$188/AL$188</f>
        <v>72.171994017859504</v>
      </c>
      <c r="AN166" s="7">
        <f ca="1">AM$166*(1+Popn!AU$222)*AN$188/AM$188</f>
        <v>75.247124744946859</v>
      </c>
      <c r="AO166" s="7">
        <f ca="1">AN$166*(1+Popn!AV$222)*AO$188/AN$188</f>
        <v>78.523565239221526</v>
      </c>
      <c r="AP166" s="7">
        <f ca="1">AO$166*(1+Popn!AW$222)*AP$188/AO$188</f>
        <v>82.085340568626279</v>
      </c>
      <c r="AQ166" s="7">
        <f ca="1">AP$166*(1+Popn!AX$222)*AQ$188/AP$188</f>
        <v>85.916962030497459</v>
      </c>
      <c r="AR166" s="7">
        <f ca="1">AQ$166*(1+Popn!AY$222)*AR$188/AQ$188</f>
        <v>90.089945614700184</v>
      </c>
      <c r="AS166" s="7">
        <f ca="1">AR$166*(1+Popn!AZ$222)*AS$188/AR$188</f>
        <v>94.59794722898144</v>
      </c>
      <c r="AT166" s="7">
        <f ca="1">AS$166*(1+Popn!BA$222)*AT$188/AS$188</f>
        <v>99.232327652486816</v>
      </c>
      <c r="AU166" s="7">
        <f ca="1">AT$166*(1+Popn!BB$222)*AU$188/AT$188</f>
        <v>104.07193000661205</v>
      </c>
      <c r="AV166" s="7">
        <f ca="1">AU$166*(1+Popn!BC$222)*AV$188/AU$188</f>
        <v>109.07312828189313</v>
      </c>
      <c r="AW166" s="7">
        <f ca="1">AV$166*(1+Popn!BD$222)*AW$188/AV$188</f>
        <v>114.31452376693127</v>
      </c>
    </row>
    <row r="167" spans="1:49" x14ac:dyDescent="0.2">
      <c r="A167" s="1" t="s">
        <v>506</v>
      </c>
      <c r="B167" s="4" t="str">
        <f t="shared" si="145"/>
        <v>From Fiscal</v>
      </c>
      <c r="D167" s="18">
        <f>Fiscal!D$225</f>
        <v>1.6839999999999999</v>
      </c>
      <c r="E167" s="19">
        <f>Fiscal!E$225</f>
        <v>1.6739999999999999</v>
      </c>
      <c r="F167" s="19">
        <f>Fiscal!F$225</f>
        <v>1.677</v>
      </c>
      <c r="G167" s="19">
        <f>Fiscal!G$225</f>
        <v>1.6140000000000001</v>
      </c>
      <c r="H167" s="19">
        <f>Fiscal!H$225</f>
        <v>1.577</v>
      </c>
      <c r="I167" s="19">
        <f>Fiscal!I$225</f>
        <v>1.571</v>
      </c>
      <c r="J167" s="7">
        <f ca="1">IF(AND(J$6&gt;=OFFSET(Assumptions!$B$43,0,$C$1),OFFSET(Assumptions!$B$42,0,$C$1)="AllGDP"),IF(J$6=OFFSET(Assumptions!$B$43,0,$C$1),AVERAGE(G$167/SUM(G$167:G$169),H$167/SUM(H$167:H$169),I$167/SUM(I$167:I$169)),I$167/SUM(I$167:I$169))*J$14*(SUM(I$167:I$169)/I$14+MIN(ABS(OFFSET(Assumptions!$B$45,0,$C$1)-SUM(I$167:I$169)/I$14),OFFSET(Assumptions!$B$44,0,$C$1))*SIGN(OFFSET(Assumptions!$B$45,0,$C$1)-SUM(I$167:I$169)/I$14)),I$167*(1+Exogenous!$B$41*Popn!Q$208+Exogenous!$B$42*Popn!Q$210+Exogenous!$B$43*Popn!Q$213+Exogenous!$B$44*Popn!Q$216+Exogenous!$B$45*Popn!Q$220+Exogenous!$B$46*Popn!Q$222)*AVERAGE(1,J$19*J$26/(I$19*I$26))*(1+J$34))</f>
        <v>1.714219430249331</v>
      </c>
      <c r="K167" s="7">
        <f ca="1">IF(AND(K$6&gt;=OFFSET(Assumptions!$B$43,0,$C$1),OFFSET(Assumptions!$B$42,0,$C$1)="AllGDP"),IF(K$6=OFFSET(Assumptions!$B$43,0,$C$1),AVERAGE(H$167/SUM(H$167:H$169),I$167/SUM(I$167:I$169),J$167/SUM(J$167:J$169)),J$167/SUM(J$167:J$169))*K$14*(SUM(J$167:J$169)/J$14+MIN(ABS(OFFSET(Assumptions!$B$45,0,$C$1)-SUM(J$167:J$169)/J$14),OFFSET(Assumptions!$B$44,0,$C$1))*SIGN(OFFSET(Assumptions!$B$45,0,$C$1)-SUM(J$167:J$169)/J$14)),J$167*(1+Exogenous!$B$41*Popn!R$208+Exogenous!$B$42*Popn!R$210+Exogenous!$B$43*Popn!R$213+Exogenous!$B$44*Popn!R$216+Exogenous!$B$45*Popn!R$220+Exogenous!$B$46*Popn!R$222)*AVERAGE(1,K$19*K$26/(J$19*J$26))*(1+K$34))</f>
        <v>1.8459648998519422</v>
      </c>
      <c r="L167" s="7">
        <f ca="1">IF(AND(L$6&gt;=OFFSET(Assumptions!$B$43,0,$C$1),OFFSET(Assumptions!$B$42,0,$C$1)="AllGDP"),IF(L$6=OFFSET(Assumptions!$B$43,0,$C$1),AVERAGE(I$167/SUM(I$167:I$169),J$167/SUM(J$167:J$169),K$167/SUM(K$167:K$169)),K$167/SUM(K$167:K$169))*L$14*(SUM(K$167:K$169)/K$14+MIN(ABS(OFFSET(Assumptions!$B$45,0,$C$1)-SUM(K$167:K$169)/K$14),OFFSET(Assumptions!$B$44,0,$C$1))*SIGN(OFFSET(Assumptions!$B$45,0,$C$1)-SUM(K$167:K$169)/K$14)),K$167*(1+Exogenous!$B$41*Popn!S$208+Exogenous!$B$42*Popn!S$210+Exogenous!$B$43*Popn!S$213+Exogenous!$B$44*Popn!S$216+Exogenous!$B$45*Popn!S$220+Exogenous!$B$46*Popn!S$222)*AVERAGE(1,L$19*L$26/(K$19*K$26))*(1+L$34))</f>
        <v>1.9886920801128039</v>
      </c>
      <c r="M167" s="7">
        <f ca="1">IF(AND(M$6&gt;=OFFSET(Assumptions!$B$43,0,$C$1),OFFSET(Assumptions!$B$42,0,$C$1)="AllGDP"),IF(M$6=OFFSET(Assumptions!$B$43,0,$C$1),AVERAGE(J$167/SUM(J$167:J$169),K$167/SUM(K$167:K$169),L$167/SUM(L$167:L$169)),L$167/SUM(L$167:L$169))*M$14*(SUM(L$167:L$169)/L$14+MIN(ABS(OFFSET(Assumptions!$B$45,0,$C$1)-SUM(L$167:L$169)/L$14),OFFSET(Assumptions!$B$44,0,$C$1))*SIGN(OFFSET(Assumptions!$B$45,0,$C$1)-SUM(L$167:L$169)/L$14)),L$167*(1+Exogenous!$B$41*Popn!T$208+Exogenous!$B$42*Popn!T$210+Exogenous!$B$43*Popn!T$213+Exogenous!$B$44*Popn!T$216+Exogenous!$B$45*Popn!T$220+Exogenous!$B$46*Popn!T$222)*AVERAGE(1,M$19*M$26/(L$19*L$26))*(1+M$34))</f>
        <v>2.1400393272540703</v>
      </c>
      <c r="N167" s="7">
        <f ca="1">IF(AND(N$6&gt;=OFFSET(Assumptions!$B$43,0,$C$1),OFFSET(Assumptions!$B$42,0,$C$1)="AllGDP"),IF(N$6=OFFSET(Assumptions!$B$43,0,$C$1),AVERAGE(K$167/SUM(K$167:K$169),L$167/SUM(L$167:L$169),M$167/SUM(M$167:M$169)),M$167/SUM(M$167:M$169))*N$14*(SUM(M$167:M$169)/M$14+MIN(ABS(OFFSET(Assumptions!$B$45,0,$C$1)-SUM(M$167:M$169)/M$14),OFFSET(Assumptions!$B$44,0,$C$1))*SIGN(OFFSET(Assumptions!$B$45,0,$C$1)-SUM(M$167:M$169)/M$14)),M$167*(1+Exogenous!$B$41*Popn!U$208+Exogenous!$B$42*Popn!U$210+Exogenous!$B$43*Popn!U$213+Exogenous!$B$44*Popn!U$216+Exogenous!$B$45*Popn!U$220+Exogenous!$B$46*Popn!U$222)*AVERAGE(1,N$19*N$26/(M$19*M$26))*(1+N$34))</f>
        <v>2.3005782631764804</v>
      </c>
      <c r="O167" s="7">
        <f ca="1">IF(AND(O$6&gt;=OFFSET(Assumptions!$B$43,0,$C$1),OFFSET(Assumptions!$B$42,0,$C$1)="AllGDP"),IF(O$6=OFFSET(Assumptions!$B$43,0,$C$1),AVERAGE(L$167/SUM(L$167:L$169),M$167/SUM(M$167:M$169),N$167/SUM(N$167:N$169)),N$167/SUM(N$167:N$169))*O$14*(SUM(N$167:N$169)/N$14+MIN(ABS(OFFSET(Assumptions!$B$45,0,$C$1)-SUM(N$167:N$169)/N$14),OFFSET(Assumptions!$B$44,0,$C$1))*SIGN(OFFSET(Assumptions!$B$45,0,$C$1)-SUM(N$167:N$169)/N$14)),N$167*(1+Exogenous!$B$41*Popn!V$208+Exogenous!$B$42*Popn!V$210+Exogenous!$B$43*Popn!V$213+Exogenous!$B$44*Popn!V$216+Exogenous!$B$45*Popn!V$220+Exogenous!$B$46*Popn!V$222)*AVERAGE(1,O$19*O$26/(N$19*N$26))*(1+O$34))</f>
        <v>2.4699400057263485</v>
      </c>
      <c r="P167" s="7">
        <f ca="1">IF(AND(P$6&gt;=OFFSET(Assumptions!$B$43,0,$C$1),OFFSET(Assumptions!$B$42,0,$C$1)="AllGDP"),IF(P$6=OFFSET(Assumptions!$B$43,0,$C$1),AVERAGE(M$167/SUM(M$167:M$169),N$167/SUM(N$167:N$169),O$167/SUM(O$167:O$169)),O$167/SUM(O$167:O$169))*P$14*(SUM(O$167:O$169)/O$14+MIN(ABS(OFFSET(Assumptions!$B$45,0,$C$1)-SUM(O$167:O$169)/O$14),OFFSET(Assumptions!$B$44,0,$C$1))*SIGN(OFFSET(Assumptions!$B$45,0,$C$1)-SUM(O$167:O$169)/O$14)),O$167*(1+Exogenous!$B$41*Popn!W$208+Exogenous!$B$42*Popn!W$210+Exogenous!$B$43*Popn!W$213+Exogenous!$B$44*Popn!W$216+Exogenous!$B$45*Popn!W$220+Exogenous!$B$46*Popn!W$222)*AVERAGE(1,P$19*P$26/(O$19*O$26))*(1+P$34))</f>
        <v>2.6485578024908891</v>
      </c>
      <c r="Q167" s="7">
        <f ca="1">IF(AND(Q$6&gt;=OFFSET(Assumptions!$B$43,0,$C$1),OFFSET(Assumptions!$B$42,0,$C$1)="AllGDP"),IF(Q$6=OFFSET(Assumptions!$B$43,0,$C$1),AVERAGE(N$167/SUM(N$167:N$169),O$167/SUM(O$167:O$169),P$167/SUM(P$167:P$169)),P$167/SUM(P$167:P$169))*Q$14*(SUM(P$167:P$169)/P$14+MIN(ABS(OFFSET(Assumptions!$B$45,0,$C$1)-SUM(P$167:P$169)/P$14),OFFSET(Assumptions!$B$44,0,$C$1))*SIGN(OFFSET(Assumptions!$B$45,0,$C$1)-SUM(P$167:P$169)/P$14)),P$167*(1+Exogenous!$B$41*Popn!X$208+Exogenous!$B$42*Popn!X$210+Exogenous!$B$43*Popn!X$213+Exogenous!$B$44*Popn!X$216+Exogenous!$B$45*Popn!X$220+Exogenous!$B$46*Popn!X$222)*AVERAGE(1,Q$19*Q$26/(P$19*P$26))*(1+Q$34))</f>
        <v>2.8366004562753275</v>
      </c>
      <c r="R167" s="7">
        <f ca="1">IF(AND(R$6&gt;=OFFSET(Assumptions!$B$43,0,$C$1),OFFSET(Assumptions!$B$42,0,$C$1)="AllGDP"),IF(R$6=OFFSET(Assumptions!$B$43,0,$C$1),AVERAGE(O$167/SUM(O$167:O$169),P$167/SUM(P$167:P$169),Q$167/SUM(Q$167:Q$169)),Q$167/SUM(Q$167:Q$169))*R$14*(SUM(Q$167:Q$169)/Q$14+MIN(ABS(OFFSET(Assumptions!$B$45,0,$C$1)-SUM(Q$167:Q$169)/Q$14),OFFSET(Assumptions!$B$44,0,$C$1))*SIGN(OFFSET(Assumptions!$B$45,0,$C$1)-SUM(Q$167:Q$169)/Q$14)),Q$167*(1+Exogenous!$B$41*Popn!Y$208+Exogenous!$B$42*Popn!Y$210+Exogenous!$B$43*Popn!Y$213+Exogenous!$B$44*Popn!Y$216+Exogenous!$B$45*Popn!Y$220+Exogenous!$B$46*Popn!Y$222)*AVERAGE(1,R$19*R$26/(Q$19*Q$26))*(1+R$34))</f>
        <v>3.0342595227085347</v>
      </c>
      <c r="S167" s="7">
        <f ca="1">IF(AND(S$6&gt;=OFFSET(Assumptions!$B$43,0,$C$1),OFFSET(Assumptions!$B$42,0,$C$1)="AllGDP"),IF(S$6=OFFSET(Assumptions!$B$43,0,$C$1),AVERAGE(P$167/SUM(P$167:P$169),Q$167/SUM(Q$167:Q$169),R$167/SUM(R$167:R$169)),R$167/SUM(R$167:R$169))*S$14*(SUM(R$167:R$169)/R$14+MIN(ABS(OFFSET(Assumptions!$B$45,0,$C$1)-SUM(R$167:R$169)/R$14),OFFSET(Assumptions!$B$44,0,$C$1))*SIGN(OFFSET(Assumptions!$B$45,0,$C$1)-SUM(R$167:R$169)/R$14)),R$167*(1+Exogenous!$B$41*Popn!Z$208+Exogenous!$B$42*Popn!Z$210+Exogenous!$B$43*Popn!Z$213+Exogenous!$B$44*Popn!Z$216+Exogenous!$B$45*Popn!Z$220+Exogenous!$B$46*Popn!Z$222)*AVERAGE(1,S$19*S$26/(R$19*R$26))*(1+S$34))</f>
        <v>3.2421992145679059</v>
      </c>
      <c r="T167" s="7">
        <f ca="1">IF(AND(T$6&gt;=OFFSET(Assumptions!$B$43,0,$C$1),OFFSET(Assumptions!$B$42,0,$C$1)="AllGDP"),IF(T$6=OFFSET(Assumptions!$B$43,0,$C$1),AVERAGE(Q$167/SUM(Q$167:Q$169),R$167/SUM(R$167:R$169),S$167/SUM(S$167:S$169)),S$167/SUM(S$167:S$169))*T$14*(SUM(S$167:S$169)/S$14+MIN(ABS(OFFSET(Assumptions!$B$45,0,$C$1)-SUM(S$167:S$169)/S$14),OFFSET(Assumptions!$B$44,0,$C$1))*SIGN(OFFSET(Assumptions!$B$45,0,$C$1)-SUM(S$167:S$169)/S$14)),S$167*(1+Exogenous!$B$41*Popn!AA$208+Exogenous!$B$42*Popn!AA$210+Exogenous!$B$43*Popn!AA$213+Exogenous!$B$44*Popn!AA$216+Exogenous!$B$45*Popn!AA$220+Exogenous!$B$46*Popn!AA$222)*AVERAGE(1,T$19*T$26/(S$19*S$26))*(1+T$34))</f>
        <v>3.4607691279953783</v>
      </c>
      <c r="U167" s="7">
        <f ca="1">IF(AND(U$6&gt;=OFFSET(Assumptions!$B$43,0,$C$1),OFFSET(Assumptions!$B$42,0,$C$1)="AllGDP"),IF(U$6=OFFSET(Assumptions!$B$43,0,$C$1),AVERAGE(R$167/SUM(R$167:R$169),S$167/SUM(S$167:S$169),T$167/SUM(T$167:T$169)),T$167/SUM(T$167:T$169))*U$14*(SUM(T$167:T$169)/T$14+MIN(ABS(OFFSET(Assumptions!$B$45,0,$C$1)-SUM(T$167:T$169)/T$14),OFFSET(Assumptions!$B$44,0,$C$1))*SIGN(OFFSET(Assumptions!$B$45,0,$C$1)-SUM(T$167:T$169)/T$14)),T$167*(1+Exogenous!$B$41*Popn!AB$208+Exogenous!$B$42*Popn!AB$210+Exogenous!$B$43*Popn!AB$213+Exogenous!$B$44*Popn!AB$216+Exogenous!$B$45*Popn!AB$220+Exogenous!$B$46*Popn!AB$222)*AVERAGE(1,U$19*U$26/(T$19*T$26))*(1+U$34))</f>
        <v>3.6907708079053112</v>
      </c>
      <c r="V167" s="7">
        <f ca="1">IF(AND(V$6&gt;=OFFSET(Assumptions!$B$43,0,$C$1),OFFSET(Assumptions!$B$42,0,$C$1)="AllGDP"),IF(V$6=OFFSET(Assumptions!$B$43,0,$C$1),AVERAGE(S$167/SUM(S$167:S$169),T$167/SUM(T$167:T$169),U$167/SUM(U$167:U$169)),U$167/SUM(U$167:U$169))*V$14*(SUM(U$167:U$169)/U$14+MIN(ABS(OFFSET(Assumptions!$B$45,0,$C$1)-SUM(U$167:U$169)/U$14),OFFSET(Assumptions!$B$44,0,$C$1))*SIGN(OFFSET(Assumptions!$B$45,0,$C$1)-SUM(U$167:U$169)/U$14)),U$167*(1+Exogenous!$B$41*Popn!AC$208+Exogenous!$B$42*Popn!AC$210+Exogenous!$B$43*Popn!AC$213+Exogenous!$B$44*Popn!AC$216+Exogenous!$B$45*Popn!AC$220+Exogenous!$B$46*Popn!AC$222)*AVERAGE(1,V$19*V$26/(U$19*U$26))*(1+V$34))</f>
        <v>3.9329076120933313</v>
      </c>
      <c r="W167" s="7">
        <f ca="1">IF(AND(W$6&gt;=OFFSET(Assumptions!$B$43,0,$C$1),OFFSET(Assumptions!$B$42,0,$C$1)="AllGDP"),IF(W$6=OFFSET(Assumptions!$B$43,0,$C$1),AVERAGE(T$167/SUM(T$167:T$169),U$167/SUM(U$167:U$169),V$167/SUM(V$167:V$169)),V$167/SUM(V$167:V$169))*W$14*(SUM(V$167:V$169)/V$14+MIN(ABS(OFFSET(Assumptions!$B$45,0,$C$1)-SUM(V$167:V$169)/V$14),OFFSET(Assumptions!$B$44,0,$C$1))*SIGN(OFFSET(Assumptions!$B$45,0,$C$1)-SUM(V$167:V$169)/V$14)),V$167*(1+Exogenous!$B$41*Popn!AD$208+Exogenous!$B$42*Popn!AD$210+Exogenous!$B$43*Popn!AD$213+Exogenous!$B$44*Popn!AD$216+Exogenous!$B$45*Popn!AD$220+Exogenous!$B$46*Popn!AD$222)*AVERAGE(1,W$19*W$26/(V$19*V$26))*(1+W$34))</f>
        <v>4.1182945892200795</v>
      </c>
      <c r="X167" s="7">
        <f ca="1">IF(AND(X$6&gt;=OFFSET(Assumptions!$B$43,0,$C$1),OFFSET(Assumptions!$B$42,0,$C$1)="AllGDP"),IF(X$6=OFFSET(Assumptions!$B$43,0,$C$1),AVERAGE(U$167/SUM(U$167:U$169),V$167/SUM(V$167:V$169),W$167/SUM(W$167:W$169)),W$167/SUM(W$167:W$169))*X$14*(SUM(W$167:W$169)/W$14+MIN(ABS(OFFSET(Assumptions!$B$45,0,$C$1)-SUM(W$167:W$169)/W$14),OFFSET(Assumptions!$B$44,0,$C$1))*SIGN(OFFSET(Assumptions!$B$45,0,$C$1)-SUM(W$167:W$169)/W$14)),W$167*(1+Exogenous!$B$41*Popn!AE$208+Exogenous!$B$42*Popn!AE$210+Exogenous!$B$43*Popn!AE$213+Exogenous!$B$44*Popn!AE$216+Exogenous!$B$45*Popn!AE$220+Exogenous!$B$46*Popn!AE$222)*AVERAGE(1,X$19*X$26/(W$19*W$26))*(1+X$34))</f>
        <v>4.2825133759681933</v>
      </c>
      <c r="Y167" s="7">
        <f ca="1">IF(AND(Y$6&gt;=OFFSET(Assumptions!$B$43,0,$C$1),OFFSET(Assumptions!$B$42,0,$C$1)="AllGDP"),IF(Y$6=OFFSET(Assumptions!$B$43,0,$C$1),AVERAGE(V$167/SUM(V$167:V$169),W$167/SUM(W$167:W$169),X$167/SUM(X$167:X$169)),X$167/SUM(X$167:X$169))*Y$14*(SUM(X$167:X$169)/X$14+MIN(ABS(OFFSET(Assumptions!$B$45,0,$C$1)-SUM(X$167:X$169)/X$14),OFFSET(Assumptions!$B$44,0,$C$1))*SIGN(OFFSET(Assumptions!$B$45,0,$C$1)-SUM(X$167:X$169)/X$14)),X$167*(1+Exogenous!$B$41*Popn!AF$208+Exogenous!$B$42*Popn!AF$210+Exogenous!$B$43*Popn!AF$213+Exogenous!$B$44*Popn!AF$216+Exogenous!$B$45*Popn!AF$220+Exogenous!$B$46*Popn!AF$222)*AVERAGE(1,Y$19*Y$26/(X$19*X$26))*(1+Y$34))</f>
        <v>4.4528108285522654</v>
      </c>
      <c r="Z167" s="7">
        <f ca="1">IF(AND(Z$6&gt;=OFFSET(Assumptions!$B$43,0,$C$1),OFFSET(Assumptions!$B$42,0,$C$1)="AllGDP"),IF(Z$6=OFFSET(Assumptions!$B$43,0,$C$1),AVERAGE(W$167/SUM(W$167:W$169),X$167/SUM(X$167:X$169),Y$167/SUM(Y$167:Y$169)),Y$167/SUM(Y$167:Y$169))*Z$14*(SUM(Y$167:Y$169)/Y$14+MIN(ABS(OFFSET(Assumptions!$B$45,0,$C$1)-SUM(Y$167:Y$169)/Y$14),OFFSET(Assumptions!$B$44,0,$C$1))*SIGN(OFFSET(Assumptions!$B$45,0,$C$1)-SUM(Y$167:Y$169)/Y$14)),Y$167*(1+Exogenous!$B$41*Popn!AG$208+Exogenous!$B$42*Popn!AG$210+Exogenous!$B$43*Popn!AG$213+Exogenous!$B$44*Popn!AG$216+Exogenous!$B$45*Popn!AG$220+Exogenous!$B$46*Popn!AG$222)*AVERAGE(1,Z$19*Z$26/(Y$19*Y$26))*(1+Z$34))</f>
        <v>4.630048931777778</v>
      </c>
      <c r="AA167" s="7">
        <f ca="1">IF(AND(AA$6&gt;=OFFSET(Assumptions!$B$43,0,$C$1),OFFSET(Assumptions!$B$42,0,$C$1)="AllGDP"),IF(AA$6=OFFSET(Assumptions!$B$43,0,$C$1),AVERAGE(X$167/SUM(X$167:X$169),Y$167/SUM(Y$167:Y$169),Z$167/SUM(Z$167:Z$169)),Z$167/SUM(Z$167:Z$169))*AA$14*(SUM(Z$167:Z$169)/Z$14+MIN(ABS(OFFSET(Assumptions!$B$45,0,$C$1)-SUM(Z$167:Z$169)/Z$14),OFFSET(Assumptions!$B$44,0,$C$1))*SIGN(OFFSET(Assumptions!$B$45,0,$C$1)-SUM(Z$167:Z$169)/Z$14)),Z$167*(1+Exogenous!$B$41*Popn!AH$208+Exogenous!$B$42*Popn!AH$210+Exogenous!$B$43*Popn!AH$213+Exogenous!$B$44*Popn!AH$216+Exogenous!$B$45*Popn!AH$220+Exogenous!$B$46*Popn!AH$222)*AVERAGE(1,AA$19*AA$26/(Z$19*Z$26))*(1+AA$34))</f>
        <v>4.8145144575069558</v>
      </c>
      <c r="AB167" s="7">
        <f ca="1">IF(AND(AB$6&gt;=OFFSET(Assumptions!$B$43,0,$C$1),OFFSET(Assumptions!$B$42,0,$C$1)="AllGDP"),IF(AB$6=OFFSET(Assumptions!$B$43,0,$C$1),AVERAGE(Y$167/SUM(Y$167:Y$169),Z$167/SUM(Z$167:Z$169),AA$167/SUM(AA$167:AA$169)),AA$167/SUM(AA$167:AA$169))*AB$14*(SUM(AA$167:AA$169)/AA$14+MIN(ABS(OFFSET(Assumptions!$B$45,0,$C$1)-SUM(AA$167:AA$169)/AA$14),OFFSET(Assumptions!$B$44,0,$C$1))*SIGN(OFFSET(Assumptions!$B$45,0,$C$1)-SUM(AA$167:AA$169)/AA$14)),AA$167*(1+Exogenous!$B$41*Popn!AI$208+Exogenous!$B$42*Popn!AI$210+Exogenous!$B$43*Popn!AI$213+Exogenous!$B$44*Popn!AI$216+Exogenous!$B$45*Popn!AI$220+Exogenous!$B$46*Popn!AI$222)*AVERAGE(1,AB$19*AB$26/(AA$19*AA$26))*(1+AB$34))</f>
        <v>5.0067613727491862</v>
      </c>
      <c r="AC167" s="7">
        <f ca="1">IF(AND(AC$6&gt;=OFFSET(Assumptions!$B$43,0,$C$1),OFFSET(Assumptions!$B$42,0,$C$1)="AllGDP"),IF(AC$6=OFFSET(Assumptions!$B$43,0,$C$1),AVERAGE(Z$167/SUM(Z$167:Z$169),AA$167/SUM(AA$167:AA$169),AB$167/SUM(AB$167:AB$169)),AB$167/SUM(AB$167:AB$169))*AC$14*(SUM(AB$167:AB$169)/AB$14+MIN(ABS(OFFSET(Assumptions!$B$45,0,$C$1)-SUM(AB$167:AB$169)/AB$14),OFFSET(Assumptions!$B$44,0,$C$1))*SIGN(OFFSET(Assumptions!$B$45,0,$C$1)-SUM(AB$167:AB$169)/AB$14)),AB$167*(1+Exogenous!$B$41*Popn!AJ$208+Exogenous!$B$42*Popn!AJ$210+Exogenous!$B$43*Popn!AJ$213+Exogenous!$B$44*Popn!AJ$216+Exogenous!$B$45*Popn!AJ$220+Exogenous!$B$46*Popn!AJ$222)*AVERAGE(1,AC$19*AC$26/(AB$19*AB$26))*(1+AC$34))</f>
        <v>5.2075154356978768</v>
      </c>
      <c r="AD167" s="7">
        <f ca="1">IF(AND(AD$6&gt;=OFFSET(Assumptions!$B$43,0,$C$1),OFFSET(Assumptions!$B$42,0,$C$1)="AllGDP"),IF(AD$6=OFFSET(Assumptions!$B$43,0,$C$1),AVERAGE(AA$167/SUM(AA$167:AA$169),AB$167/SUM(AB$167:AB$169),AC$167/SUM(AC$167:AC$169)),AC$167/SUM(AC$167:AC$169))*AD$14*(SUM(AC$167:AC$169)/AC$14+MIN(ABS(OFFSET(Assumptions!$B$45,0,$C$1)-SUM(AC$167:AC$169)/AC$14),OFFSET(Assumptions!$B$44,0,$C$1))*SIGN(OFFSET(Assumptions!$B$45,0,$C$1)-SUM(AC$167:AC$169)/AC$14)),AC$167*(1+Exogenous!$B$41*Popn!AK$208+Exogenous!$B$42*Popn!AK$210+Exogenous!$B$43*Popn!AK$213+Exogenous!$B$44*Popn!AK$216+Exogenous!$B$45*Popn!AK$220+Exogenous!$B$46*Popn!AK$222)*AVERAGE(1,AD$19*AD$26/(AC$19*AC$26))*(1+AD$34))</f>
        <v>5.4169882436118142</v>
      </c>
      <c r="AE167" s="7">
        <f ca="1">IF(AND(AE$6&gt;=OFFSET(Assumptions!$B$43,0,$C$1),OFFSET(Assumptions!$B$42,0,$C$1)="AllGDP"),IF(AE$6=OFFSET(Assumptions!$B$43,0,$C$1),AVERAGE(AB$167/SUM(AB$167:AB$169),AC$167/SUM(AC$167:AC$169),AD$167/SUM(AD$167:AD$169)),AD$167/SUM(AD$167:AD$169))*AE$14*(SUM(AD$167:AD$169)/AD$14+MIN(ABS(OFFSET(Assumptions!$B$45,0,$C$1)-SUM(AD$167:AD$169)/AD$14),OFFSET(Assumptions!$B$44,0,$C$1))*SIGN(OFFSET(Assumptions!$B$45,0,$C$1)-SUM(AD$167:AD$169)/AD$14)),AD$167*(1+Exogenous!$B$41*Popn!AL$208+Exogenous!$B$42*Popn!AL$210+Exogenous!$B$43*Popn!AL$213+Exogenous!$B$44*Popn!AL$216+Exogenous!$B$45*Popn!AL$220+Exogenous!$B$46*Popn!AL$222)*AVERAGE(1,AE$19*AE$26/(AD$19*AD$26))*(1+AE$34))</f>
        <v>5.6349874236368036</v>
      </c>
      <c r="AF167" s="7">
        <f ca="1">IF(AND(AF$6&gt;=OFFSET(Assumptions!$B$43,0,$C$1),OFFSET(Assumptions!$B$42,0,$C$1)="AllGDP"),IF(AF$6=OFFSET(Assumptions!$B$43,0,$C$1),AVERAGE(AC$167/SUM(AC$167:AC$169),AD$167/SUM(AD$167:AD$169),AE$167/SUM(AE$167:AE$169)),AE$167/SUM(AE$167:AE$169))*AF$14*(SUM(AE$167:AE$169)/AE$14+MIN(ABS(OFFSET(Assumptions!$B$45,0,$C$1)-SUM(AE$167:AE$169)/AE$14),OFFSET(Assumptions!$B$44,0,$C$1))*SIGN(OFFSET(Assumptions!$B$45,0,$C$1)-SUM(AE$167:AE$169)/AE$14)),AE$167*(1+Exogenous!$B$41*Popn!AM$208+Exogenous!$B$42*Popn!AM$210+Exogenous!$B$43*Popn!AM$213+Exogenous!$B$44*Popn!AM$216+Exogenous!$B$45*Popn!AM$220+Exogenous!$B$46*Popn!AM$222)*AVERAGE(1,AF$19*AF$26/(AE$19*AE$26))*(1+AF$34))</f>
        <v>5.8621160922168887</v>
      </c>
      <c r="AG167" s="7">
        <f ca="1">IF(AND(AG$6&gt;=OFFSET(Assumptions!$B$43,0,$C$1),OFFSET(Assumptions!$B$42,0,$C$1)="AllGDP"),IF(AG$6=OFFSET(Assumptions!$B$43,0,$C$1),AVERAGE(AD$167/SUM(AD$167:AD$169),AE$167/SUM(AE$167:AE$169),AF$167/SUM(AF$167:AF$169)),AF$167/SUM(AF$167:AF$169))*AG$14*(SUM(AF$167:AF$169)/AF$14+MIN(ABS(OFFSET(Assumptions!$B$45,0,$C$1)-SUM(AF$167:AF$169)/AF$14),OFFSET(Assumptions!$B$44,0,$C$1))*SIGN(OFFSET(Assumptions!$B$45,0,$C$1)-SUM(AF$167:AF$169)/AF$14)),AF$167*(1+Exogenous!$B$41*Popn!AN$208+Exogenous!$B$42*Popn!AN$210+Exogenous!$B$43*Popn!AN$213+Exogenous!$B$44*Popn!AN$216+Exogenous!$B$45*Popn!AN$220+Exogenous!$B$46*Popn!AN$222)*AVERAGE(1,AG$19*AG$26/(AF$19*AF$26))*(1+AG$34))</f>
        <v>6.0985012502060583</v>
      </c>
      <c r="AH167" s="7">
        <f ca="1">IF(AND(AH$6&gt;=OFFSET(Assumptions!$B$43,0,$C$1),OFFSET(Assumptions!$B$42,0,$C$1)="AllGDP"),IF(AH$6=OFFSET(Assumptions!$B$43,0,$C$1),AVERAGE(AE$167/SUM(AE$167:AE$169),AF$167/SUM(AF$167:AF$169),AG$167/SUM(AG$167:AG$169)),AG$167/SUM(AG$167:AG$169))*AH$14*(SUM(AG$167:AG$169)/AG$14+MIN(ABS(OFFSET(Assumptions!$B$45,0,$C$1)-SUM(AG$167:AG$169)/AG$14),OFFSET(Assumptions!$B$44,0,$C$1))*SIGN(OFFSET(Assumptions!$B$45,0,$C$1)-SUM(AG$167:AG$169)/AG$14)),AG$167*(1+Exogenous!$B$41*Popn!AO$208+Exogenous!$B$42*Popn!AO$210+Exogenous!$B$43*Popn!AO$213+Exogenous!$B$44*Popn!AO$216+Exogenous!$B$45*Popn!AO$220+Exogenous!$B$46*Popn!AO$222)*AVERAGE(1,AH$19*AH$26/(AG$19*AG$26))*(1+AH$34))</f>
        <v>6.3445219576070429</v>
      </c>
      <c r="AI167" s="7">
        <f ca="1">IF(AND(AI$6&gt;=OFFSET(Assumptions!$B$43,0,$C$1),OFFSET(Assumptions!$B$42,0,$C$1)="AllGDP"),IF(AI$6=OFFSET(Assumptions!$B$43,0,$C$1),AVERAGE(AF$167/SUM(AF$167:AF$169),AG$167/SUM(AG$167:AG$169),AH$167/SUM(AH$167:AH$169)),AH$167/SUM(AH$167:AH$169))*AI$14*(SUM(AH$167:AH$169)/AH$14+MIN(ABS(OFFSET(Assumptions!$B$45,0,$C$1)-SUM(AH$167:AH$169)/AH$14),OFFSET(Assumptions!$B$44,0,$C$1))*SIGN(OFFSET(Assumptions!$B$45,0,$C$1)-SUM(AH$167:AH$169)/AH$14)),AH$167*(1+Exogenous!$B$41*Popn!AP$208+Exogenous!$B$42*Popn!AP$210+Exogenous!$B$43*Popn!AP$213+Exogenous!$B$44*Popn!AP$216+Exogenous!$B$45*Popn!AP$220+Exogenous!$B$46*Popn!AP$222)*AVERAGE(1,AI$19*AI$26/(AH$19*AH$26))*(1+AI$34))</f>
        <v>6.5997483348028938</v>
      </c>
      <c r="AJ167" s="7">
        <f ca="1">IF(AND(AJ$6&gt;=OFFSET(Assumptions!$B$43,0,$C$1),OFFSET(Assumptions!$B$42,0,$C$1)="AllGDP"),IF(AJ$6=OFFSET(Assumptions!$B$43,0,$C$1),AVERAGE(AG$167/SUM(AG$167:AG$169),AH$167/SUM(AH$167:AH$169),AI$167/SUM(AI$167:AI$169)),AI$167/SUM(AI$167:AI$169))*AJ$14*(SUM(AI$167:AI$169)/AI$14+MIN(ABS(OFFSET(Assumptions!$B$45,0,$C$1)-SUM(AI$167:AI$169)/AI$14),OFFSET(Assumptions!$B$44,0,$C$1))*SIGN(OFFSET(Assumptions!$B$45,0,$C$1)-SUM(AI$167:AI$169)/AI$14)),AI$167*(1+Exogenous!$B$41*Popn!AQ$208+Exogenous!$B$42*Popn!AQ$210+Exogenous!$B$43*Popn!AQ$213+Exogenous!$B$44*Popn!AQ$216+Exogenous!$B$45*Popn!AQ$220+Exogenous!$B$46*Popn!AQ$222)*AVERAGE(1,AJ$19*AJ$26/(AI$19*AI$26))*(1+AJ$34))</f>
        <v>6.8649979990421022</v>
      </c>
      <c r="AK167" s="7">
        <f ca="1">IF(AND(AK$6&gt;=OFFSET(Assumptions!$B$43,0,$C$1),OFFSET(Assumptions!$B$42,0,$C$1)="AllGDP"),IF(AK$6=OFFSET(Assumptions!$B$43,0,$C$1),AVERAGE(AH$167/SUM(AH$167:AH$169),AI$167/SUM(AI$167:AI$169),AJ$167/SUM(AJ$167:AJ$169)),AJ$167/SUM(AJ$167:AJ$169))*AK$14*(SUM(AJ$167:AJ$169)/AJ$14+MIN(ABS(OFFSET(Assumptions!$B$45,0,$C$1)-SUM(AJ$167:AJ$169)/AJ$14),OFFSET(Assumptions!$B$44,0,$C$1))*SIGN(OFFSET(Assumptions!$B$45,0,$C$1)-SUM(AJ$167:AJ$169)/AJ$14)),AJ$167*(1+Exogenous!$B$41*Popn!AR$208+Exogenous!$B$42*Popn!AR$210+Exogenous!$B$43*Popn!AR$213+Exogenous!$B$44*Popn!AR$216+Exogenous!$B$45*Popn!AR$220+Exogenous!$B$46*Popn!AR$222)*AVERAGE(1,AK$19*AK$26/(AJ$19*AJ$26))*(1+AK$34))</f>
        <v>7.1400527477802234</v>
      </c>
      <c r="AL167" s="7">
        <f ca="1">IF(AND(AL$6&gt;=OFFSET(Assumptions!$B$43,0,$C$1),OFFSET(Assumptions!$B$42,0,$C$1)="AllGDP"),IF(AL$6=OFFSET(Assumptions!$B$43,0,$C$1),AVERAGE(AI$167/SUM(AI$167:AI$169),AJ$167/SUM(AJ$167:AJ$169),AK$167/SUM(AK$167:AK$169)),AK$167/SUM(AK$167:AK$169))*AL$14*(SUM(AK$167:AK$169)/AK$14+MIN(ABS(OFFSET(Assumptions!$B$45,0,$C$1)-SUM(AK$167:AK$169)/AK$14),OFFSET(Assumptions!$B$44,0,$C$1))*SIGN(OFFSET(Assumptions!$B$45,0,$C$1)-SUM(AK$167:AK$169)/AK$14)),AK$167*(1+Exogenous!$B$41*Popn!AS$208+Exogenous!$B$42*Popn!AS$210+Exogenous!$B$43*Popn!AS$213+Exogenous!$B$44*Popn!AS$216+Exogenous!$B$45*Popn!AS$220+Exogenous!$B$46*Popn!AS$222)*AVERAGE(1,AL$19*AL$26/(AK$19*AK$26))*(1+AL$34))</f>
        <v>7.4246959128034211</v>
      </c>
      <c r="AM167" s="7">
        <f ca="1">IF(AND(AM$6&gt;=OFFSET(Assumptions!$B$43,0,$C$1),OFFSET(Assumptions!$B$42,0,$C$1)="AllGDP"),IF(AM$6=OFFSET(Assumptions!$B$43,0,$C$1),AVERAGE(AJ$167/SUM(AJ$167:AJ$169),AK$167/SUM(AK$167:AK$169),AL$167/SUM(AL$167:AL$169)),AL$167/SUM(AL$167:AL$169))*AM$14*(SUM(AL$167:AL$169)/AL$14+MIN(ABS(OFFSET(Assumptions!$B$45,0,$C$1)-SUM(AL$167:AL$169)/AL$14),OFFSET(Assumptions!$B$44,0,$C$1))*SIGN(OFFSET(Assumptions!$B$45,0,$C$1)-SUM(AL$167:AL$169)/AL$14)),AL$167*(1+Exogenous!$B$41*Popn!AT$208+Exogenous!$B$42*Popn!AT$210+Exogenous!$B$43*Popn!AT$213+Exogenous!$B$44*Popn!AT$216+Exogenous!$B$45*Popn!AT$220+Exogenous!$B$46*Popn!AT$222)*AVERAGE(1,AM$19*AM$26/(AL$19*AL$26))*(1+AM$34))</f>
        <v>7.71931635374143</v>
      </c>
      <c r="AN167" s="7">
        <f ca="1">IF(AND(AN$6&gt;=OFFSET(Assumptions!$B$43,0,$C$1),OFFSET(Assumptions!$B$42,0,$C$1)="AllGDP"),IF(AN$6=OFFSET(Assumptions!$B$43,0,$C$1),AVERAGE(AK$167/SUM(AK$167:AK$169),AL$167/SUM(AL$167:AL$169),AM$167/SUM(AM$167:AM$169)),AM$167/SUM(AM$167:AM$169))*AN$14*(SUM(AM$167:AM$169)/AM$14+MIN(ABS(OFFSET(Assumptions!$B$45,0,$C$1)-SUM(AM$167:AM$169)/AM$14),OFFSET(Assumptions!$B$44,0,$C$1))*SIGN(OFFSET(Assumptions!$B$45,0,$C$1)-SUM(AM$167:AM$169)/AM$14)),AM$167*(1+Exogenous!$B$41*Popn!AU$208+Exogenous!$B$42*Popn!AU$210+Exogenous!$B$43*Popn!AU$213+Exogenous!$B$44*Popn!AU$216+Exogenous!$B$45*Popn!AU$220+Exogenous!$B$46*Popn!AU$222)*AVERAGE(1,AN$19*AN$26/(AM$19*AM$26))*(1+AN$34))</f>
        <v>8.0243238847744642</v>
      </c>
      <c r="AO167" s="7">
        <f ca="1">IF(AND(AO$6&gt;=OFFSET(Assumptions!$B$43,0,$C$1),OFFSET(Assumptions!$B$42,0,$C$1)="AllGDP"),IF(AO$6=OFFSET(Assumptions!$B$43,0,$C$1),AVERAGE(AL$167/SUM(AL$167:AL$169),AM$167/SUM(AM$167:AM$169),AN$167/SUM(AN$167:AN$169)),AN$167/SUM(AN$167:AN$169))*AO$14*(SUM(AN$167:AN$169)/AN$14+MIN(ABS(OFFSET(Assumptions!$B$45,0,$C$1)-SUM(AN$167:AN$169)/AN$14),OFFSET(Assumptions!$B$44,0,$C$1))*SIGN(OFFSET(Assumptions!$B$45,0,$C$1)-SUM(AN$167:AN$169)/AN$14)),AN$167*(1+Exogenous!$B$41*Popn!AV$208+Exogenous!$B$42*Popn!AV$210+Exogenous!$B$43*Popn!AV$213+Exogenous!$B$44*Popn!AV$216+Exogenous!$B$45*Popn!AV$220+Exogenous!$B$46*Popn!AV$222)*AVERAGE(1,AO$19*AO$26/(AN$19*AN$26))*(1+AO$34))</f>
        <v>8.3385208468046486</v>
      </c>
      <c r="AP167" s="7">
        <f ca="1">IF(AND(AP$6&gt;=OFFSET(Assumptions!$B$43,0,$C$1),OFFSET(Assumptions!$B$42,0,$C$1)="AllGDP"),IF(AP$6=OFFSET(Assumptions!$B$43,0,$C$1),AVERAGE(AM$167/SUM(AM$167:AM$169),AN$167/SUM(AN$167:AN$169),AO$167/SUM(AO$167:AO$169)),AO$167/SUM(AO$167:AO$169))*AP$14*(SUM(AO$167:AO$169)/AO$14+MIN(ABS(OFFSET(Assumptions!$B$45,0,$C$1)-SUM(AO$167:AO$169)/AO$14),OFFSET(Assumptions!$B$44,0,$C$1))*SIGN(OFFSET(Assumptions!$B$45,0,$C$1)-SUM(AO$167:AO$169)/AO$14)),AO$167*(1+Exogenous!$B$41*Popn!AW$208+Exogenous!$B$42*Popn!AW$210+Exogenous!$B$43*Popn!AW$213+Exogenous!$B$44*Popn!AW$216+Exogenous!$B$45*Popn!AW$220+Exogenous!$B$46*Popn!AW$222)*AVERAGE(1,AP$19*AP$26/(AO$19*AO$26))*(1+AP$34))</f>
        <v>8.6632414756974487</v>
      </c>
      <c r="AQ167" s="7">
        <f ca="1">IF(AND(AQ$6&gt;=OFFSET(Assumptions!$B$43,0,$C$1),OFFSET(Assumptions!$B$42,0,$C$1)="AllGDP"),IF(AQ$6=OFFSET(Assumptions!$B$43,0,$C$1),AVERAGE(AN$167/SUM(AN$167:AN$169),AO$167/SUM(AO$167:AO$169),AP$167/SUM(AP$167:AP$169)),AP$167/SUM(AP$167:AP$169))*AQ$14*(SUM(AP$167:AP$169)/AP$14+MIN(ABS(OFFSET(Assumptions!$B$45,0,$C$1)-SUM(AP$167:AP$169)/AP$14),OFFSET(Assumptions!$B$44,0,$C$1))*SIGN(OFFSET(Assumptions!$B$45,0,$C$1)-SUM(AP$167:AP$169)/AP$14)),AP$167*(1+Exogenous!$B$41*Popn!AX$208+Exogenous!$B$42*Popn!AX$210+Exogenous!$B$43*Popn!AX$213+Exogenous!$B$44*Popn!AX$216+Exogenous!$B$45*Popn!AX$220+Exogenous!$B$46*Popn!AX$222)*AVERAGE(1,AQ$19*AQ$26/(AP$19*AP$26))*(1+AQ$34))</f>
        <v>8.9975759052754345</v>
      </c>
      <c r="AR167" s="7">
        <f ca="1">IF(AND(AR$6&gt;=OFFSET(Assumptions!$B$43,0,$C$1),OFFSET(Assumptions!$B$42,0,$C$1)="AllGDP"),IF(AR$6=OFFSET(Assumptions!$B$43,0,$C$1),AVERAGE(AO$167/SUM(AO$167:AO$169),AP$167/SUM(AP$167:AP$169),AQ$167/SUM(AQ$167:AQ$169)),AQ$167/SUM(AQ$167:AQ$169))*AR$14*(SUM(AQ$167:AQ$169)/AQ$14+MIN(ABS(OFFSET(Assumptions!$B$45,0,$C$1)-SUM(AQ$167:AQ$169)/AQ$14),OFFSET(Assumptions!$B$44,0,$C$1))*SIGN(OFFSET(Assumptions!$B$45,0,$C$1)-SUM(AQ$167:AQ$169)/AQ$14)),AQ$167*(1+Exogenous!$B$41*Popn!AY$208+Exogenous!$B$42*Popn!AY$210+Exogenous!$B$43*Popn!AY$213+Exogenous!$B$44*Popn!AY$216+Exogenous!$B$45*Popn!AY$220+Exogenous!$B$46*Popn!AY$222)*AVERAGE(1,AR$19*AR$26/(AQ$19*AQ$26))*(1+AR$34))</f>
        <v>9.3419026619242729</v>
      </c>
      <c r="AS167" s="7">
        <f ca="1">IF(AND(AS$6&gt;=OFFSET(Assumptions!$B$43,0,$C$1),OFFSET(Assumptions!$B$42,0,$C$1)="AllGDP"),IF(AS$6=OFFSET(Assumptions!$B$43,0,$C$1),AVERAGE(AP$167/SUM(AP$167:AP$169),AQ$167/SUM(AQ$167:AQ$169),AR$167/SUM(AR$167:AR$169)),AR$167/SUM(AR$167:AR$169))*AS$14*(SUM(AR$167:AR$169)/AR$14+MIN(ABS(OFFSET(Assumptions!$B$45,0,$C$1)-SUM(AR$167:AR$169)/AR$14),OFFSET(Assumptions!$B$44,0,$C$1))*SIGN(OFFSET(Assumptions!$B$45,0,$C$1)-SUM(AR$167:AR$169)/AR$14)),AR$167*(1+Exogenous!$B$41*Popn!AZ$208+Exogenous!$B$42*Popn!AZ$210+Exogenous!$B$43*Popn!AZ$213+Exogenous!$B$44*Popn!AZ$216+Exogenous!$B$45*Popn!AZ$220+Exogenous!$B$46*Popn!AZ$222)*AVERAGE(1,AS$19*AS$26/(AR$19*AR$26))*(1+AS$34))</f>
        <v>9.6970250500355064</v>
      </c>
      <c r="AT167" s="7">
        <f ca="1">IF(AND(AT$6&gt;=OFFSET(Assumptions!$B$43,0,$C$1),OFFSET(Assumptions!$B$42,0,$C$1)="AllGDP"),IF(AT$6=OFFSET(Assumptions!$B$43,0,$C$1),AVERAGE(AQ$167/SUM(AQ$167:AQ$169),AR$167/SUM(AR$167:AR$169),AS$167/SUM(AS$167:AS$169)),AS$167/SUM(AS$167:AS$169))*AT$14*(SUM(AS$167:AS$169)/AS$14+MIN(ABS(OFFSET(Assumptions!$B$45,0,$C$1)-SUM(AS$167:AS$169)/AS$14),OFFSET(Assumptions!$B$44,0,$C$1))*SIGN(OFFSET(Assumptions!$B$45,0,$C$1)-SUM(AS$167:AS$169)/AS$14)),AS$167*(1+Exogenous!$B$41*Popn!BA$208+Exogenous!$B$42*Popn!BA$210+Exogenous!$B$43*Popn!BA$213+Exogenous!$B$44*Popn!BA$216+Exogenous!$B$45*Popn!BA$220+Exogenous!$B$46*Popn!BA$222)*AVERAGE(1,AT$19*AT$26/(AS$19*AS$26))*(1+AT$34))</f>
        <v>10.06322669423413</v>
      </c>
      <c r="AU167" s="7">
        <f ca="1">IF(AND(AU$6&gt;=OFFSET(Assumptions!$B$43,0,$C$1),OFFSET(Assumptions!$B$42,0,$C$1)="AllGDP"),IF(AU$6=OFFSET(Assumptions!$B$43,0,$C$1),AVERAGE(AR$167/SUM(AR$167:AR$169),AS$167/SUM(AS$167:AS$169),AT$167/SUM(AT$167:AT$169)),AT$167/SUM(AT$167:AT$169))*AU$14*(SUM(AT$167:AT$169)/AT$14+MIN(ABS(OFFSET(Assumptions!$B$45,0,$C$1)-SUM(AT$167:AT$169)/AT$14),OFFSET(Assumptions!$B$44,0,$C$1))*SIGN(OFFSET(Assumptions!$B$45,0,$C$1)-SUM(AT$167:AT$169)/AT$14)),AT$167*(1+Exogenous!$B$41*Popn!BB$208+Exogenous!$B$42*Popn!BB$210+Exogenous!$B$43*Popn!BB$213+Exogenous!$B$44*Popn!BB$216+Exogenous!$B$45*Popn!BB$220+Exogenous!$B$46*Popn!BB$222)*AVERAGE(1,AU$19*AU$26/(AT$19*AT$26))*(1+AU$34))</f>
        <v>10.440994560954383</v>
      </c>
      <c r="AV167" s="7">
        <f ca="1">IF(AND(AV$6&gt;=OFFSET(Assumptions!$B$43,0,$C$1),OFFSET(Assumptions!$B$42,0,$C$1)="AllGDP"),IF(AV$6=OFFSET(Assumptions!$B$43,0,$C$1),AVERAGE(AS$167/SUM(AS$167:AS$169),AT$167/SUM(AT$167:AT$169),AU$167/SUM(AU$167:AU$169)),AU$167/SUM(AU$167:AU$169))*AV$14*(SUM(AU$167:AU$169)/AU$14+MIN(ABS(OFFSET(Assumptions!$B$45,0,$C$1)-SUM(AU$167:AU$169)/AU$14),OFFSET(Assumptions!$B$44,0,$C$1))*SIGN(OFFSET(Assumptions!$B$45,0,$C$1)-SUM(AU$167:AU$169)/AU$14)),AU$167*(1+Exogenous!$B$41*Popn!BC$208+Exogenous!$B$42*Popn!BC$210+Exogenous!$B$43*Popn!BC$213+Exogenous!$B$44*Popn!BC$216+Exogenous!$B$45*Popn!BC$220+Exogenous!$B$46*Popn!BC$222)*AVERAGE(1,AV$19*AV$26/(AU$19*AU$26))*(1+AV$34))</f>
        <v>10.831496669932269</v>
      </c>
      <c r="AW167" s="7">
        <f ca="1">IF(AND(AW$6&gt;=OFFSET(Assumptions!$B$43,0,$C$1),OFFSET(Assumptions!$B$42,0,$C$1)="AllGDP"),IF(AW$6=OFFSET(Assumptions!$B$43,0,$C$1),AVERAGE(AT$167/SUM(AT$167:AT$169),AU$167/SUM(AU$167:AU$169),AV$167/SUM(AV$167:AV$169)),AV$167/SUM(AV$167:AV$169))*AW$14*(SUM(AV$167:AV$169)/AV$14+MIN(ABS(OFFSET(Assumptions!$B$45,0,$C$1)-SUM(AV$167:AV$169)/AV$14),OFFSET(Assumptions!$B$44,0,$C$1))*SIGN(OFFSET(Assumptions!$B$45,0,$C$1)-SUM(AV$167:AV$169)/AV$14)),AV$167*(1+Exogenous!$B$41*Popn!BD$208+Exogenous!$B$42*Popn!BD$210+Exogenous!$B$43*Popn!BD$213+Exogenous!$B$44*Popn!BD$216+Exogenous!$B$45*Popn!BD$220+Exogenous!$B$46*Popn!BD$222)*AVERAGE(1,AW$19*AW$26/(AV$19*AV$26))*(1+AW$34))</f>
        <v>11.234512560789637</v>
      </c>
    </row>
    <row r="168" spans="1:49" x14ac:dyDescent="0.2">
      <c r="A168" s="1" t="s">
        <v>316</v>
      </c>
      <c r="B168" s="4" t="str">
        <f t="shared" si="145"/>
        <v>From Fiscal</v>
      </c>
      <c r="D168" s="18">
        <f>Fiscal!D$226</f>
        <v>1.5149999999999999</v>
      </c>
      <c r="E168" s="19">
        <f>Fiscal!E$226</f>
        <v>1.524</v>
      </c>
      <c r="F168" s="19">
        <f>Fiscal!F$226</f>
        <v>1.5149999999999999</v>
      </c>
      <c r="G168" s="19">
        <f>Fiscal!G$226</f>
        <v>1.4930000000000001</v>
      </c>
      <c r="H168" s="19">
        <f>Fiscal!H$226</f>
        <v>1.5089999999999999</v>
      </c>
      <c r="I168" s="19">
        <f>Fiscal!I$226</f>
        <v>1.5289999999999999</v>
      </c>
      <c r="J168" s="7">
        <f ca="1">IF(AND(J$6&gt;=OFFSET(Assumptions!$B$43,0,$C$1),OFFSET(Assumptions!$B$42,0,$C$1)="AllGDP"),IF(J$6=OFFSET(Assumptions!$B$43,0,$C$1),AVERAGE(G$168/SUM(G$167:G$169),H$168/SUM(H$167:H$169),I$168/SUM(I$167:I$169)),I$168/SUM(I$167:I$169))*J$14*(SUM(I$167:I$169)/I$14+MIN(ABS(OFFSET(Assumptions!$B$45,0,$C$1)-SUM(I$167:I$169)/I$14),OFFSET(Assumptions!$B$44,0,$C$1))*SIGN(OFFSET(Assumptions!$B$45,0,$C$1)-SUM(I$167:I$169)/I$14)),I$168*(1+Exogenous!$I$41*Popn!Q$208+Exogenous!$I$42*Popn!Q$212+Exogenous!$I$43*Popn!Q$215+Exogenous!$I$44*Popn!Q$219+Exogenous!$I$45*Popn!Q$221+Exogenous!$I$46*Popn!Q$222)*(1+J$34))</f>
        <v>1.6310814574564301</v>
      </c>
      <c r="K168" s="7">
        <f ca="1">IF(AND(K$6&gt;=OFFSET(Assumptions!$B$43,0,$C$1),OFFSET(Assumptions!$B$42,0,$C$1)="AllGDP"),IF(K$6=OFFSET(Assumptions!$B$43,0,$C$1),AVERAGE(H$168/SUM(H$167:H$169),I$168/SUM(I$167:I$169),J$168/SUM(J$167:J$169)),J$168/SUM(J$167:J$169))*K$14*(SUM(J$167:J$169)/J$14+MIN(ABS(OFFSET(Assumptions!$B$45,0,$C$1)-SUM(J$167:J$169)/J$14),OFFSET(Assumptions!$B$44,0,$C$1))*SIGN(OFFSET(Assumptions!$B$45,0,$C$1)-SUM(J$167:J$169)/J$14)),J$168*(1+Exogenous!$I$41*Popn!R$208+Exogenous!$I$42*Popn!R$212+Exogenous!$I$43*Popn!R$215+Exogenous!$I$44*Popn!R$219+Exogenous!$I$45*Popn!R$221+Exogenous!$I$46*Popn!R$222)*(1+K$34))</f>
        <v>1.7564374000975966</v>
      </c>
      <c r="L168" s="7">
        <f ca="1">IF(AND(L$6&gt;=OFFSET(Assumptions!$B$43,0,$C$1),OFFSET(Assumptions!$B$42,0,$C$1)="AllGDP"),IF(L$6=OFFSET(Assumptions!$B$43,0,$C$1),AVERAGE(I$168/SUM(I$167:I$169),J$168/SUM(J$167:J$169),K$168/SUM(K$167:K$169)),K$168/SUM(K$167:K$169))*L$14*(SUM(K$167:K$169)/K$14+MIN(ABS(OFFSET(Assumptions!$B$45,0,$C$1)-SUM(K$167:K$169)/K$14),OFFSET(Assumptions!$B$44,0,$C$1))*SIGN(OFFSET(Assumptions!$B$45,0,$C$1)-SUM(K$167:K$169)/K$14)),K$168*(1+Exogenous!$I$41*Popn!S$208+Exogenous!$I$42*Popn!S$212+Exogenous!$I$43*Popn!S$215+Exogenous!$I$44*Popn!S$219+Exogenous!$I$45*Popn!S$221+Exogenous!$I$46*Popn!S$222)*(1+L$34))</f>
        <v>1.8922424511257909</v>
      </c>
      <c r="M168" s="7">
        <f ca="1">IF(AND(M$6&gt;=OFFSET(Assumptions!$B$43,0,$C$1),OFFSET(Assumptions!$B$42,0,$C$1)="AllGDP"),IF(M$6=OFFSET(Assumptions!$B$43,0,$C$1),AVERAGE(J$168/SUM(J$167:J$169),K$168/SUM(K$167:K$169),L$168/SUM(L$167:L$169)),L$168/SUM(L$167:L$169))*M$14*(SUM(L$167:L$169)/L$14+MIN(ABS(OFFSET(Assumptions!$B$45,0,$C$1)-SUM(L$167:L$169)/L$14),OFFSET(Assumptions!$B$44,0,$C$1))*SIGN(OFFSET(Assumptions!$B$45,0,$C$1)-SUM(L$167:L$169)/L$14)),L$168*(1+Exogenous!$I$41*Popn!T$208+Exogenous!$I$42*Popn!T$212+Exogenous!$I$43*Popn!T$215+Exogenous!$I$44*Popn!T$219+Exogenous!$I$45*Popn!T$221+Exogenous!$I$46*Popn!T$222)*(1+M$34))</f>
        <v>2.0362495041862556</v>
      </c>
      <c r="N168" s="7">
        <f ca="1">IF(AND(N$6&gt;=OFFSET(Assumptions!$B$43,0,$C$1),OFFSET(Assumptions!$B$42,0,$C$1)="AllGDP"),IF(N$6=OFFSET(Assumptions!$B$43,0,$C$1),AVERAGE(K$168/SUM(K$167:K$169),L$168/SUM(L$167:L$169),M$168/SUM(M$167:M$169)),M$168/SUM(M$167:M$169))*N$14*(SUM(M$167:M$169)/M$14+MIN(ABS(OFFSET(Assumptions!$B$45,0,$C$1)-SUM(M$167:M$169)/M$14),OFFSET(Assumptions!$B$44,0,$C$1))*SIGN(OFFSET(Assumptions!$B$45,0,$C$1)-SUM(M$167:M$169)/M$14)),M$168*(1+Exogenous!$I$41*Popn!U$208+Exogenous!$I$42*Popn!U$212+Exogenous!$I$43*Popn!U$215+Exogenous!$I$44*Popn!U$219+Exogenous!$I$45*Popn!U$221+Exogenous!$I$46*Popn!U$222)*(1+N$34))</f>
        <v>2.1890024580742784</v>
      </c>
      <c r="O168" s="7">
        <f ca="1">IF(AND(O$6&gt;=OFFSET(Assumptions!$B$43,0,$C$1),OFFSET(Assumptions!$B$42,0,$C$1)="AllGDP"),IF(O$6=OFFSET(Assumptions!$B$43,0,$C$1),AVERAGE(L$168/SUM(L$167:L$169),M$168/SUM(M$167:M$169),N$168/SUM(N$167:N$169)),N$168/SUM(N$167:N$169))*O$14*(SUM(N$167:N$169)/N$14+MIN(ABS(OFFSET(Assumptions!$B$45,0,$C$1)-SUM(N$167:N$169)/N$14),OFFSET(Assumptions!$B$44,0,$C$1))*SIGN(OFFSET(Assumptions!$B$45,0,$C$1)-SUM(N$167:N$169)/N$14)),N$168*(1+Exogenous!$I$41*Popn!V$208+Exogenous!$I$42*Popn!V$212+Exogenous!$I$43*Popn!V$215+Exogenous!$I$44*Popn!V$219+Exogenous!$I$45*Popn!V$221+Exogenous!$I$46*Popn!V$222)*(1+O$34))</f>
        <v>2.3501503210613528</v>
      </c>
      <c r="P168" s="7">
        <f ca="1">IF(AND(P$6&gt;=OFFSET(Assumptions!$B$43,0,$C$1),OFFSET(Assumptions!$B$42,0,$C$1)="AllGDP"),IF(P$6=OFFSET(Assumptions!$B$43,0,$C$1),AVERAGE(M$168/SUM(M$167:M$169),N$168/SUM(N$167:N$169),O$168/SUM(O$167:O$169)),O$168/SUM(O$167:O$169))*P$14*(SUM(O$167:O$169)/O$14+MIN(ABS(OFFSET(Assumptions!$B$45,0,$C$1)-SUM(O$167:O$169)/O$14),OFFSET(Assumptions!$B$44,0,$C$1))*SIGN(OFFSET(Assumptions!$B$45,0,$C$1)-SUM(O$167:O$169)/O$14)),O$168*(1+Exogenous!$I$41*Popn!W$208+Exogenous!$I$42*Popn!W$212+Exogenous!$I$43*Popn!W$215+Exogenous!$I$44*Popn!W$219+Exogenous!$I$45*Popn!W$221+Exogenous!$I$46*Popn!W$222)*(1+P$34))</f>
        <v>2.5201053286486768</v>
      </c>
      <c r="Q168" s="7">
        <f ca="1">IF(AND(Q$6&gt;=OFFSET(Assumptions!$B$43,0,$C$1),OFFSET(Assumptions!$B$42,0,$C$1)="AllGDP"),IF(Q$6=OFFSET(Assumptions!$B$43,0,$C$1),AVERAGE(N$168/SUM(N$167:N$169),O$168/SUM(O$167:O$169),P$168/SUM(P$167:P$169)),P$168/SUM(P$167:P$169))*Q$14*(SUM(P$167:P$169)/P$14+MIN(ABS(OFFSET(Assumptions!$B$45,0,$C$1)-SUM(P$167:P$169)/P$14),OFFSET(Assumptions!$B$44,0,$C$1))*SIGN(OFFSET(Assumptions!$B$45,0,$C$1)-SUM(P$167:P$169)/P$14)),P$168*(1+Exogenous!$I$41*Popn!X$208+Exogenous!$I$42*Popn!X$212+Exogenous!$I$43*Popn!X$215+Exogenous!$I$44*Popn!X$219+Exogenous!$I$45*Popn!X$221+Exogenous!$I$46*Popn!X$222)*(1+Q$34))</f>
        <v>2.6990280968698288</v>
      </c>
      <c r="R168" s="7">
        <f ca="1">IF(AND(R$6&gt;=OFFSET(Assumptions!$B$43,0,$C$1),OFFSET(Assumptions!$B$42,0,$C$1)="AllGDP"),IF(R$6=OFFSET(Assumptions!$B$43,0,$C$1),AVERAGE(O$168/SUM(O$167:O$169),P$168/SUM(P$167:P$169),Q$168/SUM(Q$167:Q$169)),Q$168/SUM(Q$167:Q$169))*R$14*(SUM(Q$167:Q$169)/Q$14+MIN(ABS(OFFSET(Assumptions!$B$45,0,$C$1)-SUM(Q$167:Q$169)/Q$14),OFFSET(Assumptions!$B$44,0,$C$1))*SIGN(OFFSET(Assumptions!$B$45,0,$C$1)-SUM(Q$167:Q$169)/Q$14)),Q$168*(1+Exogenous!$I$41*Popn!Y$208+Exogenous!$I$42*Popn!Y$212+Exogenous!$I$43*Popn!Y$215+Exogenous!$I$44*Popn!Y$219+Exogenous!$I$45*Popn!Y$221+Exogenous!$I$46*Popn!Y$222)*(1+R$34))</f>
        <v>2.8871008910922464</v>
      </c>
      <c r="S168" s="7">
        <f ca="1">IF(AND(S$6&gt;=OFFSET(Assumptions!$B$43,0,$C$1),OFFSET(Assumptions!$B$42,0,$C$1)="AllGDP"),IF(S$6=OFFSET(Assumptions!$B$43,0,$C$1),AVERAGE(P$168/SUM(P$167:P$169),Q$168/SUM(Q$167:Q$169),R$168/SUM(R$167:R$169)),R$168/SUM(R$167:R$169))*S$14*(SUM(R$167:R$169)/R$14+MIN(ABS(OFFSET(Assumptions!$B$45,0,$C$1)-SUM(R$167:R$169)/R$14),OFFSET(Assumptions!$B$44,0,$C$1))*SIGN(OFFSET(Assumptions!$B$45,0,$C$1)-SUM(R$167:R$169)/R$14)),R$168*(1+Exogenous!$I$41*Popn!Z$208+Exogenous!$I$42*Popn!Z$212+Exogenous!$I$43*Popn!Z$215+Exogenous!$I$44*Popn!Z$219+Exogenous!$I$45*Popn!Z$221+Exogenous!$I$46*Popn!Z$222)*(1+S$34))</f>
        <v>3.0849557104205356</v>
      </c>
      <c r="T168" s="7">
        <f ca="1">IF(AND(T$6&gt;=OFFSET(Assumptions!$B$43,0,$C$1),OFFSET(Assumptions!$B$42,0,$C$1)="AllGDP"),IF(T$6=OFFSET(Assumptions!$B$43,0,$C$1),AVERAGE(Q$168/SUM(Q$167:Q$169),R$168/SUM(R$167:R$169),S$168/SUM(S$167:S$169)),S$168/SUM(S$167:S$169))*T$14*(SUM(S$167:S$169)/S$14+MIN(ABS(OFFSET(Assumptions!$B$45,0,$C$1)-SUM(S$167:S$169)/S$14),OFFSET(Assumptions!$B$44,0,$C$1))*SIGN(OFFSET(Assumptions!$B$45,0,$C$1)-SUM(S$167:S$169)/S$14)),S$168*(1+Exogenous!$I$41*Popn!AA$208+Exogenous!$I$42*Popn!AA$212+Exogenous!$I$43*Popn!AA$215+Exogenous!$I$44*Popn!AA$219+Exogenous!$I$45*Popn!AA$221+Exogenous!$I$46*Popn!AA$222)*(1+T$34))</f>
        <v>3.2929251959242403</v>
      </c>
      <c r="U168" s="7">
        <f ca="1">IF(AND(U$6&gt;=OFFSET(Assumptions!$B$43,0,$C$1),OFFSET(Assumptions!$B$42,0,$C$1)="AllGDP"),IF(U$6=OFFSET(Assumptions!$B$43,0,$C$1),AVERAGE(R$168/SUM(R$167:R$169),S$168/SUM(S$167:S$169),T$168/SUM(T$167:T$169)),T$168/SUM(T$167:T$169))*U$14*(SUM(T$167:T$169)/T$14+MIN(ABS(OFFSET(Assumptions!$B$45,0,$C$1)-SUM(T$167:T$169)/T$14),OFFSET(Assumptions!$B$44,0,$C$1))*SIGN(OFFSET(Assumptions!$B$45,0,$C$1)-SUM(T$167:T$169)/T$14)),T$168*(1+Exogenous!$I$41*Popn!AB$208+Exogenous!$I$42*Popn!AB$212+Exogenous!$I$43*Popn!AB$215+Exogenous!$I$44*Popn!AB$219+Exogenous!$I$45*Popn!AB$221+Exogenous!$I$46*Popn!AB$222)*(1+U$34))</f>
        <v>3.5117720183700434</v>
      </c>
      <c r="V168" s="7">
        <f ca="1">IF(AND(V$6&gt;=OFFSET(Assumptions!$B$43,0,$C$1),OFFSET(Assumptions!$B$42,0,$C$1)="AllGDP"),IF(V$6=OFFSET(Assumptions!$B$43,0,$C$1),AVERAGE(S$168/SUM(S$167:S$169),T$168/SUM(T$167:T$169),U$168/SUM(U$167:U$169)),U$168/SUM(U$167:U$169))*V$14*(SUM(U$167:U$169)/U$14+MIN(ABS(OFFSET(Assumptions!$B$45,0,$C$1)-SUM(U$167:U$169)/U$14),OFFSET(Assumptions!$B$44,0,$C$1))*SIGN(OFFSET(Assumptions!$B$45,0,$C$1)-SUM(U$167:U$169)/U$14)),U$168*(1+Exogenous!$I$41*Popn!AC$208+Exogenous!$I$42*Popn!AC$212+Exogenous!$I$43*Popn!AC$215+Exogenous!$I$44*Popn!AC$219+Exogenous!$I$45*Popn!AC$221+Exogenous!$I$46*Popn!AC$222)*(1+V$34))</f>
        <v>3.7421654233855222</v>
      </c>
      <c r="W168" s="7">
        <f ca="1">IF(AND(W$6&gt;=OFFSET(Assumptions!$B$43,0,$C$1),OFFSET(Assumptions!$B$42,0,$C$1)="AllGDP"),IF(W$6=OFFSET(Assumptions!$B$43,0,$C$1),AVERAGE(T$168/SUM(T$167:T$169),U$168/SUM(U$167:U$169),V$168/SUM(V$167:V$169)),V$168/SUM(V$167:V$169))*W$14*(SUM(V$167:V$169)/V$14+MIN(ABS(OFFSET(Assumptions!$B$45,0,$C$1)-SUM(V$167:V$169)/V$14),OFFSET(Assumptions!$B$44,0,$C$1))*SIGN(OFFSET(Assumptions!$B$45,0,$C$1)-SUM(V$167:V$169)/V$14)),V$168*(1+Exogenous!$I$41*Popn!AD$208+Exogenous!$I$42*Popn!AD$212+Exogenous!$I$43*Popn!AD$215+Exogenous!$I$44*Popn!AD$219+Exogenous!$I$45*Popn!AD$221+Exogenous!$I$46*Popn!AD$222)*(1+W$34))</f>
        <v>3.9185613126803696</v>
      </c>
      <c r="X168" s="7">
        <f ca="1">IF(AND(X$6&gt;=OFFSET(Assumptions!$B$43,0,$C$1),OFFSET(Assumptions!$B$42,0,$C$1)="AllGDP"),IF(X$6=OFFSET(Assumptions!$B$43,0,$C$1),AVERAGE(U$168/SUM(U$167:U$169),V$168/SUM(V$167:V$169),W$168/SUM(W$167:W$169)),W$168/SUM(W$167:W$169))*X$14*(SUM(W$167:W$169)/W$14+MIN(ABS(OFFSET(Assumptions!$B$45,0,$C$1)-SUM(W$167:W$169)/W$14),OFFSET(Assumptions!$B$44,0,$C$1))*SIGN(OFFSET(Assumptions!$B$45,0,$C$1)-SUM(W$167:W$169)/W$14)),W$168*(1+Exogenous!$I$41*Popn!AE$208+Exogenous!$I$42*Popn!AE$212+Exogenous!$I$43*Popn!AE$215+Exogenous!$I$44*Popn!AE$219+Exogenous!$I$45*Popn!AE$221+Exogenous!$I$46*Popn!AE$222)*(1+X$34))</f>
        <v>4.0748156482130629</v>
      </c>
      <c r="Y168" s="7">
        <f ca="1">IF(AND(Y$6&gt;=OFFSET(Assumptions!$B$43,0,$C$1),OFFSET(Assumptions!$B$42,0,$C$1)="AllGDP"),IF(Y$6=OFFSET(Assumptions!$B$43,0,$C$1),AVERAGE(V$168/SUM(V$167:V$169),W$168/SUM(W$167:W$169),X$168/SUM(X$167:X$169)),X$168/SUM(X$167:X$169))*Y$14*(SUM(X$167:X$169)/X$14+MIN(ABS(OFFSET(Assumptions!$B$45,0,$C$1)-SUM(X$167:X$169)/X$14),OFFSET(Assumptions!$B$44,0,$C$1))*SIGN(OFFSET(Assumptions!$B$45,0,$C$1)-SUM(X$167:X$169)/X$14)),X$168*(1+Exogenous!$I$41*Popn!AF$208+Exogenous!$I$42*Popn!AF$212+Exogenous!$I$43*Popn!AF$215+Exogenous!$I$44*Popn!AF$219+Exogenous!$I$45*Popn!AF$221+Exogenous!$I$46*Popn!AF$222)*(1+Y$34))</f>
        <v>4.2368538402090223</v>
      </c>
      <c r="Z168" s="7">
        <f ca="1">IF(AND(Z$6&gt;=OFFSET(Assumptions!$B$43,0,$C$1),OFFSET(Assumptions!$B$42,0,$C$1)="AllGDP"),IF(Z$6=OFFSET(Assumptions!$B$43,0,$C$1),AVERAGE(W$168/SUM(W$167:W$169),X$168/SUM(X$167:X$169),Y$168/SUM(Y$167:Y$169)),Y$168/SUM(Y$167:Y$169))*Z$14*(SUM(Y$167:Y$169)/Y$14+MIN(ABS(OFFSET(Assumptions!$B$45,0,$C$1)-SUM(Y$167:Y$169)/Y$14),OFFSET(Assumptions!$B$44,0,$C$1))*SIGN(OFFSET(Assumptions!$B$45,0,$C$1)-SUM(Y$167:Y$169)/Y$14)),Y$168*(1+Exogenous!$I$41*Popn!AG$208+Exogenous!$I$42*Popn!AG$212+Exogenous!$I$43*Popn!AG$215+Exogenous!$I$44*Popn!AG$219+Exogenous!$I$45*Popn!AG$221+Exogenous!$I$46*Popn!AG$222)*(1+Z$34))</f>
        <v>4.4054960680502013</v>
      </c>
      <c r="AA168" s="7">
        <f ca="1">IF(AND(AA$6&gt;=OFFSET(Assumptions!$B$43,0,$C$1),OFFSET(Assumptions!$B$42,0,$C$1)="AllGDP"),IF(AA$6=OFFSET(Assumptions!$B$43,0,$C$1),AVERAGE(X$168/SUM(X$167:X$169),Y$168/SUM(Y$167:Y$169),Z$168/SUM(Z$167:Z$169)),Z$168/SUM(Z$167:Z$169))*AA$14*(SUM(Z$167:Z$169)/Z$14+MIN(ABS(OFFSET(Assumptions!$B$45,0,$C$1)-SUM(Z$167:Z$169)/Z$14),OFFSET(Assumptions!$B$44,0,$C$1))*SIGN(OFFSET(Assumptions!$B$45,0,$C$1)-SUM(Z$167:Z$169)/Z$14)),Z$168*(1+Exogenous!$I$41*Popn!AH$208+Exogenous!$I$42*Popn!AH$212+Exogenous!$I$43*Popn!AH$215+Exogenous!$I$44*Popn!AH$219+Exogenous!$I$45*Popn!AH$221+Exogenous!$I$46*Popn!AH$222)*(1+AA$34))</f>
        <v>4.5810151954428076</v>
      </c>
      <c r="AB168" s="7">
        <f ca="1">IF(AND(AB$6&gt;=OFFSET(Assumptions!$B$43,0,$C$1),OFFSET(Assumptions!$B$42,0,$C$1)="AllGDP"),IF(AB$6=OFFSET(Assumptions!$B$43,0,$C$1),AVERAGE(Y$168/SUM(Y$167:Y$169),Z$168/SUM(Z$167:Z$169),AA$168/SUM(AA$167:AA$169)),AA$168/SUM(AA$167:AA$169))*AB$14*(SUM(AA$167:AA$169)/AA$14+MIN(ABS(OFFSET(Assumptions!$B$45,0,$C$1)-SUM(AA$167:AA$169)/AA$14),OFFSET(Assumptions!$B$44,0,$C$1))*SIGN(OFFSET(Assumptions!$B$45,0,$C$1)-SUM(AA$167:AA$169)/AA$14)),AA$168*(1+Exogenous!$I$41*Popn!AI$208+Exogenous!$I$42*Popn!AI$212+Exogenous!$I$43*Popn!AI$215+Exogenous!$I$44*Popn!AI$219+Exogenous!$I$45*Popn!AI$221+Exogenous!$I$46*Popn!AI$222)*(1+AB$34))</f>
        <v>4.7639383225358154</v>
      </c>
      <c r="AC168" s="7">
        <f ca="1">IF(AND(AC$6&gt;=OFFSET(Assumptions!$B$43,0,$C$1),OFFSET(Assumptions!$B$42,0,$C$1)="AllGDP"),IF(AC$6=OFFSET(Assumptions!$B$43,0,$C$1),AVERAGE(Z$168/SUM(Z$167:Z$169),AA$168/SUM(AA$167:AA$169),AB$168/SUM(AB$167:AB$169)),AB$168/SUM(AB$167:AB$169))*AC$14*(SUM(AB$167:AB$169)/AB$14+MIN(ABS(OFFSET(Assumptions!$B$45,0,$C$1)-SUM(AB$167:AB$169)/AB$14),OFFSET(Assumptions!$B$44,0,$C$1))*SIGN(OFFSET(Assumptions!$B$45,0,$C$1)-SUM(AB$167:AB$169)/AB$14)),AB$168*(1+Exogenous!$I$41*Popn!AJ$208+Exogenous!$I$42*Popn!AJ$212+Exogenous!$I$43*Popn!AJ$215+Exogenous!$I$44*Popn!AJ$219+Exogenous!$I$45*Popn!AJ$221+Exogenous!$I$46*Popn!AJ$222)*(1+AC$34))</f>
        <v>4.9549560089571054</v>
      </c>
      <c r="AD168" s="7">
        <f ca="1">IF(AND(AD$6&gt;=OFFSET(Assumptions!$B$43,0,$C$1),OFFSET(Assumptions!$B$42,0,$C$1)="AllGDP"),IF(AD$6=OFFSET(Assumptions!$B$43,0,$C$1),AVERAGE(AA$168/SUM(AA$167:AA$169),AB$168/SUM(AB$167:AB$169),AC$168/SUM(AC$167:AC$169)),AC$168/SUM(AC$167:AC$169))*AD$14*(SUM(AC$167:AC$169)/AC$14+MIN(ABS(OFFSET(Assumptions!$B$45,0,$C$1)-SUM(AC$167:AC$169)/AC$14),OFFSET(Assumptions!$B$44,0,$C$1))*SIGN(OFFSET(Assumptions!$B$45,0,$C$1)-SUM(AC$167:AC$169)/AC$14)),AC$168*(1+Exogenous!$I$41*Popn!AK$208+Exogenous!$I$42*Popn!AK$212+Exogenous!$I$43*Popn!AK$215+Exogenous!$I$44*Popn!AK$219+Exogenous!$I$45*Popn!AK$221+Exogenous!$I$46*Popn!AK$222)*(1+AD$34))</f>
        <v>5.1542695897045014</v>
      </c>
      <c r="AE168" s="7">
        <f ca="1">IF(AND(AE$6&gt;=OFFSET(Assumptions!$B$43,0,$C$1),OFFSET(Assumptions!$B$42,0,$C$1)="AllGDP"),IF(AE$6=OFFSET(Assumptions!$B$43,0,$C$1),AVERAGE(AB$168/SUM(AB$167:AB$169),AC$168/SUM(AC$167:AC$169),AD$168/SUM(AD$167:AD$169)),AD$168/SUM(AD$167:AD$169))*AE$14*(SUM(AD$167:AD$169)/AD$14+MIN(ABS(OFFSET(Assumptions!$B$45,0,$C$1)-SUM(AD$167:AD$169)/AD$14),OFFSET(Assumptions!$B$44,0,$C$1))*SIGN(OFFSET(Assumptions!$B$45,0,$C$1)-SUM(AD$167:AD$169)/AD$14)),AD$168*(1+Exogenous!$I$41*Popn!AL$208+Exogenous!$I$42*Popn!AL$212+Exogenous!$I$43*Popn!AL$215+Exogenous!$I$44*Popn!AL$219+Exogenous!$I$45*Popn!AL$221+Exogenous!$I$46*Popn!AL$222)*(1+AE$34))</f>
        <v>5.361696021819875</v>
      </c>
      <c r="AF168" s="7">
        <f ca="1">IF(AND(AF$6&gt;=OFFSET(Assumptions!$B$43,0,$C$1),OFFSET(Assumptions!$B$42,0,$C$1)="AllGDP"),IF(AF$6=OFFSET(Assumptions!$B$43,0,$C$1),AVERAGE(AC$168/SUM(AC$167:AC$169),AD$168/SUM(AD$167:AD$169),AE$168/SUM(AE$167:AE$169)),AE$168/SUM(AE$167:AE$169))*AF$14*(SUM(AE$167:AE$169)/AE$14+MIN(ABS(OFFSET(Assumptions!$B$45,0,$C$1)-SUM(AE$167:AE$169)/AE$14),OFFSET(Assumptions!$B$44,0,$C$1))*SIGN(OFFSET(Assumptions!$B$45,0,$C$1)-SUM(AE$167:AE$169)/AE$14)),AE$168*(1+Exogenous!$I$41*Popn!AM$208+Exogenous!$I$42*Popn!AM$212+Exogenous!$I$43*Popn!AM$215+Exogenous!$I$44*Popn!AM$219+Exogenous!$I$45*Popn!AM$221+Exogenous!$I$46*Popn!AM$222)*(1+AF$34))</f>
        <v>5.5778091711871403</v>
      </c>
      <c r="AG168" s="7">
        <f ca="1">IF(AND(AG$6&gt;=OFFSET(Assumptions!$B$43,0,$C$1),OFFSET(Assumptions!$B$42,0,$C$1)="AllGDP"),IF(AG$6=OFFSET(Assumptions!$B$43,0,$C$1),AVERAGE(AD$168/SUM(AD$167:AD$169),AE$168/SUM(AE$167:AE$169),AF$168/SUM(AF$167:AF$169)),AF$168/SUM(AF$167:AF$169))*AG$14*(SUM(AF$167:AF$169)/AF$14+MIN(ABS(OFFSET(Assumptions!$B$45,0,$C$1)-SUM(AF$167:AF$169)/AF$14),OFFSET(Assumptions!$B$44,0,$C$1))*SIGN(OFFSET(Assumptions!$B$45,0,$C$1)-SUM(AF$167:AF$169)/AF$14)),AF$168*(1+Exogenous!$I$41*Popn!AN$208+Exogenous!$I$42*Popn!AN$212+Exogenous!$I$43*Popn!AN$215+Exogenous!$I$44*Popn!AN$219+Exogenous!$I$45*Popn!AN$221+Exogenous!$I$46*Popn!AN$222)*(1+AG$34))</f>
        <v>5.8027298792425634</v>
      </c>
      <c r="AH168" s="7">
        <f ca="1">IF(AND(AH$6&gt;=OFFSET(Assumptions!$B$43,0,$C$1),OFFSET(Assumptions!$B$42,0,$C$1)="AllGDP"),IF(AH$6=OFFSET(Assumptions!$B$43,0,$C$1),AVERAGE(AE$168/SUM(AE$167:AE$169),AF$168/SUM(AF$167:AF$169),AG$168/SUM(AG$167:AG$169)),AG$168/SUM(AG$167:AG$169))*AH$14*(SUM(AG$167:AG$169)/AG$14+MIN(ABS(OFFSET(Assumptions!$B$45,0,$C$1)-SUM(AG$167:AG$169)/AG$14),OFFSET(Assumptions!$B$44,0,$C$1))*SIGN(OFFSET(Assumptions!$B$45,0,$C$1)-SUM(AG$167:AG$169)/AG$14)),AG$168*(1+Exogenous!$I$41*Popn!AO$208+Exogenous!$I$42*Popn!AO$212+Exogenous!$I$43*Popn!AO$215+Exogenous!$I$44*Popn!AO$219+Exogenous!$I$45*Popn!AO$221+Exogenous!$I$46*Popn!AO$222)*(1+AH$34))</f>
        <v>6.0368188219479277</v>
      </c>
      <c r="AI168" s="7">
        <f ca="1">IF(AND(AI$6&gt;=OFFSET(Assumptions!$B$43,0,$C$1),OFFSET(Assumptions!$B$42,0,$C$1)="AllGDP"),IF(AI$6=OFFSET(Assumptions!$B$43,0,$C$1),AVERAGE(AF$168/SUM(AF$167:AF$169),AG$168/SUM(AG$167:AG$169),AH$168/SUM(AH$167:AH$169)),AH$168/SUM(AH$167:AH$169))*AI$14*(SUM(AH$167:AH$169)/AH$14+MIN(ABS(OFFSET(Assumptions!$B$45,0,$C$1)-SUM(AH$167:AH$169)/AH$14),OFFSET(Assumptions!$B$44,0,$C$1))*SIGN(OFFSET(Assumptions!$B$45,0,$C$1)-SUM(AH$167:AH$169)/AH$14)),AH$168*(1+Exogenous!$I$41*Popn!AP$208+Exogenous!$I$42*Popn!AP$212+Exogenous!$I$43*Popn!AP$215+Exogenous!$I$44*Popn!AP$219+Exogenous!$I$45*Popn!AP$221+Exogenous!$I$46*Popn!AP$222)*(1+AI$34))</f>
        <v>6.2796669684290256</v>
      </c>
      <c r="AJ168" s="7">
        <f ca="1">IF(AND(AJ$6&gt;=OFFSET(Assumptions!$B$43,0,$C$1),OFFSET(Assumptions!$B$42,0,$C$1)="AllGDP"),IF(AJ$6=OFFSET(Assumptions!$B$43,0,$C$1),AVERAGE(AG$168/SUM(AG$167:AG$169),AH$168/SUM(AH$167:AH$169),AI$168/SUM(AI$167:AI$169)),AI$168/SUM(AI$167:AI$169))*AJ$14*(SUM(AI$167:AI$169)/AI$14+MIN(ABS(OFFSET(Assumptions!$B$45,0,$C$1)-SUM(AI$167:AI$169)/AI$14),OFFSET(Assumptions!$B$44,0,$C$1))*SIGN(OFFSET(Assumptions!$B$45,0,$C$1)-SUM(AI$167:AI$169)/AI$14)),AI$168*(1+Exogenous!$I$41*Popn!AQ$208+Exogenous!$I$42*Popn!AQ$212+Exogenous!$I$43*Popn!AQ$215+Exogenous!$I$44*Popn!AQ$219+Exogenous!$I$45*Popn!AQ$221+Exogenous!$I$46*Popn!AQ$222)*(1+AJ$34))</f>
        <v>6.5320522822941172</v>
      </c>
      <c r="AK168" s="7">
        <f ca="1">IF(AND(AK$6&gt;=OFFSET(Assumptions!$B$43,0,$C$1),OFFSET(Assumptions!$B$42,0,$C$1)="AllGDP"),IF(AK$6=OFFSET(Assumptions!$B$43,0,$C$1),AVERAGE(AH$168/SUM(AH$167:AH$169),AI$168/SUM(AI$167:AI$169),AJ$168/SUM(AJ$167:AJ$169)),AJ$168/SUM(AJ$167:AJ$169))*AK$14*(SUM(AJ$167:AJ$169)/AJ$14+MIN(ABS(OFFSET(Assumptions!$B$45,0,$C$1)-SUM(AJ$167:AJ$169)/AJ$14),OFFSET(Assumptions!$B$44,0,$C$1))*SIGN(OFFSET(Assumptions!$B$45,0,$C$1)-SUM(AJ$167:AJ$169)/AJ$14)),AJ$168*(1+Exogenous!$I$41*Popn!AR$208+Exogenous!$I$42*Popn!AR$212+Exogenous!$I$43*Popn!AR$215+Exogenous!$I$44*Popn!AR$219+Exogenous!$I$45*Popn!AR$221+Exogenous!$I$46*Popn!AR$222)*(1+AK$34))</f>
        <v>6.7937671436096467</v>
      </c>
      <c r="AL168" s="7">
        <f ca="1">IF(AND(AL$6&gt;=OFFSET(Assumptions!$B$43,0,$C$1),OFFSET(Assumptions!$B$42,0,$C$1)="AllGDP"),IF(AL$6=OFFSET(Assumptions!$B$43,0,$C$1),AVERAGE(AI$168/SUM(AI$167:AI$169),AJ$168/SUM(AJ$167:AJ$169),AK$168/SUM(AK$167:AK$169)),AK$168/SUM(AK$167:AK$169))*AL$14*(SUM(AK$167:AK$169)/AK$14+MIN(ABS(OFFSET(Assumptions!$B$45,0,$C$1)-SUM(AK$167:AK$169)/AK$14),OFFSET(Assumptions!$B$44,0,$C$1))*SIGN(OFFSET(Assumptions!$B$45,0,$C$1)-SUM(AK$167:AK$169)/AK$14)),AK$168*(1+Exogenous!$I$41*Popn!AS$208+Exogenous!$I$42*Popn!AS$212+Exogenous!$I$43*Popn!AS$215+Exogenous!$I$44*Popn!AS$219+Exogenous!$I$45*Popn!AS$221+Exogenous!$I$46*Popn!AS$222)*(1+AL$34))</f>
        <v>7.0646053923591197</v>
      </c>
      <c r="AM168" s="7">
        <f ca="1">IF(AND(AM$6&gt;=OFFSET(Assumptions!$B$43,0,$C$1),OFFSET(Assumptions!$B$42,0,$C$1)="AllGDP"),IF(AM$6=OFFSET(Assumptions!$B$43,0,$C$1),AVERAGE(AJ$168/SUM(AJ$167:AJ$169),AK$168/SUM(AK$167:AK$169),AL$168/SUM(AL$167:AL$169)),AL$168/SUM(AL$167:AL$169))*AM$14*(SUM(AL$167:AL$169)/AL$14+MIN(ABS(OFFSET(Assumptions!$B$45,0,$C$1)-SUM(AL$167:AL$169)/AL$14),OFFSET(Assumptions!$B$44,0,$C$1))*SIGN(OFFSET(Assumptions!$B$45,0,$C$1)-SUM(AL$167:AL$169)/AL$14)),AL$168*(1+Exogenous!$I$41*Popn!AT$208+Exogenous!$I$42*Popn!AT$212+Exogenous!$I$43*Popn!AT$215+Exogenous!$I$44*Popn!AT$219+Exogenous!$I$45*Popn!AT$221+Exogenous!$I$46*Popn!AT$222)*(1+AM$34))</f>
        <v>7.3449370288589622</v>
      </c>
      <c r="AN168" s="7">
        <f ca="1">IF(AND(AN$6&gt;=OFFSET(Assumptions!$B$43,0,$C$1),OFFSET(Assumptions!$B$42,0,$C$1)="AllGDP"),IF(AN$6=OFFSET(Assumptions!$B$43,0,$C$1),AVERAGE(AK$168/SUM(AK$167:AK$169),AL$168/SUM(AL$167:AL$169),AM$168/SUM(AM$167:AM$169)),AM$168/SUM(AM$167:AM$169))*AN$14*(SUM(AM$167:AM$169)/AM$14+MIN(ABS(OFFSET(Assumptions!$B$45,0,$C$1)-SUM(AM$167:AM$169)/AM$14),OFFSET(Assumptions!$B$44,0,$C$1))*SIGN(OFFSET(Assumptions!$B$45,0,$C$1)-SUM(AM$167:AM$169)/AM$14)),AM$168*(1+Exogenous!$I$41*Popn!AU$208+Exogenous!$I$42*Popn!AU$212+Exogenous!$I$43*Popn!AU$215+Exogenous!$I$44*Popn!AU$219+Exogenous!$I$45*Popn!AU$221+Exogenous!$I$46*Popn!AU$222)*(1+AN$34))</f>
        <v>7.6351519917007895</v>
      </c>
      <c r="AO168" s="7">
        <f ca="1">IF(AND(AO$6&gt;=OFFSET(Assumptions!$B$43,0,$C$1),OFFSET(Assumptions!$B$42,0,$C$1)="AllGDP"),IF(AO$6=OFFSET(Assumptions!$B$43,0,$C$1),AVERAGE(AL$168/SUM(AL$167:AL$169),AM$168/SUM(AM$167:AM$169),AN$168/SUM(AN$167:AN$169)),AN$168/SUM(AN$167:AN$169))*AO$14*(SUM(AN$167:AN$169)/AN$14+MIN(ABS(OFFSET(Assumptions!$B$45,0,$C$1)-SUM(AN$167:AN$169)/AN$14),OFFSET(Assumptions!$B$44,0,$C$1))*SIGN(OFFSET(Assumptions!$B$45,0,$C$1)-SUM(AN$167:AN$169)/AN$14)),AN$168*(1+Exogenous!$I$41*Popn!AV$208+Exogenous!$I$42*Popn!AV$212+Exogenous!$I$43*Popn!AV$215+Exogenous!$I$44*Popn!AV$219+Exogenous!$I$45*Popn!AV$221+Exogenous!$I$46*Popn!AV$222)*(1+AO$34))</f>
        <v>7.9341107070865053</v>
      </c>
      <c r="AP168" s="7">
        <f ca="1">IF(AND(AP$6&gt;=OFFSET(Assumptions!$B$43,0,$C$1),OFFSET(Assumptions!$B$42,0,$C$1)="AllGDP"),IF(AP$6=OFFSET(Assumptions!$B$43,0,$C$1),AVERAGE(AM$168/SUM(AM$167:AM$169),AN$168/SUM(AN$167:AN$169),AO$168/SUM(AO$167:AO$169)),AO$168/SUM(AO$167:AO$169))*AP$14*(SUM(AO$167:AO$169)/AO$14+MIN(ABS(OFFSET(Assumptions!$B$45,0,$C$1)-SUM(AO$167:AO$169)/AO$14),OFFSET(Assumptions!$B$44,0,$C$1))*SIGN(OFFSET(Assumptions!$B$45,0,$C$1)-SUM(AO$167:AO$169)/AO$14)),AO$168*(1+Exogenous!$I$41*Popn!AW$208+Exogenous!$I$42*Popn!AW$212+Exogenous!$I$43*Popn!AW$215+Exogenous!$I$44*Popn!AW$219+Exogenous!$I$45*Popn!AW$221+Exogenous!$I$46*Popn!AW$222)*(1+AP$34))</f>
        <v>8.2430827017415886</v>
      </c>
      <c r="AQ168" s="7">
        <f ca="1">IF(AND(AQ$6&gt;=OFFSET(Assumptions!$B$43,0,$C$1),OFFSET(Assumptions!$B$42,0,$C$1)="AllGDP"),IF(AQ$6=OFFSET(Assumptions!$B$43,0,$C$1),AVERAGE(AN$168/SUM(AN$167:AN$169),AO$168/SUM(AO$167:AO$169),AP$168/SUM(AP$167:AP$169)),AP$168/SUM(AP$167:AP$169))*AQ$14*(SUM(AP$167:AP$169)/AP$14+MIN(ABS(OFFSET(Assumptions!$B$45,0,$C$1)-SUM(AP$167:AP$169)/AP$14),OFFSET(Assumptions!$B$44,0,$C$1))*SIGN(OFFSET(Assumptions!$B$45,0,$C$1)-SUM(AP$167:AP$169)/AP$14)),AP$168*(1+Exogenous!$I$41*Popn!AX$208+Exogenous!$I$42*Popn!AX$212+Exogenous!$I$43*Popn!AX$215+Exogenous!$I$44*Popn!AX$219+Exogenous!$I$45*Popn!AX$221+Exogenous!$I$46*Popn!AX$222)*(1+AQ$34))</f>
        <v>8.5612022371120435</v>
      </c>
      <c r="AR168" s="7">
        <f ca="1">IF(AND(AR$6&gt;=OFFSET(Assumptions!$B$43,0,$C$1),OFFSET(Assumptions!$B$42,0,$C$1)="AllGDP"),IF(AR$6=OFFSET(Assumptions!$B$43,0,$C$1),AVERAGE(AO$168/SUM(AO$167:AO$169),AP$168/SUM(AP$167:AP$169),AQ$168/SUM(AQ$167:AQ$169)),AQ$168/SUM(AQ$167:AQ$169))*AR$14*(SUM(AQ$167:AQ$169)/AQ$14+MIN(ABS(OFFSET(Assumptions!$B$45,0,$C$1)-SUM(AQ$167:AQ$169)/AQ$14),OFFSET(Assumptions!$B$44,0,$C$1))*SIGN(OFFSET(Assumptions!$B$45,0,$C$1)-SUM(AQ$167:AQ$169)/AQ$14)),AQ$168*(1+Exogenous!$I$41*Popn!AY$208+Exogenous!$I$42*Popn!AY$212+Exogenous!$I$43*Popn!AY$215+Exogenous!$I$44*Popn!AY$219+Exogenous!$I$45*Popn!AY$221+Exogenous!$I$46*Popn!AY$222)*(1+AR$34))</f>
        <v>8.8888294814225031</v>
      </c>
      <c r="AS168" s="7">
        <f ca="1">IF(AND(AS$6&gt;=OFFSET(Assumptions!$B$43,0,$C$1),OFFSET(Assumptions!$B$42,0,$C$1)="AllGDP"),IF(AS$6=OFFSET(Assumptions!$B$43,0,$C$1),AVERAGE(AP$168/SUM(AP$167:AP$169),AQ$168/SUM(AQ$167:AQ$169),AR$168/SUM(AR$167:AR$169)),AR$168/SUM(AR$167:AR$169))*AS$14*(SUM(AR$167:AR$169)/AR$14+MIN(ABS(OFFSET(Assumptions!$B$45,0,$C$1)-SUM(AR$167:AR$169)/AR$14),OFFSET(Assumptions!$B$44,0,$C$1))*SIGN(OFFSET(Assumptions!$B$45,0,$C$1)-SUM(AR$167:AR$169)/AR$14)),AR$168*(1+Exogenous!$I$41*Popn!AZ$208+Exogenous!$I$42*Popn!AZ$212+Exogenous!$I$43*Popn!AZ$215+Exogenous!$I$44*Popn!AZ$219+Exogenous!$I$45*Popn!AZ$221+Exogenous!$I$46*Popn!AZ$222)*(1+AS$34))</f>
        <v>9.2267287795838993</v>
      </c>
      <c r="AT168" s="7">
        <f ca="1">IF(AND(AT$6&gt;=OFFSET(Assumptions!$B$43,0,$C$1),OFFSET(Assumptions!$B$42,0,$C$1)="AllGDP"),IF(AT$6=OFFSET(Assumptions!$B$43,0,$C$1),AVERAGE(AQ$168/SUM(AQ$167:AQ$169),AR$168/SUM(AR$167:AR$169),AS$168/SUM(AS$167:AS$169)),AS$168/SUM(AS$167:AS$169))*AT$14*(SUM(AS$167:AS$169)/AS$14+MIN(ABS(OFFSET(Assumptions!$B$45,0,$C$1)-SUM(AS$167:AS$169)/AS$14),OFFSET(Assumptions!$B$44,0,$C$1))*SIGN(OFFSET(Assumptions!$B$45,0,$C$1)-SUM(AS$167:AS$169)/AS$14)),AS$168*(1+Exogenous!$I$41*Popn!BA$208+Exogenous!$I$42*Popn!BA$212+Exogenous!$I$43*Popn!BA$215+Exogenous!$I$44*Popn!BA$219+Exogenous!$I$45*Popn!BA$221+Exogenous!$I$46*Popn!BA$222)*(1+AT$34))</f>
        <v>9.5751700007031548</v>
      </c>
      <c r="AU168" s="7">
        <f ca="1">IF(AND(AU$6&gt;=OFFSET(Assumptions!$B$43,0,$C$1),OFFSET(Assumptions!$B$42,0,$C$1)="AllGDP"),IF(AU$6=OFFSET(Assumptions!$B$43,0,$C$1),AVERAGE(AR$168/SUM(AR$167:AR$169),AS$168/SUM(AS$167:AS$169),AT$168/SUM(AT$167:AT$169)),AT$168/SUM(AT$167:AT$169))*AU$14*(SUM(AT$167:AT$169)/AT$14+MIN(ABS(OFFSET(Assumptions!$B$45,0,$C$1)-SUM(AT$167:AT$169)/AT$14),OFFSET(Assumptions!$B$44,0,$C$1))*SIGN(OFFSET(Assumptions!$B$45,0,$C$1)-SUM(AT$167:AT$169)/AT$14)),AT$168*(1+Exogenous!$I$41*Popn!BB$208+Exogenous!$I$42*Popn!BB$212+Exogenous!$I$43*Popn!BB$215+Exogenous!$I$44*Popn!BB$219+Exogenous!$I$45*Popn!BB$221+Exogenous!$I$46*Popn!BB$222)*(1+AU$34))</f>
        <v>9.9346164938167334</v>
      </c>
      <c r="AV168" s="7">
        <f ca="1">IF(AND(AV$6&gt;=OFFSET(Assumptions!$B$43,0,$C$1),OFFSET(Assumptions!$B$42,0,$C$1)="AllGDP"),IF(AV$6=OFFSET(Assumptions!$B$43,0,$C$1),AVERAGE(AS$168/SUM(AS$167:AS$169),AT$168/SUM(AT$167:AT$169),AU$168/SUM(AU$167:AU$169)),AU$168/SUM(AU$167:AU$169))*AV$14*(SUM(AU$167:AU$169)/AU$14+MIN(ABS(OFFSET(Assumptions!$B$45,0,$C$1)-SUM(AU$167:AU$169)/AU$14),OFFSET(Assumptions!$B$44,0,$C$1))*SIGN(OFFSET(Assumptions!$B$45,0,$C$1)-SUM(AU$167:AU$169)/AU$14)),AU$168*(1+Exogenous!$I$41*Popn!BC$208+Exogenous!$I$42*Popn!BC$212+Exogenous!$I$43*Popn!BC$215+Exogenous!$I$44*Popn!BC$219+Exogenous!$I$45*Popn!BC$221+Exogenous!$I$46*Popn!BC$222)*(1+AV$34))</f>
        <v>10.30617963084104</v>
      </c>
      <c r="AW168" s="7">
        <f ca="1">IF(AND(AW$6&gt;=OFFSET(Assumptions!$B$43,0,$C$1),OFFSET(Assumptions!$B$42,0,$C$1)="AllGDP"),IF(AW$6=OFFSET(Assumptions!$B$43,0,$C$1),AVERAGE(AT$168/SUM(AT$167:AT$169),AU$168/SUM(AU$167:AU$169),AV$168/SUM(AV$167:AV$169)),AV$168/SUM(AV$167:AV$169))*AW$14*(SUM(AV$167:AV$169)/AV$14+MIN(ABS(OFFSET(Assumptions!$B$45,0,$C$1)-SUM(AV$167:AV$169)/AV$14),OFFSET(Assumptions!$B$44,0,$C$1))*SIGN(OFFSET(Assumptions!$B$45,0,$C$1)-SUM(AV$167:AV$169)/AV$14)),AV$168*(1+Exogenous!$I$41*Popn!BD$208+Exogenous!$I$42*Popn!BD$212+Exogenous!$I$43*Popn!BD$215+Exogenous!$I$44*Popn!BD$219+Exogenous!$I$45*Popn!BD$221+Exogenous!$I$46*Popn!BD$222)*(1+AW$34))</f>
        <v>10.689649643511547</v>
      </c>
    </row>
    <row r="169" spans="1:49" x14ac:dyDescent="0.2">
      <c r="A169" s="1" t="s">
        <v>317</v>
      </c>
      <c r="B169" s="4" t="str">
        <f t="shared" si="145"/>
        <v>From Fiscal</v>
      </c>
      <c r="D169" s="18">
        <f>Fiscal!D$227</f>
        <v>1.1859999999999999</v>
      </c>
      <c r="E169" s="19">
        <f>Fiscal!E$227</f>
        <v>1.151</v>
      </c>
      <c r="F169" s="19">
        <f>Fiscal!F$227</f>
        <v>1.1990000000000001</v>
      </c>
      <c r="G169" s="19">
        <f>Fiscal!G$227</f>
        <v>1.1890000000000001</v>
      </c>
      <c r="H169" s="19">
        <f>Fiscal!H$227</f>
        <v>1.19</v>
      </c>
      <c r="I169" s="19">
        <f>Fiscal!I$227</f>
        <v>1.1950000000000001</v>
      </c>
      <c r="J169" s="7">
        <f ca="1">IF(AND(J$6&gt;=OFFSET(Assumptions!$B$43,0,$C$1),OFFSET(Assumptions!$B$42,0,$C$1)="AllGDP"),IF(J$6=OFFSET(Assumptions!$B$43,0,$C$1),AVERAGE(G$169/SUM(G$167:G$169),H$169/SUM(H$167:H$169),I$169/SUM(I$167:I$169)),I$169/SUM(I$167:I$169))*J$14*(SUM(I$167:I$169)/I$14+MIN(ABS(OFFSET(Assumptions!$B$45,0,$C$1)-SUM(I$167:I$169)/I$14),OFFSET(Assumptions!$B$44,0,$C$1))*SIGN(OFFSET(Assumptions!$B$45,0,$C$1)-SUM(I$167:I$169)/I$14)),I$169*(1+Exogenous!$P$41*Popn!Q$209+Exogenous!$P$42*Popn!Q$211+Exogenous!$P$43*Popn!Q$214+Exogenous!$P$44*Popn!Q$217+Exogenous!$P$45*Popn!Q$218)*(1+J$34))</f>
        <v>1.286576647911964</v>
      </c>
      <c r="K169" s="7">
        <f ca="1">IF(AND(K$6&gt;=OFFSET(Assumptions!$B$43,0,$C$1),OFFSET(Assumptions!$B$42,0,$C$1)="AllGDP"),IF(K$6=OFFSET(Assumptions!$B$43,0,$C$1),AVERAGE(H$169/SUM(H$167:H$169),I$169/SUM(I$167:I$169),J$169/SUM(J$167:J$169)),J$169/SUM(J$167:J$169))*K$14*(SUM(J$167:J$169)/J$14+MIN(ABS(OFFSET(Assumptions!$B$45,0,$C$1)-SUM(J$167:J$169)/J$14),OFFSET(Assumptions!$B$44,0,$C$1))*SIGN(OFFSET(Assumptions!$B$45,0,$C$1)-SUM(J$167:J$169)/J$14)),J$169*(1+Exogenous!$P$41*Popn!R$209+Exogenous!$P$42*Popn!R$211+Exogenous!$P$43*Popn!R$214+Exogenous!$P$44*Popn!R$217+Exogenous!$P$45*Popn!R$218)*(1+K$34))</f>
        <v>1.3854558471952561</v>
      </c>
      <c r="L169" s="7">
        <f ca="1">IF(AND(L$6&gt;=OFFSET(Assumptions!$B$43,0,$C$1),OFFSET(Assumptions!$B$42,0,$C$1)="AllGDP"),IF(L$6=OFFSET(Assumptions!$B$43,0,$C$1),AVERAGE(I$169/SUM(I$167:I$169),J$169/SUM(J$167:J$169),K$169/SUM(K$167:K$169)),K$169/SUM(K$167:K$169))*L$14*(SUM(K$167:K$169)/K$14+MIN(ABS(OFFSET(Assumptions!$B$45,0,$C$1)-SUM(K$167:K$169)/K$14),OFFSET(Assumptions!$B$44,0,$C$1))*SIGN(OFFSET(Assumptions!$B$45,0,$C$1)-SUM(K$167:K$169)/K$14)),K$169*(1+Exogenous!$P$41*Popn!S$209+Exogenous!$P$42*Popn!S$211+Exogenous!$P$43*Popn!S$214+Exogenous!$P$44*Popn!S$217+Exogenous!$P$45*Popn!S$218)*(1+L$34))</f>
        <v>1.49257717245012</v>
      </c>
      <c r="M169" s="7">
        <f ca="1">IF(AND(M$6&gt;=OFFSET(Assumptions!$B$43,0,$C$1),OFFSET(Assumptions!$B$42,0,$C$1)="AllGDP"),IF(M$6=OFFSET(Assumptions!$B$43,0,$C$1),AVERAGE(J$169/SUM(J$167:J$169),K$169/SUM(K$167:K$169),L$169/SUM(L$167:L$169)),L$169/SUM(L$167:L$169))*M$14*(SUM(L$167:L$169)/L$14+MIN(ABS(OFFSET(Assumptions!$B$45,0,$C$1)-SUM(L$167:L$169)/L$14),OFFSET(Assumptions!$B$44,0,$C$1))*SIGN(OFFSET(Assumptions!$B$45,0,$C$1)-SUM(L$167:L$169)/L$14)),L$169*(1+Exogenous!$P$41*Popn!T$209+Exogenous!$P$42*Popn!T$211+Exogenous!$P$43*Popn!T$214+Exogenous!$P$44*Popn!T$217+Exogenous!$P$45*Popn!T$218)*(1+M$34))</f>
        <v>1.6061681342964644</v>
      </c>
      <c r="N169" s="7">
        <f ca="1">IF(AND(N$6&gt;=OFFSET(Assumptions!$B$43,0,$C$1),OFFSET(Assumptions!$B$42,0,$C$1)="AllGDP"),IF(N$6=OFFSET(Assumptions!$B$43,0,$C$1),AVERAGE(K$169/SUM(K$167:K$169),L$169/SUM(L$167:L$169),M$169/SUM(M$167:M$169)),M$169/SUM(M$167:M$169))*N$14*(SUM(M$167:M$169)/M$14+MIN(ABS(OFFSET(Assumptions!$B$45,0,$C$1)-SUM(M$167:M$169)/M$14),OFFSET(Assumptions!$B$44,0,$C$1))*SIGN(OFFSET(Assumptions!$B$45,0,$C$1)-SUM(M$167:M$169)/M$14)),M$169*(1+Exogenous!$P$41*Popn!U$209+Exogenous!$P$42*Popn!U$211+Exogenous!$P$43*Popn!U$214+Exogenous!$P$44*Popn!U$217+Exogenous!$P$45*Popn!U$218)*(1+N$34))</f>
        <v>1.7266577532995384</v>
      </c>
      <c r="O169" s="7">
        <f ca="1">IF(AND(O$6&gt;=OFFSET(Assumptions!$B$43,0,$C$1),OFFSET(Assumptions!$B$42,0,$C$1)="AllGDP"),IF(O$6=OFFSET(Assumptions!$B$43,0,$C$1),AVERAGE(L$169/SUM(L$167:L$169),M$169/SUM(M$167:M$169),N$169/SUM(N$167:N$169)),N$169/SUM(N$167:N$169))*O$14*(SUM(N$167:N$169)/N$14+MIN(ABS(OFFSET(Assumptions!$B$45,0,$C$1)-SUM(N$167:N$169)/N$14),OFFSET(Assumptions!$B$44,0,$C$1))*SIGN(OFFSET(Assumptions!$B$45,0,$C$1)-SUM(N$167:N$169)/N$14)),N$169*(1+Exogenous!$P$41*Popn!V$209+Exogenous!$P$42*Popn!V$211+Exogenous!$P$43*Popn!V$214+Exogenous!$P$44*Popn!V$217+Exogenous!$P$45*Popn!V$218)*(1+O$34))</f>
        <v>1.8537691715749958</v>
      </c>
      <c r="P169" s="7">
        <f ca="1">IF(AND(P$6&gt;=OFFSET(Assumptions!$B$43,0,$C$1),OFFSET(Assumptions!$B$42,0,$C$1)="AllGDP"),IF(P$6=OFFSET(Assumptions!$B$43,0,$C$1),AVERAGE(M$169/SUM(M$167:M$169),N$169/SUM(N$167:N$169),O$169/SUM(O$167:O$169)),O$169/SUM(O$167:O$169))*P$14*(SUM(O$167:O$169)/O$14+MIN(ABS(OFFSET(Assumptions!$B$45,0,$C$1)-SUM(O$167:O$169)/O$14),OFFSET(Assumptions!$B$44,0,$C$1))*SIGN(OFFSET(Assumptions!$B$45,0,$C$1)-SUM(O$167:O$169)/O$14)),O$169*(1+Exogenous!$P$41*Popn!W$209+Exogenous!$P$42*Popn!W$211+Exogenous!$P$43*Popn!W$214+Exogenous!$P$44*Popn!W$217+Exogenous!$P$45*Popn!W$218)*(1+P$34))</f>
        <v>1.9878275553288878</v>
      </c>
      <c r="Q169" s="7">
        <f ca="1">IF(AND(Q$6&gt;=OFFSET(Assumptions!$B$43,0,$C$1),OFFSET(Assumptions!$B$42,0,$C$1)="AllGDP"),IF(Q$6=OFFSET(Assumptions!$B$43,0,$C$1),AVERAGE(N$169/SUM(N$167:N$169),O$169/SUM(O$167:O$169),P$169/SUM(P$167:P$169)),P$169/SUM(P$167:P$169))*Q$14*(SUM(P$167:P$169)/P$14+MIN(ABS(OFFSET(Assumptions!$B$45,0,$C$1)-SUM(P$167:P$169)/P$14),OFFSET(Assumptions!$B$44,0,$C$1))*SIGN(OFFSET(Assumptions!$B$45,0,$C$1)-SUM(P$167:P$169)/P$14)),P$169*(1+Exogenous!$P$41*Popn!X$209+Exogenous!$P$42*Popn!X$211+Exogenous!$P$43*Popn!X$214+Exogenous!$P$44*Popn!X$217+Exogenous!$P$45*Popn!X$218)*(1+Q$34))</f>
        <v>2.1289595964791062</v>
      </c>
      <c r="R169" s="7">
        <f ca="1">IF(AND(R$6&gt;=OFFSET(Assumptions!$B$43,0,$C$1),OFFSET(Assumptions!$B$42,0,$C$1)="AllGDP"),IF(R$6=OFFSET(Assumptions!$B$43,0,$C$1),AVERAGE(O$169/SUM(O$167:O$169),P$169/SUM(P$167:P$169),Q$169/SUM(Q$167:Q$169)),Q$169/SUM(Q$167:Q$169))*R$14*(SUM(Q$167:Q$169)/Q$14+MIN(ABS(OFFSET(Assumptions!$B$45,0,$C$1)-SUM(Q$167:Q$169)/Q$14),OFFSET(Assumptions!$B$44,0,$C$1))*SIGN(OFFSET(Assumptions!$B$45,0,$C$1)-SUM(Q$167:Q$169)/Q$14)),Q$169*(1+Exogenous!$P$41*Popn!Y$209+Exogenous!$P$42*Popn!Y$211+Exogenous!$P$43*Popn!Y$214+Exogenous!$P$44*Popn!Y$217+Exogenous!$P$45*Popn!Y$218)*(1+R$34))</f>
        <v>2.2773090636672455</v>
      </c>
      <c r="S169" s="7">
        <f ca="1">IF(AND(S$6&gt;=OFFSET(Assumptions!$B$43,0,$C$1),OFFSET(Assumptions!$B$42,0,$C$1)="AllGDP"),IF(S$6=OFFSET(Assumptions!$B$43,0,$C$1),AVERAGE(P$169/SUM(P$167:P$169),Q$169/SUM(Q$167:Q$169),R$169/SUM(R$167:R$169)),R$169/SUM(R$167:R$169))*S$14*(SUM(R$167:R$169)/R$14+MIN(ABS(OFFSET(Assumptions!$B$45,0,$C$1)-SUM(R$167:R$169)/R$14),OFFSET(Assumptions!$B$44,0,$C$1))*SIGN(OFFSET(Assumptions!$B$45,0,$C$1)-SUM(R$167:R$169)/R$14)),R$169*(1+Exogenous!$P$41*Popn!Z$209+Exogenous!$P$42*Popn!Z$211+Exogenous!$P$43*Popn!Z$214+Exogenous!$P$44*Popn!Z$217+Exogenous!$P$45*Popn!Z$218)*(1+S$34))</f>
        <v>2.4333744698803605</v>
      </c>
      <c r="T169" s="7">
        <f ca="1">IF(AND(T$6&gt;=OFFSET(Assumptions!$B$43,0,$C$1),OFFSET(Assumptions!$B$42,0,$C$1)="AllGDP"),IF(T$6=OFFSET(Assumptions!$B$43,0,$C$1),AVERAGE(Q$169/SUM(Q$167:Q$169),R$169/SUM(R$167:R$169),S$169/SUM(S$167:S$169)),S$169/SUM(S$167:S$169))*T$14*(SUM(S$167:S$169)/S$14+MIN(ABS(OFFSET(Assumptions!$B$45,0,$C$1)-SUM(S$167:S$169)/S$14),OFFSET(Assumptions!$B$44,0,$C$1))*SIGN(OFFSET(Assumptions!$B$45,0,$C$1)-SUM(S$167:S$169)/S$14)),S$169*(1+Exogenous!$P$41*Popn!AA$209+Exogenous!$P$42*Popn!AA$211+Exogenous!$P$43*Popn!AA$214+Exogenous!$P$44*Popn!AA$217+Exogenous!$P$45*Popn!AA$218)*(1+T$34))</f>
        <v>2.5974181982325848</v>
      </c>
      <c r="U169" s="7">
        <f ca="1">IF(AND(U$6&gt;=OFFSET(Assumptions!$B$43,0,$C$1),OFFSET(Assumptions!$B$42,0,$C$1)="AllGDP"),IF(U$6=OFFSET(Assumptions!$B$43,0,$C$1),AVERAGE(R$169/SUM(R$167:R$169),S$169/SUM(S$167:S$169),T$169/SUM(T$167:T$169)),T$169/SUM(T$167:T$169))*U$14*(SUM(T$167:T$169)/T$14+MIN(ABS(OFFSET(Assumptions!$B$45,0,$C$1)-SUM(T$167:T$169)/T$14),OFFSET(Assumptions!$B$44,0,$C$1))*SIGN(OFFSET(Assumptions!$B$45,0,$C$1)-SUM(T$167:T$169)/T$14)),T$169*(1+Exogenous!$P$41*Popn!AB$209+Exogenous!$P$42*Popn!AB$211+Exogenous!$P$43*Popn!AB$214+Exogenous!$P$44*Popn!AB$217+Exogenous!$P$45*Popn!AB$218)*(1+U$34))</f>
        <v>2.7700418338832447</v>
      </c>
      <c r="V169" s="7">
        <f ca="1">IF(AND(V$6&gt;=OFFSET(Assumptions!$B$43,0,$C$1),OFFSET(Assumptions!$B$42,0,$C$1)="AllGDP"),IF(V$6=OFFSET(Assumptions!$B$43,0,$C$1),AVERAGE(S$169/SUM(S$167:S$169),T$169/SUM(T$167:T$169),U$169/SUM(U$167:U$169)),U$169/SUM(U$167:U$169))*V$14*(SUM(U$167:U$169)/U$14+MIN(ABS(OFFSET(Assumptions!$B$45,0,$C$1)-SUM(U$167:U$169)/U$14),OFFSET(Assumptions!$B$44,0,$C$1))*SIGN(OFFSET(Assumptions!$B$45,0,$C$1)-SUM(U$167:U$169)/U$14)),U$169*(1+Exogenous!$P$41*Popn!AC$209+Exogenous!$P$42*Popn!AC$211+Exogenous!$P$43*Popn!AC$214+Exogenous!$P$44*Popn!AC$217+Exogenous!$P$45*Popn!AC$218)*(1+V$34))</f>
        <v>2.9517732694107415</v>
      </c>
      <c r="W169" s="7">
        <f ca="1">IF(AND(W$6&gt;=OFFSET(Assumptions!$B$43,0,$C$1),OFFSET(Assumptions!$B$42,0,$C$1)="AllGDP"),IF(W$6=OFFSET(Assumptions!$B$43,0,$C$1),AVERAGE(T$169/SUM(T$167:T$169),U$169/SUM(U$167:U$169),V$169/SUM(V$167:V$169)),V$169/SUM(V$167:V$169))*W$14*(SUM(V$167:V$169)/V$14+MIN(ABS(OFFSET(Assumptions!$B$45,0,$C$1)-SUM(V$167:V$169)/V$14),OFFSET(Assumptions!$B$44,0,$C$1))*SIGN(OFFSET(Assumptions!$B$45,0,$C$1)-SUM(V$167:V$169)/V$14)),V$169*(1+Exogenous!$P$41*Popn!AD$209+Exogenous!$P$42*Popn!AD$211+Exogenous!$P$43*Popn!AD$214+Exogenous!$P$44*Popn!AD$217+Exogenous!$P$45*Popn!AD$218)*(1+W$34))</f>
        <v>3.0909121400765418</v>
      </c>
      <c r="X169" s="7">
        <f ca="1">IF(AND(X$6&gt;=OFFSET(Assumptions!$B$43,0,$C$1),OFFSET(Assumptions!$B$42,0,$C$1)="AllGDP"),IF(X$6=OFFSET(Assumptions!$B$43,0,$C$1),AVERAGE(U$169/SUM(U$167:U$169),V$169/SUM(V$167:V$169),W$169/SUM(W$167:W$169)),W$169/SUM(W$167:W$169))*X$14*(SUM(W$167:W$169)/W$14+MIN(ABS(OFFSET(Assumptions!$B$45,0,$C$1)-SUM(W$167:W$169)/W$14),OFFSET(Assumptions!$B$44,0,$C$1))*SIGN(OFFSET(Assumptions!$B$45,0,$C$1)-SUM(W$167:W$169)/W$14)),W$169*(1+Exogenous!$P$41*Popn!AE$209+Exogenous!$P$42*Popn!AE$211+Exogenous!$P$43*Popn!AE$214+Exogenous!$P$44*Popn!AE$217+Exogenous!$P$45*Popn!AE$218)*(1+X$34))</f>
        <v>3.2141636051167137</v>
      </c>
      <c r="Y169" s="7">
        <f ca="1">IF(AND(Y$6&gt;=OFFSET(Assumptions!$B$43,0,$C$1),OFFSET(Assumptions!$B$42,0,$C$1)="AllGDP"),IF(Y$6=OFFSET(Assumptions!$B$43,0,$C$1),AVERAGE(V$169/SUM(V$167:V$169),W$169/SUM(W$167:W$169),X$169/SUM(X$167:X$169)),X$169/SUM(X$167:X$169))*Y$14*(SUM(X$167:X$169)/X$14+MIN(ABS(OFFSET(Assumptions!$B$45,0,$C$1)-SUM(X$167:X$169)/X$14),OFFSET(Assumptions!$B$44,0,$C$1))*SIGN(OFFSET(Assumptions!$B$45,0,$C$1)-SUM(X$167:X$169)/X$14)),X$169*(1+Exogenous!$P$41*Popn!AF$209+Exogenous!$P$42*Popn!AF$211+Exogenous!$P$43*Popn!AF$214+Exogenous!$P$44*Popn!AF$217+Exogenous!$P$45*Popn!AF$218)*(1+Y$34))</f>
        <v>3.341977303775872</v>
      </c>
      <c r="Z169" s="7">
        <f ca="1">IF(AND(Z$6&gt;=OFFSET(Assumptions!$B$43,0,$C$1),OFFSET(Assumptions!$B$42,0,$C$1)="AllGDP"),IF(Z$6=OFFSET(Assumptions!$B$43,0,$C$1),AVERAGE(W$169/SUM(W$167:W$169),X$169/SUM(X$167:X$169),Y$169/SUM(Y$167:Y$169)),Y$169/SUM(Y$167:Y$169))*Z$14*(SUM(Y$167:Y$169)/Y$14+MIN(ABS(OFFSET(Assumptions!$B$45,0,$C$1)-SUM(Y$167:Y$169)/Y$14),OFFSET(Assumptions!$B$44,0,$C$1))*SIGN(OFFSET(Assumptions!$B$45,0,$C$1)-SUM(Y$167:Y$169)/Y$14)),Y$169*(1+Exogenous!$P$41*Popn!AG$209+Exogenous!$P$42*Popn!AG$211+Exogenous!$P$43*Popn!AG$214+Exogenous!$P$44*Popn!AG$217+Exogenous!$P$45*Popn!AG$218)*(1+Z$34))</f>
        <v>3.4750001832896036</v>
      </c>
      <c r="AA169" s="7">
        <f ca="1">IF(AND(AA$6&gt;=OFFSET(Assumptions!$B$43,0,$C$1),OFFSET(Assumptions!$B$42,0,$C$1)="AllGDP"),IF(AA$6=OFFSET(Assumptions!$B$43,0,$C$1),AVERAGE(X$169/SUM(X$167:X$169),Y$169/SUM(Y$167:Y$169),Z$169/SUM(Z$167:Z$169)),Z$169/SUM(Z$167:Z$169))*AA$14*(SUM(Z$167:Z$169)/Z$14+MIN(ABS(OFFSET(Assumptions!$B$45,0,$C$1)-SUM(Z$167:Z$169)/Z$14),OFFSET(Assumptions!$B$44,0,$C$1))*SIGN(OFFSET(Assumptions!$B$45,0,$C$1)-SUM(Z$167:Z$169)/Z$14)),Z$169*(1+Exogenous!$P$41*Popn!AH$209+Exogenous!$P$42*Popn!AH$211+Exogenous!$P$43*Popn!AH$214+Exogenous!$P$44*Popn!AH$217+Exogenous!$P$45*Popn!AH$218)*(1+AA$34))</f>
        <v>3.6134474751356915</v>
      </c>
      <c r="AB169" s="7">
        <f ca="1">IF(AND(AB$6&gt;=OFFSET(Assumptions!$B$43,0,$C$1),OFFSET(Assumptions!$B$42,0,$C$1)="AllGDP"),IF(AB$6=OFFSET(Assumptions!$B$43,0,$C$1),AVERAGE(Y$169/SUM(Y$167:Y$169),Z$169/SUM(Z$167:Z$169),AA$169/SUM(AA$167:AA$169)),AA$169/SUM(AA$167:AA$169))*AB$14*(SUM(AA$167:AA$169)/AA$14+MIN(ABS(OFFSET(Assumptions!$B$45,0,$C$1)-SUM(AA$167:AA$169)/AA$14),OFFSET(Assumptions!$B$44,0,$C$1))*SIGN(OFFSET(Assumptions!$B$45,0,$C$1)-SUM(AA$167:AA$169)/AA$14)),AA$169*(1+Exogenous!$P$41*Popn!AI$209+Exogenous!$P$42*Popn!AI$211+Exogenous!$P$43*Popn!AI$214+Exogenous!$P$44*Popn!AI$217+Exogenous!$P$45*Popn!AI$218)*(1+AB$34))</f>
        <v>3.7577349493173307</v>
      </c>
      <c r="AC169" s="7">
        <f ca="1">IF(AND(AC$6&gt;=OFFSET(Assumptions!$B$43,0,$C$1),OFFSET(Assumptions!$B$42,0,$C$1)="AllGDP"),IF(AC$6=OFFSET(Assumptions!$B$43,0,$C$1),AVERAGE(Z$169/SUM(Z$167:Z$169),AA$169/SUM(AA$167:AA$169),AB$169/SUM(AB$167:AB$169)),AB$169/SUM(AB$167:AB$169))*AC$14*(SUM(AB$167:AB$169)/AB$14+MIN(ABS(OFFSET(Assumptions!$B$45,0,$C$1)-SUM(AB$167:AB$169)/AB$14),OFFSET(Assumptions!$B$44,0,$C$1))*SIGN(OFFSET(Assumptions!$B$45,0,$C$1)-SUM(AB$167:AB$169)/AB$14)),AB$169*(1+Exogenous!$P$41*Popn!AJ$209+Exogenous!$P$42*Popn!AJ$211+Exogenous!$P$43*Popn!AJ$214+Exogenous!$P$44*Popn!AJ$217+Exogenous!$P$45*Popn!AJ$218)*(1+AC$34))</f>
        <v>3.908407310629713</v>
      </c>
      <c r="AD169" s="7">
        <f ca="1">IF(AND(AD$6&gt;=OFFSET(Assumptions!$B$43,0,$C$1),OFFSET(Assumptions!$B$42,0,$C$1)="AllGDP"),IF(AD$6=OFFSET(Assumptions!$B$43,0,$C$1),AVERAGE(AA$169/SUM(AA$167:AA$169),AB$169/SUM(AB$167:AB$169),AC$169/SUM(AC$167:AC$169)),AC$169/SUM(AC$167:AC$169))*AD$14*(SUM(AC$167:AC$169)/AC$14+MIN(ABS(OFFSET(Assumptions!$B$45,0,$C$1)-SUM(AC$167:AC$169)/AC$14),OFFSET(Assumptions!$B$44,0,$C$1))*SIGN(OFFSET(Assumptions!$B$45,0,$C$1)-SUM(AC$167:AC$169)/AC$14)),AC$169*(1+Exogenous!$P$41*Popn!AK$209+Exogenous!$P$42*Popn!AK$211+Exogenous!$P$43*Popn!AK$214+Exogenous!$P$44*Popn!AK$217+Exogenous!$P$45*Popn!AK$218)*(1+AD$34))</f>
        <v>4.065623369600309</v>
      </c>
      <c r="AE169" s="7">
        <f ca="1">IF(AND(AE$6&gt;=OFFSET(Assumptions!$B$43,0,$C$1),OFFSET(Assumptions!$B$42,0,$C$1)="AllGDP"),IF(AE$6=OFFSET(Assumptions!$B$43,0,$C$1),AVERAGE(AB$169/SUM(AB$167:AB$169),AC$169/SUM(AC$167:AC$169),AD$169/SUM(AD$167:AD$169)),AD$169/SUM(AD$167:AD$169))*AE$14*(SUM(AD$167:AD$169)/AD$14+MIN(ABS(OFFSET(Assumptions!$B$45,0,$C$1)-SUM(AD$167:AD$169)/AD$14),OFFSET(Assumptions!$B$44,0,$C$1))*SIGN(OFFSET(Assumptions!$B$45,0,$C$1)-SUM(AD$167:AD$169)/AD$14)),AD$169*(1+Exogenous!$P$41*Popn!AL$209+Exogenous!$P$42*Popn!AL$211+Exogenous!$P$43*Popn!AL$214+Exogenous!$P$44*Popn!AL$217+Exogenous!$P$45*Popn!AL$218)*(1+AE$34))</f>
        <v>4.2292387442337152</v>
      </c>
      <c r="AF169" s="7">
        <f ca="1">IF(AND(AF$6&gt;=OFFSET(Assumptions!$B$43,0,$C$1),OFFSET(Assumptions!$B$42,0,$C$1)="AllGDP"),IF(AF$6=OFFSET(Assumptions!$B$43,0,$C$1),AVERAGE(AC$169/SUM(AC$167:AC$169),AD$169/SUM(AD$167:AD$169),AE$169/SUM(AE$167:AE$169)),AE$169/SUM(AE$167:AE$169))*AF$14*(SUM(AE$167:AE$169)/AE$14+MIN(ABS(OFFSET(Assumptions!$B$45,0,$C$1)-SUM(AE$167:AE$169)/AE$14),OFFSET(Assumptions!$B$44,0,$C$1))*SIGN(OFFSET(Assumptions!$B$45,0,$C$1)-SUM(AE$167:AE$169)/AE$14)),AE$169*(1+Exogenous!$P$41*Popn!AM$209+Exogenous!$P$42*Popn!AM$211+Exogenous!$P$43*Popn!AM$214+Exogenous!$P$44*Popn!AM$217+Exogenous!$P$45*Popn!AM$218)*(1+AF$34))</f>
        <v>4.3997060927597849</v>
      </c>
      <c r="AG169" s="7">
        <f ca="1">IF(AND(AG$6&gt;=OFFSET(Assumptions!$B$43,0,$C$1),OFFSET(Assumptions!$B$42,0,$C$1)="AllGDP"),IF(AG$6=OFFSET(Assumptions!$B$43,0,$C$1),AVERAGE(AD$169/SUM(AD$167:AD$169),AE$169/SUM(AE$167:AE$169),AF$169/SUM(AF$167:AF$169)),AF$169/SUM(AF$167:AF$169))*AG$14*(SUM(AF$167:AF$169)/AF$14+MIN(ABS(OFFSET(Assumptions!$B$45,0,$C$1)-SUM(AF$167:AF$169)/AF$14),OFFSET(Assumptions!$B$44,0,$C$1))*SIGN(OFFSET(Assumptions!$B$45,0,$C$1)-SUM(AF$167:AF$169)/AF$14)),AF$169*(1+Exogenous!$P$41*Popn!AN$209+Exogenous!$P$42*Popn!AN$211+Exogenous!$P$43*Popn!AN$214+Exogenous!$P$44*Popn!AN$217+Exogenous!$P$45*Popn!AN$218)*(1+AG$34))</f>
        <v>4.5771207333916504</v>
      </c>
      <c r="AH169" s="7">
        <f ca="1">IF(AND(AH$6&gt;=OFFSET(Assumptions!$B$43,0,$C$1),OFFSET(Assumptions!$B$42,0,$C$1)="AllGDP"),IF(AH$6=OFFSET(Assumptions!$B$43,0,$C$1),AVERAGE(AE$169/SUM(AE$167:AE$169),AF$169/SUM(AF$167:AF$169),AG$169/SUM(AG$167:AG$169)),AG$169/SUM(AG$167:AG$169))*AH$14*(SUM(AG$167:AG$169)/AG$14+MIN(ABS(OFFSET(Assumptions!$B$45,0,$C$1)-SUM(AG$167:AG$169)/AG$14),OFFSET(Assumptions!$B$44,0,$C$1))*SIGN(OFFSET(Assumptions!$B$45,0,$C$1)-SUM(AG$167:AG$169)/AG$14)),AG$169*(1+Exogenous!$P$41*Popn!AO$209+Exogenous!$P$42*Popn!AO$211+Exogenous!$P$43*Popn!AO$214+Exogenous!$P$44*Popn!AO$217+Exogenous!$P$45*Popn!AO$218)*(1+AH$34))</f>
        <v>4.7617671628157128</v>
      </c>
      <c r="AI169" s="7">
        <f ca="1">IF(AND(AI$6&gt;=OFFSET(Assumptions!$B$43,0,$C$1),OFFSET(Assumptions!$B$42,0,$C$1)="AllGDP"),IF(AI$6=OFFSET(Assumptions!$B$43,0,$C$1),AVERAGE(AF$169/SUM(AF$167:AF$169),AG$169/SUM(AG$167:AG$169),AH$169/SUM(AH$167:AH$169)),AH$169/SUM(AH$167:AH$169))*AI$14*(SUM(AH$167:AH$169)/AH$14+MIN(ABS(OFFSET(Assumptions!$B$45,0,$C$1)-SUM(AH$167:AH$169)/AH$14),OFFSET(Assumptions!$B$44,0,$C$1))*SIGN(OFFSET(Assumptions!$B$45,0,$C$1)-SUM(AH$167:AH$169)/AH$14)),AH$169*(1+Exogenous!$P$41*Popn!AP$209+Exogenous!$P$42*Popn!AP$211+Exogenous!$P$43*Popn!AP$214+Exogenous!$P$44*Popn!AP$217+Exogenous!$P$45*Popn!AP$218)*(1+AI$34))</f>
        <v>4.9533227425955966</v>
      </c>
      <c r="AJ169" s="7">
        <f ca="1">IF(AND(AJ$6&gt;=OFFSET(Assumptions!$B$43,0,$C$1),OFFSET(Assumptions!$B$42,0,$C$1)="AllGDP"),IF(AJ$6=OFFSET(Assumptions!$B$43,0,$C$1),AVERAGE(AG$169/SUM(AG$167:AG$169),AH$169/SUM(AH$167:AH$169),AI$169/SUM(AI$167:AI$169)),AI$169/SUM(AI$167:AI$169))*AJ$14*(SUM(AI$167:AI$169)/AI$14+MIN(ABS(OFFSET(Assumptions!$B$45,0,$C$1)-SUM(AI$167:AI$169)/AI$14),OFFSET(Assumptions!$B$44,0,$C$1))*SIGN(OFFSET(Assumptions!$B$45,0,$C$1)-SUM(AI$167:AI$169)/AI$14)),AI$169*(1+Exogenous!$P$41*Popn!AQ$209+Exogenous!$P$42*Popn!AQ$211+Exogenous!$P$43*Popn!AQ$214+Exogenous!$P$44*Popn!AQ$217+Exogenous!$P$45*Popn!AQ$218)*(1+AJ$34))</f>
        <v>5.1524011206927449</v>
      </c>
      <c r="AK169" s="7">
        <f ca="1">IF(AND(AK$6&gt;=OFFSET(Assumptions!$B$43,0,$C$1),OFFSET(Assumptions!$B$42,0,$C$1)="AllGDP"),IF(AK$6=OFFSET(Assumptions!$B$43,0,$C$1),AVERAGE(AH$169/SUM(AH$167:AH$169),AI$169/SUM(AI$167:AI$169),AJ$169/SUM(AJ$167:AJ$169)),AJ$169/SUM(AJ$167:AJ$169))*AK$14*(SUM(AJ$167:AJ$169)/AJ$14+MIN(ABS(OFFSET(Assumptions!$B$45,0,$C$1)-SUM(AJ$167:AJ$169)/AJ$14),OFFSET(Assumptions!$B$44,0,$C$1))*SIGN(OFFSET(Assumptions!$B$45,0,$C$1)-SUM(AJ$167:AJ$169)/AJ$14)),AJ$169*(1+Exogenous!$P$41*Popn!AR$209+Exogenous!$P$42*Popn!AR$211+Exogenous!$P$43*Popn!AR$214+Exogenous!$P$44*Popn!AR$217+Exogenous!$P$45*Popn!AR$218)*(1+AK$34))</f>
        <v>5.3588385291010079</v>
      </c>
      <c r="AL169" s="7">
        <f ca="1">IF(AND(AL$6&gt;=OFFSET(Assumptions!$B$43,0,$C$1),OFFSET(Assumptions!$B$42,0,$C$1)="AllGDP"),IF(AL$6=OFFSET(Assumptions!$B$43,0,$C$1),AVERAGE(AI$169/SUM(AI$167:AI$169),AJ$169/SUM(AJ$167:AJ$169),AK$169/SUM(AK$167:AK$169)),AK$169/SUM(AK$167:AK$169))*AL$14*(SUM(AK$167:AK$169)/AK$14+MIN(ABS(OFFSET(Assumptions!$B$45,0,$C$1)-SUM(AK$167:AK$169)/AK$14),OFFSET(Assumptions!$B$44,0,$C$1))*SIGN(OFFSET(Assumptions!$B$45,0,$C$1)-SUM(AK$167:AK$169)/AK$14)),AK$169*(1+Exogenous!$P$41*Popn!AS$209+Exogenous!$P$42*Popn!AS$211+Exogenous!$P$43*Popn!AS$214+Exogenous!$P$44*Popn!AS$217+Exogenous!$P$45*Popn!AS$218)*(1+AL$34))</f>
        <v>5.5724723513785515</v>
      </c>
      <c r="AM169" s="7">
        <f ca="1">IF(AND(AM$6&gt;=OFFSET(Assumptions!$B$43,0,$C$1),OFFSET(Assumptions!$B$42,0,$C$1)="AllGDP"),IF(AM$6=OFFSET(Assumptions!$B$43,0,$C$1),AVERAGE(AJ$169/SUM(AJ$167:AJ$169),AK$169/SUM(AK$167:AK$169),AL$169/SUM(AL$167:AL$169)),AL$169/SUM(AL$167:AL$169))*AM$14*(SUM(AL$167:AL$169)/AL$14+MIN(ABS(OFFSET(Assumptions!$B$45,0,$C$1)-SUM(AL$167:AL$169)/AL$14),OFFSET(Assumptions!$B$44,0,$C$1))*SIGN(OFFSET(Assumptions!$B$45,0,$C$1)-SUM(AL$167:AL$169)/AL$14)),AL$169*(1+Exogenous!$P$41*Popn!AT$209+Exogenous!$P$42*Popn!AT$211+Exogenous!$P$43*Popn!AT$214+Exogenous!$P$44*Popn!AT$217+Exogenous!$P$45*Popn!AT$218)*(1+AM$34))</f>
        <v>5.7935944391460632</v>
      </c>
      <c r="AN169" s="7">
        <f ca="1">IF(AND(AN$6&gt;=OFFSET(Assumptions!$B$43,0,$C$1),OFFSET(Assumptions!$B$42,0,$C$1)="AllGDP"),IF(AN$6=OFFSET(Assumptions!$B$43,0,$C$1),AVERAGE(AK$169/SUM(AK$167:AK$169),AL$169/SUM(AL$167:AL$169),AM$169/SUM(AM$167:AM$169)),AM$169/SUM(AM$167:AM$169))*AN$14*(SUM(AM$167:AM$169)/AM$14+MIN(ABS(OFFSET(Assumptions!$B$45,0,$C$1)-SUM(AM$167:AM$169)/AM$14),OFFSET(Assumptions!$B$44,0,$C$1))*SIGN(OFFSET(Assumptions!$B$45,0,$C$1)-SUM(AM$167:AM$169)/AM$14)),AM$169*(1+Exogenous!$P$41*Popn!AU$209+Exogenous!$P$42*Popn!AU$211+Exogenous!$P$43*Popn!AU$214+Exogenous!$P$44*Popn!AU$217+Exogenous!$P$45*Popn!AU$218)*(1+AN$34))</f>
        <v>6.0225123710862629</v>
      </c>
      <c r="AO169" s="7">
        <f ca="1">IF(AND(AO$6&gt;=OFFSET(Assumptions!$B$43,0,$C$1),OFFSET(Assumptions!$B$42,0,$C$1)="AllGDP"),IF(AO$6=OFFSET(Assumptions!$B$43,0,$C$1),AVERAGE(AL$169/SUM(AL$167:AL$169),AM$169/SUM(AM$167:AM$169),AN$169/SUM(AN$167:AN$169)),AN$169/SUM(AN$167:AN$169))*AO$14*(SUM(AN$167:AN$169)/AN$14+MIN(ABS(OFFSET(Assumptions!$B$45,0,$C$1)-SUM(AN$167:AN$169)/AN$14),OFFSET(Assumptions!$B$44,0,$C$1))*SIGN(OFFSET(Assumptions!$B$45,0,$C$1)-SUM(AN$167:AN$169)/AN$14)),AN$169*(1+Exogenous!$P$41*Popn!AV$209+Exogenous!$P$42*Popn!AV$211+Exogenous!$P$43*Popn!AV$214+Exogenous!$P$44*Popn!AV$217+Exogenous!$P$45*Popn!AV$218)*(1+AO$34))</f>
        <v>6.25832726564391</v>
      </c>
      <c r="AP169" s="7">
        <f ca="1">IF(AND(AP$6&gt;=OFFSET(Assumptions!$B$43,0,$C$1),OFFSET(Assumptions!$B$42,0,$C$1)="AllGDP"),IF(AP$6=OFFSET(Assumptions!$B$43,0,$C$1),AVERAGE(AM$169/SUM(AM$167:AM$169),AN$169/SUM(AN$167:AN$169),AO$169/SUM(AO$167:AO$169)),AO$169/SUM(AO$167:AO$169))*AP$14*(SUM(AO$167:AO$169)/AO$14+MIN(ABS(OFFSET(Assumptions!$B$45,0,$C$1)-SUM(AO$167:AO$169)/AO$14),OFFSET(Assumptions!$B$44,0,$C$1))*SIGN(OFFSET(Assumptions!$B$45,0,$C$1)-SUM(AO$167:AO$169)/AO$14)),AO$169*(1+Exogenous!$P$41*Popn!AW$209+Exogenous!$P$42*Popn!AW$211+Exogenous!$P$43*Popn!AW$214+Exogenous!$P$44*Popn!AW$217+Exogenous!$P$45*Popn!AW$218)*(1+AP$34))</f>
        <v>6.5020405096175811</v>
      </c>
      <c r="AQ169" s="7">
        <f ca="1">IF(AND(AQ$6&gt;=OFFSET(Assumptions!$B$43,0,$C$1),OFFSET(Assumptions!$B$42,0,$C$1)="AllGDP"),IF(AQ$6=OFFSET(Assumptions!$B$43,0,$C$1),AVERAGE(AN$169/SUM(AN$167:AN$169),AO$169/SUM(AO$167:AO$169),AP$169/SUM(AP$167:AP$169)),AP$169/SUM(AP$167:AP$169))*AQ$14*(SUM(AP$167:AP$169)/AP$14+MIN(ABS(OFFSET(Assumptions!$B$45,0,$C$1)-SUM(AP$167:AP$169)/AP$14),OFFSET(Assumptions!$B$44,0,$C$1))*SIGN(OFFSET(Assumptions!$B$45,0,$C$1)-SUM(AP$167:AP$169)/AP$14)),AP$169*(1+Exogenous!$P$41*Popn!AX$209+Exogenous!$P$42*Popn!AX$211+Exogenous!$P$43*Popn!AX$214+Exogenous!$P$44*Popn!AX$217+Exogenous!$P$45*Popn!AX$218)*(1+AQ$34))</f>
        <v>6.7529692192667525</v>
      </c>
      <c r="AR169" s="7">
        <f ca="1">IF(AND(AR$6&gt;=OFFSET(Assumptions!$B$43,0,$C$1),OFFSET(Assumptions!$B$42,0,$C$1)="AllGDP"),IF(AR$6=OFFSET(Assumptions!$B$43,0,$C$1),AVERAGE(AO$169/SUM(AO$167:AO$169),AP$169/SUM(AP$167:AP$169),AQ$169/SUM(AQ$167:AQ$169)),AQ$169/SUM(AQ$167:AQ$169))*AR$14*(SUM(AQ$167:AQ$169)/AQ$14+MIN(ABS(OFFSET(Assumptions!$B$45,0,$C$1)-SUM(AQ$167:AQ$169)/AQ$14),OFFSET(Assumptions!$B$44,0,$C$1))*SIGN(OFFSET(Assumptions!$B$45,0,$C$1)-SUM(AQ$167:AQ$169)/AQ$14)),AQ$169*(1+Exogenous!$P$41*Popn!AY$209+Exogenous!$P$42*Popn!AY$211+Exogenous!$P$43*Popn!AY$214+Exogenous!$P$44*Popn!AY$217+Exogenous!$P$45*Popn!AY$218)*(1+AR$34))</f>
        <v>7.0113974907811096</v>
      </c>
      <c r="AS169" s="7">
        <f ca="1">IF(AND(AS$6&gt;=OFFSET(Assumptions!$B$43,0,$C$1),OFFSET(Assumptions!$B$42,0,$C$1)="AllGDP"),IF(AS$6=OFFSET(Assumptions!$B$43,0,$C$1),AVERAGE(AP$169/SUM(AP$167:AP$169),AQ$169/SUM(AQ$167:AQ$169),AR$169/SUM(AR$167:AR$169)),AR$169/SUM(AR$167:AR$169))*AS$14*(SUM(AR$167:AR$169)/AR$14+MIN(ABS(OFFSET(Assumptions!$B$45,0,$C$1)-SUM(AR$167:AR$169)/AR$14),OFFSET(Assumptions!$B$44,0,$C$1))*SIGN(OFFSET(Assumptions!$B$45,0,$C$1)-SUM(AR$167:AR$169)/AR$14)),AR$169*(1+Exogenous!$P$41*Popn!AZ$209+Exogenous!$P$42*Popn!AZ$211+Exogenous!$P$43*Popn!AZ$214+Exogenous!$P$44*Popn!AZ$217+Exogenous!$P$45*Popn!AZ$218)*(1+AS$34))</f>
        <v>7.2779282298640204</v>
      </c>
      <c r="AT169" s="7">
        <f ca="1">IF(AND(AT$6&gt;=OFFSET(Assumptions!$B$43,0,$C$1),OFFSET(Assumptions!$B$42,0,$C$1)="AllGDP"),IF(AT$6=OFFSET(Assumptions!$B$43,0,$C$1),AVERAGE(AQ$169/SUM(AQ$167:AQ$169),AR$169/SUM(AR$167:AR$169),AS$169/SUM(AS$167:AS$169)),AS$169/SUM(AS$167:AS$169))*AT$14*(SUM(AS$167:AS$169)/AS$14+MIN(ABS(OFFSET(Assumptions!$B$45,0,$C$1)-SUM(AS$167:AS$169)/AS$14),OFFSET(Assumptions!$B$44,0,$C$1))*SIGN(OFFSET(Assumptions!$B$45,0,$C$1)-SUM(AS$167:AS$169)/AS$14)),AS$169*(1+Exogenous!$P$41*Popn!BA$209+Exogenous!$P$42*Popn!BA$211+Exogenous!$P$43*Popn!BA$214+Exogenous!$P$44*Popn!BA$217+Exogenous!$P$45*Popn!BA$218)*(1+AT$34))</f>
        <v>7.5527743058908126</v>
      </c>
      <c r="AU169" s="7">
        <f ca="1">IF(AND(AU$6&gt;=OFFSET(Assumptions!$B$43,0,$C$1),OFFSET(Assumptions!$B$42,0,$C$1)="AllGDP"),IF(AU$6=OFFSET(Assumptions!$B$43,0,$C$1),AVERAGE(AR$169/SUM(AR$167:AR$169),AS$169/SUM(AS$167:AS$169),AT$169/SUM(AT$167:AT$169)),AT$169/SUM(AT$167:AT$169))*AU$14*(SUM(AT$167:AT$169)/AT$14+MIN(ABS(OFFSET(Assumptions!$B$45,0,$C$1)-SUM(AT$167:AT$169)/AT$14),OFFSET(Assumptions!$B$44,0,$C$1))*SIGN(OFFSET(Assumptions!$B$45,0,$C$1)-SUM(AT$167:AT$169)/AT$14)),AT$169*(1+Exogenous!$P$41*Popn!BB$209+Exogenous!$P$42*Popn!BB$211+Exogenous!$P$43*Popn!BB$214+Exogenous!$P$44*Popn!BB$217+Exogenous!$P$45*Popn!BB$218)*(1+AU$34))</f>
        <v>7.8363012027846972</v>
      </c>
      <c r="AV169" s="7">
        <f ca="1">IF(AND(AV$6&gt;=OFFSET(Assumptions!$B$43,0,$C$1),OFFSET(Assumptions!$B$42,0,$C$1)="AllGDP"),IF(AV$6=OFFSET(Assumptions!$B$43,0,$C$1),AVERAGE(AS$169/SUM(AS$167:AS$169),AT$169/SUM(AT$167:AT$169),AU$169/SUM(AU$167:AU$169)),AU$169/SUM(AU$167:AU$169))*AV$14*(SUM(AU$167:AU$169)/AU$14+MIN(ABS(OFFSET(Assumptions!$B$45,0,$C$1)-SUM(AU$167:AU$169)/AU$14),OFFSET(Assumptions!$B$44,0,$C$1))*SIGN(OFFSET(Assumptions!$B$45,0,$C$1)-SUM(AU$167:AU$169)/AU$14)),AU$169*(1+Exogenous!$P$41*Popn!BC$209+Exogenous!$P$42*Popn!BC$211+Exogenous!$P$43*Popn!BC$214+Exogenous!$P$44*Popn!BC$217+Exogenous!$P$45*Popn!BC$218)*(1+AV$34))</f>
        <v>8.1293855568094582</v>
      </c>
      <c r="AW169" s="7">
        <f ca="1">IF(AND(AW$6&gt;=OFFSET(Assumptions!$B$43,0,$C$1),OFFSET(Assumptions!$B$42,0,$C$1)="AllGDP"),IF(AW$6=OFFSET(Assumptions!$B$43,0,$C$1),AVERAGE(AT$169/SUM(AT$167:AT$169),AU$169/SUM(AU$167:AU$169),AV$169/SUM(AV$167:AV$169)),AV$169/SUM(AV$167:AV$169))*AW$14*(SUM(AV$167:AV$169)/AV$14+MIN(ABS(OFFSET(Assumptions!$B$45,0,$C$1)-SUM(AV$167:AV$169)/AV$14),OFFSET(Assumptions!$B$44,0,$C$1))*SIGN(OFFSET(Assumptions!$B$45,0,$C$1)-SUM(AV$167:AV$169)/AV$14)),AV$169*(1+Exogenous!$P$41*Popn!BD$209+Exogenous!$P$42*Popn!BD$211+Exogenous!$P$43*Popn!BD$214+Exogenous!$P$44*Popn!BD$217+Exogenous!$P$45*Popn!BD$218)*(1+AW$34))</f>
        <v>8.4318619053823554</v>
      </c>
    </row>
    <row r="170" spans="1:49" x14ac:dyDescent="0.2">
      <c r="A170" s="1" t="s">
        <v>512</v>
      </c>
      <c r="B170" s="4" t="str">
        <f t="shared" si="145"/>
        <v>From Fiscal</v>
      </c>
      <c r="D170" s="18">
        <f>Fiscal!D$228</f>
        <v>2.403</v>
      </c>
      <c r="E170" s="19">
        <f>Fiscal!E$228</f>
        <v>2.3919999999999999</v>
      </c>
      <c r="F170" s="19">
        <f>Fiscal!F$228</f>
        <v>2.4420000000000002</v>
      </c>
      <c r="G170" s="19">
        <f>Fiscal!G$228</f>
        <v>2.4289999999999998</v>
      </c>
      <c r="H170" s="19">
        <f>Fiscal!H$228</f>
        <v>2.4049999999999998</v>
      </c>
      <c r="I170" s="19">
        <f>Fiscal!I$228</f>
        <v>2.4700000000000002</v>
      </c>
      <c r="J170" s="7">
        <f ca="1">IF(AND(J$6&gt;=OFFSET(Assumptions!$B$43,0,$C$1),OR(OFFSET(Assumptions!$B$42,0,$C$1)="PartGDP",OFFSET(Assumptions!$B$42,0,$C$1)="AllGDP")),J$14*(I$170/I$14+MIN(ABS(OFFSET(Assumptions!$B$47,0,$C$1)-I$170/I$14),OFFSET(Assumptions!$B$44,0,$C$1))*SIGN(OFFSET(Assumptions!$B$47,0,$C$1)-I$170/I$14)),I$170*(1+J$22)*(1+J$34))</f>
        <v>2.7299772494268915</v>
      </c>
      <c r="K170" s="7">
        <f ca="1">IF(AND(K$6&gt;=OFFSET(Assumptions!$B$43,0,$C$1),OR(OFFSET(Assumptions!$B$42,0,$C$1)="PartGDP",OFFSET(Assumptions!$B$42,0,$C$1)="AllGDP")),K$14*(J$170/J$14+MIN(ABS(OFFSET(Assumptions!$B$47,0,$C$1)-J$170/J$14),OFFSET(Assumptions!$B$44,0,$C$1))*SIGN(OFFSET(Assumptions!$B$47,0,$C$1)-J$170/J$14)),J$170*(1+K$22)*(1+K$34))</f>
        <v>3.0064770726704588</v>
      </c>
      <c r="L170" s="7">
        <f ca="1">IF(AND(L$6&gt;=OFFSET(Assumptions!$B$43,0,$C$1),OR(OFFSET(Assumptions!$B$42,0,$C$1)="PartGDP",OFFSET(Assumptions!$B$42,0,$C$1)="AllGDP")),L$14*(K$170/K$14+MIN(ABS(OFFSET(Assumptions!$B$47,0,$C$1)-K$170/K$14),OFFSET(Assumptions!$B$44,0,$C$1))*SIGN(OFFSET(Assumptions!$B$47,0,$C$1)-K$170/K$14)),K$170*(1+L$22)*(1+L$34))</f>
        <v>3.3062470913102233</v>
      </c>
      <c r="M170" s="7">
        <f ca="1">IF(AND(M$6&gt;=OFFSET(Assumptions!$B$43,0,$C$1),OR(OFFSET(Assumptions!$B$42,0,$C$1)="PartGDP",OFFSET(Assumptions!$B$42,0,$C$1)="AllGDP")),M$14*(L$170/L$14+MIN(ABS(OFFSET(Assumptions!$B$47,0,$C$1)-L$170/L$14),OFFSET(Assumptions!$B$44,0,$C$1))*SIGN(OFFSET(Assumptions!$B$47,0,$C$1)-L$170/L$14)),L$170*(1+M$22)*(1+M$34))</f>
        <v>3.6258731806087932</v>
      </c>
      <c r="N170" s="7">
        <f ca="1">IF(AND(N$6&gt;=OFFSET(Assumptions!$B$43,0,$C$1),OR(OFFSET(Assumptions!$B$42,0,$C$1)="PartGDP",OFFSET(Assumptions!$B$42,0,$C$1)="AllGDP")),N$14*(M$170/M$14+MIN(ABS(OFFSET(Assumptions!$B$47,0,$C$1)-M$170/M$14),OFFSET(Assumptions!$B$44,0,$C$1))*SIGN(OFFSET(Assumptions!$B$47,0,$C$1)-M$170/M$14)),M$170*(1+N$22)*(1+N$34))</f>
        <v>3.9666466728748402</v>
      </c>
      <c r="O170" s="7">
        <f ca="1">IF(AND(O$6&gt;=OFFSET(Assumptions!$B$43,0,$C$1),OR(OFFSET(Assumptions!$B$42,0,$C$1)="PartGDP",OFFSET(Assumptions!$B$42,0,$C$1)="AllGDP")),O$14*(N$170/N$14+MIN(ABS(OFFSET(Assumptions!$B$47,0,$C$1)-N$170/N$14),OFFSET(Assumptions!$B$44,0,$C$1))*SIGN(OFFSET(Assumptions!$B$47,0,$C$1)-N$170/N$14)),N$170*(1+O$22)*(1+O$34))</f>
        <v>4.2299424478565504</v>
      </c>
      <c r="P170" s="7">
        <f ca="1">IF(AND(P$6&gt;=OFFSET(Assumptions!$B$43,0,$C$1),OR(OFFSET(Assumptions!$B$42,0,$C$1)="PartGDP",OFFSET(Assumptions!$B$42,0,$C$1)="AllGDP")),P$14*(O$170/O$14+MIN(ABS(OFFSET(Assumptions!$B$47,0,$C$1)-O$170/O$14),OFFSET(Assumptions!$B$44,0,$C$1))*SIGN(OFFSET(Assumptions!$B$47,0,$C$1)-O$170/O$14)),O$170*(1+P$22)*(1+P$34))</f>
        <v>4.4088220662090105</v>
      </c>
      <c r="Q170" s="7">
        <f ca="1">IF(AND(Q$6&gt;=OFFSET(Assumptions!$B$43,0,$C$1),OR(OFFSET(Assumptions!$B$42,0,$C$1)="PartGDP",OFFSET(Assumptions!$B$42,0,$C$1)="AllGDP")),Q$14*(P$170/P$14+MIN(ABS(OFFSET(Assumptions!$B$47,0,$C$1)-P$170/P$14),OFFSET(Assumptions!$B$44,0,$C$1))*SIGN(OFFSET(Assumptions!$B$47,0,$C$1)-P$170/P$14)),P$170*(1+Q$22)*(1+Q$34))</f>
        <v>4.5932177322655958</v>
      </c>
      <c r="R170" s="7">
        <f ca="1">IF(AND(R$6&gt;=OFFSET(Assumptions!$B$43,0,$C$1),OR(OFFSET(Assumptions!$B$42,0,$C$1)="PartGDP",OFFSET(Assumptions!$B$42,0,$C$1)="AllGDP")),R$14*(Q$170/Q$14+MIN(ABS(OFFSET(Assumptions!$B$47,0,$C$1)-Q$170/Q$14),OFFSET(Assumptions!$B$44,0,$C$1))*SIGN(OFFSET(Assumptions!$B$47,0,$C$1)-Q$170/Q$14)),Q$170*(1+R$22)*(1+R$34))</f>
        <v>4.7829925843348358</v>
      </c>
      <c r="S170" s="7">
        <f ca="1">IF(AND(S$6&gt;=OFFSET(Assumptions!$B$43,0,$C$1),OR(OFFSET(Assumptions!$B$42,0,$C$1)="PartGDP",OFFSET(Assumptions!$B$42,0,$C$1)="AllGDP")),S$14*(R$170/R$14+MIN(ABS(OFFSET(Assumptions!$B$47,0,$C$1)-R$170/R$14),OFFSET(Assumptions!$B$44,0,$C$1))*SIGN(OFFSET(Assumptions!$B$47,0,$C$1)-R$170/R$14)),R$170*(1+S$22)*(1+S$34))</f>
        <v>4.9787497191581283</v>
      </c>
      <c r="T170" s="7">
        <f ca="1">IF(AND(T$6&gt;=OFFSET(Assumptions!$B$43,0,$C$1),OR(OFFSET(Assumptions!$B$42,0,$C$1)="PartGDP",OFFSET(Assumptions!$B$42,0,$C$1)="AllGDP")),T$14*(S$170/S$14+MIN(ABS(OFFSET(Assumptions!$B$47,0,$C$1)-S$170/S$14),OFFSET(Assumptions!$B$44,0,$C$1))*SIGN(OFFSET(Assumptions!$B$47,0,$C$1)-S$170/S$14)),S$170*(1+T$22)*(1+T$34))</f>
        <v>5.1805605227348481</v>
      </c>
      <c r="U170" s="7">
        <f ca="1">IF(AND(U$6&gt;=OFFSET(Assumptions!$B$43,0,$C$1),OR(OFFSET(Assumptions!$B$42,0,$C$1)="PartGDP",OFFSET(Assumptions!$B$42,0,$C$1)="AllGDP")),U$14*(T$170/T$14+MIN(ABS(OFFSET(Assumptions!$B$47,0,$C$1)-T$170/T$14),OFFSET(Assumptions!$B$44,0,$C$1))*SIGN(OFFSET(Assumptions!$B$47,0,$C$1)-T$170/T$14)),T$170*(1+U$22)*(1+U$34))</f>
        <v>5.3891492887193655</v>
      </c>
      <c r="V170" s="7">
        <f ca="1">IF(AND(V$6&gt;=OFFSET(Assumptions!$B$43,0,$C$1),OR(OFFSET(Assumptions!$B$42,0,$C$1)="PartGDP",OFFSET(Assumptions!$B$42,0,$C$1)="AllGDP")),V$14*(U$170/U$14+MIN(ABS(OFFSET(Assumptions!$B$47,0,$C$1)-U$170/U$14),OFFSET(Assumptions!$B$44,0,$C$1))*SIGN(OFFSET(Assumptions!$B$47,0,$C$1)-U$170/U$14)),U$170*(1+V$22)*(1+V$34))</f>
        <v>5.6050309196719237</v>
      </c>
      <c r="W170" s="7">
        <f ca="1">IF(AND(W$6&gt;=OFFSET(Assumptions!$B$43,0,$C$1),OR(OFFSET(Assumptions!$B$42,0,$C$1)="PartGDP",OFFSET(Assumptions!$B$42,0,$C$1)="AllGDP")),W$14*(V$170/V$14+MIN(ABS(OFFSET(Assumptions!$B$47,0,$C$1)-V$170/V$14),OFFSET(Assumptions!$B$44,0,$C$1))*SIGN(OFFSET(Assumptions!$B$47,0,$C$1)-V$170/V$14)),V$170*(1+W$22)*(1+W$34))</f>
        <v>5.8288308791308037</v>
      </c>
      <c r="X170" s="7">
        <f ca="1">IF(AND(X$6&gt;=OFFSET(Assumptions!$B$43,0,$C$1),OR(OFFSET(Assumptions!$B$42,0,$C$1)="PartGDP",OFFSET(Assumptions!$B$42,0,$C$1)="AllGDP")),X$14*(W$170/W$14+MIN(ABS(OFFSET(Assumptions!$B$47,0,$C$1)-W$170/W$14),OFFSET(Assumptions!$B$44,0,$C$1))*SIGN(OFFSET(Assumptions!$B$47,0,$C$1)-W$170/W$14)),W$170*(1+X$22)*(1+X$34))</f>
        <v>6.0612580439179835</v>
      </c>
      <c r="Y170" s="7">
        <f ca="1">IF(AND(Y$6&gt;=OFFSET(Assumptions!$B$43,0,$C$1),OR(OFFSET(Assumptions!$B$42,0,$C$1)="PartGDP",OFFSET(Assumptions!$B$42,0,$C$1)="AllGDP")),Y$14*(X$170/X$14+MIN(ABS(OFFSET(Assumptions!$B$47,0,$C$1)-X$170/X$14),OFFSET(Assumptions!$B$44,0,$C$1))*SIGN(OFFSET(Assumptions!$B$47,0,$C$1)-X$170/X$14)),X$170*(1+Y$22)*(1+Y$34))</f>
        <v>6.3022886522813684</v>
      </c>
      <c r="Z170" s="7">
        <f ca="1">IF(AND(Z$6&gt;=OFFSET(Assumptions!$B$43,0,$C$1),OR(OFFSET(Assumptions!$B$42,0,$C$1)="PartGDP",OFFSET(Assumptions!$B$42,0,$C$1)="AllGDP")),Z$14*(Y$170/Y$14+MIN(ABS(OFFSET(Assumptions!$B$47,0,$C$1)-Y$170/Y$14),OFFSET(Assumptions!$B$44,0,$C$1))*SIGN(OFFSET(Assumptions!$B$47,0,$C$1)-Y$170/Y$14)),Y$170*(1+Z$22)*(1+Z$34))</f>
        <v>6.5531427149663521</v>
      </c>
      <c r="AA170" s="7">
        <f ca="1">IF(AND(AA$6&gt;=OFFSET(Assumptions!$B$43,0,$C$1),OR(OFFSET(Assumptions!$B$42,0,$C$1)="PartGDP",OFFSET(Assumptions!$B$42,0,$C$1)="AllGDP")),AA$14*(Z$170/Z$14+MIN(ABS(OFFSET(Assumptions!$B$47,0,$C$1)-Z$170/Z$14),OFFSET(Assumptions!$B$44,0,$C$1))*SIGN(OFFSET(Assumptions!$B$47,0,$C$1)-Z$170/Z$14)),Z$170*(1+AA$22)*(1+AA$34))</f>
        <v>6.8142261147114285</v>
      </c>
      <c r="AB170" s="7">
        <f ca="1">IF(AND(AB$6&gt;=OFFSET(Assumptions!$B$43,0,$C$1),OR(OFFSET(Assumptions!$B$42,0,$C$1)="PartGDP",OFFSET(Assumptions!$B$42,0,$C$1)="AllGDP")),AB$14*(AA$170/AA$14+MIN(ABS(OFFSET(Assumptions!$B$47,0,$C$1)-AA$170/AA$14),OFFSET(Assumptions!$B$44,0,$C$1))*SIGN(OFFSET(Assumptions!$B$47,0,$C$1)-AA$170/AA$14)),AA$170*(1+AB$22)*(1+AB$34))</f>
        <v>7.0863229090774116</v>
      </c>
      <c r="AC170" s="7">
        <f ca="1">IF(AND(AC$6&gt;=OFFSET(Assumptions!$B$43,0,$C$1),OR(OFFSET(Assumptions!$B$42,0,$C$1)="PartGDP",OFFSET(Assumptions!$B$42,0,$C$1)="AllGDP")),AC$14*(AB$170/AB$14+MIN(ABS(OFFSET(Assumptions!$B$47,0,$C$1)-AB$170/AB$14),OFFSET(Assumptions!$B$44,0,$C$1))*SIGN(OFFSET(Assumptions!$B$47,0,$C$1)-AB$170/AB$14)),AB$170*(1+AC$22)*(1+AC$34))</f>
        <v>7.3704603003872196</v>
      </c>
      <c r="AD170" s="7">
        <f ca="1">IF(AND(AD$6&gt;=OFFSET(Assumptions!$B$43,0,$C$1),OR(OFFSET(Assumptions!$B$42,0,$C$1)="PartGDP",OFFSET(Assumptions!$B$42,0,$C$1)="AllGDP")),AD$14*(AC$170/AC$14+MIN(ABS(OFFSET(Assumptions!$B$47,0,$C$1)-AC$170/AC$14),OFFSET(Assumptions!$B$44,0,$C$1))*SIGN(OFFSET(Assumptions!$B$47,0,$C$1)-AC$170/AC$14)),AC$170*(1+AD$22)*(1+AD$34))</f>
        <v>7.6669377729563264</v>
      </c>
      <c r="AE170" s="7">
        <f ca="1">IF(AND(AE$6&gt;=OFFSET(Assumptions!$B$43,0,$C$1),OR(OFFSET(Assumptions!$B$42,0,$C$1)="PartGDP",OFFSET(Assumptions!$B$42,0,$C$1)="AllGDP")),AE$14*(AD$170/AD$14+MIN(ABS(OFFSET(Assumptions!$B$47,0,$C$1)-AD$170/AD$14),OFFSET(Assumptions!$B$44,0,$C$1))*SIGN(OFFSET(Assumptions!$B$47,0,$C$1)-AD$170/AD$14)),AD$170*(1+AE$22)*(1+AE$34))</f>
        <v>7.9754830517425868</v>
      </c>
      <c r="AF170" s="7">
        <f ca="1">IF(AND(AF$6&gt;=OFFSET(Assumptions!$B$43,0,$C$1),OR(OFFSET(Assumptions!$B$42,0,$C$1)="PartGDP",OFFSET(Assumptions!$B$42,0,$C$1)="AllGDP")),AF$14*(AE$170/AE$14+MIN(ABS(OFFSET(Assumptions!$B$47,0,$C$1)-AE$170/AE$14),OFFSET(Assumptions!$B$44,0,$C$1))*SIGN(OFFSET(Assumptions!$B$47,0,$C$1)-AE$170/AE$14)),AE$170*(1+AF$22)*(1+AF$34))</f>
        <v>8.2969497579905678</v>
      </c>
      <c r="AG170" s="7">
        <f ca="1">IF(AND(AG$6&gt;=OFFSET(Assumptions!$B$43,0,$C$1),OR(OFFSET(Assumptions!$B$42,0,$C$1)="PartGDP",OFFSET(Assumptions!$B$42,0,$C$1)="AllGDP")),AG$14*(AF$170/AF$14+MIN(ABS(OFFSET(Assumptions!$B$47,0,$C$1)-AF$170/AF$14),OFFSET(Assumptions!$B$44,0,$C$1))*SIGN(OFFSET(Assumptions!$B$47,0,$C$1)-AF$170/AF$14)),AF$170*(1+AG$22)*(1+AG$34))</f>
        <v>8.6315176424401425</v>
      </c>
      <c r="AH170" s="7">
        <f ca="1">IF(AND(AH$6&gt;=OFFSET(Assumptions!$B$43,0,$C$1),OR(OFFSET(Assumptions!$B$42,0,$C$1)="PartGDP",OFFSET(Assumptions!$B$42,0,$C$1)="AllGDP")),AH$14*(AG$170/AG$14+MIN(ABS(OFFSET(Assumptions!$B$47,0,$C$1)-AG$170/AG$14),OFFSET(Assumptions!$B$44,0,$C$1))*SIGN(OFFSET(Assumptions!$B$47,0,$C$1)-AG$170/AG$14)),AG$170*(1+AH$22)*(1+AH$34))</f>
        <v>8.9797232079084512</v>
      </c>
      <c r="AI170" s="7">
        <f ca="1">IF(AND(AI$6&gt;=OFFSET(Assumptions!$B$43,0,$C$1),OR(OFFSET(Assumptions!$B$42,0,$C$1)="PartGDP",OFFSET(Assumptions!$B$42,0,$C$1)="AllGDP")),AI$14*(AH$170/AH$14+MIN(ABS(OFFSET(Assumptions!$B$47,0,$C$1)-AH$170/AH$14),OFFSET(Assumptions!$B$44,0,$C$1))*SIGN(OFFSET(Assumptions!$B$47,0,$C$1)-AH$170/AH$14)),AH$170*(1+AI$22)*(1+AI$34))</f>
        <v>9.3409580240048875</v>
      </c>
      <c r="AJ170" s="7">
        <f ca="1">IF(AND(AJ$6&gt;=OFFSET(Assumptions!$B$43,0,$C$1),OR(OFFSET(Assumptions!$B$42,0,$C$1)="PartGDP",OFFSET(Assumptions!$B$42,0,$C$1)="AllGDP")),AJ$14*(AI$170/AI$14+MIN(ABS(OFFSET(Assumptions!$B$47,0,$C$1)-AI$170/AI$14),OFFSET(Assumptions!$B$44,0,$C$1))*SIGN(OFFSET(Assumptions!$B$47,0,$C$1)-AI$170/AI$14)),AI$170*(1+AJ$22)*(1+AJ$34))</f>
        <v>9.7163793058246934</v>
      </c>
      <c r="AK170" s="7">
        <f ca="1">IF(AND(AK$6&gt;=OFFSET(Assumptions!$B$43,0,$C$1),OR(OFFSET(Assumptions!$B$42,0,$C$1)="PartGDP",OFFSET(Assumptions!$B$42,0,$C$1)="AllGDP")),AK$14*(AJ$170/AJ$14+MIN(ABS(OFFSET(Assumptions!$B$47,0,$C$1)-AJ$170/AJ$14),OFFSET(Assumptions!$B$44,0,$C$1))*SIGN(OFFSET(Assumptions!$B$47,0,$C$1)-AJ$170/AJ$14)),AJ$170*(1+AK$22)*(1+AK$34))</f>
        <v>10.105678220257126</v>
      </c>
      <c r="AL170" s="7">
        <f ca="1">IF(AND(AL$6&gt;=OFFSET(Assumptions!$B$43,0,$C$1),OR(OFFSET(Assumptions!$B$42,0,$C$1)="PartGDP",OFFSET(Assumptions!$B$42,0,$C$1)="AllGDP")),AL$14*(AK$170/AK$14+MIN(ABS(OFFSET(Assumptions!$B$47,0,$C$1)-AK$170/AK$14),OFFSET(Assumptions!$B$44,0,$C$1))*SIGN(OFFSET(Assumptions!$B$47,0,$C$1)-AK$170/AK$14)),AK$170*(1+AL$22)*(1+AL$34))</f>
        <v>10.508548105807238</v>
      </c>
      <c r="AM170" s="7">
        <f ca="1">IF(AND(AM$6&gt;=OFFSET(Assumptions!$B$43,0,$C$1),OR(OFFSET(Assumptions!$B$42,0,$C$1)="PartGDP",OFFSET(Assumptions!$B$42,0,$C$1)="AllGDP")),AM$14*(AL$170/AL$14+MIN(ABS(OFFSET(Assumptions!$B$47,0,$C$1)-AL$170/AL$14),OFFSET(Assumptions!$B$44,0,$C$1))*SIGN(OFFSET(Assumptions!$B$47,0,$C$1)-AL$170/AL$14)),AL$170*(1+AM$22)*(1+AM$34))</f>
        <v>10.925539335200522</v>
      </c>
      <c r="AN170" s="7">
        <f ca="1">IF(AND(AN$6&gt;=OFFSET(Assumptions!$B$43,0,$C$1),OR(OFFSET(Assumptions!$B$42,0,$C$1)="PartGDP",OFFSET(Assumptions!$B$42,0,$C$1)="AllGDP")),AN$14*(AM$170/AM$14+MIN(ABS(OFFSET(Assumptions!$B$47,0,$C$1)-AM$170/AM$14),OFFSET(Assumptions!$B$44,0,$C$1))*SIGN(OFFSET(Assumptions!$B$47,0,$C$1)-AM$170/AM$14)),AM$170*(1+AN$22)*(1+AN$34))</f>
        <v>11.357231939198888</v>
      </c>
      <c r="AO170" s="7">
        <f ca="1">IF(AND(AO$6&gt;=OFFSET(Assumptions!$B$43,0,$C$1),OR(OFFSET(Assumptions!$B$42,0,$C$1)="PartGDP",OFFSET(Assumptions!$B$42,0,$C$1)="AllGDP")),AO$14*(AN$170/AN$14+MIN(ABS(OFFSET(Assumptions!$B$47,0,$C$1)-AN$170/AN$14),OFFSET(Assumptions!$B$44,0,$C$1))*SIGN(OFFSET(Assumptions!$B$47,0,$C$1)-AN$170/AN$14)),AN$170*(1+AO$22)*(1+AO$34))</f>
        <v>11.801930810232651</v>
      </c>
      <c r="AP170" s="7">
        <f ca="1">IF(AND(AP$6&gt;=OFFSET(Assumptions!$B$43,0,$C$1),OR(OFFSET(Assumptions!$B$42,0,$C$1)="PartGDP",OFFSET(Assumptions!$B$42,0,$C$1)="AllGDP")),AP$14*(AO$170/AO$14+MIN(ABS(OFFSET(Assumptions!$B$47,0,$C$1)-AO$170/AO$14),OFFSET(Assumptions!$B$44,0,$C$1))*SIGN(OFFSET(Assumptions!$B$47,0,$C$1)-AO$170/AO$14)),AO$170*(1+AP$22)*(1+AP$34))</f>
        <v>12.261524359886797</v>
      </c>
      <c r="AQ170" s="7">
        <f ca="1">IF(AND(AQ$6&gt;=OFFSET(Assumptions!$B$43,0,$C$1),OR(OFFSET(Assumptions!$B$42,0,$C$1)="PartGDP",OFFSET(Assumptions!$B$42,0,$C$1)="AllGDP")),AQ$14*(AP$170/AP$14+MIN(ABS(OFFSET(Assumptions!$B$47,0,$C$1)-AP$170/AP$14),OFFSET(Assumptions!$B$44,0,$C$1))*SIGN(OFFSET(Assumptions!$B$47,0,$C$1)-AP$170/AP$14)),AP$170*(1+AQ$22)*(1+AQ$34))</f>
        <v>12.734724808485549</v>
      </c>
      <c r="AR170" s="7">
        <f ca="1">IF(AND(AR$6&gt;=OFFSET(Assumptions!$B$43,0,$C$1),OR(OFFSET(Assumptions!$B$42,0,$C$1)="PartGDP",OFFSET(Assumptions!$B$42,0,$C$1)="AllGDP")),AR$14*(AQ$170/AQ$14+MIN(ABS(OFFSET(Assumptions!$B$47,0,$C$1)-AQ$170/AQ$14),OFFSET(Assumptions!$B$44,0,$C$1))*SIGN(OFFSET(Assumptions!$B$47,0,$C$1)-AQ$170/AQ$14)),AQ$170*(1+AR$22)*(1+AR$34))</f>
        <v>13.222067903590796</v>
      </c>
      <c r="AS170" s="7">
        <f ca="1">IF(AND(AS$6&gt;=OFFSET(Assumptions!$B$43,0,$C$1),OR(OFFSET(Assumptions!$B$42,0,$C$1)="PartGDP",OFFSET(Assumptions!$B$42,0,$C$1)="AllGDP")),AS$14*(AR$170/AR$14+MIN(ABS(OFFSET(Assumptions!$B$47,0,$C$1)-AR$170/AR$14),OFFSET(Assumptions!$B$44,0,$C$1))*SIGN(OFFSET(Assumptions!$B$47,0,$C$1)-AR$170/AR$14)),AR$170*(1+AS$22)*(1+AS$34))</f>
        <v>13.724690602586556</v>
      </c>
      <c r="AT170" s="7">
        <f ca="1">IF(AND(AT$6&gt;=OFFSET(Assumptions!$B$43,0,$C$1),OR(OFFSET(Assumptions!$B$42,0,$C$1)="PartGDP",OFFSET(Assumptions!$B$42,0,$C$1)="AllGDP")),AT$14*(AS$170/AS$14+MIN(ABS(OFFSET(Assumptions!$B$47,0,$C$1)-AS$170/AS$14),OFFSET(Assumptions!$B$44,0,$C$1))*SIGN(OFFSET(Assumptions!$B$47,0,$C$1)-AS$170/AS$14)),AS$170*(1+AT$22)*(1+AT$34))</f>
        <v>14.242994333767097</v>
      </c>
      <c r="AU170" s="7">
        <f ca="1">IF(AND(AU$6&gt;=OFFSET(Assumptions!$B$43,0,$C$1),OR(OFFSET(Assumptions!$B$42,0,$C$1)="PartGDP",OFFSET(Assumptions!$B$42,0,$C$1)="AllGDP")),AU$14*(AT$170/AT$14+MIN(ABS(OFFSET(Assumptions!$B$47,0,$C$1)-AT$170/AT$14),OFFSET(Assumptions!$B$44,0,$C$1))*SIGN(OFFSET(Assumptions!$B$47,0,$C$1)-AT$170/AT$14)),AT$170*(1+AU$22)*(1+AU$34))</f>
        <v>14.777668325386379</v>
      </c>
      <c r="AV170" s="7">
        <f ca="1">IF(AND(AV$6&gt;=OFFSET(Assumptions!$B$43,0,$C$1),OR(OFFSET(Assumptions!$B$42,0,$C$1)="PartGDP",OFFSET(Assumptions!$B$42,0,$C$1)="AllGDP")),AV$14*(AU$170/AU$14+MIN(ABS(OFFSET(Assumptions!$B$47,0,$C$1)-AU$170/AU$14),OFFSET(Assumptions!$B$44,0,$C$1))*SIGN(OFFSET(Assumptions!$B$47,0,$C$1)-AU$170/AU$14)),AU$170*(1+AV$22)*(1+AV$34))</f>
        <v>15.330365734924303</v>
      </c>
      <c r="AW170" s="7">
        <f ca="1">IF(AND(AW$6&gt;=OFFSET(Assumptions!$B$43,0,$C$1),OR(OFFSET(Assumptions!$B$42,0,$C$1)="PartGDP",OFFSET(Assumptions!$B$42,0,$C$1)="AllGDP")),AW$14*(AV$170/AV$14+MIN(ABS(OFFSET(Assumptions!$B$47,0,$C$1)-AV$170/AV$14),OFFSET(Assumptions!$B$44,0,$C$1))*SIGN(OFFSET(Assumptions!$B$47,0,$C$1)-AV$170/AV$14)),AV$170*(1+AW$22)*(1+AW$34))</f>
        <v>15.900774533643757</v>
      </c>
    </row>
    <row r="171" spans="1:49" x14ac:dyDescent="0.2">
      <c r="A171" s="1" t="s">
        <v>514</v>
      </c>
      <c r="B171" s="4" t="str">
        <f t="shared" si="145"/>
        <v>From Fiscal</v>
      </c>
      <c r="D171" s="18">
        <f>Fiscal!D$229</f>
        <v>3.464</v>
      </c>
      <c r="E171" s="19">
        <f>Fiscal!E$229</f>
        <v>3.6920000000000002</v>
      </c>
      <c r="F171" s="19">
        <f>Fiscal!F$229</f>
        <v>3.81</v>
      </c>
      <c r="G171" s="19">
        <f>Fiscal!G$229</f>
        <v>3.9369999999999998</v>
      </c>
      <c r="H171" s="19">
        <f>Fiscal!H$229</f>
        <v>4.0449999999999999</v>
      </c>
      <c r="I171" s="19">
        <f>Fiscal!I$229</f>
        <v>4.1349999999999998</v>
      </c>
      <c r="J171" s="7">
        <f ca="1">IF(AND(J$6&gt;=OFFSET(Assumptions!$B$43,0,$C$1),OR(OFFSET(Assumptions!$B$42,0,$C$1)="PartGDP",OFFSET(Assumptions!$B$42,0,$C$1)="AllGDP")),J$14*(I$171/I$14+MIN(ABS(OFFSET(Assumptions!$B$48,0,$C$1)-I$171/I$14),OFFSET(Assumptions!$B$44,0,$C$1))*SIGN(OFFSET(Assumptions!$B$48,0,$C$1)-I$171/I$14)),I$171*(1+J$22)*(1+J$34))</f>
        <v>4.4651355927188021</v>
      </c>
      <c r="K171" s="7">
        <f ca="1">IF(AND(K$6&gt;=OFFSET(Assumptions!$B$43,0,$C$1),OR(OFFSET(Assumptions!$B$42,0,$C$1)="PartGDP",OFFSET(Assumptions!$B$42,0,$C$1)="AllGDP")),K$14*(J$171/J$14+MIN(ABS(OFFSET(Assumptions!$B$48,0,$C$1)-J$171/J$14),OFFSET(Assumptions!$B$44,0,$C$1))*SIGN(OFFSET(Assumptions!$B$48,0,$C$1)-J$171/J$14)),J$171*(1+K$22)*(1+K$34))</f>
        <v>4.8141480255470448</v>
      </c>
      <c r="L171" s="7">
        <f ca="1">IF(AND(L$6&gt;=OFFSET(Assumptions!$B$43,0,$C$1),OR(OFFSET(Assumptions!$B$42,0,$C$1)="PartGDP",OFFSET(Assumptions!$B$42,0,$C$1)="AllGDP")),L$14*(K$171/K$14+MIN(ABS(OFFSET(Assumptions!$B$48,0,$C$1)-K$171/K$14),OFFSET(Assumptions!$B$44,0,$C$1))*SIGN(OFFSET(Assumptions!$B$48,0,$C$1)-K$171/K$14)),K$171*(1+L$22)*(1+L$34))</f>
        <v>5.0836019126919538</v>
      </c>
      <c r="M171" s="7">
        <f ca="1">IF(AND(M$6&gt;=OFFSET(Assumptions!$B$43,0,$C$1),OR(OFFSET(Assumptions!$B$42,0,$C$1)="PartGDP",OFFSET(Assumptions!$B$42,0,$C$1)="AllGDP")),M$14*(L$171/L$14+MIN(ABS(OFFSET(Assumptions!$B$48,0,$C$1)-L$171/L$14),OFFSET(Assumptions!$B$44,0,$C$1))*SIGN(OFFSET(Assumptions!$B$48,0,$C$1)-L$171/L$14)),L$171*(1+M$22)*(1+M$34))</f>
        <v>5.3032463233351699</v>
      </c>
      <c r="N171" s="7">
        <f ca="1">IF(AND(N$6&gt;=OFFSET(Assumptions!$B$43,0,$C$1),OR(OFFSET(Assumptions!$B$42,0,$C$1)="PartGDP",OFFSET(Assumptions!$B$42,0,$C$1)="AllGDP")),N$14*(M$171/M$14+MIN(ABS(OFFSET(Assumptions!$B$48,0,$C$1)-M$171/M$14),OFFSET(Assumptions!$B$44,0,$C$1))*SIGN(OFFSET(Assumptions!$B$48,0,$C$1)-M$171/M$14)),M$171*(1+N$22)*(1+N$34))</f>
        <v>5.5319619546023038</v>
      </c>
      <c r="O171" s="7">
        <f ca="1">IF(AND(O$6&gt;=OFFSET(Assumptions!$B$43,0,$C$1),OR(OFFSET(Assumptions!$B$42,0,$C$1)="PartGDP",OFFSET(Assumptions!$B$42,0,$C$1)="AllGDP")),O$14*(N$171/N$14+MIN(ABS(OFFSET(Assumptions!$B$48,0,$C$1)-N$171/N$14),OFFSET(Assumptions!$B$44,0,$C$1))*SIGN(OFFSET(Assumptions!$B$48,0,$C$1)-N$171/N$14)),N$171*(1+O$22)*(1+O$34))</f>
        <v>5.7681033379862052</v>
      </c>
      <c r="P171" s="7">
        <f ca="1">IF(AND(P$6&gt;=OFFSET(Assumptions!$B$43,0,$C$1),OR(OFFSET(Assumptions!$B$42,0,$C$1)="PartGDP",OFFSET(Assumptions!$B$42,0,$C$1)="AllGDP")),P$14*(O$171/O$14+MIN(ABS(OFFSET(Assumptions!$B$48,0,$C$1)-O$171/O$14),OFFSET(Assumptions!$B$44,0,$C$1))*SIGN(OFFSET(Assumptions!$B$48,0,$C$1)-O$171/O$14)),O$171*(1+P$22)*(1+P$34))</f>
        <v>6.0120300902850143</v>
      </c>
      <c r="Q171" s="7">
        <f ca="1">IF(AND(Q$6&gt;=OFFSET(Assumptions!$B$43,0,$C$1),OR(OFFSET(Assumptions!$B$42,0,$C$1)="PartGDP",OFFSET(Assumptions!$B$42,0,$C$1)="AllGDP")),Q$14*(P$171/P$14+MIN(ABS(OFFSET(Assumptions!$B$48,0,$C$1)-P$171/P$14),OFFSET(Assumptions!$B$44,0,$C$1))*SIGN(OFFSET(Assumptions!$B$48,0,$C$1)-P$171/P$14)),P$171*(1+Q$22)*(1+Q$34))</f>
        <v>6.2634787258167224</v>
      </c>
      <c r="R171" s="7">
        <f ca="1">IF(AND(R$6&gt;=OFFSET(Assumptions!$B$43,0,$C$1),OR(OFFSET(Assumptions!$B$42,0,$C$1)="PartGDP",OFFSET(Assumptions!$B$42,0,$C$1)="AllGDP")),R$14*(Q$171/Q$14+MIN(ABS(OFFSET(Assumptions!$B$48,0,$C$1)-Q$171/Q$14),OFFSET(Assumptions!$B$44,0,$C$1))*SIGN(OFFSET(Assumptions!$B$48,0,$C$1)-Q$171/Q$14)),Q$171*(1+R$22)*(1+R$34))</f>
        <v>6.522262615002048</v>
      </c>
      <c r="S171" s="7">
        <f ca="1">IF(AND(S$6&gt;=OFFSET(Assumptions!$B$43,0,$C$1),OR(OFFSET(Assumptions!$B$42,0,$C$1)="PartGDP",OFFSET(Assumptions!$B$42,0,$C$1)="AllGDP")),S$14*(R$171/R$14+MIN(ABS(OFFSET(Assumptions!$B$48,0,$C$1)-R$171/R$14),OFFSET(Assumptions!$B$44,0,$C$1))*SIGN(OFFSET(Assumptions!$B$48,0,$C$1)-R$171/R$14)),R$171*(1+S$22)*(1+S$34))</f>
        <v>6.7892041624883568</v>
      </c>
      <c r="T171" s="7">
        <f ca="1">IF(AND(T$6&gt;=OFFSET(Assumptions!$B$43,0,$C$1),OR(OFFSET(Assumptions!$B$42,0,$C$1)="PartGDP",OFFSET(Assumptions!$B$42,0,$C$1)="AllGDP")),T$14*(S$171/S$14+MIN(ABS(OFFSET(Assumptions!$B$48,0,$C$1)-S$171/S$14),OFFSET(Assumptions!$B$44,0,$C$1))*SIGN(OFFSET(Assumptions!$B$48,0,$C$1)-S$171/S$14)),S$171*(1+T$22)*(1+T$34))</f>
        <v>7.0644007128202473</v>
      </c>
      <c r="U171" s="7">
        <f ca="1">IF(AND(U$6&gt;=OFFSET(Assumptions!$B$43,0,$C$1),OR(OFFSET(Assumptions!$B$42,0,$C$1)="PartGDP",OFFSET(Assumptions!$B$42,0,$C$1)="AllGDP")),U$14*(T$171/T$14+MIN(ABS(OFFSET(Assumptions!$B$48,0,$C$1)-T$171/T$14),OFFSET(Assumptions!$B$44,0,$C$1))*SIGN(OFFSET(Assumptions!$B$48,0,$C$1)-T$171/T$14)),T$171*(1+U$22)*(1+U$34))</f>
        <v>7.3488399391627715</v>
      </c>
      <c r="V171" s="7">
        <f ca="1">IF(AND(V$6&gt;=OFFSET(Assumptions!$B$43,0,$C$1),OR(OFFSET(Assumptions!$B$42,0,$C$1)="PartGDP",OFFSET(Assumptions!$B$42,0,$C$1)="AllGDP")),V$14*(U$171/U$14+MIN(ABS(OFFSET(Assumptions!$B$48,0,$C$1)-U$171/U$14),OFFSET(Assumptions!$B$44,0,$C$1))*SIGN(OFFSET(Assumptions!$B$48,0,$C$1)-U$171/U$14)),U$171*(1+V$22)*(1+V$34))</f>
        <v>7.6432239813708049</v>
      </c>
      <c r="W171" s="7">
        <f ca="1">IF(AND(W$6&gt;=OFFSET(Assumptions!$B$43,0,$C$1),OR(OFFSET(Assumptions!$B$42,0,$C$1)="PartGDP",OFFSET(Assumptions!$B$42,0,$C$1)="AllGDP")),W$14*(V$171/V$14+MIN(ABS(OFFSET(Assumptions!$B$48,0,$C$1)-V$171/V$14),OFFSET(Assumptions!$B$44,0,$C$1))*SIGN(OFFSET(Assumptions!$B$48,0,$C$1)-V$171/V$14)),V$171*(1+W$22)*(1+W$34))</f>
        <v>7.9484057442692784</v>
      </c>
      <c r="X171" s="7">
        <f ca="1">IF(AND(X$6&gt;=OFFSET(Assumptions!$B$43,0,$C$1),OR(OFFSET(Assumptions!$B$42,0,$C$1)="PartGDP",OFFSET(Assumptions!$B$42,0,$C$1)="AllGDP")),X$14*(W$171/W$14+MIN(ABS(OFFSET(Assumptions!$B$48,0,$C$1)-W$171/W$14),OFFSET(Assumptions!$B$44,0,$C$1))*SIGN(OFFSET(Assumptions!$B$48,0,$C$1)-W$171/W$14)),W$171*(1+X$22)*(1+X$34))</f>
        <v>8.2653518780699784</v>
      </c>
      <c r="Y171" s="7">
        <f ca="1">IF(AND(Y$6&gt;=OFFSET(Assumptions!$B$43,0,$C$1),OR(OFFSET(Assumptions!$B$42,0,$C$1)="PartGDP",OFFSET(Assumptions!$B$42,0,$C$1)="AllGDP")),Y$14*(X$171/X$14+MIN(ABS(OFFSET(Assumptions!$B$48,0,$C$1)-X$171/X$14),OFFSET(Assumptions!$B$44,0,$C$1))*SIGN(OFFSET(Assumptions!$B$48,0,$C$1)-X$171/X$14)),X$171*(1+Y$22)*(1+Y$34))</f>
        <v>8.5940299803836844</v>
      </c>
      <c r="Z171" s="7">
        <f ca="1">IF(AND(Z$6&gt;=OFFSET(Assumptions!$B$43,0,$C$1),OR(OFFSET(Assumptions!$B$42,0,$C$1)="PartGDP",OFFSET(Assumptions!$B$42,0,$C$1)="AllGDP")),Z$14*(Y$171/Y$14+MIN(ABS(OFFSET(Assumptions!$B$48,0,$C$1)-Y$171/Y$14),OFFSET(Assumptions!$B$44,0,$C$1))*SIGN(OFFSET(Assumptions!$B$48,0,$C$1)-Y$171/Y$14)),Y$171*(1+Z$22)*(1+Z$34))</f>
        <v>8.9361037022268448</v>
      </c>
      <c r="AA171" s="7">
        <f ca="1">IF(AND(AA$6&gt;=OFFSET(Assumptions!$B$43,0,$C$1),OR(OFFSET(Assumptions!$B$42,0,$C$1)="PartGDP",OFFSET(Assumptions!$B$42,0,$C$1)="AllGDP")),AA$14*(Z$171/Z$14+MIN(ABS(OFFSET(Assumptions!$B$48,0,$C$1)-Z$171/Z$14),OFFSET(Assumptions!$B$44,0,$C$1))*SIGN(OFFSET(Assumptions!$B$48,0,$C$1)-Z$171/Z$14)),Z$171*(1+AA$22)*(1+AA$34))</f>
        <v>9.2921265200610392</v>
      </c>
      <c r="AB171" s="7">
        <f ca="1">IF(AND(AB$6&gt;=OFFSET(Assumptions!$B$43,0,$C$1),OR(OFFSET(Assumptions!$B$42,0,$C$1)="PartGDP",OFFSET(Assumptions!$B$42,0,$C$1)="AllGDP")),AB$14*(AA$171/AA$14+MIN(ABS(OFFSET(Assumptions!$B$48,0,$C$1)-AA$171/AA$14),OFFSET(Assumptions!$B$44,0,$C$1))*SIGN(OFFSET(Assumptions!$B$48,0,$C$1)-AA$171/AA$14)),AA$171*(1+AB$22)*(1+AB$34))</f>
        <v>9.6631676032873806</v>
      </c>
      <c r="AC171" s="7">
        <f ca="1">IF(AND(AC$6&gt;=OFFSET(Assumptions!$B$43,0,$C$1),OR(OFFSET(Assumptions!$B$42,0,$C$1)="PartGDP",OFFSET(Assumptions!$B$42,0,$C$1)="AllGDP")),AC$14*(AB$171/AB$14+MIN(ABS(OFFSET(Assumptions!$B$48,0,$C$1)-AB$171/AB$14),OFFSET(Assumptions!$B$44,0,$C$1))*SIGN(OFFSET(Assumptions!$B$48,0,$C$1)-AB$171/AB$14)),AB$171*(1+AC$22)*(1+AC$34))</f>
        <v>10.050627682346208</v>
      </c>
      <c r="AD171" s="7">
        <f ca="1">IF(AND(AD$6&gt;=OFFSET(Assumptions!$B$43,0,$C$1),OR(OFFSET(Assumptions!$B$42,0,$C$1)="PartGDP",OFFSET(Assumptions!$B$42,0,$C$1)="AllGDP")),AD$14*(AC$171/AC$14+MIN(ABS(OFFSET(Assumptions!$B$48,0,$C$1)-AC$171/AC$14),OFFSET(Assumptions!$B$44,0,$C$1))*SIGN(OFFSET(Assumptions!$B$48,0,$C$1)-AC$171/AC$14)),AC$171*(1+AD$22)*(1+AD$34))</f>
        <v>10.454915144940445</v>
      </c>
      <c r="AE171" s="7">
        <f ca="1">IF(AND(AE$6&gt;=OFFSET(Assumptions!$B$43,0,$C$1),OR(OFFSET(Assumptions!$B$42,0,$C$1)="PartGDP",OFFSET(Assumptions!$B$42,0,$C$1)="AllGDP")),AE$14*(AD$171/AD$14+MIN(ABS(OFFSET(Assumptions!$B$48,0,$C$1)-AD$171/AD$14),OFFSET(Assumptions!$B$44,0,$C$1))*SIGN(OFFSET(Assumptions!$B$48,0,$C$1)-AD$171/AD$14)),AD$171*(1+AE$22)*(1+AE$34))</f>
        <v>10.87565870692171</v>
      </c>
      <c r="AF171" s="7">
        <f ca="1">IF(AND(AF$6&gt;=OFFSET(Assumptions!$B$43,0,$C$1),OR(OFFSET(Assumptions!$B$42,0,$C$1)="PartGDP",OFFSET(Assumptions!$B$42,0,$C$1)="AllGDP")),AF$14*(AE$171/AE$14+MIN(ABS(OFFSET(Assumptions!$B$48,0,$C$1)-AE$171/AE$14),OFFSET(Assumptions!$B$44,0,$C$1))*SIGN(OFFSET(Assumptions!$B$48,0,$C$1)-AE$171/AE$14)),AE$171*(1+AF$22)*(1+AF$34))</f>
        <v>11.314022397259865</v>
      </c>
      <c r="AG171" s="7">
        <f ca="1">IF(AND(AG$6&gt;=OFFSET(Assumptions!$B$43,0,$C$1),OR(OFFSET(Assumptions!$B$42,0,$C$1)="PartGDP",OFFSET(Assumptions!$B$42,0,$C$1)="AllGDP")),AG$14*(AF$171/AF$14+MIN(ABS(OFFSET(Assumptions!$B$48,0,$C$1)-AF$171/AF$14),OFFSET(Assumptions!$B$44,0,$C$1))*SIGN(OFFSET(Assumptions!$B$48,0,$C$1)-AF$171/AF$14)),AF$171*(1+AG$22)*(1+AG$34))</f>
        <v>11.770251330600194</v>
      </c>
      <c r="AH171" s="7">
        <f ca="1">IF(AND(AH$6&gt;=OFFSET(Assumptions!$B$43,0,$C$1),OR(OFFSET(Assumptions!$B$42,0,$C$1)="PartGDP",OFFSET(Assumptions!$B$42,0,$C$1)="AllGDP")),AH$14*(AG$171/AG$14+MIN(ABS(OFFSET(Assumptions!$B$48,0,$C$1)-AG$171/AG$14),OFFSET(Assumptions!$B$44,0,$C$1))*SIGN(OFFSET(Assumptions!$B$48,0,$C$1)-AG$171/AG$14)),AG$171*(1+AH$22)*(1+AH$34))</f>
        <v>12.245077101693344</v>
      </c>
      <c r="AI171" s="7">
        <f ca="1">IF(AND(AI$6&gt;=OFFSET(Assumptions!$B$43,0,$C$1),OR(OFFSET(Assumptions!$B$42,0,$C$1)="PartGDP",OFFSET(Assumptions!$B$42,0,$C$1)="AllGDP")),AI$14*(AH$171/AH$14+MIN(ABS(OFFSET(Assumptions!$B$48,0,$C$1)-AH$171/AH$14),OFFSET(Assumptions!$B$44,0,$C$1))*SIGN(OFFSET(Assumptions!$B$48,0,$C$1)-AH$171/AH$14)),AH$171*(1+AI$22)*(1+AI$34))</f>
        <v>12.73767003273394</v>
      </c>
      <c r="AJ171" s="7">
        <f ca="1">IF(AND(AJ$6&gt;=OFFSET(Assumptions!$B$43,0,$C$1),OR(OFFSET(Assumptions!$B$42,0,$C$1)="PartGDP",OFFSET(Assumptions!$B$42,0,$C$1)="AllGDP")),AJ$14*(AI$171/AI$14+MIN(ABS(OFFSET(Assumptions!$B$48,0,$C$1)-AI$171/AI$14),OFFSET(Assumptions!$B$44,0,$C$1))*SIGN(OFFSET(Assumptions!$B$48,0,$C$1)-AI$171/AI$14)),AI$171*(1+AJ$22)*(1+AJ$34))</f>
        <v>13.249608144306402</v>
      </c>
      <c r="AK171" s="7">
        <f ca="1">IF(AND(AK$6&gt;=OFFSET(Assumptions!$B$43,0,$C$1),OR(OFFSET(Assumptions!$B$42,0,$C$1)="PartGDP",OFFSET(Assumptions!$B$42,0,$C$1)="AllGDP")),AK$14*(AJ$171/AJ$14+MIN(ABS(OFFSET(Assumptions!$B$48,0,$C$1)-AJ$171/AJ$14),OFFSET(Assumptions!$B$44,0,$C$1))*SIGN(OFFSET(Assumptions!$B$48,0,$C$1)-AJ$171/AJ$14)),AJ$171*(1+AK$22)*(1+AK$34))</f>
        <v>13.780470300350625</v>
      </c>
      <c r="AL171" s="7">
        <f ca="1">IF(AND(AL$6&gt;=OFFSET(Assumptions!$B$43,0,$C$1),OR(OFFSET(Assumptions!$B$42,0,$C$1)="PartGDP",OFFSET(Assumptions!$B$42,0,$C$1)="AllGDP")),AL$14*(AK$171/AK$14+MIN(ABS(OFFSET(Assumptions!$B$48,0,$C$1)-AK$171/AK$14),OFFSET(Assumptions!$B$44,0,$C$1))*SIGN(OFFSET(Assumptions!$B$48,0,$C$1)-AK$171/AK$14)),AK$171*(1+AL$22)*(1+AL$34))</f>
        <v>14.329838326100779</v>
      </c>
      <c r="AM171" s="7">
        <f ca="1">IF(AND(AM$6&gt;=OFFSET(Assumptions!$B$43,0,$C$1),OR(OFFSET(Assumptions!$B$42,0,$C$1)="PartGDP",OFFSET(Assumptions!$B$42,0,$C$1)="AllGDP")),AM$14*(AL$171/AL$14+MIN(ABS(OFFSET(Assumptions!$B$48,0,$C$1)-AL$171/AL$14),OFFSET(Assumptions!$B$44,0,$C$1))*SIGN(OFFSET(Assumptions!$B$48,0,$C$1)-AL$171/AL$14)),AL$171*(1+AM$22)*(1+AM$34))</f>
        <v>14.898462729818895</v>
      </c>
      <c r="AN171" s="7">
        <f ca="1">IF(AND(AN$6&gt;=OFFSET(Assumptions!$B$43,0,$C$1),OR(OFFSET(Assumptions!$B$42,0,$C$1)="PartGDP",OFFSET(Assumptions!$B$42,0,$C$1)="AllGDP")),AN$14*(AM$171/AM$14+MIN(ABS(OFFSET(Assumptions!$B$48,0,$C$1)-AM$171/AM$14),OFFSET(Assumptions!$B$44,0,$C$1))*SIGN(OFFSET(Assumptions!$B$48,0,$C$1)-AM$171/AM$14)),AM$171*(1+AN$22)*(1+AN$34))</f>
        <v>15.487134462543938</v>
      </c>
      <c r="AO171" s="7">
        <f ca="1">IF(AND(AO$6&gt;=OFFSET(Assumptions!$B$43,0,$C$1),OR(OFFSET(Assumptions!$B$42,0,$C$1)="PartGDP",OFFSET(Assumptions!$B$42,0,$C$1)="AllGDP")),AO$14*(AN$171/AN$14+MIN(ABS(OFFSET(Assumptions!$B$48,0,$C$1)-AN$171/AN$14),OFFSET(Assumptions!$B$44,0,$C$1))*SIGN(OFFSET(Assumptions!$B$48,0,$C$1)-AN$171/AN$14)),AN$171*(1+AO$22)*(1+AO$34))</f>
        <v>16.093542013953616</v>
      </c>
      <c r="AP171" s="7">
        <f ca="1">IF(AND(AP$6&gt;=OFFSET(Assumptions!$B$43,0,$C$1),OR(OFFSET(Assumptions!$B$42,0,$C$1)="PartGDP",OFFSET(Assumptions!$B$42,0,$C$1)="AllGDP")),AP$14*(AO$171/AO$14+MIN(ABS(OFFSET(Assumptions!$B$48,0,$C$1)-AO$171/AO$14),OFFSET(Assumptions!$B$44,0,$C$1))*SIGN(OFFSET(Assumptions!$B$48,0,$C$1)-AO$171/AO$14)),AO$171*(1+AP$22)*(1+AP$34))</f>
        <v>16.720260490754725</v>
      </c>
      <c r="AQ171" s="7">
        <f ca="1">IF(AND(AQ$6&gt;=OFFSET(Assumptions!$B$43,0,$C$1),OR(OFFSET(Assumptions!$B$42,0,$C$1)="PartGDP",OFFSET(Assumptions!$B$42,0,$C$1)="AllGDP")),AQ$14*(AP$171/AP$14+MIN(ABS(OFFSET(Assumptions!$B$48,0,$C$1)-AP$171/AP$14),OFFSET(Assumptions!$B$44,0,$C$1))*SIGN(OFFSET(Assumptions!$B$48,0,$C$1)-AP$171/AP$14)),AP$171*(1+AQ$22)*(1+AQ$34))</f>
        <v>17.365533829753019</v>
      </c>
      <c r="AR171" s="7">
        <f ca="1">IF(AND(AR$6&gt;=OFFSET(Assumptions!$B$43,0,$C$1),OR(OFFSET(Assumptions!$B$42,0,$C$1)="PartGDP",OFFSET(Assumptions!$B$42,0,$C$1)="AllGDP")),AR$14*(AQ$171/AQ$14+MIN(ABS(OFFSET(Assumptions!$B$48,0,$C$1)-AQ$171/AQ$14),OFFSET(Assumptions!$B$44,0,$C$1))*SIGN(OFFSET(Assumptions!$B$48,0,$C$1)-AQ$171/AQ$14)),AQ$171*(1+AR$22)*(1+AR$34))</f>
        <v>18.03009259580563</v>
      </c>
      <c r="AS171" s="7">
        <f ca="1">IF(AND(AS$6&gt;=OFFSET(Assumptions!$B$43,0,$C$1),OR(OFFSET(Assumptions!$B$42,0,$C$1)="PartGDP",OFFSET(Assumptions!$B$42,0,$C$1)="AllGDP")),AS$14*(AR$171/AR$14+MIN(ABS(OFFSET(Assumptions!$B$48,0,$C$1)-AR$171/AR$14),OFFSET(Assumptions!$B$44,0,$C$1))*SIGN(OFFSET(Assumptions!$B$48,0,$C$1)-AR$171/AR$14)),AR$171*(1+AS$22)*(1+AS$34))</f>
        <v>18.715487185345303</v>
      </c>
      <c r="AT171" s="7">
        <f ca="1">IF(AND(AT$6&gt;=OFFSET(Assumptions!$B$43,0,$C$1),OR(OFFSET(Assumptions!$B$42,0,$C$1)="PartGDP",OFFSET(Assumptions!$B$42,0,$C$1)="AllGDP")),AT$14*(AS$171/AS$14+MIN(ABS(OFFSET(Assumptions!$B$48,0,$C$1)-AS$171/AS$14),OFFSET(Assumptions!$B$44,0,$C$1))*SIGN(OFFSET(Assumptions!$B$48,0,$C$1)-AS$171/AS$14)),AS$171*(1+AT$22)*(1+AT$34))</f>
        <v>19.422265000591494</v>
      </c>
      <c r="AU171" s="7">
        <f ca="1">IF(AND(AU$6&gt;=OFFSET(Assumptions!$B$43,0,$C$1),OR(OFFSET(Assumptions!$B$42,0,$C$1)="PartGDP",OFFSET(Assumptions!$B$42,0,$C$1)="AllGDP")),AU$14*(AT$171/AT$14+MIN(ABS(OFFSET(Assumptions!$B$48,0,$C$1)-AT$171/AT$14),OFFSET(Assumptions!$B$44,0,$C$1))*SIGN(OFFSET(Assumptions!$B$48,0,$C$1)-AT$171/AT$14)),AT$171*(1+AU$22)*(1+AU$34))</f>
        <v>20.151365898254152</v>
      </c>
      <c r="AV171" s="7">
        <f ca="1">IF(AND(AV$6&gt;=OFFSET(Assumptions!$B$43,0,$C$1),OR(OFFSET(Assumptions!$B$42,0,$C$1)="PartGDP",OFFSET(Assumptions!$B$42,0,$C$1)="AllGDP")),AV$14*(AU$171/AU$14+MIN(ABS(OFFSET(Assumptions!$B$48,0,$C$1)-AU$171/AU$14),OFFSET(Assumptions!$B$44,0,$C$1))*SIGN(OFFSET(Assumptions!$B$48,0,$C$1)-AU$171/AU$14)),AU$171*(1+AV$22)*(1+AV$34))</f>
        <v>20.905044183987687</v>
      </c>
      <c r="AW171" s="7">
        <f ca="1">IF(AND(AW$6&gt;=OFFSET(Assumptions!$B$43,0,$C$1),OR(OFFSET(Assumptions!$B$42,0,$C$1)="PartGDP",OFFSET(Assumptions!$B$42,0,$C$1)="AllGDP")),AW$14*(AV$171/AV$14+MIN(ABS(OFFSET(Assumptions!$B$48,0,$C$1)-AV$171/AV$14),OFFSET(Assumptions!$B$44,0,$C$1))*SIGN(OFFSET(Assumptions!$B$48,0,$C$1)-AV$171/AV$14)),AV$171*(1+AW$22)*(1+AW$34))</f>
        <v>21.682874364059668</v>
      </c>
    </row>
    <row r="172" spans="1:49" ht="15" x14ac:dyDescent="0.25">
      <c r="A172" s="2" t="s">
        <v>518</v>
      </c>
      <c r="B172" s="4"/>
      <c r="D172" s="40">
        <f t="shared" ref="D172:I172" si="146">SUM(D$166:D$171)</f>
        <v>21.842999999999996</v>
      </c>
      <c r="E172" s="39">
        <f t="shared" si="146"/>
        <v>22.693999999999999</v>
      </c>
      <c r="F172" s="39">
        <f t="shared" si="146"/>
        <v>23.555</v>
      </c>
      <c r="G172" s="39">
        <f t="shared" si="146"/>
        <v>24.135000000000002</v>
      </c>
      <c r="H172" s="39">
        <f t="shared" si="146"/>
        <v>24.887</v>
      </c>
      <c r="I172" s="39">
        <f t="shared" si="146"/>
        <v>25.816000000000003</v>
      </c>
      <c r="J172" s="43">
        <f t="shared" ref="J172:AW172" ca="1" si="147">SUM(J$166:J$171)</f>
        <v>27.563148061887301</v>
      </c>
      <c r="K172" s="43">
        <f t="shared" ca="1" si="147"/>
        <v>29.565077559816579</v>
      </c>
      <c r="L172" s="43">
        <f t="shared" ca="1" si="147"/>
        <v>31.680966094668946</v>
      </c>
      <c r="M172" s="43">
        <f t="shared" ca="1" si="147"/>
        <v>33.891285376190311</v>
      </c>
      <c r="N172" s="43">
        <f t="shared" ca="1" si="147"/>
        <v>36.227773996198422</v>
      </c>
      <c r="O172" s="43">
        <f t="shared" ca="1" si="147"/>
        <v>38.62217522321189</v>
      </c>
      <c r="P172" s="43">
        <f t="shared" ca="1" si="147"/>
        <v>41.060627411191582</v>
      </c>
      <c r="Q172" s="43">
        <f t="shared" ca="1" si="147"/>
        <v>43.593196526169422</v>
      </c>
      <c r="R172" s="43">
        <f t="shared" ca="1" si="147"/>
        <v>46.20550596112556</v>
      </c>
      <c r="S172" s="43">
        <f t="shared" ca="1" si="147"/>
        <v>48.863850120780043</v>
      </c>
      <c r="T172" s="43">
        <f t="shared" ca="1" si="147"/>
        <v>51.607245502153347</v>
      </c>
      <c r="U172" s="43">
        <f t="shared" ca="1" si="147"/>
        <v>54.466731531344323</v>
      </c>
      <c r="V172" s="43">
        <f t="shared" ca="1" si="147"/>
        <v>57.455747581479059</v>
      </c>
      <c r="W172" s="43">
        <f t="shared" ca="1" si="147"/>
        <v>60.392266209048501</v>
      </c>
      <c r="X172" s="43">
        <f t="shared" ca="1" si="147"/>
        <v>63.34946327510621</v>
      </c>
      <c r="Y172" s="43">
        <f t="shared" ca="1" si="147"/>
        <v>66.459779895142191</v>
      </c>
      <c r="Z172" s="43">
        <f t="shared" ca="1" si="147"/>
        <v>69.64980819100262</v>
      </c>
      <c r="AA172" s="43">
        <f t="shared" ca="1" si="147"/>
        <v>72.88680937632742</v>
      </c>
      <c r="AB172" s="43">
        <f t="shared" ca="1" si="147"/>
        <v>76.161251175675602</v>
      </c>
      <c r="AC172" s="43">
        <f t="shared" ca="1" si="147"/>
        <v>79.467121731134895</v>
      </c>
      <c r="AD172" s="43">
        <f t="shared" ca="1" si="147"/>
        <v>82.79685602550812</v>
      </c>
      <c r="AE172" s="43">
        <f t="shared" ca="1" si="147"/>
        <v>86.235467350589758</v>
      </c>
      <c r="AF172" s="43">
        <f t="shared" ca="1" si="147"/>
        <v>89.745771704384424</v>
      </c>
      <c r="AG172" s="43">
        <f t="shared" ca="1" si="147"/>
        <v>93.425581724626412</v>
      </c>
      <c r="AH172" s="43">
        <f t="shared" ca="1" si="147"/>
        <v>97.237950426316402</v>
      </c>
      <c r="AI172" s="43">
        <f t="shared" ca="1" si="147"/>
        <v>101.20054287690157</v>
      </c>
      <c r="AJ172" s="43">
        <f t="shared" ca="1" si="147"/>
        <v>105.32816123253843</v>
      </c>
      <c r="AK172" s="43">
        <f t="shared" ca="1" si="147"/>
        <v>109.66695028463459</v>
      </c>
      <c r="AL172" s="43">
        <f t="shared" ca="1" si="147"/>
        <v>114.16760828243123</v>
      </c>
      <c r="AM172" s="43">
        <f t="shared" ca="1" si="147"/>
        <v>118.85384390462539</v>
      </c>
      <c r="AN172" s="43">
        <f t="shared" ca="1" si="147"/>
        <v>123.7734793942512</v>
      </c>
      <c r="AO172" s="43">
        <f t="shared" ca="1" si="147"/>
        <v>128.94999688294286</v>
      </c>
      <c r="AP172" s="43">
        <f t="shared" ca="1" si="147"/>
        <v>134.4754901063244</v>
      </c>
      <c r="AQ172" s="43">
        <f t="shared" ca="1" si="147"/>
        <v>140.32896803039029</v>
      </c>
      <c r="AR172" s="43">
        <f t="shared" ca="1" si="147"/>
        <v>146.5842357482245</v>
      </c>
      <c r="AS172" s="43">
        <f t="shared" ca="1" si="147"/>
        <v>153.23980707639672</v>
      </c>
      <c r="AT172" s="43">
        <f t="shared" ca="1" si="147"/>
        <v>160.08875798767349</v>
      </c>
      <c r="AU172" s="43">
        <f t="shared" ca="1" si="147"/>
        <v>167.21287648780839</v>
      </c>
      <c r="AV172" s="43">
        <f t="shared" ca="1" si="147"/>
        <v>174.57560005838789</v>
      </c>
      <c r="AW172" s="43">
        <f t="shared" ca="1" si="147"/>
        <v>182.25419677431825</v>
      </c>
    </row>
    <row r="173" spans="1:49" x14ac:dyDescent="0.2">
      <c r="A173" s="1" t="s">
        <v>318</v>
      </c>
      <c r="B173" s="4" t="str">
        <f t="shared" si="145"/>
        <v>From Fiscal</v>
      </c>
      <c r="D173" s="18">
        <f>Fiscal!D$230</f>
        <v>0.51100000000000001</v>
      </c>
      <c r="E173" s="19">
        <f>Fiscal!E$230</f>
        <v>0.496</v>
      </c>
      <c r="F173" s="19">
        <f>Fiscal!F$230</f>
        <v>0.51</v>
      </c>
      <c r="G173" s="19">
        <f>Fiscal!G$230</f>
        <v>0.54</v>
      </c>
      <c r="H173" s="19">
        <f>Fiscal!H$230</f>
        <v>0.54200000000000004</v>
      </c>
      <c r="I173" s="19">
        <f>Fiscal!I$230</f>
        <v>0.54700000000000004</v>
      </c>
      <c r="J173" s="7">
        <f ca="1">IF(AND(J$6&gt;=OFFSET(Assumptions!$B$43,0,$C$1),OFFSET(Assumptions!$B$42,0,$C$1)="AllGDP"),J$14*(I$173/I$14+MIN(ABS(OFFSET(Assumptions!$B$46,0,$C$1)-I$173/I$14),OFFSET(Assumptions!$B$44,0,$C$1))*SIGN(OFFSET(Assumptions!$B$46,0,$C$1)-I$173/I$14)),I$173*(1+J$22)*(1+J$34))</f>
        <v>0.62359402369910744</v>
      </c>
      <c r="K173" s="7">
        <f ca="1">IF(AND(K$6&gt;=OFFSET(Assumptions!$B$43,0,$C$1),OFFSET(Assumptions!$B$42,0,$C$1)="AllGDP"),K$14*(J$173/J$14+MIN(ABS(OFFSET(Assumptions!$B$46,0,$C$1)-J$173/J$14),OFFSET(Assumptions!$B$44,0,$C$1))*SIGN(OFFSET(Assumptions!$B$46,0,$C$1)-J$173/J$14)),J$173*(1+K$22)*(1+K$34))</f>
        <v>0.64965414101038543</v>
      </c>
      <c r="L173" s="7">
        <f ca="1">IF(AND(L$6&gt;=OFFSET(Assumptions!$B$43,0,$C$1),OFFSET(Assumptions!$B$42,0,$C$1)="AllGDP"),L$14*(K$173/K$14+MIN(ABS(OFFSET(Assumptions!$B$46,0,$C$1)-K$173/K$14),OFFSET(Assumptions!$B$44,0,$C$1))*SIGN(OFFSET(Assumptions!$B$46,0,$C$1)-K$173/K$14)),K$173*(1+L$22)*(1+L$34))</f>
        <v>0.67781358835892724</v>
      </c>
      <c r="M173" s="7">
        <f ca="1">IF(AND(M$6&gt;=OFFSET(Assumptions!$B$43,0,$C$1),OFFSET(Assumptions!$B$42,0,$C$1)="AllGDP"),M$14*(L$173/L$14+MIN(ABS(OFFSET(Assumptions!$B$46,0,$C$1)-L$173/L$14),OFFSET(Assumptions!$B$44,0,$C$1))*SIGN(OFFSET(Assumptions!$B$46,0,$C$1)-L$173/L$14)),L$173*(1+M$22)*(1+M$34))</f>
        <v>0.70709950977802272</v>
      </c>
      <c r="N173" s="7">
        <f ca="1">IF(AND(N$6&gt;=OFFSET(Assumptions!$B$43,0,$C$1),OFFSET(Assumptions!$B$42,0,$C$1)="AllGDP"),N$14*(M$173/M$14+MIN(ABS(OFFSET(Assumptions!$B$46,0,$C$1)-M$173/M$14),OFFSET(Assumptions!$B$44,0,$C$1))*SIGN(OFFSET(Assumptions!$B$46,0,$C$1)-M$173/M$14)),M$173*(1+N$22)*(1+N$34))</f>
        <v>0.73759492728030718</v>
      </c>
      <c r="O173" s="7">
        <f ca="1">IF(AND(O$6&gt;=OFFSET(Assumptions!$B$43,0,$C$1),OFFSET(Assumptions!$B$42,0,$C$1)="AllGDP"),O$14*(N$173/N$14+MIN(ABS(OFFSET(Assumptions!$B$46,0,$C$1)-N$173/N$14),OFFSET(Assumptions!$B$44,0,$C$1))*SIGN(OFFSET(Assumptions!$B$46,0,$C$1)-N$173/N$14)),N$173*(1+O$22)*(1+O$34))</f>
        <v>0.76908044506482742</v>
      </c>
      <c r="P173" s="7">
        <f ca="1">IF(AND(P$6&gt;=OFFSET(Assumptions!$B$43,0,$C$1),OFFSET(Assumptions!$B$42,0,$C$1)="AllGDP"),P$14*(O$173/O$14+MIN(ABS(OFFSET(Assumptions!$B$46,0,$C$1)-O$173/O$14),OFFSET(Assumptions!$B$44,0,$C$1))*SIGN(OFFSET(Assumptions!$B$46,0,$C$1)-O$173/O$14)),O$173*(1+P$22)*(1+P$34))</f>
        <v>0.80160401203800202</v>
      </c>
      <c r="Q173" s="7">
        <f ca="1">IF(AND(Q$6&gt;=OFFSET(Assumptions!$B$43,0,$C$1),OFFSET(Assumptions!$B$42,0,$C$1)="AllGDP"),Q$14*(P$173/P$14+MIN(ABS(OFFSET(Assumptions!$B$46,0,$C$1)-P$173/P$14),OFFSET(Assumptions!$B$44,0,$C$1))*SIGN(OFFSET(Assumptions!$B$46,0,$C$1)-P$173/P$14)),P$173*(1+Q$22)*(1+Q$34))</f>
        <v>0.83513049677556295</v>
      </c>
      <c r="R173" s="7">
        <f ca="1">IF(AND(R$6&gt;=OFFSET(Assumptions!$B$43,0,$C$1),OFFSET(Assumptions!$B$42,0,$C$1)="AllGDP"),R$14*(Q$173/Q$14+MIN(ABS(OFFSET(Assumptions!$B$46,0,$C$1)-Q$173/Q$14),OFFSET(Assumptions!$B$44,0,$C$1))*SIGN(OFFSET(Assumptions!$B$46,0,$C$1)-Q$173/Q$14)),Q$173*(1+R$22)*(1+R$34))</f>
        <v>0.86963501533360654</v>
      </c>
      <c r="S173" s="7">
        <f ca="1">IF(AND(S$6&gt;=OFFSET(Assumptions!$B$43,0,$C$1),OFFSET(Assumptions!$B$42,0,$C$1)="AllGDP"),S$14*(R$173/R$14+MIN(ABS(OFFSET(Assumptions!$B$46,0,$C$1)-R$173/R$14),OFFSET(Assumptions!$B$44,0,$C$1))*SIGN(OFFSET(Assumptions!$B$46,0,$C$1)-R$173/R$14)),R$173*(1+S$22)*(1+S$34))</f>
        <v>0.90522722166511427</v>
      </c>
      <c r="T173" s="7">
        <f ca="1">IF(AND(T$6&gt;=OFFSET(Assumptions!$B$43,0,$C$1),OFFSET(Assumptions!$B$42,0,$C$1)="AllGDP"),T$14*(S$173/S$14+MIN(ABS(OFFSET(Assumptions!$B$46,0,$C$1)-S$173/S$14),OFFSET(Assumptions!$B$44,0,$C$1))*SIGN(OFFSET(Assumptions!$B$46,0,$C$1)-S$173/S$14)),S$173*(1+T$22)*(1+T$34))</f>
        <v>0.94192009504269969</v>
      </c>
      <c r="U173" s="7">
        <f ca="1">IF(AND(U$6&gt;=OFFSET(Assumptions!$B$43,0,$C$1),OFFSET(Assumptions!$B$42,0,$C$1)="AllGDP"),U$14*(T$173/T$14+MIN(ABS(OFFSET(Assumptions!$B$46,0,$C$1)-T$173/T$14),OFFSET(Assumptions!$B$44,0,$C$1))*SIGN(OFFSET(Assumptions!$B$46,0,$C$1)-T$173/T$14)),T$173*(1+U$22)*(1+U$34))</f>
        <v>0.97984532522170287</v>
      </c>
      <c r="V173" s="7">
        <f ca="1">IF(AND(V$6&gt;=OFFSET(Assumptions!$B$43,0,$C$1),OFFSET(Assumptions!$B$42,0,$C$1)="AllGDP"),V$14*(U$173/U$14+MIN(ABS(OFFSET(Assumptions!$B$46,0,$C$1)-U$173/U$14),OFFSET(Assumptions!$B$44,0,$C$1))*SIGN(OFFSET(Assumptions!$B$46,0,$C$1)-U$173/U$14)),U$173*(1+V$22)*(1+V$34))</f>
        <v>1.0190965308494406</v>
      </c>
      <c r="W173" s="7">
        <f ca="1">IF(AND(W$6&gt;=OFFSET(Assumptions!$B$43,0,$C$1),OFFSET(Assumptions!$B$42,0,$C$1)="AllGDP"),W$14*(V$173/V$14+MIN(ABS(OFFSET(Assumptions!$B$46,0,$C$1)-V$173/V$14),OFFSET(Assumptions!$B$44,0,$C$1))*SIGN(OFFSET(Assumptions!$B$46,0,$C$1)-V$173/V$14)),V$173*(1+W$22)*(1+W$34))</f>
        <v>1.0597874325692371</v>
      </c>
      <c r="X173" s="7">
        <f ca="1">IF(AND(X$6&gt;=OFFSET(Assumptions!$B$43,0,$C$1),OFFSET(Assumptions!$B$42,0,$C$1)="AllGDP"),X$14*(W$173/W$14+MIN(ABS(OFFSET(Assumptions!$B$46,0,$C$1)-W$173/W$14),OFFSET(Assumptions!$B$44,0,$C$1))*SIGN(OFFSET(Assumptions!$B$46,0,$C$1)-W$173/W$14)),W$173*(1+X$22)*(1+X$34))</f>
        <v>1.102046917075997</v>
      </c>
      <c r="Y173" s="7">
        <f ca="1">IF(AND(Y$6&gt;=OFFSET(Assumptions!$B$43,0,$C$1),OFFSET(Assumptions!$B$42,0,$C$1)="AllGDP"),Y$14*(X$173/X$14+MIN(ABS(OFFSET(Assumptions!$B$46,0,$C$1)-X$173/X$14),OFFSET(Assumptions!$B$44,0,$C$1))*SIGN(OFFSET(Assumptions!$B$46,0,$C$1)-X$173/X$14)),X$173*(1+Y$22)*(1+Y$34))</f>
        <v>1.145870664051158</v>
      </c>
      <c r="Z173" s="7">
        <f ca="1">IF(AND(Z$6&gt;=OFFSET(Assumptions!$B$43,0,$C$1),OFFSET(Assumptions!$B$42,0,$C$1)="AllGDP"),Z$14*(Y$173/Y$14+MIN(ABS(OFFSET(Assumptions!$B$46,0,$C$1)-Y$173/Y$14),OFFSET(Assumptions!$B$44,0,$C$1))*SIGN(OFFSET(Assumptions!$B$46,0,$C$1)-Y$173/Y$14)),Y$173*(1+Z$22)*(1+Z$34))</f>
        <v>1.1914804936302461</v>
      </c>
      <c r="AA173" s="7">
        <f ca="1">IF(AND(AA$6&gt;=OFFSET(Assumptions!$B$43,0,$C$1),OFFSET(Assumptions!$B$42,0,$C$1)="AllGDP"),AA$14*(Z$173/Z$14+MIN(ABS(OFFSET(Assumptions!$B$46,0,$C$1)-Z$173/Z$14),OFFSET(Assumptions!$B$44,0,$C$1))*SIGN(OFFSET(Assumptions!$B$46,0,$C$1)-Z$173/Z$14)),Z$173*(1+AA$22)*(1+AA$34))</f>
        <v>1.2389502026748054</v>
      </c>
      <c r="AB173" s="7">
        <f ca="1">IF(AND(AB$6&gt;=OFFSET(Assumptions!$B$43,0,$C$1),OFFSET(Assumptions!$B$42,0,$C$1)="AllGDP"),AB$14*(AA$173/AA$14+MIN(ABS(OFFSET(Assumptions!$B$46,0,$C$1)-AA$173/AA$14),OFFSET(Assumptions!$B$44,0,$C$1))*SIGN(OFFSET(Assumptions!$B$46,0,$C$1)-AA$173/AA$14)),AA$173*(1+AB$22)*(1+AB$34))</f>
        <v>1.288422347104984</v>
      </c>
      <c r="AC173" s="7">
        <f ca="1">IF(AND(AC$6&gt;=OFFSET(Assumptions!$B$43,0,$C$1),OFFSET(Assumptions!$B$42,0,$C$1)="AllGDP"),AC$14*(AB$173/AB$14+MIN(ABS(OFFSET(Assumptions!$B$46,0,$C$1)-AB$173/AB$14),OFFSET(Assumptions!$B$44,0,$C$1))*SIGN(OFFSET(Assumptions!$B$46,0,$C$1)-AB$173/AB$14)),AB$173*(1+AC$22)*(1+AC$34))</f>
        <v>1.3400836909794946</v>
      </c>
      <c r="AD173" s="7">
        <f ca="1">IF(AND(AD$6&gt;=OFFSET(Assumptions!$B$43,0,$C$1),OFFSET(Assumptions!$B$42,0,$C$1)="AllGDP"),AD$14*(AC$173/AC$14+MIN(ABS(OFFSET(Assumptions!$B$46,0,$C$1)-AC$173/AC$14),OFFSET(Assumptions!$B$44,0,$C$1))*SIGN(OFFSET(Assumptions!$B$46,0,$C$1)-AC$173/AC$14)),AC$173*(1+AD$22)*(1+AD$34))</f>
        <v>1.3939886859920594</v>
      </c>
      <c r="AE173" s="7">
        <f ca="1">IF(AND(AE$6&gt;=OFFSET(Assumptions!$B$43,0,$C$1),OFFSET(Assumptions!$B$42,0,$C$1)="AllGDP"),AE$14*(AD$173/AD$14+MIN(ABS(OFFSET(Assumptions!$B$46,0,$C$1)-AD$173/AD$14),OFFSET(Assumptions!$B$44,0,$C$1))*SIGN(OFFSET(Assumptions!$B$46,0,$C$1)-AD$173/AD$14)),AD$173*(1+AE$22)*(1+AE$34))</f>
        <v>1.4500878275895615</v>
      </c>
      <c r="AF173" s="7">
        <f ca="1">IF(AND(AF$6&gt;=OFFSET(Assumptions!$B$43,0,$C$1),OFFSET(Assumptions!$B$42,0,$C$1)="AllGDP"),AF$14*(AE$173/AE$14+MIN(ABS(OFFSET(Assumptions!$B$46,0,$C$1)-AE$173/AE$14),OFFSET(Assumptions!$B$44,0,$C$1))*SIGN(OFFSET(Assumptions!$B$46,0,$C$1)-AE$173/AE$14)),AE$173*(1+AF$22)*(1+AF$34))</f>
        <v>1.5085363196346488</v>
      </c>
      <c r="AG173" s="7">
        <f ca="1">IF(AND(AG$6&gt;=OFFSET(Assumptions!$B$43,0,$C$1),OFFSET(Assumptions!$B$42,0,$C$1)="AllGDP"),AG$14*(AF$173/AF$14+MIN(ABS(OFFSET(Assumptions!$B$46,0,$C$1)-AF$173/AF$14),OFFSET(Assumptions!$B$44,0,$C$1))*SIGN(OFFSET(Assumptions!$B$46,0,$C$1)-AF$173/AF$14)),AF$173*(1+AG$22)*(1+AG$34))</f>
        <v>1.5693668440800259</v>
      </c>
      <c r="AH173" s="7">
        <f ca="1">IF(AND(AH$6&gt;=OFFSET(Assumptions!$B$43,0,$C$1),OFFSET(Assumptions!$B$42,0,$C$1)="AllGDP"),AH$14*(AG$173/AG$14+MIN(ABS(OFFSET(Assumptions!$B$46,0,$C$1)-AG$173/AG$14),OFFSET(Assumptions!$B$44,0,$C$1))*SIGN(OFFSET(Assumptions!$B$46,0,$C$1)-AG$173/AG$14)),AG$173*(1+AH$22)*(1+AH$34))</f>
        <v>1.6326769468924458</v>
      </c>
      <c r="AI173" s="7">
        <f ca="1">IF(AND(AI$6&gt;=OFFSET(Assumptions!$B$43,0,$C$1),OFFSET(Assumptions!$B$42,0,$C$1)="AllGDP"),AI$14*(AH$173/AH$14+MIN(ABS(OFFSET(Assumptions!$B$46,0,$C$1)-AH$173/AH$14),OFFSET(Assumptions!$B$44,0,$C$1))*SIGN(OFFSET(Assumptions!$B$46,0,$C$1)-AH$173/AH$14)),AH$173*(1+AI$22)*(1+AI$34))</f>
        <v>1.6983560043645252</v>
      </c>
      <c r="AJ173" s="7">
        <f ca="1">IF(AND(AJ$6&gt;=OFFSET(Assumptions!$B$43,0,$C$1),OFFSET(Assumptions!$B$42,0,$C$1)="AllGDP"),AJ$14*(AI$173/AI$14+MIN(ABS(OFFSET(Assumptions!$B$46,0,$C$1)-AI$173/AI$14),OFFSET(Assumptions!$B$44,0,$C$1))*SIGN(OFFSET(Assumptions!$B$46,0,$C$1)-AI$173/AI$14)),AI$173*(1+AJ$22)*(1+AJ$34))</f>
        <v>1.7666144192408535</v>
      </c>
      <c r="AK173" s="7">
        <f ca="1">IF(AND(AK$6&gt;=OFFSET(Assumptions!$B$43,0,$C$1),OFFSET(Assumptions!$B$42,0,$C$1)="AllGDP"),AK$14*(AJ$173/AJ$14+MIN(ABS(OFFSET(Assumptions!$B$46,0,$C$1)-AJ$173/AJ$14),OFFSET(Assumptions!$B$44,0,$C$1))*SIGN(OFFSET(Assumptions!$B$46,0,$C$1)-AJ$173/AJ$14)),AJ$173*(1+AK$22)*(1+AK$34))</f>
        <v>1.8373960400467502</v>
      </c>
      <c r="AL173" s="7">
        <f ca="1">IF(AND(AL$6&gt;=OFFSET(Assumptions!$B$43,0,$C$1),OFFSET(Assumptions!$B$42,0,$C$1)="AllGDP"),AL$14*(AK$173/AK$14+MIN(ABS(OFFSET(Assumptions!$B$46,0,$C$1)-AK$173/AK$14),OFFSET(Assumptions!$B$44,0,$C$1))*SIGN(OFFSET(Assumptions!$B$46,0,$C$1)-AK$173/AK$14)),AK$173*(1+AL$22)*(1+AL$34))</f>
        <v>1.9106451101467705</v>
      </c>
      <c r="AM173" s="7">
        <f ca="1">IF(AND(AM$6&gt;=OFFSET(Assumptions!$B$43,0,$C$1),OFFSET(Assumptions!$B$42,0,$C$1)="AllGDP"),AM$14*(AL$173/AL$14+MIN(ABS(OFFSET(Assumptions!$B$46,0,$C$1)-AL$173/AL$14),OFFSET(Assumptions!$B$44,0,$C$1))*SIGN(OFFSET(Assumptions!$B$46,0,$C$1)-AL$173/AL$14)),AL$173*(1+AM$22)*(1+AM$34))</f>
        <v>1.9864616973091862</v>
      </c>
      <c r="AN173" s="7">
        <f ca="1">IF(AND(AN$6&gt;=OFFSET(Assumptions!$B$43,0,$C$1),OFFSET(Assumptions!$B$42,0,$C$1)="AllGDP"),AN$14*(AM$173/AM$14+MIN(ABS(OFFSET(Assumptions!$B$46,0,$C$1)-AM$173/AM$14),OFFSET(Assumptions!$B$44,0,$C$1))*SIGN(OFFSET(Assumptions!$B$46,0,$C$1)-AM$173/AM$14)),AM$173*(1+AN$22)*(1+AN$34))</f>
        <v>2.0649512616725252</v>
      </c>
      <c r="AO173" s="7">
        <f ca="1">IF(AND(AO$6&gt;=OFFSET(Assumptions!$B$43,0,$C$1),OFFSET(Assumptions!$B$42,0,$C$1)="AllGDP"),AO$14*(AN$173/AN$14+MIN(ABS(OFFSET(Assumptions!$B$46,0,$C$1)-AN$173/AN$14),OFFSET(Assumptions!$B$44,0,$C$1))*SIGN(OFFSET(Assumptions!$B$46,0,$C$1)-AN$173/AN$14)),AN$173*(1+AO$22)*(1+AO$34))</f>
        <v>2.1458056018604821</v>
      </c>
      <c r="AP173" s="7">
        <f ca="1">IF(AND(AP$6&gt;=OFFSET(Assumptions!$B$43,0,$C$1),OFFSET(Assumptions!$B$42,0,$C$1)="AllGDP"),AP$14*(AO$173/AO$14+MIN(ABS(OFFSET(Assumptions!$B$46,0,$C$1)-AO$173/AO$14),OFFSET(Assumptions!$B$44,0,$C$1))*SIGN(OFFSET(Assumptions!$B$46,0,$C$1)-AO$173/AO$14)),AO$173*(1+AP$22)*(1+AP$34))</f>
        <v>2.2293680654339632</v>
      </c>
      <c r="AQ173" s="7">
        <f ca="1">IF(AND(AQ$6&gt;=OFFSET(Assumptions!$B$43,0,$C$1),OFFSET(Assumptions!$B$42,0,$C$1)="AllGDP"),AQ$14*(AP$173/AP$14+MIN(ABS(OFFSET(Assumptions!$B$46,0,$C$1)-AP$173/AP$14),OFFSET(Assumptions!$B$44,0,$C$1))*SIGN(OFFSET(Assumptions!$B$46,0,$C$1)-AP$173/AP$14)),AP$173*(1+AQ$22)*(1+AQ$34))</f>
        <v>2.3154045106337362</v>
      </c>
      <c r="AR173" s="7">
        <f ca="1">IF(AND(AR$6&gt;=OFFSET(Assumptions!$B$43,0,$C$1),OFFSET(Assumptions!$B$42,0,$C$1)="AllGDP"),AR$14*(AQ$173/AQ$14+MIN(ABS(OFFSET(Assumptions!$B$46,0,$C$1)-AQ$173/AQ$14),OFFSET(Assumptions!$B$44,0,$C$1))*SIGN(OFFSET(Assumptions!$B$46,0,$C$1)-AQ$173/AQ$14)),AQ$173*(1+AR$22)*(1+AR$34))</f>
        <v>2.4040123461074177</v>
      </c>
      <c r="AS173" s="7">
        <f ca="1">IF(AND(AS$6&gt;=OFFSET(Assumptions!$B$43,0,$C$1),OFFSET(Assumptions!$B$42,0,$C$1)="AllGDP"),AS$14*(AR$173/AR$14+MIN(ABS(OFFSET(Assumptions!$B$46,0,$C$1)-AR$173/AR$14),OFFSET(Assumptions!$B$44,0,$C$1))*SIGN(OFFSET(Assumptions!$B$46,0,$C$1)-AR$173/AR$14)),AR$173*(1+AS$22)*(1+AS$34))</f>
        <v>2.4953982913793737</v>
      </c>
      <c r="AT173" s="7">
        <f ca="1">IF(AND(AT$6&gt;=OFFSET(Assumptions!$B$43,0,$C$1),OFFSET(Assumptions!$B$42,0,$C$1)="AllGDP"),AT$14*(AS$173/AS$14+MIN(ABS(OFFSET(Assumptions!$B$46,0,$C$1)-AS$173/AS$14),OFFSET(Assumptions!$B$44,0,$C$1))*SIGN(OFFSET(Assumptions!$B$46,0,$C$1)-AS$173/AS$14)),AS$173*(1+AT$22)*(1+AT$34))</f>
        <v>2.5896353334121995</v>
      </c>
      <c r="AU173" s="7">
        <f ca="1">IF(AND(AU$6&gt;=OFFSET(Assumptions!$B$43,0,$C$1),OFFSET(Assumptions!$B$42,0,$C$1)="AllGDP"),AU$14*(AT$173/AT$14+MIN(ABS(OFFSET(Assumptions!$B$46,0,$C$1)-AT$173/AT$14),OFFSET(Assumptions!$B$44,0,$C$1))*SIGN(OFFSET(Assumptions!$B$46,0,$C$1)-AT$173/AT$14)),AT$173*(1+AU$22)*(1+AU$34))</f>
        <v>2.6868487864338872</v>
      </c>
      <c r="AV173" s="7">
        <f ca="1">IF(AND(AV$6&gt;=OFFSET(Assumptions!$B$43,0,$C$1),OFFSET(Assumptions!$B$42,0,$C$1)="AllGDP"),AV$14*(AU$173/AU$14+MIN(ABS(OFFSET(Assumptions!$B$46,0,$C$1)-AU$173/AU$14),OFFSET(Assumptions!$B$44,0,$C$1))*SIGN(OFFSET(Assumptions!$B$46,0,$C$1)-AU$173/AU$14)),AU$173*(1+AV$22)*(1+AV$34))</f>
        <v>2.7873392245316917</v>
      </c>
      <c r="AW173" s="7">
        <f ca="1">IF(AND(AW$6&gt;=OFFSET(Assumptions!$B$43,0,$C$1),OFFSET(Assumptions!$B$42,0,$C$1)="AllGDP"),AW$14*(AV$173/AV$14+MIN(ABS(OFFSET(Assumptions!$B$46,0,$C$1)-AV$173/AV$14),OFFSET(Assumptions!$B$44,0,$C$1))*SIGN(OFFSET(Assumptions!$B$46,0,$C$1)-AV$173/AV$14)),AV$173*(1+AW$22)*(1+AW$34))</f>
        <v>2.8910499152079563</v>
      </c>
    </row>
    <row r="174" spans="1:49" ht="15" x14ac:dyDescent="0.25">
      <c r="A174" s="2" t="s">
        <v>519</v>
      </c>
      <c r="D174" s="40">
        <f t="shared" ref="D174:I174" si="148">SUM(D$172:D$173)</f>
        <v>22.353999999999996</v>
      </c>
      <c r="E174" s="39">
        <f t="shared" si="148"/>
        <v>23.189999999999998</v>
      </c>
      <c r="F174" s="39">
        <f t="shared" si="148"/>
        <v>24.065000000000001</v>
      </c>
      <c r="G174" s="39">
        <f t="shared" si="148"/>
        <v>24.675000000000001</v>
      </c>
      <c r="H174" s="39">
        <f t="shared" si="148"/>
        <v>25.429000000000002</v>
      </c>
      <c r="I174" s="39">
        <f t="shared" si="148"/>
        <v>26.363000000000003</v>
      </c>
      <c r="J174" s="43">
        <f t="shared" ref="J174:AW174" ca="1" si="149">SUM(J$172:J$173)</f>
        <v>28.18674208558641</v>
      </c>
      <c r="K174" s="43">
        <f t="shared" ca="1" si="149"/>
        <v>30.214731700826963</v>
      </c>
      <c r="L174" s="43">
        <f t="shared" ca="1" si="149"/>
        <v>32.358779683027876</v>
      </c>
      <c r="M174" s="43">
        <f t="shared" ca="1" si="149"/>
        <v>34.598384885968336</v>
      </c>
      <c r="N174" s="43">
        <f t="shared" ca="1" si="149"/>
        <v>36.965368923478728</v>
      </c>
      <c r="O174" s="43">
        <f t="shared" ca="1" si="149"/>
        <v>39.39125566827672</v>
      </c>
      <c r="P174" s="43">
        <f t="shared" ca="1" si="149"/>
        <v>41.862231423229588</v>
      </c>
      <c r="Q174" s="43">
        <f t="shared" ca="1" si="149"/>
        <v>44.428327022944984</v>
      </c>
      <c r="R174" s="43">
        <f t="shared" ca="1" si="149"/>
        <v>47.075140976459167</v>
      </c>
      <c r="S174" s="43">
        <f t="shared" ca="1" si="149"/>
        <v>49.769077342445158</v>
      </c>
      <c r="T174" s="43">
        <f t="shared" ca="1" si="149"/>
        <v>52.549165597196044</v>
      </c>
      <c r="U174" s="43">
        <f t="shared" ca="1" si="149"/>
        <v>55.446576856566026</v>
      </c>
      <c r="V174" s="43">
        <f t="shared" ca="1" si="149"/>
        <v>58.474844112328498</v>
      </c>
      <c r="W174" s="43">
        <f t="shared" ca="1" si="149"/>
        <v>61.452053641617738</v>
      </c>
      <c r="X174" s="43">
        <f t="shared" ca="1" si="149"/>
        <v>64.451510192182212</v>
      </c>
      <c r="Y174" s="43">
        <f t="shared" ca="1" si="149"/>
        <v>67.60565055919335</v>
      </c>
      <c r="Z174" s="43">
        <f t="shared" ca="1" si="149"/>
        <v>70.841288684632872</v>
      </c>
      <c r="AA174" s="43">
        <f t="shared" ca="1" si="149"/>
        <v>74.125759579002221</v>
      </c>
      <c r="AB174" s="43">
        <f t="shared" ca="1" si="149"/>
        <v>77.449673522780586</v>
      </c>
      <c r="AC174" s="43">
        <f t="shared" ca="1" si="149"/>
        <v>80.807205422114393</v>
      </c>
      <c r="AD174" s="43">
        <f t="shared" ca="1" si="149"/>
        <v>84.190844711500176</v>
      </c>
      <c r="AE174" s="43">
        <f t="shared" ca="1" si="149"/>
        <v>87.685555178179314</v>
      </c>
      <c r="AF174" s="43">
        <f t="shared" ca="1" si="149"/>
        <v>91.254308024019068</v>
      </c>
      <c r="AG174" s="43">
        <f t="shared" ca="1" si="149"/>
        <v>94.994948568706434</v>
      </c>
      <c r="AH174" s="43">
        <f t="shared" ca="1" si="149"/>
        <v>98.870627373208848</v>
      </c>
      <c r="AI174" s="43">
        <f t="shared" ca="1" si="149"/>
        <v>102.89889888126609</v>
      </c>
      <c r="AJ174" s="43">
        <f t="shared" ca="1" si="149"/>
        <v>107.09477565177929</v>
      </c>
      <c r="AK174" s="43">
        <f t="shared" ca="1" si="149"/>
        <v>111.50434632468135</v>
      </c>
      <c r="AL174" s="43">
        <f t="shared" ca="1" si="149"/>
        <v>116.07825339257801</v>
      </c>
      <c r="AM174" s="43">
        <f t="shared" ca="1" si="149"/>
        <v>120.84030560193457</v>
      </c>
      <c r="AN174" s="43">
        <f t="shared" ca="1" si="149"/>
        <v>125.83843065592372</v>
      </c>
      <c r="AO174" s="43">
        <f t="shared" ca="1" si="149"/>
        <v>131.09580248480333</v>
      </c>
      <c r="AP174" s="43">
        <f t="shared" ca="1" si="149"/>
        <v>136.70485817175836</v>
      </c>
      <c r="AQ174" s="43">
        <f t="shared" ca="1" si="149"/>
        <v>142.64437254102401</v>
      </c>
      <c r="AR174" s="43">
        <f t="shared" ca="1" si="149"/>
        <v>148.98824809433191</v>
      </c>
      <c r="AS174" s="43">
        <f t="shared" ca="1" si="149"/>
        <v>155.73520536777608</v>
      </c>
      <c r="AT174" s="43">
        <f t="shared" ca="1" si="149"/>
        <v>162.67839332108568</v>
      </c>
      <c r="AU174" s="43">
        <f t="shared" ca="1" si="149"/>
        <v>169.89972527424229</v>
      </c>
      <c r="AV174" s="43">
        <f t="shared" ca="1" si="149"/>
        <v>177.36293928291957</v>
      </c>
      <c r="AW174" s="43">
        <f t="shared" ca="1" si="149"/>
        <v>185.1452466895262</v>
      </c>
    </row>
    <row r="175" spans="1:49" x14ac:dyDescent="0.2">
      <c r="A175" s="1" t="s">
        <v>520</v>
      </c>
      <c r="B175" s="4" t="str">
        <f t="shared" si="145"/>
        <v>From Fiscal</v>
      </c>
      <c r="D175" s="18">
        <f>Fiscal!D$233</f>
        <v>0.85599999999999998</v>
      </c>
      <c r="E175" s="19">
        <f>Fiscal!E$233</f>
        <v>0.70099999999999996</v>
      </c>
      <c r="F175" s="19">
        <f>Fiscal!F$233</f>
        <v>0.73799999999999999</v>
      </c>
      <c r="G175" s="19">
        <f>Fiscal!G$233</f>
        <v>0.76900000000000002</v>
      </c>
      <c r="H175" s="19">
        <f>Fiscal!H$233</f>
        <v>0.80100000000000005</v>
      </c>
      <c r="I175" s="19">
        <f>Fiscal!I$233</f>
        <v>0.84</v>
      </c>
      <c r="J175" s="7">
        <f ca="1">IF(J$6&lt;=OFFSET(Assumptions!$B$49,0,$C$1),Exogenous!Q$36,I$175*(1+J$15))</f>
        <v>0.873</v>
      </c>
      <c r="K175" s="7">
        <f ca="1">IF(K$6&lt;=OFFSET(Assumptions!$B$49,0,$C$1),Exogenous!R$36,J$175*(1+K$15))</f>
        <v>0.90800000000000003</v>
      </c>
      <c r="L175" s="7">
        <f ca="1">IF(L$6&lt;=OFFSET(Assumptions!$B$49,0,$C$1),Exogenous!S$36,K$175*(1+L$15))</f>
        <v>0.94735752360896164</v>
      </c>
      <c r="M175" s="7">
        <f ca="1">IF(M$6&lt;=OFFSET(Assumptions!$B$49,0,$C$1),Exogenous!T$36,L$175*(1+M$15))</f>
        <v>0.98828948258513583</v>
      </c>
      <c r="N175" s="7">
        <f ca="1">IF(N$6&lt;=OFFSET(Assumptions!$B$49,0,$C$1),Exogenous!U$36,M$175*(1+N$15))</f>
        <v>1.0309119140361371</v>
      </c>
      <c r="O175" s="7">
        <f ca="1">IF(O$6&lt;=OFFSET(Assumptions!$B$49,0,$C$1),Exogenous!V$36,N$175*(1+O$15))</f>
        <v>1.0749181757431447</v>
      </c>
      <c r="P175" s="7">
        <f ca="1">IF(P$6&lt;=OFFSET(Assumptions!$B$49,0,$C$1),Exogenous!W$36,O$175*(1+P$15))</f>
        <v>1.1203752842989578</v>
      </c>
      <c r="Q175" s="7">
        <f ca="1">IF(Q$6&lt;=OFFSET(Assumptions!$B$49,0,$C$1),Exogenous!X$36,P$175*(1+Q$15))</f>
        <v>1.1672341376795579</v>
      </c>
      <c r="R175" s="7">
        <f ca="1">IF(R$6&lt;=OFFSET(Assumptions!$B$49,0,$C$1),Exogenous!Y$36,Q$175*(1+R$15))</f>
        <v>1.215459956423631</v>
      </c>
      <c r="S175" s="7">
        <f ca="1">IF(S$6&lt;=OFFSET(Assumptions!$B$49,0,$C$1),Exogenous!Z$36,R$175*(1+S$15))</f>
        <v>1.2652060002166352</v>
      </c>
      <c r="T175" s="7">
        <f ca="1">IF(T$6&lt;=OFFSET(Assumptions!$B$49,0,$C$1),Exogenous!AA$36,S$175*(1+T$15))</f>
        <v>1.3164904097565029</v>
      </c>
      <c r="U175" s="7">
        <f ca="1">IF(U$6&lt;=OFFSET(Assumptions!$B$49,0,$C$1),Exogenous!AB$36,T$175*(1+U$15))</f>
        <v>1.3694972434372328</v>
      </c>
      <c r="V175" s="7">
        <f ca="1">IF(V$6&lt;=OFFSET(Assumptions!$B$49,0,$C$1),Exogenous!AC$36,U$175*(1+V$15))</f>
        <v>1.4243573489305281</v>
      </c>
      <c r="W175" s="7">
        <f ca="1">IF(W$6&lt;=OFFSET(Assumptions!$B$49,0,$C$1),Exogenous!AD$36,V$175*(1+W$15))</f>
        <v>1.4812296697997711</v>
      </c>
      <c r="X175" s="7">
        <f ca="1">IF(X$6&lt;=OFFSET(Assumptions!$B$49,0,$C$1),Exogenous!AE$36,W$175*(1+X$15))</f>
        <v>1.5402943466945569</v>
      </c>
      <c r="Y175" s="7">
        <f ca="1">IF(Y$6&lt;=OFFSET(Assumptions!$B$49,0,$C$1),Exogenous!AF$36,X$175*(1+Y$15))</f>
        <v>1.6015453412492273</v>
      </c>
      <c r="Z175" s="7">
        <f ca="1">IF(Z$6&lt;=OFFSET(Assumptions!$B$49,0,$C$1),Exogenous!AG$36,Y$175*(1+Z$15))</f>
        <v>1.6652926840944566</v>
      </c>
      <c r="AA175" s="7">
        <f ca="1">IF(AA$6&lt;=OFFSET(Assumptions!$B$49,0,$C$1),Exogenous!AH$36,Z$175*(1+AA$15))</f>
        <v>1.7316395186508007</v>
      </c>
      <c r="AB175" s="7">
        <f ca="1">IF(AB$6&lt;=OFFSET(Assumptions!$B$49,0,$C$1),Exogenous!AI$36,AA$175*(1+AB$15))</f>
        <v>1.8007850905896459</v>
      </c>
      <c r="AC175" s="7">
        <f ca="1">IF(AC$6&lt;=OFFSET(Assumptions!$B$49,0,$C$1),Exogenous!AJ$36,AB$175*(1+AC$15))</f>
        <v>1.8729904338282812</v>
      </c>
      <c r="AD175" s="7">
        <f ca="1">IF(AD$6&lt;=OFFSET(Assumptions!$B$49,0,$C$1),Exogenous!AK$36,AC$175*(1+AD$15))</f>
        <v>1.948331653689183</v>
      </c>
      <c r="AE175" s="7">
        <f ca="1">IF(AE$6&lt;=OFFSET(Assumptions!$B$49,0,$C$1),Exogenous!AL$36,AD$175*(1+AE$15))</f>
        <v>2.0267395593038686</v>
      </c>
      <c r="AF175" s="7">
        <f ca="1">IF(AF$6&lt;=OFFSET(Assumptions!$B$49,0,$C$1),Exogenous!AM$36,AE$175*(1+AF$15))</f>
        <v>2.1084310739525702</v>
      </c>
      <c r="AG175" s="7">
        <f ca="1">IF(AG$6&lt;=OFFSET(Assumptions!$B$49,0,$C$1),Exogenous!AN$36,AF$175*(1+AG$15))</f>
        <v>2.1934518761143154</v>
      </c>
      <c r="AH175" s="7">
        <f ca="1">IF(AH$6&lt;=OFFSET(Assumptions!$B$49,0,$C$1),Exogenous!AO$36,AG$175*(1+AH$15))</f>
        <v>2.2819383025446496</v>
      </c>
      <c r="AI175" s="7">
        <f ca="1">IF(AI$6&lt;=OFFSET(Assumptions!$B$49,0,$C$1),Exogenous!AP$36,AH$175*(1+AI$15))</f>
        <v>2.37373573816462</v>
      </c>
      <c r="AJ175" s="7">
        <f ca="1">IF(AJ$6&lt;=OFFSET(Assumptions!$B$49,0,$C$1),Exogenous!AQ$36,AI$175*(1+AJ$15))</f>
        <v>2.4691382558970747</v>
      </c>
      <c r="AK175" s="7">
        <f ca="1">IF(AK$6&lt;=OFFSET(Assumptions!$B$49,0,$C$1),Exogenous!AR$36,AJ$175*(1+AK$15))</f>
        <v>2.5680673746921889</v>
      </c>
      <c r="AL175" s="7">
        <f ca="1">IF(AL$6&lt;=OFFSET(Assumptions!$B$49,0,$C$1),Exogenous!AS$36,AK$175*(1+AL$15))</f>
        <v>2.6704451653538133</v>
      </c>
      <c r="AM175" s="7">
        <f ca="1">IF(AM$6&lt;=OFFSET(Assumptions!$B$49,0,$C$1),Exogenous!AT$36,AL$175*(1+AM$15))</f>
        <v>2.7764114892756564</v>
      </c>
      <c r="AN175" s="7">
        <f ca="1">IF(AN$6&lt;=OFFSET(Assumptions!$B$49,0,$C$1),Exogenous!AU$36,AM$175*(1+AN$15))</f>
        <v>2.8861137445881071</v>
      </c>
      <c r="AO175" s="7">
        <f ca="1">IF(AO$6&lt;=OFFSET(Assumptions!$B$49,0,$C$1),Exogenous!AV$36,AN$175*(1+AO$15))</f>
        <v>2.9991211684713504</v>
      </c>
      <c r="AP175" s="7">
        <f ca="1">IF(AP$6&lt;=OFFSET(Assumptions!$B$49,0,$C$1),Exogenous!AW$36,AO$175*(1+AP$15))</f>
        <v>3.1159136463992452</v>
      </c>
      <c r="AQ175" s="7">
        <f ca="1">IF(AQ$6&lt;=OFFSET(Assumptions!$B$49,0,$C$1),Exogenous!AX$36,AP$175*(1+AQ$15))</f>
        <v>3.2361639262172028</v>
      </c>
      <c r="AR175" s="7">
        <f ca="1">IF(AR$6&lt;=OFFSET(Assumptions!$B$49,0,$C$1),Exogenous!AY$36,AQ$175*(1+AR$15))</f>
        <v>3.3600081527543759</v>
      </c>
      <c r="AS175" s="7">
        <f ca="1">IF(AS$6&lt;=OFFSET(Assumptions!$B$49,0,$C$1),Exogenous!AZ$36,AR$175*(1+AS$15))</f>
        <v>3.4877352510191271</v>
      </c>
      <c r="AT175" s="7">
        <f ca="1">IF(AT$6&lt;=OFFSET(Assumptions!$B$49,0,$C$1),Exogenous!BA$36,AS$175*(1+AT$15))</f>
        <v>3.6194472324631701</v>
      </c>
      <c r="AU175" s="7">
        <f ca="1">IF(AU$6&lt;=OFFSET(Assumptions!$B$49,0,$C$1),Exogenous!BB$36,AT$175*(1+AU$15))</f>
        <v>3.7553192446178367</v>
      </c>
      <c r="AV175" s="7">
        <f ca="1">IF(AV$6&lt;=OFFSET(Assumptions!$B$49,0,$C$1),Exogenous!BC$36,AU$175*(1+AV$15))</f>
        <v>3.8957713898945463</v>
      </c>
      <c r="AW175" s="7">
        <f ca="1">IF(AW$6&lt;=OFFSET(Assumptions!$B$49,0,$C$1),Exogenous!BD$36,AV$175*(1+AW$15))</f>
        <v>4.0407243751669704</v>
      </c>
    </row>
    <row r="176" spans="1:49" x14ac:dyDescent="0.2">
      <c r="A176" s="1" t="s">
        <v>321</v>
      </c>
      <c r="B176" s="4" t="str">
        <f t="shared" si="145"/>
        <v>From Fiscal</v>
      </c>
      <c r="D176" s="18">
        <f>Fiscal!D$234</f>
        <v>0.51300000000000001</v>
      </c>
      <c r="E176" s="19">
        <f>Fiscal!E$234</f>
        <v>0.53</v>
      </c>
      <c r="F176" s="19">
        <f>Fiscal!F$234</f>
        <v>0.59199999999999997</v>
      </c>
      <c r="G176" s="19">
        <f>Fiscal!G$234</f>
        <v>0.59499999999999997</v>
      </c>
      <c r="H176" s="19">
        <f>Fiscal!H$234</f>
        <v>0.58599999999999997</v>
      </c>
      <c r="I176" s="19">
        <f>Fiscal!I$234</f>
        <v>0.58599999999999997</v>
      </c>
      <c r="J176" s="7">
        <f ca="1">(I$176/I$14+MIN(ABS(OFFSET(Assumptions!$B$50,0,$C$1)-I$176/I$14),OFFSET(Assumptions!$B$44,0,$C$1))*SIGN(OFFSET(Assumptions!$B$50,0,$C$1)-I$176/I$14))*J$14</f>
        <v>0.62359402369910744</v>
      </c>
      <c r="K176" s="7">
        <f ca="1">(J$176/J$14+MIN(ABS(OFFSET(Assumptions!$B$50,0,$C$1)-J$176/J$14),OFFSET(Assumptions!$B$44,0,$C$1))*SIGN(OFFSET(Assumptions!$B$50,0,$C$1)-J$176/J$14))*K$14</f>
        <v>0.64965414101038543</v>
      </c>
      <c r="L176" s="7">
        <f ca="1">(K$176/K$14+MIN(ABS(OFFSET(Assumptions!$B$50,0,$C$1)-K$176/K$14),OFFSET(Assumptions!$B$44,0,$C$1))*SIGN(OFFSET(Assumptions!$B$50,0,$C$1)-K$176/K$14))*L$14</f>
        <v>0.67781358835892724</v>
      </c>
      <c r="M176" s="7">
        <f ca="1">(L$176/L$14+MIN(ABS(OFFSET(Assumptions!$B$50,0,$C$1)-L$176/L$14),OFFSET(Assumptions!$B$44,0,$C$1))*SIGN(OFFSET(Assumptions!$B$50,0,$C$1)-L$176/L$14))*M$14</f>
        <v>0.70709950977802272</v>
      </c>
      <c r="N176" s="7">
        <f ca="1">(M$176/M$14+MIN(ABS(OFFSET(Assumptions!$B$50,0,$C$1)-M$176/M$14),OFFSET(Assumptions!$B$44,0,$C$1))*SIGN(OFFSET(Assumptions!$B$50,0,$C$1)-M$176/M$14))*N$14</f>
        <v>0.73759492728030718</v>
      </c>
      <c r="O176" s="7">
        <f ca="1">(N$176/N$14+MIN(ABS(OFFSET(Assumptions!$B$50,0,$C$1)-N$176/N$14),OFFSET(Assumptions!$B$44,0,$C$1))*SIGN(OFFSET(Assumptions!$B$50,0,$C$1)-N$176/N$14))*O$14</f>
        <v>0.76908044506482742</v>
      </c>
      <c r="P176" s="7">
        <f ca="1">(O$176/O$14+MIN(ABS(OFFSET(Assumptions!$B$50,0,$C$1)-O$176/O$14),OFFSET(Assumptions!$B$44,0,$C$1))*SIGN(OFFSET(Assumptions!$B$50,0,$C$1)-O$176/O$14))*P$14</f>
        <v>0.80160401203800202</v>
      </c>
      <c r="Q176" s="7">
        <f ca="1">(P$176/P$14+MIN(ABS(OFFSET(Assumptions!$B$50,0,$C$1)-P$176/P$14),OFFSET(Assumptions!$B$44,0,$C$1))*SIGN(OFFSET(Assumptions!$B$50,0,$C$1)-P$176/P$14))*Q$14</f>
        <v>0.83513049677556295</v>
      </c>
      <c r="R176" s="7">
        <f ca="1">(Q$176/Q$14+MIN(ABS(OFFSET(Assumptions!$B$50,0,$C$1)-Q$176/Q$14),OFFSET(Assumptions!$B$44,0,$C$1))*SIGN(OFFSET(Assumptions!$B$50,0,$C$1)-Q$176/Q$14))*R$14</f>
        <v>0.86963501533360654</v>
      </c>
      <c r="S176" s="7">
        <f ca="1">(R$176/R$14+MIN(ABS(OFFSET(Assumptions!$B$50,0,$C$1)-R$176/R$14),OFFSET(Assumptions!$B$44,0,$C$1))*SIGN(OFFSET(Assumptions!$B$50,0,$C$1)-R$176/R$14))*S$14</f>
        <v>0.90522722166511427</v>
      </c>
      <c r="T176" s="7">
        <f ca="1">(S$176/S$14+MIN(ABS(OFFSET(Assumptions!$B$50,0,$C$1)-S$176/S$14),OFFSET(Assumptions!$B$44,0,$C$1))*SIGN(OFFSET(Assumptions!$B$50,0,$C$1)-S$176/S$14))*T$14</f>
        <v>0.94192009504269969</v>
      </c>
      <c r="U176" s="7">
        <f ca="1">(T$176/T$14+MIN(ABS(OFFSET(Assumptions!$B$50,0,$C$1)-T$176/T$14),OFFSET(Assumptions!$B$44,0,$C$1))*SIGN(OFFSET(Assumptions!$B$50,0,$C$1)-T$176/T$14))*U$14</f>
        <v>0.97984532522170287</v>
      </c>
      <c r="V176" s="7">
        <f ca="1">(U$176/U$14+MIN(ABS(OFFSET(Assumptions!$B$50,0,$C$1)-U$176/U$14),OFFSET(Assumptions!$B$44,0,$C$1))*SIGN(OFFSET(Assumptions!$B$50,0,$C$1)-U$176/U$14))*V$14</f>
        <v>1.0190965308494406</v>
      </c>
      <c r="W176" s="7">
        <f ca="1">(V$176/V$14+MIN(ABS(OFFSET(Assumptions!$B$50,0,$C$1)-V$176/V$14),OFFSET(Assumptions!$B$44,0,$C$1))*SIGN(OFFSET(Assumptions!$B$50,0,$C$1)-V$176/V$14))*W$14</f>
        <v>1.0597874325692371</v>
      </c>
      <c r="X176" s="7">
        <f ca="1">(W$176/W$14+MIN(ABS(OFFSET(Assumptions!$B$50,0,$C$1)-W$176/W$14),OFFSET(Assumptions!$B$44,0,$C$1))*SIGN(OFFSET(Assumptions!$B$50,0,$C$1)-W$176/W$14))*X$14</f>
        <v>1.102046917075997</v>
      </c>
      <c r="Y176" s="7">
        <f ca="1">(X$176/X$14+MIN(ABS(OFFSET(Assumptions!$B$50,0,$C$1)-X$176/X$14),OFFSET(Assumptions!$B$44,0,$C$1))*SIGN(OFFSET(Assumptions!$B$50,0,$C$1)-X$176/X$14))*Y$14</f>
        <v>1.145870664051158</v>
      </c>
      <c r="Z176" s="7">
        <f ca="1">(Y$176/Y$14+MIN(ABS(OFFSET(Assumptions!$B$50,0,$C$1)-Y$176/Y$14),OFFSET(Assumptions!$B$44,0,$C$1))*SIGN(OFFSET(Assumptions!$B$50,0,$C$1)-Y$176/Y$14))*Z$14</f>
        <v>1.1914804936302461</v>
      </c>
      <c r="AA176" s="7">
        <f ca="1">(Z$176/Z$14+MIN(ABS(OFFSET(Assumptions!$B$50,0,$C$1)-Z$176/Z$14),OFFSET(Assumptions!$B$44,0,$C$1))*SIGN(OFFSET(Assumptions!$B$50,0,$C$1)-Z$176/Z$14))*AA$14</f>
        <v>1.2389502026748054</v>
      </c>
      <c r="AB176" s="7">
        <f ca="1">(AA$176/AA$14+MIN(ABS(OFFSET(Assumptions!$B$50,0,$C$1)-AA$176/AA$14),OFFSET(Assumptions!$B$44,0,$C$1))*SIGN(OFFSET(Assumptions!$B$50,0,$C$1)-AA$176/AA$14))*AB$14</f>
        <v>1.288422347104984</v>
      </c>
      <c r="AC176" s="7">
        <f ca="1">(AB$176/AB$14+MIN(ABS(OFFSET(Assumptions!$B$50,0,$C$1)-AB$176/AB$14),OFFSET(Assumptions!$B$44,0,$C$1))*SIGN(OFFSET(Assumptions!$B$50,0,$C$1)-AB$176/AB$14))*AC$14</f>
        <v>1.3400836909794946</v>
      </c>
      <c r="AD176" s="7">
        <f ca="1">(AC$176/AC$14+MIN(ABS(OFFSET(Assumptions!$B$50,0,$C$1)-AC$176/AC$14),OFFSET(Assumptions!$B$44,0,$C$1))*SIGN(OFFSET(Assumptions!$B$50,0,$C$1)-AC$176/AC$14))*AD$14</f>
        <v>1.3939886859920594</v>
      </c>
      <c r="AE176" s="7">
        <f ca="1">(AD$176/AD$14+MIN(ABS(OFFSET(Assumptions!$B$50,0,$C$1)-AD$176/AD$14),OFFSET(Assumptions!$B$44,0,$C$1))*SIGN(OFFSET(Assumptions!$B$50,0,$C$1)-AD$176/AD$14))*AE$14</f>
        <v>1.4500878275895615</v>
      </c>
      <c r="AF176" s="7">
        <f ca="1">(AE$176/AE$14+MIN(ABS(OFFSET(Assumptions!$B$50,0,$C$1)-AE$176/AE$14),OFFSET(Assumptions!$B$44,0,$C$1))*SIGN(OFFSET(Assumptions!$B$50,0,$C$1)-AE$176/AE$14))*AF$14</f>
        <v>1.5085363196346488</v>
      </c>
      <c r="AG176" s="7">
        <f ca="1">(AF$176/AF$14+MIN(ABS(OFFSET(Assumptions!$B$50,0,$C$1)-AF$176/AF$14),OFFSET(Assumptions!$B$44,0,$C$1))*SIGN(OFFSET(Assumptions!$B$50,0,$C$1)-AF$176/AF$14))*AG$14</f>
        <v>1.5693668440800259</v>
      </c>
      <c r="AH176" s="7">
        <f ca="1">(AG$176/AG$14+MIN(ABS(OFFSET(Assumptions!$B$50,0,$C$1)-AG$176/AG$14),OFFSET(Assumptions!$B$44,0,$C$1))*SIGN(OFFSET(Assumptions!$B$50,0,$C$1)-AG$176/AG$14))*AH$14</f>
        <v>1.6326769468924458</v>
      </c>
      <c r="AI176" s="7">
        <f ca="1">(AH$176/AH$14+MIN(ABS(OFFSET(Assumptions!$B$50,0,$C$1)-AH$176/AH$14),OFFSET(Assumptions!$B$44,0,$C$1))*SIGN(OFFSET(Assumptions!$B$50,0,$C$1)-AH$176/AH$14))*AI$14</f>
        <v>1.6983560043645252</v>
      </c>
      <c r="AJ176" s="7">
        <f ca="1">(AI$176/AI$14+MIN(ABS(OFFSET(Assumptions!$B$50,0,$C$1)-AI$176/AI$14),OFFSET(Assumptions!$B$44,0,$C$1))*SIGN(OFFSET(Assumptions!$B$50,0,$C$1)-AI$176/AI$14))*AJ$14</f>
        <v>1.7666144192408535</v>
      </c>
      <c r="AK176" s="7">
        <f ca="1">(AJ$176/AJ$14+MIN(ABS(OFFSET(Assumptions!$B$50,0,$C$1)-AJ$176/AJ$14),OFFSET(Assumptions!$B$44,0,$C$1))*SIGN(OFFSET(Assumptions!$B$50,0,$C$1)-AJ$176/AJ$14))*AK$14</f>
        <v>1.8373960400467502</v>
      </c>
      <c r="AL176" s="7">
        <f ca="1">(AK$176/AK$14+MIN(ABS(OFFSET(Assumptions!$B$50,0,$C$1)-AK$176/AK$14),OFFSET(Assumptions!$B$44,0,$C$1))*SIGN(OFFSET(Assumptions!$B$50,0,$C$1)-AK$176/AK$14))*AL$14</f>
        <v>1.9106451101467705</v>
      </c>
      <c r="AM176" s="7">
        <f ca="1">(AL$176/AL$14+MIN(ABS(OFFSET(Assumptions!$B$50,0,$C$1)-AL$176/AL$14),OFFSET(Assumptions!$B$44,0,$C$1))*SIGN(OFFSET(Assumptions!$B$50,0,$C$1)-AL$176/AL$14))*AM$14</f>
        <v>1.9864616973091862</v>
      </c>
      <c r="AN176" s="7">
        <f ca="1">(AM$176/AM$14+MIN(ABS(OFFSET(Assumptions!$B$50,0,$C$1)-AM$176/AM$14),OFFSET(Assumptions!$B$44,0,$C$1))*SIGN(OFFSET(Assumptions!$B$50,0,$C$1)-AM$176/AM$14))*AN$14</f>
        <v>2.0649512616725252</v>
      </c>
      <c r="AO176" s="7">
        <f ca="1">(AN$176/AN$14+MIN(ABS(OFFSET(Assumptions!$B$50,0,$C$1)-AN$176/AN$14),OFFSET(Assumptions!$B$44,0,$C$1))*SIGN(OFFSET(Assumptions!$B$50,0,$C$1)-AN$176/AN$14))*AO$14</f>
        <v>2.1458056018604821</v>
      </c>
      <c r="AP176" s="7">
        <f ca="1">(AO$176/AO$14+MIN(ABS(OFFSET(Assumptions!$B$50,0,$C$1)-AO$176/AO$14),OFFSET(Assumptions!$B$44,0,$C$1))*SIGN(OFFSET(Assumptions!$B$50,0,$C$1)-AO$176/AO$14))*AP$14</f>
        <v>2.2293680654339632</v>
      </c>
      <c r="AQ176" s="7">
        <f ca="1">(AP$176/AP$14+MIN(ABS(OFFSET(Assumptions!$B$50,0,$C$1)-AP$176/AP$14),OFFSET(Assumptions!$B$44,0,$C$1))*SIGN(OFFSET(Assumptions!$B$50,0,$C$1)-AP$176/AP$14))*AQ$14</f>
        <v>2.3154045106337362</v>
      </c>
      <c r="AR176" s="7">
        <f ca="1">(AQ$176/AQ$14+MIN(ABS(OFFSET(Assumptions!$B$50,0,$C$1)-AQ$176/AQ$14),OFFSET(Assumptions!$B$44,0,$C$1))*SIGN(OFFSET(Assumptions!$B$50,0,$C$1)-AQ$176/AQ$14))*AR$14</f>
        <v>2.4040123461074177</v>
      </c>
      <c r="AS176" s="7">
        <f ca="1">(AR$176/AR$14+MIN(ABS(OFFSET(Assumptions!$B$50,0,$C$1)-AR$176/AR$14),OFFSET(Assumptions!$B$44,0,$C$1))*SIGN(OFFSET(Assumptions!$B$50,0,$C$1)-AR$176/AR$14))*AS$14</f>
        <v>2.4953982913793737</v>
      </c>
      <c r="AT176" s="7">
        <f ca="1">(AS$176/AS$14+MIN(ABS(OFFSET(Assumptions!$B$50,0,$C$1)-AS$176/AS$14),OFFSET(Assumptions!$B$44,0,$C$1))*SIGN(OFFSET(Assumptions!$B$50,0,$C$1)-AS$176/AS$14))*AT$14</f>
        <v>2.5896353334121995</v>
      </c>
      <c r="AU176" s="7">
        <f ca="1">(AT$176/AT$14+MIN(ABS(OFFSET(Assumptions!$B$50,0,$C$1)-AT$176/AT$14),OFFSET(Assumptions!$B$44,0,$C$1))*SIGN(OFFSET(Assumptions!$B$50,0,$C$1)-AT$176/AT$14))*AU$14</f>
        <v>2.6868487864338872</v>
      </c>
      <c r="AV176" s="7">
        <f ca="1">(AU$176/AU$14+MIN(ABS(OFFSET(Assumptions!$B$50,0,$C$1)-AU$176/AU$14),OFFSET(Assumptions!$B$44,0,$C$1))*SIGN(OFFSET(Assumptions!$B$50,0,$C$1)-AU$176/AU$14))*AV$14</f>
        <v>2.7873392245316917</v>
      </c>
      <c r="AW176" s="7">
        <f ca="1">(AV$176/AV$14+MIN(ABS(OFFSET(Assumptions!$B$50,0,$C$1)-AV$176/AV$14),OFFSET(Assumptions!$B$44,0,$C$1))*SIGN(OFFSET(Assumptions!$B$50,0,$C$1)-AV$176/AV$14))*AW$14</f>
        <v>2.8910499152079563</v>
      </c>
    </row>
    <row r="177" spans="1:49" ht="15" x14ac:dyDescent="0.25">
      <c r="A177" s="2" t="s">
        <v>521</v>
      </c>
      <c r="D177" s="40">
        <f t="shared" ref="D177:I177" si="150">SUM(D$174:D$176)</f>
        <v>23.722999999999999</v>
      </c>
      <c r="E177" s="39">
        <f t="shared" si="150"/>
        <v>24.420999999999999</v>
      </c>
      <c r="F177" s="39">
        <f t="shared" si="150"/>
        <v>25.395</v>
      </c>
      <c r="G177" s="39">
        <f t="shared" si="150"/>
        <v>26.038999999999998</v>
      </c>
      <c r="H177" s="39">
        <f t="shared" si="150"/>
        <v>26.815999999999999</v>
      </c>
      <c r="I177" s="39">
        <f t="shared" si="150"/>
        <v>27.789000000000001</v>
      </c>
      <c r="J177" s="43">
        <f t="shared" ref="J177:AW177" ca="1" si="151">SUM(J$174:J$176)</f>
        <v>29.68333610928552</v>
      </c>
      <c r="K177" s="43">
        <f t="shared" ca="1" si="151"/>
        <v>31.772385841837348</v>
      </c>
      <c r="L177" s="43">
        <f t="shared" ca="1" si="151"/>
        <v>33.983950794995771</v>
      </c>
      <c r="M177" s="43">
        <f t="shared" ca="1" si="151"/>
        <v>36.2937738783315</v>
      </c>
      <c r="N177" s="43">
        <f t="shared" ca="1" si="151"/>
        <v>38.733875764795172</v>
      </c>
      <c r="O177" s="43">
        <f t="shared" ca="1" si="151"/>
        <v>41.235254289084693</v>
      </c>
      <c r="P177" s="43">
        <f t="shared" ca="1" si="151"/>
        <v>43.784210719566552</v>
      </c>
      <c r="Q177" s="43">
        <f t="shared" ca="1" si="151"/>
        <v>46.430691657400104</v>
      </c>
      <c r="R177" s="43">
        <f t="shared" ca="1" si="151"/>
        <v>49.160235948216403</v>
      </c>
      <c r="S177" s="43">
        <f t="shared" ca="1" si="151"/>
        <v>51.939510564326909</v>
      </c>
      <c r="T177" s="43">
        <f t="shared" ca="1" si="151"/>
        <v>54.807576101995245</v>
      </c>
      <c r="U177" s="43">
        <f t="shared" ca="1" si="151"/>
        <v>57.795919425224959</v>
      </c>
      <c r="V177" s="43">
        <f t="shared" ca="1" si="151"/>
        <v>60.918297992108464</v>
      </c>
      <c r="W177" s="43">
        <f t="shared" ca="1" si="151"/>
        <v>63.993070743986749</v>
      </c>
      <c r="X177" s="43">
        <f t="shared" ca="1" si="151"/>
        <v>67.093851455952759</v>
      </c>
      <c r="Y177" s="43">
        <f t="shared" ca="1" si="151"/>
        <v>70.35306656449373</v>
      </c>
      <c r="Z177" s="43">
        <f t="shared" ca="1" si="151"/>
        <v>73.698061862357577</v>
      </c>
      <c r="AA177" s="43">
        <f t="shared" ca="1" si="151"/>
        <v>77.096349300327816</v>
      </c>
      <c r="AB177" s="43">
        <f t="shared" ca="1" si="151"/>
        <v>80.538880960475211</v>
      </c>
      <c r="AC177" s="43">
        <f t="shared" ca="1" si="151"/>
        <v>84.020279546922168</v>
      </c>
      <c r="AD177" s="43">
        <f t="shared" ca="1" si="151"/>
        <v>87.533165051181413</v>
      </c>
      <c r="AE177" s="43">
        <f t="shared" ca="1" si="151"/>
        <v>91.162382565072733</v>
      </c>
      <c r="AF177" s="43">
        <f t="shared" ca="1" si="151"/>
        <v>94.871275417606284</v>
      </c>
      <c r="AG177" s="43">
        <f t="shared" ca="1" si="151"/>
        <v>98.757767288900766</v>
      </c>
      <c r="AH177" s="43">
        <f t="shared" ca="1" si="151"/>
        <v>102.78524262264594</v>
      </c>
      <c r="AI177" s="43">
        <f t="shared" ca="1" si="151"/>
        <v>106.97099062379525</v>
      </c>
      <c r="AJ177" s="43">
        <f t="shared" ca="1" si="151"/>
        <v>111.33052832691722</v>
      </c>
      <c r="AK177" s="43">
        <f t="shared" ca="1" si="151"/>
        <v>115.9098097394203</v>
      </c>
      <c r="AL177" s="43">
        <f t="shared" ca="1" si="151"/>
        <v>120.65934366807859</v>
      </c>
      <c r="AM177" s="43">
        <f t="shared" ca="1" si="151"/>
        <v>125.60317878851941</v>
      </c>
      <c r="AN177" s="43">
        <f t="shared" ca="1" si="151"/>
        <v>130.78949566218435</v>
      </c>
      <c r="AO177" s="43">
        <f t="shared" ca="1" si="151"/>
        <v>136.24072925513516</v>
      </c>
      <c r="AP177" s="43">
        <f t="shared" ca="1" si="151"/>
        <v>142.05013988359156</v>
      </c>
      <c r="AQ177" s="43">
        <f t="shared" ca="1" si="151"/>
        <v>148.19594097787495</v>
      </c>
      <c r="AR177" s="43">
        <f t="shared" ca="1" si="151"/>
        <v>154.75226859319369</v>
      </c>
      <c r="AS177" s="43">
        <f t="shared" ca="1" si="151"/>
        <v>161.71833891017457</v>
      </c>
      <c r="AT177" s="43">
        <f t="shared" ca="1" si="151"/>
        <v>168.88747588696103</v>
      </c>
      <c r="AU177" s="43">
        <f t="shared" ca="1" si="151"/>
        <v>176.34189330529401</v>
      </c>
      <c r="AV177" s="43">
        <f t="shared" ca="1" si="151"/>
        <v>184.0460498973458</v>
      </c>
      <c r="AW177" s="43">
        <f t="shared" ca="1" si="151"/>
        <v>192.07702097990114</v>
      </c>
    </row>
    <row r="178" spans="1:49" ht="15" x14ac:dyDescent="0.25">
      <c r="A178" s="2" t="s">
        <v>523</v>
      </c>
      <c r="B178" s="4" t="str">
        <f t="shared" si="145"/>
        <v>From Fiscal</v>
      </c>
      <c r="D178" s="47">
        <f>Fiscal!D$156</f>
        <v>23.722999999999999</v>
      </c>
      <c r="E178" s="44">
        <f>Fiscal!E$156</f>
        <v>24.420999999999999</v>
      </c>
      <c r="F178" s="44">
        <f>Fiscal!F$156</f>
        <v>25.395</v>
      </c>
      <c r="G178" s="44">
        <f>Fiscal!G$156</f>
        <v>26.039000000000001</v>
      </c>
      <c r="H178" s="44">
        <f>Fiscal!H$156</f>
        <v>26.815999999999999</v>
      </c>
      <c r="I178" s="44">
        <f>Fiscal!I$156</f>
        <v>27.789000000000001</v>
      </c>
      <c r="J178" s="8">
        <f t="shared" ref="J178:AW178" ca="1" si="152">J$177</f>
        <v>29.68333610928552</v>
      </c>
      <c r="K178" s="8">
        <f t="shared" ca="1" si="152"/>
        <v>31.772385841837348</v>
      </c>
      <c r="L178" s="8">
        <f t="shared" ca="1" si="152"/>
        <v>33.983950794995771</v>
      </c>
      <c r="M178" s="8">
        <f t="shared" ca="1" si="152"/>
        <v>36.2937738783315</v>
      </c>
      <c r="N178" s="8">
        <f t="shared" ca="1" si="152"/>
        <v>38.733875764795172</v>
      </c>
      <c r="O178" s="8">
        <f t="shared" ca="1" si="152"/>
        <v>41.235254289084693</v>
      </c>
      <c r="P178" s="8">
        <f t="shared" ca="1" si="152"/>
        <v>43.784210719566552</v>
      </c>
      <c r="Q178" s="8">
        <f t="shared" ca="1" si="152"/>
        <v>46.430691657400104</v>
      </c>
      <c r="R178" s="8">
        <f t="shared" ca="1" si="152"/>
        <v>49.160235948216403</v>
      </c>
      <c r="S178" s="8">
        <f t="shared" ca="1" si="152"/>
        <v>51.939510564326909</v>
      </c>
      <c r="T178" s="8">
        <f t="shared" ca="1" si="152"/>
        <v>54.807576101995245</v>
      </c>
      <c r="U178" s="8">
        <f t="shared" ca="1" si="152"/>
        <v>57.795919425224959</v>
      </c>
      <c r="V178" s="8">
        <f t="shared" ca="1" si="152"/>
        <v>60.918297992108464</v>
      </c>
      <c r="W178" s="8">
        <f t="shared" ca="1" si="152"/>
        <v>63.993070743986749</v>
      </c>
      <c r="X178" s="8">
        <f t="shared" ca="1" si="152"/>
        <v>67.093851455952759</v>
      </c>
      <c r="Y178" s="8">
        <f t="shared" ca="1" si="152"/>
        <v>70.35306656449373</v>
      </c>
      <c r="Z178" s="8">
        <f t="shared" ca="1" si="152"/>
        <v>73.698061862357577</v>
      </c>
      <c r="AA178" s="8">
        <f t="shared" ca="1" si="152"/>
        <v>77.096349300327816</v>
      </c>
      <c r="AB178" s="8">
        <f t="shared" ca="1" si="152"/>
        <v>80.538880960475211</v>
      </c>
      <c r="AC178" s="8">
        <f t="shared" ca="1" si="152"/>
        <v>84.020279546922168</v>
      </c>
      <c r="AD178" s="8">
        <f t="shared" ca="1" si="152"/>
        <v>87.533165051181413</v>
      </c>
      <c r="AE178" s="8">
        <f t="shared" ca="1" si="152"/>
        <v>91.162382565072733</v>
      </c>
      <c r="AF178" s="8">
        <f t="shared" ca="1" si="152"/>
        <v>94.871275417606284</v>
      </c>
      <c r="AG178" s="8">
        <f t="shared" ca="1" si="152"/>
        <v>98.757767288900766</v>
      </c>
      <c r="AH178" s="8">
        <f t="shared" ca="1" si="152"/>
        <v>102.78524262264594</v>
      </c>
      <c r="AI178" s="8">
        <f t="shared" ca="1" si="152"/>
        <v>106.97099062379525</v>
      </c>
      <c r="AJ178" s="8">
        <f t="shared" ca="1" si="152"/>
        <v>111.33052832691722</v>
      </c>
      <c r="AK178" s="8">
        <f t="shared" ca="1" si="152"/>
        <v>115.9098097394203</v>
      </c>
      <c r="AL178" s="8">
        <f t="shared" ca="1" si="152"/>
        <v>120.65934366807859</v>
      </c>
      <c r="AM178" s="8">
        <f t="shared" ca="1" si="152"/>
        <v>125.60317878851941</v>
      </c>
      <c r="AN178" s="8">
        <f t="shared" ca="1" si="152"/>
        <v>130.78949566218435</v>
      </c>
      <c r="AO178" s="8">
        <f t="shared" ca="1" si="152"/>
        <v>136.24072925513516</v>
      </c>
      <c r="AP178" s="8">
        <f t="shared" ca="1" si="152"/>
        <v>142.05013988359156</v>
      </c>
      <c r="AQ178" s="8">
        <f t="shared" ca="1" si="152"/>
        <v>148.19594097787495</v>
      </c>
      <c r="AR178" s="8">
        <f t="shared" ca="1" si="152"/>
        <v>154.75226859319369</v>
      </c>
      <c r="AS178" s="8">
        <f t="shared" ca="1" si="152"/>
        <v>161.71833891017457</v>
      </c>
      <c r="AT178" s="8">
        <f t="shared" ca="1" si="152"/>
        <v>168.88747588696103</v>
      </c>
      <c r="AU178" s="8">
        <f t="shared" ca="1" si="152"/>
        <v>176.34189330529401</v>
      </c>
      <c r="AV178" s="8">
        <f t="shared" ca="1" si="152"/>
        <v>184.0460498973458</v>
      </c>
      <c r="AW178" s="8">
        <f t="shared" ca="1" si="152"/>
        <v>192.07702097990114</v>
      </c>
    </row>
    <row r="179" spans="1:49" x14ac:dyDescent="0.2">
      <c r="A179" s="1" t="s">
        <v>524</v>
      </c>
      <c r="B179" s="4" t="str">
        <f t="shared" si="145"/>
        <v>From Fiscal</v>
      </c>
      <c r="D179" s="18">
        <f>Fiscal!D$53-D$172</f>
        <v>1.6800000000000033</v>
      </c>
      <c r="E179" s="19">
        <f ca="1">Fiscal!E$53-E$172  +IF(OR(OFFSET(Assumptions!$B$72,0,$C$1)="BU",OFFSET(Assumptions!$B$113,0,$C$1)="SND"),Allocate!C$14,0)</f>
        <v>1.5870000000000004</v>
      </c>
      <c r="F179" s="19">
        <f ca="1">Fiscal!F$53-F$172  +IF(OR(OFFSET(Assumptions!$B$72,0,$C$1)="BU",OFFSET(Assumptions!$B$113,0,$C$1)="SND"),Allocate!D$14,0)</f>
        <v>1.6570000000000005</v>
      </c>
      <c r="G179" s="19">
        <f ca="1">Fiscal!G$53-G$172  +IF(OR(OFFSET(Assumptions!$B$72,0,$C$1)="BU",OFFSET(Assumptions!$B$113,0,$C$1)="SND"),Allocate!E$14,0)</f>
        <v>1.5969999999999978</v>
      </c>
      <c r="H179" s="19">
        <f ca="1">Fiscal!H$53-H$172  +IF(OR(OFFSET(Assumptions!$B$72,0,$C$1)="BU",OFFSET(Assumptions!$B$113,0,$C$1)="SND"),Allocate!F$14,0)</f>
        <v>1.6179999999999994</v>
      </c>
      <c r="I179" s="19">
        <f ca="1">Fiscal!I$53-I$172  +IF(OR(OFFSET(Assumptions!$B$72,0,$C$1)="BU",OFFSET(Assumptions!$B$113,0,$C$1)="SND"),Allocate!G$14,0)</f>
        <v>1.6609999999999985</v>
      </c>
      <c r="J179" s="7">
        <f ca="1">IF(OFFSET(Assumptions!$B$72,0,$C$1)="BU",J$14*(I$179/I$14+MIN(ABS(OFFSET(Assumptions!$B$76,0,$C$1)-I$179/I$14),OFFSET(Assumptions!$B$75,0,$C$1))*SIGN(OFFSET(Assumptions!$B$76,0,$C$1)-I$179/I$14)),I$179+IF(OFFSET(Assumptions!$B$113,0,$C$1)="SND",Allocate!$B$14*J$232*J$14,0))</f>
        <v>1.8868883006442136</v>
      </c>
      <c r="K179" s="7">
        <f ca="1">IF(OFFSET(Assumptions!$B$72,0,$C$1)="BU",K$14*(J$179/J$14+MIN(ABS(OFFSET(Assumptions!$B$76,0,$C$1)-J$179/J$14),OFFSET(Assumptions!$B$75,0,$C$1))*SIGN(OFFSET(Assumptions!$B$76,0,$C$1)-J$179/J$14)),J$179+IF(OFFSET(Assumptions!$B$113,0,$C$1)="SND",Allocate!$B$14*K$232*K$14,0))</f>
        <v>2.1281552703418338</v>
      </c>
      <c r="L179" s="7">
        <f ca="1">IF(OFFSET(Assumptions!$B$72,0,$C$1)="BU",L$14*(K$179/K$14+MIN(ABS(OFFSET(Assumptions!$B$76,0,$C$1)-K$179/K$14),OFFSET(Assumptions!$B$75,0,$C$1))*SIGN(OFFSET(Assumptions!$B$76,0,$C$1)-K$179/K$14)),K$179+IF(OFFSET(Assumptions!$B$113,0,$C$1)="SND",Allocate!$B$14*L$232*L$14,0))</f>
        <v>2.3723475592562453</v>
      </c>
      <c r="M179" s="7">
        <f ca="1">IF(OFFSET(Assumptions!$B$72,0,$C$1)="BU",M$14*(L$179/L$14+MIN(ABS(OFFSET(Assumptions!$B$76,0,$C$1)-L$179/L$14),OFFSET(Assumptions!$B$75,0,$C$1))*SIGN(OFFSET(Assumptions!$B$76,0,$C$1)-L$179/L$14)),L$179+IF(OFFSET(Assumptions!$B$113,0,$C$1)="SND",Allocate!$B$14*M$232*M$14,0))</f>
        <v>2.4748482842230795</v>
      </c>
      <c r="N179" s="7">
        <f ca="1">IF(OFFSET(Assumptions!$B$72,0,$C$1)="BU",N$14*(M$179/M$14+MIN(ABS(OFFSET(Assumptions!$B$76,0,$C$1)-M$179/M$14),OFFSET(Assumptions!$B$75,0,$C$1))*SIGN(OFFSET(Assumptions!$B$76,0,$C$1)-M$179/M$14)),M$179+IF(OFFSET(Assumptions!$B$113,0,$C$1)="SND",Allocate!$B$14*N$232*N$14,0))</f>
        <v>2.5815822454810751</v>
      </c>
      <c r="O179" s="7">
        <f ca="1">IF(OFFSET(Assumptions!$B$72,0,$C$1)="BU",O$14*(N$179/N$14+MIN(ABS(OFFSET(Assumptions!$B$76,0,$C$1)-N$179/N$14),OFFSET(Assumptions!$B$75,0,$C$1))*SIGN(OFFSET(Assumptions!$B$76,0,$C$1)-N$179/N$14)),N$179+IF(OFFSET(Assumptions!$B$113,0,$C$1)="SND",Allocate!$B$14*O$232*O$14,0))</f>
        <v>2.691781557726896</v>
      </c>
      <c r="P179" s="7">
        <f ca="1">IF(OFFSET(Assumptions!$B$72,0,$C$1)="BU",P$14*(O$179/O$14+MIN(ABS(OFFSET(Assumptions!$B$76,0,$C$1)-O$179/O$14),OFFSET(Assumptions!$B$75,0,$C$1))*SIGN(OFFSET(Assumptions!$B$76,0,$C$1)-O$179/O$14)),O$179+IF(OFFSET(Assumptions!$B$113,0,$C$1)="SND",Allocate!$B$14*P$232*P$14,0))</f>
        <v>2.8056140421330071</v>
      </c>
      <c r="Q179" s="7">
        <f ca="1">IF(OFFSET(Assumptions!$B$72,0,$C$1)="BU",Q$14*(P$179/P$14+MIN(ABS(OFFSET(Assumptions!$B$76,0,$C$1)-P$179/P$14),OFFSET(Assumptions!$B$75,0,$C$1))*SIGN(OFFSET(Assumptions!$B$76,0,$C$1)-P$179/P$14)),P$179+IF(OFFSET(Assumptions!$B$113,0,$C$1)="SND",Allocate!$B$14*Q$232*Q$14,0))</f>
        <v>2.9229567387144706</v>
      </c>
      <c r="R179" s="7">
        <f ca="1">IF(OFFSET(Assumptions!$B$72,0,$C$1)="BU",R$14*(Q$179/Q$14+MIN(ABS(OFFSET(Assumptions!$B$76,0,$C$1)-Q$179/Q$14),OFFSET(Assumptions!$B$75,0,$C$1))*SIGN(OFFSET(Assumptions!$B$76,0,$C$1)-Q$179/Q$14)),Q$179+IF(OFFSET(Assumptions!$B$113,0,$C$1)="SND",Allocate!$B$14*R$232*R$14,0))</f>
        <v>3.0437225536676227</v>
      </c>
      <c r="S179" s="7">
        <f ca="1">IF(OFFSET(Assumptions!$B$72,0,$C$1)="BU",S$14*(R$179/R$14+MIN(ABS(OFFSET(Assumptions!$B$76,0,$C$1)-R$179/R$14),OFFSET(Assumptions!$B$75,0,$C$1))*SIGN(OFFSET(Assumptions!$B$76,0,$C$1)-R$179/R$14)),R$179+IF(OFFSET(Assumptions!$B$113,0,$C$1)="SND",Allocate!$B$14*S$232*S$14,0))</f>
        <v>3.1682952758279002</v>
      </c>
      <c r="T179" s="7">
        <f ca="1">IF(OFFSET(Assumptions!$B$72,0,$C$1)="BU",T$14*(S$179/S$14+MIN(ABS(OFFSET(Assumptions!$B$76,0,$C$1)-S$179/S$14),OFFSET(Assumptions!$B$75,0,$C$1))*SIGN(OFFSET(Assumptions!$B$76,0,$C$1)-S$179/S$14)),S$179+IF(OFFSET(Assumptions!$B$113,0,$C$1)="SND",Allocate!$B$14*T$232*T$14,0))</f>
        <v>3.296720332649449</v>
      </c>
      <c r="U179" s="7">
        <f ca="1">IF(OFFSET(Assumptions!$B$72,0,$C$1)="BU",U$14*(T$179/T$14+MIN(ABS(OFFSET(Assumptions!$B$76,0,$C$1)-T$179/T$14),OFFSET(Assumptions!$B$75,0,$C$1))*SIGN(OFFSET(Assumptions!$B$76,0,$C$1)-T$179/T$14)),T$179+IF(OFFSET(Assumptions!$B$113,0,$C$1)="SND",Allocate!$B$14*U$232*U$14,0))</f>
        <v>3.42945863827596</v>
      </c>
      <c r="V179" s="7">
        <f ca="1">IF(OFFSET(Assumptions!$B$72,0,$C$1)="BU",V$14*(U$179/U$14+MIN(ABS(OFFSET(Assumptions!$B$76,0,$C$1)-U$179/U$14),OFFSET(Assumptions!$B$75,0,$C$1))*SIGN(OFFSET(Assumptions!$B$76,0,$C$1)-U$179/U$14)),U$179+IF(OFFSET(Assumptions!$B$113,0,$C$1)="SND",Allocate!$B$14*V$232*V$14,0))</f>
        <v>3.5668378579730424</v>
      </c>
      <c r="W179" s="7">
        <f ca="1">IF(OFFSET(Assumptions!$B$72,0,$C$1)="BU",W$14*(V$179/V$14+MIN(ABS(OFFSET(Assumptions!$B$76,0,$C$1)-V$179/V$14),OFFSET(Assumptions!$B$75,0,$C$1))*SIGN(OFFSET(Assumptions!$B$76,0,$C$1)-V$179/V$14)),V$179+IF(OFFSET(Assumptions!$B$113,0,$C$1)="SND",Allocate!$B$14*W$232*W$14,0))</f>
        <v>3.7092560139923298</v>
      </c>
      <c r="X179" s="7">
        <f ca="1">IF(OFFSET(Assumptions!$B$72,0,$C$1)="BU",X$14*(W$179/W$14+MIN(ABS(OFFSET(Assumptions!$B$76,0,$C$1)-W$179/W$14),OFFSET(Assumptions!$B$75,0,$C$1))*SIGN(OFFSET(Assumptions!$B$76,0,$C$1)-W$179/W$14)),W$179+IF(OFFSET(Assumptions!$B$113,0,$C$1)="SND",Allocate!$B$14*X$232*X$14,0))</f>
        <v>3.8571642097659899</v>
      </c>
      <c r="Y179" s="7">
        <f ca="1">IF(OFFSET(Assumptions!$B$72,0,$C$1)="BU",Y$14*(X$179/X$14+MIN(ABS(OFFSET(Assumptions!$B$76,0,$C$1)-X$179/X$14),OFFSET(Assumptions!$B$75,0,$C$1))*SIGN(OFFSET(Assumptions!$B$76,0,$C$1)-X$179/X$14)),X$179+IF(OFFSET(Assumptions!$B$113,0,$C$1)="SND",Allocate!$B$14*Y$232*Y$14,0))</f>
        <v>4.0105473241790532</v>
      </c>
      <c r="Z179" s="7">
        <f ca="1">IF(OFFSET(Assumptions!$B$72,0,$C$1)="BU",Z$14*(Y$179/Y$14+MIN(ABS(OFFSET(Assumptions!$B$76,0,$C$1)-Y$179/Y$14),OFFSET(Assumptions!$B$75,0,$C$1))*SIGN(OFFSET(Assumptions!$B$76,0,$C$1)-Y$179/Y$14)),Y$179+IF(OFFSET(Assumptions!$B$113,0,$C$1)="SND",Allocate!$B$14*Z$232*Z$14,0))</f>
        <v>4.1701817277058613</v>
      </c>
      <c r="AA179" s="7">
        <f ca="1">IF(OFFSET(Assumptions!$B$72,0,$C$1)="BU",AA$14*(Z$179/Z$14+MIN(ABS(OFFSET(Assumptions!$B$76,0,$C$1)-Z$179/Z$14),OFFSET(Assumptions!$B$75,0,$C$1))*SIGN(OFFSET(Assumptions!$B$76,0,$C$1)-Z$179/Z$14)),Z$179+IF(OFFSET(Assumptions!$B$113,0,$C$1)="SND",Allocate!$B$14*AA$232*AA$14,0))</f>
        <v>4.3363257093618186</v>
      </c>
      <c r="AB179" s="7">
        <f ca="1">IF(OFFSET(Assumptions!$B$72,0,$C$1)="BU",AB$14*(AA$179/AA$14+MIN(ABS(OFFSET(Assumptions!$B$76,0,$C$1)-AA$179/AA$14),OFFSET(Assumptions!$B$75,0,$C$1))*SIGN(OFFSET(Assumptions!$B$76,0,$C$1)-AA$179/AA$14)),AA$179+IF(OFFSET(Assumptions!$B$113,0,$C$1)="SND",Allocate!$B$14*AB$232*AB$14,0))</f>
        <v>4.5094782148674444</v>
      </c>
      <c r="AC179" s="7">
        <f ca="1">IF(OFFSET(Assumptions!$B$72,0,$C$1)="BU",AC$14*(AB$179/AB$14+MIN(ABS(OFFSET(Assumptions!$B$76,0,$C$1)-AB$179/AB$14),OFFSET(Assumptions!$B$75,0,$C$1))*SIGN(OFFSET(Assumptions!$B$76,0,$C$1)-AB$179/AB$14)),AB$179+IF(OFFSET(Assumptions!$B$113,0,$C$1)="SND",Allocate!$B$14*AC$232*AC$14,0))</f>
        <v>4.6902929184282307</v>
      </c>
      <c r="AD179" s="7">
        <f ca="1">IF(OFFSET(Assumptions!$B$72,0,$C$1)="BU",AD$14*(AC$179/AC$14+MIN(ABS(OFFSET(Assumptions!$B$76,0,$C$1)-AC$179/AC$14),OFFSET(Assumptions!$B$75,0,$C$1))*SIGN(OFFSET(Assumptions!$B$76,0,$C$1)-AC$179/AC$14)),AC$179+IF(OFFSET(Assumptions!$B$113,0,$C$1)="SND",Allocate!$B$14*AD$232*AD$14,0))</f>
        <v>4.8789604009722076</v>
      </c>
      <c r="AE179" s="7">
        <f ca="1">IF(OFFSET(Assumptions!$B$72,0,$C$1)="BU",AE$14*(AD$179/AD$14+MIN(ABS(OFFSET(Assumptions!$B$76,0,$C$1)-AD$179/AD$14),OFFSET(Assumptions!$B$75,0,$C$1))*SIGN(OFFSET(Assumptions!$B$76,0,$C$1)-AD$179/AD$14)),AD$179+IF(OFFSET(Assumptions!$B$113,0,$C$1)="SND",Allocate!$B$14*AE$232*AE$14,0))</f>
        <v>5.0753073965634652</v>
      </c>
      <c r="AF179" s="7">
        <f ca="1">IF(OFFSET(Assumptions!$B$72,0,$C$1)="BU",AF$14*(AE$179/AE$14+MIN(ABS(OFFSET(Assumptions!$B$76,0,$C$1)-AE$179/AE$14),OFFSET(Assumptions!$B$75,0,$C$1))*SIGN(OFFSET(Assumptions!$B$76,0,$C$1)-AE$179/AE$14)),AE$179+IF(OFFSET(Assumptions!$B$113,0,$C$1)="SND",Allocate!$B$14*AF$232*AF$14,0))</f>
        <v>5.279877118721271</v>
      </c>
      <c r="AG179" s="7">
        <f ca="1">IF(OFFSET(Assumptions!$B$72,0,$C$1)="BU",AG$14*(AF$179/AF$14+MIN(ABS(OFFSET(Assumptions!$B$76,0,$C$1)-AF$179/AF$14),OFFSET(Assumptions!$B$75,0,$C$1))*SIGN(OFFSET(Assumptions!$B$76,0,$C$1)-AF$179/AF$14)),AF$179+IF(OFFSET(Assumptions!$B$113,0,$C$1)="SND",Allocate!$B$14*AG$232*AG$14,0))</f>
        <v>5.4927839542800907</v>
      </c>
      <c r="AH179" s="7">
        <f ca="1">IF(OFFSET(Assumptions!$B$72,0,$C$1)="BU",AH$14*(AG$179/AG$14+MIN(ABS(OFFSET(Assumptions!$B$76,0,$C$1)-AG$179/AG$14),OFFSET(Assumptions!$B$75,0,$C$1))*SIGN(OFFSET(Assumptions!$B$76,0,$C$1)-AG$179/AG$14)),AG$179+IF(OFFSET(Assumptions!$B$113,0,$C$1)="SND",Allocate!$B$14*AH$232*AH$14,0))</f>
        <v>5.7143693141235605</v>
      </c>
      <c r="AI179" s="7">
        <f ca="1">IF(OFFSET(Assumptions!$B$72,0,$C$1)="BU",AI$14*(AH$179/AH$14+MIN(ABS(OFFSET(Assumptions!$B$76,0,$C$1)-AH$179/AH$14),OFFSET(Assumptions!$B$75,0,$C$1))*SIGN(OFFSET(Assumptions!$B$76,0,$C$1)-AH$179/AH$14)),AH$179+IF(OFFSET(Assumptions!$B$113,0,$C$1)="SND",Allocate!$B$14*AI$232*AI$14,0))</f>
        <v>5.9442460152758381</v>
      </c>
      <c r="AJ179" s="7">
        <f ca="1">IF(OFFSET(Assumptions!$B$72,0,$C$1)="BU",AJ$14*(AI$179/AI$14+MIN(ABS(OFFSET(Assumptions!$B$76,0,$C$1)-AI$179/AI$14),OFFSET(Assumptions!$B$75,0,$C$1))*SIGN(OFFSET(Assumptions!$B$76,0,$C$1)-AI$179/AI$14)),AI$179+IF(OFFSET(Assumptions!$B$113,0,$C$1)="SND",Allocate!$B$14*AJ$232*AJ$14,0))</f>
        <v>6.1831504673429878</v>
      </c>
      <c r="AK179" s="7">
        <f ca="1">IF(OFFSET(Assumptions!$B$72,0,$C$1)="BU",AK$14*(AJ$179/AJ$14+MIN(ABS(OFFSET(Assumptions!$B$76,0,$C$1)-AJ$179/AJ$14),OFFSET(Assumptions!$B$75,0,$C$1))*SIGN(OFFSET(Assumptions!$B$76,0,$C$1)-AJ$179/AJ$14)),AJ$179+IF(OFFSET(Assumptions!$B$113,0,$C$1)="SND",Allocate!$B$14*AK$232*AK$14,0))</f>
        <v>6.4308861401636257</v>
      </c>
      <c r="AL179" s="7">
        <f ca="1">IF(OFFSET(Assumptions!$B$72,0,$C$1)="BU",AL$14*(AK$179/AK$14+MIN(ABS(OFFSET(Assumptions!$B$76,0,$C$1)-AK$179/AK$14),OFFSET(Assumptions!$B$75,0,$C$1))*SIGN(OFFSET(Assumptions!$B$76,0,$C$1)-AK$179/AK$14)),AK$179+IF(OFFSET(Assumptions!$B$113,0,$C$1)="SND",Allocate!$B$14*AL$232*AL$14,0))</f>
        <v>6.6872578855136968</v>
      </c>
      <c r="AM179" s="7">
        <f ca="1">IF(OFFSET(Assumptions!$B$72,0,$C$1)="BU",AM$14*(AL$179/AL$14+MIN(ABS(OFFSET(Assumptions!$B$76,0,$C$1)-AL$179/AL$14),OFFSET(Assumptions!$B$75,0,$C$1))*SIGN(OFFSET(Assumptions!$B$76,0,$C$1)-AL$179/AL$14)),AL$179+IF(OFFSET(Assumptions!$B$113,0,$C$1)="SND",Allocate!$B$14*AM$232*AM$14,0))</f>
        <v>6.9526159405821515</v>
      </c>
      <c r="AN179" s="7">
        <f ca="1">IF(OFFSET(Assumptions!$B$72,0,$C$1)="BU",AN$14*(AM$179/AM$14+MIN(ABS(OFFSET(Assumptions!$B$76,0,$C$1)-AM$179/AM$14),OFFSET(Assumptions!$B$75,0,$C$1))*SIGN(OFFSET(Assumptions!$B$76,0,$C$1)-AM$179/AM$14)),AM$179+IF(OFFSET(Assumptions!$B$113,0,$C$1)="SND",Allocate!$B$14*AN$232*AN$14,0))</f>
        <v>7.2273294158538377</v>
      </c>
      <c r="AO179" s="7">
        <f ca="1">IF(OFFSET(Assumptions!$B$72,0,$C$1)="BU",AO$14*(AN$179/AN$14+MIN(ABS(OFFSET(Assumptions!$B$76,0,$C$1)-AN$179/AN$14),OFFSET(Assumptions!$B$75,0,$C$1))*SIGN(OFFSET(Assumptions!$B$76,0,$C$1)-AN$179/AN$14)),AN$179+IF(OFFSET(Assumptions!$B$113,0,$C$1)="SND",Allocate!$B$14*AO$232*AO$14,0))</f>
        <v>7.5103196065116871</v>
      </c>
      <c r="AP179" s="7">
        <f ca="1">IF(OFFSET(Assumptions!$B$72,0,$C$1)="BU",AP$14*(AO$179/AO$14+MIN(ABS(OFFSET(Assumptions!$B$76,0,$C$1)-AO$179/AO$14),OFFSET(Assumptions!$B$75,0,$C$1))*SIGN(OFFSET(Assumptions!$B$76,0,$C$1)-AO$179/AO$14)),AO$179+IF(OFFSET(Assumptions!$B$113,0,$C$1)="SND",Allocate!$B$14*AP$232*AP$14,0))</f>
        <v>7.8027882290188719</v>
      </c>
      <c r="AQ179" s="7">
        <f ca="1">IF(OFFSET(Assumptions!$B$72,0,$C$1)="BU",AQ$14*(AP$179/AP$14+MIN(ABS(OFFSET(Assumptions!$B$76,0,$C$1)-AP$179/AP$14),OFFSET(Assumptions!$B$75,0,$C$1))*SIGN(OFFSET(Assumptions!$B$76,0,$C$1)-AP$179/AP$14)),AP$179+IF(OFFSET(Assumptions!$B$113,0,$C$1)="SND",Allocate!$B$14*AQ$232*AQ$14,0))</f>
        <v>8.1039157872180763</v>
      </c>
      <c r="AR179" s="7">
        <f ca="1">IF(OFFSET(Assumptions!$B$72,0,$C$1)="BU",AR$14*(AQ$179/AQ$14+MIN(ABS(OFFSET(Assumptions!$B$76,0,$C$1)-AQ$179/AQ$14),OFFSET(Assumptions!$B$75,0,$C$1))*SIGN(OFFSET(Assumptions!$B$76,0,$C$1)-AQ$179/AQ$14)),AQ$179+IF(OFFSET(Assumptions!$B$113,0,$C$1)="SND",Allocate!$B$14*AR$232*AR$14,0))</f>
        <v>8.4140432113759616</v>
      </c>
      <c r="AS179" s="7">
        <f ca="1">IF(OFFSET(Assumptions!$B$72,0,$C$1)="BU",AS$14*(AR$179/AR$14+MIN(ABS(OFFSET(Assumptions!$B$76,0,$C$1)-AR$179/AR$14),OFFSET(Assumptions!$B$75,0,$C$1))*SIGN(OFFSET(Assumptions!$B$76,0,$C$1)-AR$179/AR$14)),AR$179+IF(OFFSET(Assumptions!$B$113,0,$C$1)="SND",Allocate!$B$14*AS$232*AS$14,0))</f>
        <v>8.7338940198278081</v>
      </c>
      <c r="AT179" s="7">
        <f ca="1">IF(OFFSET(Assumptions!$B$72,0,$C$1)="BU",AT$14*(AS$179/AS$14+MIN(ABS(OFFSET(Assumptions!$B$76,0,$C$1)-AS$179/AS$14),OFFSET(Assumptions!$B$75,0,$C$1))*SIGN(OFFSET(Assumptions!$B$76,0,$C$1)-AS$179/AS$14)),AS$179+IF(OFFSET(Assumptions!$B$113,0,$C$1)="SND",Allocate!$B$14*AT$232*AT$14,0))</f>
        <v>9.0637236669426979</v>
      </c>
      <c r="AU179" s="7">
        <f ca="1">IF(OFFSET(Assumptions!$B$72,0,$C$1)="BU",AU$14*(AT$179/AT$14+MIN(ABS(OFFSET(Assumptions!$B$76,0,$C$1)-AT$179/AT$14),OFFSET(Assumptions!$B$75,0,$C$1))*SIGN(OFFSET(Assumptions!$B$76,0,$C$1)-AT$179/AT$14)),AT$179+IF(OFFSET(Assumptions!$B$113,0,$C$1)="SND",Allocate!$B$14*AU$232*AU$14,0))</f>
        <v>9.4039707525186049</v>
      </c>
      <c r="AV179" s="7">
        <f ca="1">IF(OFFSET(Assumptions!$B$72,0,$C$1)="BU",AV$14*(AU$179/AU$14+MIN(ABS(OFFSET(Assumptions!$B$76,0,$C$1)-AU$179/AU$14),OFFSET(Assumptions!$B$75,0,$C$1))*SIGN(OFFSET(Assumptions!$B$76,0,$C$1)-AU$179/AU$14)),AU$179+IF(OFFSET(Assumptions!$B$113,0,$C$1)="SND",Allocate!$B$14*AV$232*AV$14,0))</f>
        <v>9.7556872858609207</v>
      </c>
      <c r="AW179" s="7">
        <f ca="1">IF(OFFSET(Assumptions!$B$72,0,$C$1)="BU",AW$14*(AV$179/AV$14+MIN(ABS(OFFSET(Assumptions!$B$76,0,$C$1)-AV$179/AV$14),OFFSET(Assumptions!$B$75,0,$C$1))*SIGN(OFFSET(Assumptions!$B$76,0,$C$1)-AV$179/AV$14)),AV$179+IF(OFFSET(Assumptions!$B$113,0,$C$1)="SND",Allocate!$B$14*AW$232*AW$14,0))</f>
        <v>10.118674703227846</v>
      </c>
    </row>
    <row r="180" spans="1:49" ht="15" x14ac:dyDescent="0.25">
      <c r="A180" s="2" t="s">
        <v>525</v>
      </c>
      <c r="B180" s="4"/>
      <c r="D180" s="47">
        <f t="shared" ref="D180" si="153">SUM(D$172,D$179)</f>
        <v>23.523</v>
      </c>
      <c r="E180" s="44">
        <f t="shared" ref="E180:AW180" ca="1" si="154">SUM(E$172,E$179)</f>
        <v>24.280999999999999</v>
      </c>
      <c r="F180" s="44">
        <f t="shared" ca="1" si="154"/>
        <v>25.212</v>
      </c>
      <c r="G180" s="44">
        <f t="shared" ca="1" si="154"/>
        <v>25.731999999999999</v>
      </c>
      <c r="H180" s="44">
        <f t="shared" ca="1" si="154"/>
        <v>26.504999999999999</v>
      </c>
      <c r="I180" s="44">
        <f t="shared" ca="1" si="154"/>
        <v>27.477</v>
      </c>
      <c r="J180" s="8">
        <f t="shared" ca="1" si="154"/>
        <v>29.450036362531513</v>
      </c>
      <c r="K180" s="8">
        <f t="shared" ca="1" si="154"/>
        <v>31.693232830158415</v>
      </c>
      <c r="L180" s="8">
        <f t="shared" ca="1" si="154"/>
        <v>34.053313653925194</v>
      </c>
      <c r="M180" s="8">
        <f t="shared" ca="1" si="154"/>
        <v>36.366133660413389</v>
      </c>
      <c r="N180" s="8">
        <f t="shared" ca="1" si="154"/>
        <v>38.809356241679495</v>
      </c>
      <c r="O180" s="8">
        <f t="shared" ca="1" si="154"/>
        <v>41.313956780938788</v>
      </c>
      <c r="P180" s="8">
        <f t="shared" ca="1" si="154"/>
        <v>43.866241453324591</v>
      </c>
      <c r="Q180" s="8">
        <f t="shared" ca="1" si="154"/>
        <v>46.51615326488389</v>
      </c>
      <c r="R180" s="8">
        <f t="shared" ca="1" si="154"/>
        <v>49.249228514793181</v>
      </c>
      <c r="S180" s="8">
        <f t="shared" ca="1" si="154"/>
        <v>52.032145396607945</v>
      </c>
      <c r="T180" s="8">
        <f t="shared" ca="1" si="154"/>
        <v>54.903965834802797</v>
      </c>
      <c r="U180" s="8">
        <f t="shared" ca="1" si="154"/>
        <v>57.896190169620283</v>
      </c>
      <c r="V180" s="8">
        <f t="shared" ca="1" si="154"/>
        <v>61.022585439452101</v>
      </c>
      <c r="W180" s="8">
        <f t="shared" ca="1" si="154"/>
        <v>64.101522223040831</v>
      </c>
      <c r="X180" s="8">
        <f t="shared" ca="1" si="154"/>
        <v>67.2066274848722</v>
      </c>
      <c r="Y180" s="8">
        <f t="shared" ca="1" si="154"/>
        <v>70.470327219321248</v>
      </c>
      <c r="Z180" s="8">
        <f t="shared" ca="1" si="154"/>
        <v>73.819989918708487</v>
      </c>
      <c r="AA180" s="8">
        <f t="shared" ca="1" si="154"/>
        <v>77.223135085689236</v>
      </c>
      <c r="AB180" s="8">
        <f t="shared" ca="1" si="154"/>
        <v>80.670729390543045</v>
      </c>
      <c r="AC180" s="8">
        <f t="shared" ca="1" si="154"/>
        <v>84.157414649563123</v>
      </c>
      <c r="AD180" s="8">
        <f t="shared" ca="1" si="154"/>
        <v>87.675816426480324</v>
      </c>
      <c r="AE180" s="8">
        <f t="shared" ca="1" si="154"/>
        <v>91.310774747153218</v>
      </c>
      <c r="AF180" s="8">
        <f t="shared" ca="1" si="154"/>
        <v>95.025648823105698</v>
      </c>
      <c r="AG180" s="8">
        <f t="shared" ca="1" si="154"/>
        <v>98.918365678906497</v>
      </c>
      <c r="AH180" s="8">
        <f t="shared" ca="1" si="154"/>
        <v>102.95231974043996</v>
      </c>
      <c r="AI180" s="8">
        <f t="shared" ca="1" si="154"/>
        <v>107.1447888921774</v>
      </c>
      <c r="AJ180" s="8">
        <f t="shared" ca="1" si="154"/>
        <v>111.51131169988142</v>
      </c>
      <c r="AK180" s="8">
        <f t="shared" ca="1" si="154"/>
        <v>116.09783642479822</v>
      </c>
      <c r="AL180" s="8">
        <f t="shared" ca="1" si="154"/>
        <v>120.85486616794493</v>
      </c>
      <c r="AM180" s="8">
        <f t="shared" ca="1" si="154"/>
        <v>125.80645984520754</v>
      </c>
      <c r="AN180" s="8">
        <f t="shared" ca="1" si="154"/>
        <v>131.00080881010504</v>
      </c>
      <c r="AO180" s="8">
        <f t="shared" ca="1" si="154"/>
        <v>136.46031648945456</v>
      </c>
      <c r="AP180" s="8">
        <f t="shared" ca="1" si="154"/>
        <v>142.27827833534326</v>
      </c>
      <c r="AQ180" s="8">
        <f t="shared" ca="1" si="154"/>
        <v>148.43288381760837</v>
      </c>
      <c r="AR180" s="8">
        <f t="shared" ca="1" si="154"/>
        <v>154.99827895960047</v>
      </c>
      <c r="AS180" s="8">
        <f t="shared" ca="1" si="154"/>
        <v>161.97370109622452</v>
      </c>
      <c r="AT180" s="8">
        <f t="shared" ca="1" si="154"/>
        <v>169.1524816546162</v>
      </c>
      <c r="AU180" s="8">
        <f t="shared" ca="1" si="154"/>
        <v>176.61684724032699</v>
      </c>
      <c r="AV180" s="8">
        <f t="shared" ca="1" si="154"/>
        <v>184.33128734424881</v>
      </c>
      <c r="AW180" s="8">
        <f t="shared" ca="1" si="154"/>
        <v>192.37287147754608</v>
      </c>
    </row>
    <row r="181" spans="1:49" x14ac:dyDescent="0.2">
      <c r="A181" s="1" t="s">
        <v>526</v>
      </c>
      <c r="B181" s="4" t="str">
        <f t="shared" si="145"/>
        <v>From Fiscal</v>
      </c>
      <c r="D181" s="18">
        <f>Fiscal!D$193</f>
        <v>5.2460000000000004</v>
      </c>
      <c r="E181" s="19">
        <f>Fiscal!E$193</f>
        <v>5.234</v>
      </c>
      <c r="F181" s="19">
        <f>Fiscal!F$193</f>
        <v>5.4420000000000002</v>
      </c>
      <c r="G181" s="19">
        <f>Fiscal!G$193</f>
        <v>5.4930000000000003</v>
      </c>
      <c r="H181" s="19">
        <f>Fiscal!H$193</f>
        <v>5.8639999999999999</v>
      </c>
      <c r="I181" s="19">
        <f>Fiscal!I$193</f>
        <v>6.1390000000000002</v>
      </c>
      <c r="J181" s="7">
        <f>I$181*Exogenous!Q$25/Exogenous!P$25</f>
        <v>6.4134014816801432</v>
      </c>
      <c r="K181" s="7">
        <f>J$181*Exogenous!R$25/Exogenous!Q$25</f>
        <v>6.71274879118603</v>
      </c>
      <c r="L181" s="7">
        <f>K$181*Exogenous!S$25/Exogenous!R$25</f>
        <v>7.018567541074888</v>
      </c>
      <c r="M181" s="7">
        <f>L$181*Exogenous!T$25/Exogenous!S$25</f>
        <v>7.3542874529158659</v>
      </c>
      <c r="N181" s="7">
        <f>M$181*Exogenous!U$25/Exogenous!T$25</f>
        <v>7.6617469822335202</v>
      </c>
      <c r="O181" s="7">
        <f>N$181*Exogenous!V$25/Exogenous!U$25</f>
        <v>7.9834907164048809</v>
      </c>
      <c r="P181" s="7">
        <f>O$181*Exogenous!W$25/Exogenous!V$25</f>
        <v>8.2977775476766329</v>
      </c>
      <c r="Q181" s="7">
        <f>P$181*Exogenous!X$25/Exogenous!W$25</f>
        <v>8.6215791879817232</v>
      </c>
      <c r="R181" s="7">
        <f>Q$181*Exogenous!Y$25/Exogenous!X$25</f>
        <v>8.9553096524377889</v>
      </c>
      <c r="S181" s="7">
        <f>R$181*Exogenous!Z$25/Exogenous!Y$25</f>
        <v>9.2994014417259603</v>
      </c>
      <c r="T181" s="7">
        <f>S$181*Exogenous!AA$25/Exogenous!Z$25</f>
        <v>9.6543063848929904</v>
      </c>
      <c r="U181" s="7">
        <f>T$181*Exogenous!AB$25/Exogenous!AA$25</f>
        <v>10.020496521268131</v>
      </c>
      <c r="V181" s="7">
        <f>U$181*Exogenous!AC$25/Exogenous!AB$25</f>
        <v>10.398465023338829</v>
      </c>
      <c r="W181" s="7">
        <f>V$181*Exogenous!AD$25/Exogenous!AC$25</f>
        <v>10.788727162518127</v>
      </c>
      <c r="X181" s="7">
        <f>W$181*Exogenous!AE$25/Exogenous!AD$25</f>
        <v>11.191821319828581</v>
      </c>
      <c r="Y181" s="7">
        <f>X$181*Exogenous!AF$25/Exogenous!AE$25</f>
        <v>11.608310043624851</v>
      </c>
      <c r="Z181" s="7">
        <f>Y$181*Exogenous!AG$25/Exogenous!AF$25</f>
        <v>12.038781156578816</v>
      </c>
      <c r="AA181" s="7">
        <f>Z$181*Exogenous!AH$25/Exogenous!AG$25</f>
        <v>12.483848914257715</v>
      </c>
      <c r="AB181" s="7">
        <f>AA$181*Exogenous!AI$25/Exogenous!AH$25</f>
        <v>12.944155217737611</v>
      </c>
      <c r="AC181" s="7">
        <f>AB$181*Exogenous!AJ$25/Exogenous!AI$25</f>
        <v>13.420370882811971</v>
      </c>
      <c r="AD181" s="7">
        <f>AC$181*Exogenous!AK$25/Exogenous!AJ$25</f>
        <v>13.913196968477902</v>
      </c>
      <c r="AE181" s="7">
        <f>AD$181*Exogenous!AL$25/Exogenous!AK$25</f>
        <v>14.423366167512027</v>
      </c>
      <c r="AF181" s="7">
        <f>AE$181*Exogenous!AM$25/Exogenous!AL$25</f>
        <v>14.951644262082667</v>
      </c>
      <c r="AG181" s="7">
        <f>AF$181*Exogenous!AN$25/Exogenous!AM$25</f>
        <v>15.498831647487748</v>
      </c>
      <c r="AH181" s="7">
        <f>AG$181*Exogenous!AO$25/Exogenous!AN$25</f>
        <v>16.065764927255888</v>
      </c>
      <c r="AI181" s="7">
        <f>AH$181*Exogenous!AP$25/Exogenous!AO$25</f>
        <v>16.653318583004637</v>
      </c>
      <c r="AJ181" s="7">
        <f>AI$181*Exogenous!AQ$25/Exogenous!AP$25</f>
        <v>17.262406722613804</v>
      </c>
      <c r="AK181" s="7">
        <f>AJ$181*Exogenous!AR$25/Exogenous!AQ$25</f>
        <v>17.893984910443052</v>
      </c>
      <c r="AL181" s="7">
        <f>AK$181*Exogenous!AS$25/Exogenous!AR$25</f>
        <v>18.549052083503479</v>
      </c>
      <c r="AM181" s="7">
        <f>AL$181*Exogenous!AT$25/Exogenous!AS$25</f>
        <v>19.228652557681848</v>
      </c>
      <c r="AN181" s="7">
        <f>AM$181*Exogenous!AU$25/Exogenous!AT$25</f>
        <v>19.933878128314344</v>
      </c>
      <c r="AO181" s="7">
        <f>AN$181*Exogenous!AV$25/Exogenous!AU$25</f>
        <v>20.665870269614651</v>
      </c>
      <c r="AP181" s="7">
        <f>AO$181*Exogenous!AW$25/Exogenous!AV$25</f>
        <v>21.425822437679525</v>
      </c>
      <c r="AQ181" s="7">
        <f>AP$181*Exogenous!AX$25/Exogenous!AW$25</f>
        <v>22.214982482023952</v>
      </c>
      <c r="AR181" s="7">
        <f>AQ$181*Exogenous!AY$25/Exogenous!AX$25</f>
        <v>23.034655170837656</v>
      </c>
      <c r="AS181" s="7">
        <f>AR$181*Exogenous!AZ$25/Exogenous!AY$25</f>
        <v>23.886204835407561</v>
      </c>
      <c r="AT181" s="7">
        <f>AS$181*Exogenous!BA$25/Exogenous!AZ$25</f>
        <v>24.766835334924412</v>
      </c>
      <c r="AU181" s="7">
        <f>AT$181*Exogenous!BB$25/Exogenous!BA$25</f>
        <v>25.679932694791123</v>
      </c>
      <c r="AV181" s="7">
        <f>AU$181*Exogenous!BC$25/Exogenous!BB$25</f>
        <v>26.626693894923285</v>
      </c>
      <c r="AW181" s="7">
        <f>AV$181*Exogenous!BD$25/Exogenous!BC$25</f>
        <v>27.608360045186309</v>
      </c>
    </row>
    <row r="182" spans="1:49" x14ac:dyDescent="0.2">
      <c r="A182" s="1" t="s">
        <v>527</v>
      </c>
      <c r="B182" s="4" t="str">
        <f t="shared" si="145"/>
        <v>From Fiscal</v>
      </c>
      <c r="D182" s="18">
        <f>Fiscal!D$36-SUM(D$180:D$181)</f>
        <v>-0.5379999999999967</v>
      </c>
      <c r="E182" s="19">
        <f ca="1">Fiscal!E$36-SUM(E$180:E$181)  +IF(OR(OFFSET(Assumptions!$B$72,0,$C$1)="BU",OFFSET(Assumptions!$B$113,0,$C$1)="SND"),Allocate!C$14,0)</f>
        <v>-0.49399999999999922</v>
      </c>
      <c r="F182" s="19">
        <f ca="1">Fiscal!F$36-SUM(F$180:F$181)  +IF(OR(OFFSET(Assumptions!$B$72,0,$C$1)="BU",OFFSET(Assumptions!$B$113,0,$C$1)="SND"),Allocate!D$14,0)</f>
        <v>-0.54599999999999893</v>
      </c>
      <c r="G182" s="19">
        <f ca="1">Fiscal!G$36-SUM(G$180:G$181)  +IF(OR(OFFSET(Assumptions!$B$72,0,$C$1)="BU",OFFSET(Assumptions!$B$113,0,$C$1)="SND"),Allocate!E$14,0)</f>
        <v>-0.56300000000000228</v>
      </c>
      <c r="H182" s="19">
        <f ca="1">Fiscal!H$36-SUM(H$180:H$181)  +IF(OR(OFFSET(Assumptions!$B$72,0,$C$1)="BU",OFFSET(Assumptions!$B$113,0,$C$1)="SND"),Allocate!F$14,0)</f>
        <v>-0.57899999999999985</v>
      </c>
      <c r="I182" s="19">
        <f ca="1">Fiscal!I$36-SUM(I$180:I$181)  +IF(OR(OFFSET(Assumptions!$B$72,0,$C$1)="BU",OFFSET(Assumptions!$B$113,0,$C$1)="SND"),Allocate!G$14,0)</f>
        <v>-0.59499999999999831</v>
      </c>
      <c r="J182" s="7">
        <f ca="1">I$182*Exogenous!Q$26/Exogenous!P$26</f>
        <v>-0.62435130237605818</v>
      </c>
      <c r="K182" s="7">
        <f ca="1">J$182*Exogenous!R$26/Exogenous!Q$26</f>
        <v>-0.65693491261601467</v>
      </c>
      <c r="L182" s="7">
        <f ca="1">K$182*Exogenous!S$26/Exogenous!R$26</f>
        <v>-0.68887324635162961</v>
      </c>
      <c r="M182" s="7">
        <f ca="1">L$182*Exogenous!T$26/Exogenous!S$26</f>
        <v>-0.72731690298536678</v>
      </c>
      <c r="N182" s="7">
        <f ca="1">M$182*Exogenous!U$26/Exogenous!T$26</f>
        <v>-0.75993034360364231</v>
      </c>
      <c r="O182" s="7">
        <f ca="1">N$182*Exogenous!V$26/Exogenous!U$26</f>
        <v>-0.79512133878831803</v>
      </c>
      <c r="P182" s="7">
        <f ca="1">O$182*Exogenous!W$26/Exogenous!V$26</f>
        <v>-0.8247458954115382</v>
      </c>
      <c r="Q182" s="7">
        <f ca="1">P$182*Exogenous!X$26/Exogenous!W$26</f>
        <v>-0.85437045203475459</v>
      </c>
      <c r="R182" s="7">
        <f ca="1">Q$182*Exogenous!Y$26/Exogenous!X$26</f>
        <v>-0.88399500865797331</v>
      </c>
      <c r="S182" s="7">
        <f ca="1">R$182*Exogenous!Z$26/Exogenous!Y$26</f>
        <v>-0.9136195652811937</v>
      </c>
      <c r="T182" s="7">
        <f ca="1">S$182*Exogenous!AA$26/Exogenous!Z$26</f>
        <v>-0.94324412190440876</v>
      </c>
      <c r="U182" s="7">
        <f ca="1">T$182*Exogenous!AB$26/Exogenous!AA$26</f>
        <v>-0.97286867852762815</v>
      </c>
      <c r="V182" s="7">
        <f ca="1">U$182*Exogenous!AC$26/Exogenous!AB$26</f>
        <v>-1.0024932351508478</v>
      </c>
      <c r="W182" s="7">
        <f ca="1">V$182*Exogenous!AD$26/Exogenous!AC$26</f>
        <v>-1.0321177917740643</v>
      </c>
      <c r="X182" s="7">
        <f ca="1">W$182*Exogenous!AE$26/Exogenous!AD$26</f>
        <v>-1.0617423483972805</v>
      </c>
      <c r="Y182" s="7">
        <f ca="1">X$182*Exogenous!AF$26/Exogenous!AE$26</f>
        <v>-1.0913669050205002</v>
      </c>
      <c r="Z182" s="7">
        <f ca="1">Y$182*Exogenous!AG$26/Exogenous!AF$26</f>
        <v>-1.1209914616437171</v>
      </c>
      <c r="AA182" s="7">
        <f ca="1">Z$182*Exogenous!AH$26/Exogenous!AG$26</f>
        <v>-1.1506160182669356</v>
      </c>
      <c r="AB182" s="7">
        <f ca="1">AA$182*Exogenous!AI$26/Exogenous!AH$26</f>
        <v>-1.180240574890155</v>
      </c>
      <c r="AC182" s="7">
        <f ca="1">AB$182*Exogenous!AJ$26/Exogenous!AI$26</f>
        <v>-1.2098651315133753</v>
      </c>
      <c r="AD182" s="7">
        <f ca="1">AC$182*Exogenous!AK$26/Exogenous!AJ$26</f>
        <v>-1.2394896881365904</v>
      </c>
      <c r="AE182" s="7">
        <f ca="1">AD$182*Exogenous!AL$26/Exogenous!AK$26</f>
        <v>-1.2691142447598109</v>
      </c>
      <c r="AF182" s="7">
        <f ca="1">AE$182*Exogenous!AM$26/Exogenous!AL$26</f>
        <v>-1.2987388013830297</v>
      </c>
      <c r="AG182" s="7">
        <f ca="1">AF$182*Exogenous!AN$26/Exogenous!AM$26</f>
        <v>-1.3283633580062424</v>
      </c>
      <c r="AH182" s="7">
        <f ca="1">AG$182*Exogenous!AO$26/Exogenous!AN$26</f>
        <v>-1.3579879146294627</v>
      </c>
      <c r="AI182" s="7">
        <f ca="1">AH$182*Exogenous!AP$26/Exogenous!AO$26</f>
        <v>-1.3876124712526821</v>
      </c>
      <c r="AJ182" s="7">
        <f ca="1">AI$182*Exogenous!AQ$26/Exogenous!AP$26</f>
        <v>-1.4172370278758979</v>
      </c>
      <c r="AK182" s="7">
        <f ca="1">AJ$182*Exogenous!AR$26/Exogenous!AQ$26</f>
        <v>-1.4468615844991177</v>
      </c>
      <c r="AL182" s="7">
        <f ca="1">AK$182*Exogenous!AS$26/Exogenous!AR$26</f>
        <v>-1.4764861411223373</v>
      </c>
      <c r="AM182" s="7">
        <f ca="1">AL$182*Exogenous!AT$26/Exogenous!AS$26</f>
        <v>-1.5061106977455534</v>
      </c>
      <c r="AN182" s="7">
        <f ca="1">AM$182*Exogenous!AU$26/Exogenous!AT$26</f>
        <v>-1.5357352543687728</v>
      </c>
      <c r="AO182" s="7">
        <f ca="1">AN$182*Exogenous!AV$26/Exogenous!AU$26</f>
        <v>-1.5653598109919928</v>
      </c>
      <c r="AP182" s="7">
        <f ca="1">AO$182*Exogenous!AW$26/Exogenous!AV$26</f>
        <v>-1.5949843676152056</v>
      </c>
      <c r="AQ182" s="7">
        <f ca="1">AP$182*Exogenous!AX$26/Exogenous!AW$26</f>
        <v>-1.6246089242384245</v>
      </c>
      <c r="AR182" s="7">
        <f ca="1">AQ$182*Exogenous!AY$26/Exogenous!AX$26</f>
        <v>-1.6542334808616448</v>
      </c>
      <c r="AS182" s="7">
        <f ca="1">AR$182*Exogenous!AZ$26/Exogenous!AY$26</f>
        <v>-1.68385803748486</v>
      </c>
      <c r="AT182" s="7">
        <f ca="1">AS$182*Exogenous!BA$26/Exogenous!AZ$26</f>
        <v>-1.7148586482883645</v>
      </c>
      <c r="AU182" s="7">
        <f ca="1">AT$182*Exogenous!BB$26/Exogenous!BA$26</f>
        <v>-1.7464299947767052</v>
      </c>
      <c r="AV182" s="7">
        <f ca="1">AU$182*Exogenous!BC$26/Exogenous!BB$26</f>
        <v>-1.7785825844596856</v>
      </c>
      <c r="AW182" s="7">
        <f ca="1">AV$182*Exogenous!BD$26/Exogenous!BC$26</f>
        <v>-1.8113271182952595</v>
      </c>
    </row>
    <row r="183" spans="1:49" ht="15" x14ac:dyDescent="0.25">
      <c r="A183" s="2" t="s">
        <v>528</v>
      </c>
      <c r="D183" s="40">
        <f t="shared" ref="D183" si="155">SUM(D$180:D$182)</f>
        <v>28.231000000000002</v>
      </c>
      <c r="E183" s="39">
        <f t="shared" ref="E183:AW183" ca="1" si="156">SUM(E$180:E$182)</f>
        <v>29.021000000000001</v>
      </c>
      <c r="F183" s="39">
        <f t="shared" ca="1" si="156"/>
        <v>30.108000000000001</v>
      </c>
      <c r="G183" s="39">
        <f t="shared" ca="1" si="156"/>
        <v>30.661999999999999</v>
      </c>
      <c r="H183" s="39">
        <f t="shared" ca="1" si="156"/>
        <v>31.79</v>
      </c>
      <c r="I183" s="39">
        <f t="shared" ca="1" si="156"/>
        <v>33.021000000000001</v>
      </c>
      <c r="J183" s="43">
        <f t="shared" ca="1" si="156"/>
        <v>35.239086541835604</v>
      </c>
      <c r="K183" s="43">
        <f t="shared" ca="1" si="156"/>
        <v>37.749046708728429</v>
      </c>
      <c r="L183" s="43">
        <f t="shared" ca="1" si="156"/>
        <v>40.383007948648455</v>
      </c>
      <c r="M183" s="43">
        <f t="shared" ca="1" si="156"/>
        <v>42.993104210343887</v>
      </c>
      <c r="N183" s="43">
        <f t="shared" ca="1" si="156"/>
        <v>45.711172880309377</v>
      </c>
      <c r="O183" s="43">
        <f t="shared" ca="1" si="156"/>
        <v>48.502326158555348</v>
      </c>
      <c r="P183" s="43">
        <f t="shared" ca="1" si="156"/>
        <v>51.339273105589683</v>
      </c>
      <c r="Q183" s="43">
        <f t="shared" ca="1" si="156"/>
        <v>54.283362000830856</v>
      </c>
      <c r="R183" s="43">
        <f t="shared" ca="1" si="156"/>
        <v>57.320543158572995</v>
      </c>
      <c r="S183" s="43">
        <f t="shared" ca="1" si="156"/>
        <v>60.417927273052712</v>
      </c>
      <c r="T183" s="43">
        <f t="shared" ca="1" si="156"/>
        <v>63.615028097791388</v>
      </c>
      <c r="U183" s="43">
        <f t="shared" ca="1" si="156"/>
        <v>66.943818012360779</v>
      </c>
      <c r="V183" s="43">
        <f t="shared" ca="1" si="156"/>
        <v>70.418557227640079</v>
      </c>
      <c r="W183" s="43">
        <f t="shared" ca="1" si="156"/>
        <v>73.85813159378489</v>
      </c>
      <c r="X183" s="43">
        <f t="shared" ca="1" si="156"/>
        <v>77.336706456303503</v>
      </c>
      <c r="Y183" s="43">
        <f t="shared" ca="1" si="156"/>
        <v>80.98727035792561</v>
      </c>
      <c r="Z183" s="43">
        <f t="shared" ca="1" si="156"/>
        <v>84.737779613643596</v>
      </c>
      <c r="AA183" s="43">
        <f t="shared" ca="1" si="156"/>
        <v>88.556367981680026</v>
      </c>
      <c r="AB183" s="43">
        <f t="shared" ca="1" si="156"/>
        <v>92.434644033390512</v>
      </c>
      <c r="AC183" s="43">
        <f t="shared" ca="1" si="156"/>
        <v>96.367920400861706</v>
      </c>
      <c r="AD183" s="43">
        <f t="shared" ca="1" si="156"/>
        <v>100.34952370682164</v>
      </c>
      <c r="AE183" s="43">
        <f t="shared" ca="1" si="156"/>
        <v>104.46502666990544</v>
      </c>
      <c r="AF183" s="43">
        <f t="shared" ca="1" si="156"/>
        <v>108.67855428380534</v>
      </c>
      <c r="AG183" s="43">
        <f t="shared" ca="1" si="156"/>
        <v>113.088833968388</v>
      </c>
      <c r="AH183" s="43">
        <f t="shared" ca="1" si="156"/>
        <v>117.66009675306638</v>
      </c>
      <c r="AI183" s="43">
        <f t="shared" ca="1" si="156"/>
        <v>122.41049500392936</v>
      </c>
      <c r="AJ183" s="43">
        <f t="shared" ca="1" si="156"/>
        <v>127.35648139461932</v>
      </c>
      <c r="AK183" s="43">
        <f t="shared" ca="1" si="156"/>
        <v>132.54495975074215</v>
      </c>
      <c r="AL183" s="43">
        <f t="shared" ca="1" si="156"/>
        <v>137.92743211032607</v>
      </c>
      <c r="AM183" s="43">
        <f t="shared" ca="1" si="156"/>
        <v>143.52900170514383</v>
      </c>
      <c r="AN183" s="43">
        <f t="shared" ca="1" si="156"/>
        <v>149.39895168405062</v>
      </c>
      <c r="AO183" s="43">
        <f t="shared" ca="1" si="156"/>
        <v>155.56082694807722</v>
      </c>
      <c r="AP183" s="43">
        <f t="shared" ca="1" si="156"/>
        <v>162.10911640540758</v>
      </c>
      <c r="AQ183" s="43">
        <f t="shared" ca="1" si="156"/>
        <v>169.02325737539388</v>
      </c>
      <c r="AR183" s="43">
        <f t="shared" ca="1" si="156"/>
        <v>176.37870064957647</v>
      </c>
      <c r="AS183" s="43">
        <f t="shared" ca="1" si="156"/>
        <v>184.17604789414722</v>
      </c>
      <c r="AT183" s="43">
        <f t="shared" ca="1" si="156"/>
        <v>192.20445834125226</v>
      </c>
      <c r="AU183" s="43">
        <f t="shared" ca="1" si="156"/>
        <v>200.55034994034139</v>
      </c>
      <c r="AV183" s="43">
        <f t="shared" ca="1" si="156"/>
        <v>209.1793986547124</v>
      </c>
      <c r="AW183" s="43">
        <f t="shared" ca="1" si="156"/>
        <v>218.16990440443715</v>
      </c>
    </row>
    <row r="184" spans="1:49" ht="15" x14ac:dyDescent="0.25">
      <c r="A184" s="2"/>
    </row>
    <row r="185" spans="1:49" x14ac:dyDescent="0.2">
      <c r="A185" s="22" t="s">
        <v>509</v>
      </c>
    </row>
    <row r="186" spans="1:49" x14ac:dyDescent="0.2">
      <c r="A186" s="1" t="s">
        <v>1190</v>
      </c>
      <c r="B186" s="4" t="str">
        <f>$B$12</f>
        <v>From Economic</v>
      </c>
      <c r="D186" s="24">
        <f>Economic!M$19</f>
        <v>1077.5</v>
      </c>
      <c r="E186" s="25">
        <f>Economic!N$19</f>
        <v>1111.4000000000001</v>
      </c>
      <c r="F186" s="25">
        <f>Economic!O$19</f>
        <v>1122.94</v>
      </c>
      <c r="G186" s="25">
        <f>Economic!P$19</f>
        <v>1139.1300000000001</v>
      </c>
      <c r="H186" s="25">
        <f>Economic!Q$19</f>
        <v>1162.0999999999999</v>
      </c>
      <c r="I186" s="25">
        <f>Economic!R$19</f>
        <v>1191.9100000000001</v>
      </c>
      <c r="J186" s="13">
        <f t="shared" ref="J186:AW186" ca="1" si="157">I$186*(1+J$30)</f>
        <v>1230.70190286</v>
      </c>
      <c r="K186" s="13">
        <f t="shared" ca="1" si="157"/>
        <v>1273.2669588723161</v>
      </c>
      <c r="L186" s="13">
        <f t="shared" ca="1" si="157"/>
        <v>1318.2132825205088</v>
      </c>
      <c r="M186" s="13">
        <f t="shared" ca="1" si="157"/>
        <v>1364.7462113934826</v>
      </c>
      <c r="N186" s="13">
        <f t="shared" ca="1" si="157"/>
        <v>1412.9217526556724</v>
      </c>
      <c r="O186" s="13">
        <f t="shared" ca="1" si="157"/>
        <v>1462.7978905244174</v>
      </c>
      <c r="P186" s="13">
        <f t="shared" ca="1" si="157"/>
        <v>1514.4346560599292</v>
      </c>
      <c r="Q186" s="13">
        <f t="shared" ca="1" si="157"/>
        <v>1567.8941994188447</v>
      </c>
      <c r="R186" s="13">
        <f t="shared" ca="1" si="157"/>
        <v>1623.2408646583297</v>
      </c>
      <c r="S186" s="13">
        <f t="shared" ca="1" si="157"/>
        <v>1680.5412671807685</v>
      </c>
      <c r="T186" s="13">
        <f t="shared" ca="1" si="157"/>
        <v>1739.8643739122494</v>
      </c>
      <c r="U186" s="13">
        <f t="shared" ca="1" si="157"/>
        <v>1801.2815863113517</v>
      </c>
      <c r="V186" s="13">
        <f t="shared" ca="1" si="157"/>
        <v>1864.8668263081422</v>
      </c>
      <c r="W186" s="13">
        <f t="shared" ca="1" si="157"/>
        <v>1930.6966252768193</v>
      </c>
      <c r="X186" s="13">
        <f t="shared" ca="1" si="157"/>
        <v>1998.8502161490908</v>
      </c>
      <c r="Y186" s="13">
        <f t="shared" ca="1" si="157"/>
        <v>2069.4096287791535</v>
      </c>
      <c r="Z186" s="13">
        <f t="shared" ca="1" si="157"/>
        <v>2142.4597886750576</v>
      </c>
      <c r="AA186" s="13">
        <f t="shared" ca="1" si="157"/>
        <v>2218.0886192152871</v>
      </c>
      <c r="AB186" s="13">
        <f t="shared" ca="1" si="157"/>
        <v>2296.3871474735865</v>
      </c>
      <c r="AC186" s="13">
        <f t="shared" ca="1" si="157"/>
        <v>2377.449613779404</v>
      </c>
      <c r="AD186" s="13">
        <f t="shared" ca="1" si="157"/>
        <v>2461.3735851458168</v>
      </c>
      <c r="AE186" s="13">
        <f t="shared" ca="1" si="157"/>
        <v>2548.2600727014637</v>
      </c>
      <c r="AF186" s="13">
        <f t="shared" ca="1" si="157"/>
        <v>2638.2136532678251</v>
      </c>
      <c r="AG186" s="13">
        <f t="shared" ca="1" si="157"/>
        <v>2731.3425952281791</v>
      </c>
      <c r="AH186" s="13">
        <f t="shared" ca="1" si="157"/>
        <v>2827.7589888397333</v>
      </c>
      <c r="AI186" s="13">
        <f t="shared" ca="1" si="157"/>
        <v>2927.5788811457755</v>
      </c>
      <c r="AJ186" s="13">
        <f t="shared" ca="1" si="157"/>
        <v>3030.922415650221</v>
      </c>
      <c r="AK186" s="13">
        <f t="shared" ca="1" si="157"/>
        <v>3137.9139769226736</v>
      </c>
      <c r="AL186" s="13">
        <f t="shared" ca="1" si="157"/>
        <v>3248.6823403080434</v>
      </c>
      <c r="AM186" s="13">
        <f t="shared" ca="1" si="157"/>
        <v>3363.3608269209171</v>
      </c>
      <c r="AN186" s="13">
        <f t="shared" ca="1" si="157"/>
        <v>3482.087464111225</v>
      </c>
      <c r="AO186" s="13">
        <f t="shared" ca="1" si="157"/>
        <v>3605.005151594351</v>
      </c>
      <c r="AP186" s="13">
        <f t="shared" ca="1" si="157"/>
        <v>3732.2618334456311</v>
      </c>
      <c r="AQ186" s="13">
        <f t="shared" ca="1" si="157"/>
        <v>3864.0106761662614</v>
      </c>
      <c r="AR186" s="13">
        <f t="shared" ca="1" si="157"/>
        <v>4000.4102530349301</v>
      </c>
      <c r="AS186" s="13">
        <f t="shared" ca="1" si="157"/>
        <v>4141.624734967063</v>
      </c>
      <c r="AT186" s="13">
        <f t="shared" ca="1" si="157"/>
        <v>4287.8240881113998</v>
      </c>
      <c r="AU186" s="13">
        <f t="shared" ca="1" si="157"/>
        <v>4439.1842784217315</v>
      </c>
      <c r="AV186" s="13">
        <f t="shared" ca="1" si="157"/>
        <v>4595.8874834500184</v>
      </c>
      <c r="AW186" s="13">
        <f t="shared" ca="1" si="157"/>
        <v>4758.1223116158035</v>
      </c>
    </row>
    <row r="187" spans="1:49" x14ac:dyDescent="0.2">
      <c r="A187" s="1" t="s">
        <v>507</v>
      </c>
      <c r="B187" s="4" t="str">
        <f>$B$12</f>
        <v>From Economic</v>
      </c>
      <c r="D187" s="24">
        <f>Economic!M$20</f>
        <v>873.01</v>
      </c>
      <c r="E187" s="25">
        <f>Economic!N$20</f>
        <v>896.89</v>
      </c>
      <c r="F187" s="25">
        <f>Economic!O$20</f>
        <v>904.98</v>
      </c>
      <c r="G187" s="25">
        <f>Economic!P$20</f>
        <v>915.83</v>
      </c>
      <c r="H187" s="25">
        <f>Economic!Q$20</f>
        <v>931.58</v>
      </c>
      <c r="I187" s="25">
        <f>Economic!R$20</f>
        <v>952.29</v>
      </c>
      <c r="J187" s="13">
        <f ca="1">IF(OFFSET(Assumptions!$B$29,0,$C$1)="FFD",ROUND((FLOOR(52*J$186,1)-IF(FLOOR(52*J$186,1)&gt;Exogenous!$P$73,(FLOOR(52*J$186,1)-Exogenous!$P$73)*Exogenous!$N$74+Exogenous!$P$79,IF(FLOOR(52*J$186,1)&gt;Exogenous!$P$72,(FLOOR(52*J$186,1)-Exogenous!$P$72)*Exogenous!$N$73+Exogenous!$P$78,IF(FLOOR(52*J$186,1)&gt;Exogenous!$P$71,(FLOOR(52*J$186,1)-Exogenous!$P$71)*Exogenous!$N$72+Exogenous!$P$77,FLOOR(52*J$186,1)*Exogenous!$N$71)))-FLOOR(52*J$186,1)*Exogenous!$N$75)/52,2),IF(OFFSET(Assumptions!$B$29,0,$C$1)="PFD",ROUND((FLOOR(52*J$186,1)-IF(FLOOR(52*J$186,1)&gt;Exogenous!P$73,(FLOOR(52*J$186,1)-Exogenous!P$73)*Exogenous!$N$74+Exogenous!P$79,IF(FLOOR(52*J$186,1)&gt;Exogenous!P$72,(FLOOR(52*J$186,1)-Exogenous!P$72)*Exogenous!$N$73+Exogenous!P$78,IF(FLOOR(52*J$186,1)&gt;Exogenous!P$71,(FLOOR(52*J$186,1)-Exogenous!P$71)*Exogenous!$N$72+Exogenous!P$77,FLOOR(52*J$186,1)*Exogenous!$N$71)))-FLOOR(52*J$186,1)*Exogenous!$N$75)/52,2),I$187*(1+J$30)))</f>
        <v>983.28323033999993</v>
      </c>
      <c r="K187" s="13">
        <f ca="1">IF(OFFSET(Assumptions!$B$29,0,$C$1)="FFD",ROUND((FLOOR(52*K$186,1)-IF(FLOOR(52*K$186,1)&gt;Exogenous!$P$73,(FLOOR(52*K$186,1)-Exogenous!$P$73)*Exogenous!$N$74+Exogenous!$P$79,IF(FLOOR(52*K$186,1)&gt;Exogenous!$P$72,(FLOOR(52*K$186,1)-Exogenous!$P$72)*Exogenous!$N$73+Exogenous!$P$78,IF(FLOOR(52*K$186,1)&gt;Exogenous!$P$71,(FLOOR(52*K$186,1)-Exogenous!$P$71)*Exogenous!$N$72+Exogenous!$P$77,FLOOR(52*K$186,1)*Exogenous!$N$71)))-FLOOR(52*K$186,1)*Exogenous!$N$75)/52,2),IF(OFFSET(Assumptions!$B$29,0,$C$1)="PFD",ROUND((FLOOR(52*K$186,1)-IF(FLOOR(52*K$186,1)&gt;Exogenous!Q$73,(FLOOR(52*K$186,1)-Exogenous!Q$73)*Exogenous!$N$74+Exogenous!Q$79,IF(FLOOR(52*K$186,1)&gt;Exogenous!Q$72,(FLOOR(52*K$186,1)-Exogenous!Q$72)*Exogenous!$N$73+Exogenous!Q$78,IF(FLOOR(52*K$186,1)&gt;Exogenous!Q$71,(FLOOR(52*K$186,1)-Exogenous!Q$71)*Exogenous!$N$72+Exogenous!Q$77,FLOOR(52*K$186,1)*Exogenous!$N$71)))-FLOOR(52*K$186,1)*Exogenous!$N$75)/52,2),J$187*(1+K$30)))</f>
        <v>1017.2910641445392</v>
      </c>
      <c r="L187" s="13">
        <f ca="1">IF(OFFSET(Assumptions!$B$29,0,$C$1)="FFD",ROUND((FLOOR(52*L$186,1)-IF(FLOOR(52*L$186,1)&gt;Exogenous!$P$73,(FLOOR(52*L$186,1)-Exogenous!$P$73)*Exogenous!$N$74+Exogenous!$P$79,IF(FLOOR(52*L$186,1)&gt;Exogenous!$P$72,(FLOOR(52*L$186,1)-Exogenous!$P$72)*Exogenous!$N$73+Exogenous!$P$78,IF(FLOOR(52*L$186,1)&gt;Exogenous!$P$71,(FLOOR(52*L$186,1)-Exogenous!$P$71)*Exogenous!$N$72+Exogenous!$P$77,FLOOR(52*L$186,1)*Exogenous!$N$71)))-FLOOR(52*L$186,1)*Exogenous!$N$75)/52,2),IF(OFFSET(Assumptions!$B$29,0,$C$1)="PFD",ROUND((FLOOR(52*L$186,1)-IF(FLOOR(52*L$186,1)&gt;Exogenous!R$73,(FLOOR(52*L$186,1)-Exogenous!R$73)*Exogenous!$N$74+Exogenous!R$79,IF(FLOOR(52*L$186,1)&gt;Exogenous!R$72,(FLOOR(52*L$186,1)-Exogenous!R$72)*Exogenous!$N$73+Exogenous!R$78,IF(FLOOR(52*L$186,1)&gt;Exogenous!R$71,(FLOOR(52*L$186,1)-Exogenous!R$71)*Exogenous!$N$72+Exogenous!R$77,FLOOR(52*L$186,1)*Exogenous!$N$71)))-FLOOR(52*L$186,1)*Exogenous!$N$75)/52,2),K$187*(1+L$30)))</f>
        <v>1053.2014387088414</v>
      </c>
      <c r="M187" s="13">
        <f ca="1">IF(OFFSET(Assumptions!$B$29,0,$C$1)="FFD",ROUND((FLOOR(52*M$186,1)-IF(FLOOR(52*M$186,1)&gt;Exogenous!$P$73,(FLOOR(52*M$186,1)-Exogenous!$P$73)*Exogenous!$N$74+Exogenous!$P$79,IF(FLOOR(52*M$186,1)&gt;Exogenous!$P$72,(FLOOR(52*M$186,1)-Exogenous!$P$72)*Exogenous!$N$73+Exogenous!$P$78,IF(FLOOR(52*M$186,1)&gt;Exogenous!$P$71,(FLOOR(52*M$186,1)-Exogenous!$P$71)*Exogenous!$N$72+Exogenous!$P$77,FLOOR(52*M$186,1)*Exogenous!$N$71)))-FLOOR(52*M$186,1)*Exogenous!$N$75)/52,2),IF(OFFSET(Assumptions!$B$29,0,$C$1)="PFD",ROUND((FLOOR(52*M$186,1)-IF(FLOOR(52*M$186,1)&gt;Exogenous!S$73,(FLOOR(52*M$186,1)-Exogenous!S$73)*Exogenous!$N$74+Exogenous!S$79,IF(FLOOR(52*M$186,1)&gt;Exogenous!S$72,(FLOOR(52*M$186,1)-Exogenous!S$72)*Exogenous!$N$73+Exogenous!S$78,IF(FLOOR(52*M$186,1)&gt;Exogenous!S$71,(FLOOR(52*M$186,1)-Exogenous!S$71)*Exogenous!$N$72+Exogenous!S$77,FLOOR(52*M$186,1)*Exogenous!$N$71)))-FLOOR(52*M$186,1)*Exogenous!$N$75)/52,2),L$187*(1+M$30)))</f>
        <v>1090.3794494952633</v>
      </c>
      <c r="N187" s="13">
        <f ca="1">IF(OFFSET(Assumptions!$B$29,0,$C$1)="FFD",ROUND((FLOOR(52*N$186,1)-IF(FLOOR(52*N$186,1)&gt;Exogenous!$P$73,(FLOOR(52*N$186,1)-Exogenous!$P$73)*Exogenous!$N$74+Exogenous!$P$79,IF(FLOOR(52*N$186,1)&gt;Exogenous!$P$72,(FLOOR(52*N$186,1)-Exogenous!$P$72)*Exogenous!$N$73+Exogenous!$P$78,IF(FLOOR(52*N$186,1)&gt;Exogenous!$P$71,(FLOOR(52*N$186,1)-Exogenous!$P$71)*Exogenous!$N$72+Exogenous!$P$77,FLOOR(52*N$186,1)*Exogenous!$N$71)))-FLOOR(52*N$186,1)*Exogenous!$N$75)/52,2),IF(OFFSET(Assumptions!$B$29,0,$C$1)="PFD",ROUND((FLOOR(52*N$186,1)-IF(FLOOR(52*N$186,1)&gt;Exogenous!T$73,(FLOOR(52*N$186,1)-Exogenous!T$73)*Exogenous!$N$74+Exogenous!T$79,IF(FLOOR(52*N$186,1)&gt;Exogenous!T$72,(FLOOR(52*N$186,1)-Exogenous!T$72)*Exogenous!$N$73+Exogenous!T$78,IF(FLOOR(52*N$186,1)&gt;Exogenous!T$71,(FLOOR(52*N$186,1)-Exogenous!T$71)*Exogenous!$N$72+Exogenous!T$77,FLOOR(52*N$186,1)*Exogenous!$N$71)))-FLOOR(52*N$186,1)*Exogenous!$N$75)/52,2),M$187*(1+N$30)))</f>
        <v>1128.869844062446</v>
      </c>
      <c r="O187" s="13">
        <f ca="1">IF(OFFSET(Assumptions!$B$29,0,$C$1)="FFD",ROUND((FLOOR(52*O$186,1)-IF(FLOOR(52*O$186,1)&gt;Exogenous!$P$73,(FLOOR(52*O$186,1)-Exogenous!$P$73)*Exogenous!$N$74+Exogenous!$P$79,IF(FLOOR(52*O$186,1)&gt;Exogenous!$P$72,(FLOOR(52*O$186,1)-Exogenous!$P$72)*Exogenous!$N$73+Exogenous!$P$78,IF(FLOOR(52*O$186,1)&gt;Exogenous!$P$71,(FLOOR(52*O$186,1)-Exogenous!$P$71)*Exogenous!$N$72+Exogenous!$P$77,FLOOR(52*O$186,1)*Exogenous!$N$71)))-FLOOR(52*O$186,1)*Exogenous!$N$75)/52,2),IF(OFFSET(Assumptions!$B$29,0,$C$1)="PFD",ROUND((FLOOR(52*O$186,1)-IF(FLOOR(52*O$186,1)&gt;Exogenous!U$73,(FLOOR(52*O$186,1)-Exogenous!U$73)*Exogenous!$N$74+Exogenous!U$79,IF(FLOOR(52*O$186,1)&gt;Exogenous!U$72,(FLOOR(52*O$186,1)-Exogenous!U$72)*Exogenous!$N$73+Exogenous!U$78,IF(FLOOR(52*O$186,1)&gt;Exogenous!U$71,(FLOOR(52*O$186,1)-Exogenous!U$71)*Exogenous!$N$72+Exogenous!U$77,FLOOR(52*O$186,1)*Exogenous!$N$71)))-FLOOR(52*O$186,1)*Exogenous!$N$75)/52,2),N$187*(1+O$30)))</f>
        <v>1168.7189495578502</v>
      </c>
      <c r="P187" s="13">
        <f ca="1">IF(OFFSET(Assumptions!$B$29,0,$C$1)="FFD",ROUND((FLOOR(52*P$186,1)-IF(FLOOR(52*P$186,1)&gt;Exogenous!$P$73,(FLOOR(52*P$186,1)-Exogenous!$P$73)*Exogenous!$N$74+Exogenous!$P$79,IF(FLOOR(52*P$186,1)&gt;Exogenous!$P$72,(FLOOR(52*P$186,1)-Exogenous!$P$72)*Exogenous!$N$73+Exogenous!$P$78,IF(FLOOR(52*P$186,1)&gt;Exogenous!$P$71,(FLOOR(52*P$186,1)-Exogenous!$P$71)*Exogenous!$N$72+Exogenous!$P$77,FLOOR(52*P$186,1)*Exogenous!$N$71)))-FLOOR(52*P$186,1)*Exogenous!$N$75)/52,2),IF(OFFSET(Assumptions!$B$29,0,$C$1)="PFD",ROUND((FLOOR(52*P$186,1)-IF(FLOOR(52*P$186,1)&gt;Exogenous!V$73,(FLOOR(52*P$186,1)-Exogenous!V$73)*Exogenous!$N$74+Exogenous!V$79,IF(FLOOR(52*P$186,1)&gt;Exogenous!V$72,(FLOOR(52*P$186,1)-Exogenous!V$72)*Exogenous!$N$73+Exogenous!V$78,IF(FLOOR(52*P$186,1)&gt;Exogenous!V$71,(FLOOR(52*P$186,1)-Exogenous!V$71)*Exogenous!$N$72+Exogenous!V$77,FLOOR(52*P$186,1)*Exogenous!$N$71)))-FLOOR(52*P$186,1)*Exogenous!$N$75)/52,2),O$187*(1+P$30)))</f>
        <v>1209.9747284772423</v>
      </c>
      <c r="Q187" s="13">
        <f ca="1">IF(OFFSET(Assumptions!$B$29,0,$C$1)="FFD",ROUND((FLOOR(52*Q$186,1)-IF(FLOOR(52*Q$186,1)&gt;Exogenous!$P$73,(FLOOR(52*Q$186,1)-Exogenous!$P$73)*Exogenous!$N$74+Exogenous!$P$79,IF(FLOOR(52*Q$186,1)&gt;Exogenous!$P$72,(FLOOR(52*Q$186,1)-Exogenous!$P$72)*Exogenous!$N$73+Exogenous!$P$78,IF(FLOOR(52*Q$186,1)&gt;Exogenous!$P$71,(FLOOR(52*Q$186,1)-Exogenous!$P$71)*Exogenous!$N$72+Exogenous!$P$77,FLOOR(52*Q$186,1)*Exogenous!$N$71)))-FLOOR(52*Q$186,1)*Exogenous!$N$75)/52,2),IF(OFFSET(Assumptions!$B$29,0,$C$1)="PFD",ROUND((FLOOR(52*Q$186,1)-IF(FLOOR(52*Q$186,1)&gt;Exogenous!W$73,(FLOOR(52*Q$186,1)-Exogenous!W$73)*Exogenous!$N$74+Exogenous!W$79,IF(FLOOR(52*Q$186,1)&gt;Exogenous!W$72,(FLOOR(52*Q$186,1)-Exogenous!W$72)*Exogenous!$N$73+Exogenous!W$78,IF(FLOOR(52*Q$186,1)&gt;Exogenous!W$71,(FLOOR(52*Q$186,1)-Exogenous!W$71)*Exogenous!$N$72+Exogenous!W$77,FLOOR(52*Q$186,1)*Exogenous!$N$71)))-FLOOR(52*Q$186,1)*Exogenous!$N$75)/52,2),P$187*(1+Q$30)))</f>
        <v>1252.6868363924887</v>
      </c>
      <c r="R187" s="13">
        <f ca="1">IF(OFFSET(Assumptions!$B$29,0,$C$1)="FFD",ROUND((FLOOR(52*R$186,1)-IF(FLOOR(52*R$186,1)&gt;Exogenous!$P$73,(FLOOR(52*R$186,1)-Exogenous!$P$73)*Exogenous!$N$74+Exogenous!$P$79,IF(FLOOR(52*R$186,1)&gt;Exogenous!$P$72,(FLOOR(52*R$186,1)-Exogenous!$P$72)*Exogenous!$N$73+Exogenous!$P$78,IF(FLOOR(52*R$186,1)&gt;Exogenous!$P$71,(FLOOR(52*R$186,1)-Exogenous!$P$71)*Exogenous!$N$72+Exogenous!$P$77,FLOOR(52*R$186,1)*Exogenous!$N$71)))-FLOOR(52*R$186,1)*Exogenous!$N$75)/52,2),IF(OFFSET(Assumptions!$B$29,0,$C$1)="PFD",ROUND((FLOOR(52*R$186,1)-IF(FLOOR(52*R$186,1)&gt;Exogenous!X$73,(FLOOR(52*R$186,1)-Exogenous!X$73)*Exogenous!$N$74+Exogenous!X$79,IF(FLOOR(52*R$186,1)&gt;Exogenous!X$72,(FLOOR(52*R$186,1)-Exogenous!X$72)*Exogenous!$N$73+Exogenous!X$78,IF(FLOOR(52*R$186,1)&gt;Exogenous!X$71,(FLOOR(52*R$186,1)-Exogenous!X$71)*Exogenous!$N$72+Exogenous!X$77,FLOOR(52*R$186,1)*Exogenous!$N$71)))-FLOOR(52*R$186,1)*Exogenous!$N$75)/52,2),Q$187*(1+R$30)))</f>
        <v>1296.9066817171433</v>
      </c>
      <c r="S187" s="13">
        <f ca="1">IF(OFFSET(Assumptions!$B$29,0,$C$1)="FFD",ROUND((FLOOR(52*S$186,1)-IF(FLOOR(52*S$186,1)&gt;Exogenous!$P$73,(FLOOR(52*S$186,1)-Exogenous!$P$73)*Exogenous!$N$74+Exogenous!$P$79,IF(FLOOR(52*S$186,1)&gt;Exogenous!$P$72,(FLOOR(52*S$186,1)-Exogenous!$P$72)*Exogenous!$N$73+Exogenous!$P$78,IF(FLOOR(52*S$186,1)&gt;Exogenous!$P$71,(FLOOR(52*S$186,1)-Exogenous!$P$71)*Exogenous!$N$72+Exogenous!$P$77,FLOOR(52*S$186,1)*Exogenous!$N$71)))-FLOOR(52*S$186,1)*Exogenous!$N$75)/52,2),IF(OFFSET(Assumptions!$B$29,0,$C$1)="PFD",ROUND((FLOOR(52*S$186,1)-IF(FLOOR(52*S$186,1)&gt;Exogenous!Y$73,(FLOOR(52*S$186,1)-Exogenous!Y$73)*Exogenous!$N$74+Exogenous!Y$79,IF(FLOOR(52*S$186,1)&gt;Exogenous!Y$72,(FLOOR(52*S$186,1)-Exogenous!Y$72)*Exogenous!$N$73+Exogenous!Y$78,IF(FLOOR(52*S$186,1)&gt;Exogenous!Y$71,(FLOOR(52*S$186,1)-Exogenous!Y$71)*Exogenous!$N$72+Exogenous!Y$77,FLOOR(52*S$186,1)*Exogenous!$N$71)))-FLOOR(52*S$186,1)*Exogenous!$N$75)/52,2),R$187*(1+S$30)))</f>
        <v>1342.6874875817584</v>
      </c>
      <c r="T187" s="13">
        <f ca="1">IF(OFFSET(Assumptions!$B$29,0,$C$1)="FFD",ROUND((FLOOR(52*T$186,1)-IF(FLOOR(52*T$186,1)&gt;Exogenous!$P$73,(FLOOR(52*T$186,1)-Exogenous!$P$73)*Exogenous!$N$74+Exogenous!$P$79,IF(FLOOR(52*T$186,1)&gt;Exogenous!$P$72,(FLOOR(52*T$186,1)-Exogenous!$P$72)*Exogenous!$N$73+Exogenous!$P$78,IF(FLOOR(52*T$186,1)&gt;Exogenous!$P$71,(FLOOR(52*T$186,1)-Exogenous!$P$71)*Exogenous!$N$72+Exogenous!$P$77,FLOOR(52*T$186,1)*Exogenous!$N$71)))-FLOOR(52*T$186,1)*Exogenous!$N$75)/52,2),IF(OFFSET(Assumptions!$B$29,0,$C$1)="PFD",ROUND((FLOOR(52*T$186,1)-IF(FLOOR(52*T$186,1)&gt;Exogenous!Z$73,(FLOOR(52*T$186,1)-Exogenous!Z$73)*Exogenous!$N$74+Exogenous!Z$79,IF(FLOOR(52*T$186,1)&gt;Exogenous!Z$72,(FLOOR(52*T$186,1)-Exogenous!Z$72)*Exogenous!$N$73+Exogenous!Z$78,IF(FLOOR(52*T$186,1)&gt;Exogenous!Z$71,(FLOOR(52*T$186,1)-Exogenous!Z$71)*Exogenous!$N$72+Exogenous!Z$77,FLOOR(52*T$186,1)*Exogenous!$N$71)))-FLOOR(52*T$186,1)*Exogenous!$N$75)/52,2),S$187*(1+T$30)))</f>
        <v>1390.0843558933943</v>
      </c>
      <c r="U187" s="13">
        <f ca="1">IF(OFFSET(Assumptions!$B$29,0,$C$1)="FFD",ROUND((FLOOR(52*U$186,1)-IF(FLOOR(52*U$186,1)&gt;Exogenous!$P$73,(FLOOR(52*U$186,1)-Exogenous!$P$73)*Exogenous!$N$74+Exogenous!$P$79,IF(FLOOR(52*U$186,1)&gt;Exogenous!$P$72,(FLOOR(52*U$186,1)-Exogenous!$P$72)*Exogenous!$N$73+Exogenous!$P$78,IF(FLOOR(52*U$186,1)&gt;Exogenous!$P$71,(FLOOR(52*U$186,1)-Exogenous!$P$71)*Exogenous!$N$72+Exogenous!$P$77,FLOOR(52*U$186,1)*Exogenous!$N$71)))-FLOOR(52*U$186,1)*Exogenous!$N$75)/52,2),IF(OFFSET(Assumptions!$B$29,0,$C$1)="PFD",ROUND((FLOOR(52*U$186,1)-IF(FLOOR(52*U$186,1)&gt;Exogenous!AA$73,(FLOOR(52*U$186,1)-Exogenous!AA$73)*Exogenous!$N$74+Exogenous!AA$79,IF(FLOOR(52*U$186,1)&gt;Exogenous!AA$72,(FLOOR(52*U$186,1)-Exogenous!AA$72)*Exogenous!$N$73+Exogenous!AA$78,IF(FLOOR(52*U$186,1)&gt;Exogenous!AA$71,(FLOOR(52*U$186,1)-Exogenous!AA$71)*Exogenous!$N$72+Exogenous!AA$77,FLOOR(52*U$186,1)*Exogenous!$N$71)))-FLOOR(52*U$186,1)*Exogenous!$N$75)/52,2),T$187*(1+U$30)))</f>
        <v>1439.1543336564309</v>
      </c>
      <c r="V187" s="13">
        <f ca="1">IF(OFFSET(Assumptions!$B$29,0,$C$1)="FFD",ROUND((FLOOR(52*V$186,1)-IF(FLOOR(52*V$186,1)&gt;Exogenous!$P$73,(FLOOR(52*V$186,1)-Exogenous!$P$73)*Exogenous!$N$74+Exogenous!$P$79,IF(FLOOR(52*V$186,1)&gt;Exogenous!$P$72,(FLOOR(52*V$186,1)-Exogenous!$P$72)*Exogenous!$N$73+Exogenous!$P$78,IF(FLOOR(52*V$186,1)&gt;Exogenous!$P$71,(FLOOR(52*V$186,1)-Exogenous!$P$71)*Exogenous!$N$72+Exogenous!$P$77,FLOOR(52*V$186,1)*Exogenous!$N$71)))-FLOOR(52*V$186,1)*Exogenous!$N$75)/52,2),IF(OFFSET(Assumptions!$B$29,0,$C$1)="PFD",ROUND((FLOOR(52*V$186,1)-IF(FLOOR(52*V$186,1)&gt;Exogenous!AB$73,(FLOOR(52*V$186,1)-Exogenous!AB$73)*Exogenous!$N$74+Exogenous!AB$79,IF(FLOOR(52*V$186,1)&gt;Exogenous!AB$72,(FLOOR(52*V$186,1)-Exogenous!AB$72)*Exogenous!$N$73+Exogenous!AB$78,IF(FLOOR(52*V$186,1)&gt;Exogenous!AB$71,(FLOOR(52*V$186,1)-Exogenous!AB$71)*Exogenous!$N$72+Exogenous!AB$77,FLOOR(52*V$186,1)*Exogenous!$N$71)))-FLOOR(52*V$186,1)*Exogenous!$N$75)/52,2),U$187*(1+V$30)))</f>
        <v>1489.9564816345028</v>
      </c>
      <c r="W187" s="13">
        <f ca="1">IF(OFFSET(Assumptions!$B$29,0,$C$1)="FFD",ROUND((FLOOR(52*W$186,1)-IF(FLOOR(52*W$186,1)&gt;Exogenous!$P$73,(FLOOR(52*W$186,1)-Exogenous!$P$73)*Exogenous!$N$74+Exogenous!$P$79,IF(FLOOR(52*W$186,1)&gt;Exogenous!$P$72,(FLOOR(52*W$186,1)-Exogenous!$P$72)*Exogenous!$N$73+Exogenous!$P$78,IF(FLOOR(52*W$186,1)&gt;Exogenous!$P$71,(FLOOR(52*W$186,1)-Exogenous!$P$71)*Exogenous!$N$72+Exogenous!$P$77,FLOOR(52*W$186,1)*Exogenous!$N$71)))-FLOOR(52*W$186,1)*Exogenous!$N$75)/52,2),IF(OFFSET(Assumptions!$B$29,0,$C$1)="PFD",ROUND((FLOOR(52*W$186,1)-IF(FLOOR(52*W$186,1)&gt;Exogenous!AC$73,(FLOOR(52*W$186,1)-Exogenous!AC$73)*Exogenous!$N$74+Exogenous!AC$79,IF(FLOOR(52*W$186,1)&gt;Exogenous!AC$72,(FLOOR(52*W$186,1)-Exogenous!AC$72)*Exogenous!$N$73+Exogenous!AC$78,IF(FLOOR(52*W$186,1)&gt;Exogenous!AC$71,(FLOOR(52*W$186,1)-Exogenous!AC$71)*Exogenous!$N$72+Exogenous!AC$77,FLOOR(52*W$186,1)*Exogenous!$N$71)))-FLOOR(52*W$186,1)*Exogenous!$N$75)/52,2),V$187*(1+W$30)))</f>
        <v>1542.5519454362006</v>
      </c>
      <c r="X187" s="13">
        <f ca="1">IF(OFFSET(Assumptions!$B$29,0,$C$1)="FFD",ROUND((FLOOR(52*X$186,1)-IF(FLOOR(52*X$186,1)&gt;Exogenous!$P$73,(FLOOR(52*X$186,1)-Exogenous!$P$73)*Exogenous!$N$74+Exogenous!$P$79,IF(FLOOR(52*X$186,1)&gt;Exogenous!$P$72,(FLOOR(52*X$186,1)-Exogenous!$P$72)*Exogenous!$N$73+Exogenous!$P$78,IF(FLOOR(52*X$186,1)&gt;Exogenous!$P$71,(FLOOR(52*X$186,1)-Exogenous!$P$71)*Exogenous!$N$72+Exogenous!$P$77,FLOOR(52*X$186,1)*Exogenous!$N$71)))-FLOOR(52*X$186,1)*Exogenous!$N$75)/52,2),IF(OFFSET(Assumptions!$B$29,0,$C$1)="PFD",ROUND((FLOOR(52*X$186,1)-IF(FLOOR(52*X$186,1)&gt;Exogenous!AD$73,(FLOOR(52*X$186,1)-Exogenous!AD$73)*Exogenous!$N$74+Exogenous!AD$79,IF(FLOOR(52*X$186,1)&gt;Exogenous!AD$72,(FLOOR(52*X$186,1)-Exogenous!AD$72)*Exogenous!$N$73+Exogenous!AD$78,IF(FLOOR(52*X$186,1)&gt;Exogenous!AD$71,(FLOOR(52*X$186,1)-Exogenous!AD$71)*Exogenous!$N$72+Exogenous!AD$77,FLOOR(52*X$186,1)*Exogenous!$N$71)))-FLOOR(52*X$186,1)*Exogenous!$N$75)/52,2),W$187*(1+X$30)))</f>
        <v>1597.0040291100984</v>
      </c>
      <c r="Y187" s="13">
        <f ca="1">IF(OFFSET(Assumptions!$B$29,0,$C$1)="FFD",ROUND((FLOOR(52*Y$186,1)-IF(FLOOR(52*Y$186,1)&gt;Exogenous!$P$73,(FLOOR(52*Y$186,1)-Exogenous!$P$73)*Exogenous!$N$74+Exogenous!$P$79,IF(FLOOR(52*Y$186,1)&gt;Exogenous!$P$72,(FLOOR(52*Y$186,1)-Exogenous!$P$72)*Exogenous!$N$73+Exogenous!$P$78,IF(FLOOR(52*Y$186,1)&gt;Exogenous!$P$71,(FLOOR(52*Y$186,1)-Exogenous!$P$71)*Exogenous!$N$72+Exogenous!$P$77,FLOOR(52*Y$186,1)*Exogenous!$N$71)))-FLOOR(52*Y$186,1)*Exogenous!$N$75)/52,2),IF(OFFSET(Assumptions!$B$29,0,$C$1)="PFD",ROUND((FLOOR(52*Y$186,1)-IF(FLOOR(52*Y$186,1)&gt;Exogenous!AE$73,(FLOOR(52*Y$186,1)-Exogenous!AE$73)*Exogenous!$N$74+Exogenous!AE$79,IF(FLOOR(52*Y$186,1)&gt;Exogenous!AE$72,(FLOOR(52*Y$186,1)-Exogenous!AE$72)*Exogenous!$N$73+Exogenous!AE$78,IF(FLOOR(52*Y$186,1)&gt;Exogenous!AE$71,(FLOOR(52*Y$186,1)-Exogenous!AE$71)*Exogenous!$N$72+Exogenous!AE$77,FLOOR(52*Y$186,1)*Exogenous!$N$71)))-FLOOR(52*Y$186,1)*Exogenous!$N$75)/52,2),X$187*(1+Y$30)))</f>
        <v>1653.3782713376847</v>
      </c>
      <c r="Z187" s="13">
        <f ca="1">IF(OFFSET(Assumptions!$B$29,0,$C$1)="FFD",ROUND((FLOOR(52*Z$186,1)-IF(FLOOR(52*Z$186,1)&gt;Exogenous!$P$73,(FLOOR(52*Z$186,1)-Exogenous!$P$73)*Exogenous!$N$74+Exogenous!$P$79,IF(FLOOR(52*Z$186,1)&gt;Exogenous!$P$72,(FLOOR(52*Z$186,1)-Exogenous!$P$72)*Exogenous!$N$73+Exogenous!$P$78,IF(FLOOR(52*Z$186,1)&gt;Exogenous!$P$71,(FLOOR(52*Z$186,1)-Exogenous!$P$71)*Exogenous!$N$72+Exogenous!$P$77,FLOOR(52*Z$186,1)*Exogenous!$N$71)))-FLOOR(52*Z$186,1)*Exogenous!$N$75)/52,2),IF(OFFSET(Assumptions!$B$29,0,$C$1)="PFD",ROUND((FLOOR(52*Z$186,1)-IF(FLOOR(52*Z$186,1)&gt;Exogenous!AF$73,(FLOOR(52*Z$186,1)-Exogenous!AF$73)*Exogenous!$N$74+Exogenous!AF$79,IF(FLOOR(52*Z$186,1)&gt;Exogenous!AF$72,(FLOOR(52*Z$186,1)-Exogenous!AF$72)*Exogenous!$N$73+Exogenous!AF$78,IF(FLOOR(52*Z$186,1)&gt;Exogenous!AF$71,(FLOOR(52*Z$186,1)-Exogenous!AF$71)*Exogenous!$N$72+Exogenous!AF$77,FLOOR(52*Z$186,1)*Exogenous!$N$71)))-FLOOR(52*Z$186,1)*Exogenous!$N$75)/52,2),Y$187*(1+Z$30)))</f>
        <v>1711.7425243159048</v>
      </c>
      <c r="AA187" s="13">
        <f ca="1">IF(OFFSET(Assumptions!$B$29,0,$C$1)="FFD",ROUND((FLOOR(52*AA$186,1)-IF(FLOOR(52*AA$186,1)&gt;Exogenous!$P$73,(FLOOR(52*AA$186,1)-Exogenous!$P$73)*Exogenous!$N$74+Exogenous!$P$79,IF(FLOOR(52*AA$186,1)&gt;Exogenous!$P$72,(FLOOR(52*AA$186,1)-Exogenous!$P$72)*Exogenous!$N$73+Exogenous!$P$78,IF(FLOOR(52*AA$186,1)&gt;Exogenous!$P$71,(FLOOR(52*AA$186,1)-Exogenous!$P$71)*Exogenous!$N$72+Exogenous!$P$77,FLOOR(52*AA$186,1)*Exogenous!$N$71)))-FLOOR(52*AA$186,1)*Exogenous!$N$75)/52,2),IF(OFFSET(Assumptions!$B$29,0,$C$1)="PFD",ROUND((FLOOR(52*AA$186,1)-IF(FLOOR(52*AA$186,1)&gt;Exogenous!AG$73,(FLOOR(52*AA$186,1)-Exogenous!AG$73)*Exogenous!$N$74+Exogenous!AG$79,IF(FLOOR(52*AA$186,1)&gt;Exogenous!AG$72,(FLOOR(52*AA$186,1)-Exogenous!AG$72)*Exogenous!$N$73+Exogenous!AG$78,IF(FLOOR(52*AA$186,1)&gt;Exogenous!AG$71,(FLOOR(52*AA$186,1)-Exogenous!AG$71)*Exogenous!$N$72+Exogenous!AG$77,FLOOR(52*AA$186,1)*Exogenous!$N$71)))-FLOOR(52*AA$186,1)*Exogenous!$N$75)/52,2),Z$187*(1+AA$30)))</f>
        <v>1772.167035424256</v>
      </c>
      <c r="AB187" s="13">
        <f ca="1">IF(OFFSET(Assumptions!$B$29,0,$C$1)="FFD",ROUND((FLOOR(52*AB$186,1)-IF(FLOOR(52*AB$186,1)&gt;Exogenous!$P$73,(FLOOR(52*AB$186,1)-Exogenous!$P$73)*Exogenous!$N$74+Exogenous!$P$79,IF(FLOOR(52*AB$186,1)&gt;Exogenous!$P$72,(FLOOR(52*AB$186,1)-Exogenous!$P$72)*Exogenous!$N$73+Exogenous!$P$78,IF(FLOOR(52*AB$186,1)&gt;Exogenous!$P$71,(FLOOR(52*AB$186,1)-Exogenous!$P$71)*Exogenous!$N$72+Exogenous!$P$77,FLOOR(52*AB$186,1)*Exogenous!$N$71)))-FLOOR(52*AB$186,1)*Exogenous!$N$75)/52,2),IF(OFFSET(Assumptions!$B$29,0,$C$1)="PFD",ROUND((FLOOR(52*AB$186,1)-IF(FLOOR(52*AB$186,1)&gt;Exogenous!AH$73,(FLOOR(52*AB$186,1)-Exogenous!AH$73)*Exogenous!$N$74+Exogenous!AH$79,IF(FLOOR(52*AB$186,1)&gt;Exogenous!AH$72,(FLOOR(52*AB$186,1)-Exogenous!AH$72)*Exogenous!$N$73+Exogenous!AH$78,IF(FLOOR(52*AB$186,1)&gt;Exogenous!AH$71,(FLOOR(52*AB$186,1)-Exogenous!AH$71)*Exogenous!$N$72+Exogenous!AH$77,FLOOR(52*AB$186,1)*Exogenous!$N$71)))-FLOOR(52*AB$186,1)*Exogenous!$N$75)/52,2),AA$187*(1+AB$30)))</f>
        <v>1834.724531774732</v>
      </c>
      <c r="AC187" s="13">
        <f ca="1">IF(OFFSET(Assumptions!$B$29,0,$C$1)="FFD",ROUND((FLOOR(52*AC$186,1)-IF(FLOOR(52*AC$186,1)&gt;Exogenous!$P$73,(FLOOR(52*AC$186,1)-Exogenous!$P$73)*Exogenous!$N$74+Exogenous!$P$79,IF(FLOOR(52*AC$186,1)&gt;Exogenous!$P$72,(FLOOR(52*AC$186,1)-Exogenous!$P$72)*Exogenous!$N$73+Exogenous!$P$78,IF(FLOOR(52*AC$186,1)&gt;Exogenous!$P$71,(FLOOR(52*AC$186,1)-Exogenous!$P$71)*Exogenous!$N$72+Exogenous!$P$77,FLOOR(52*AC$186,1)*Exogenous!$N$71)))-FLOOR(52*AC$186,1)*Exogenous!$N$75)/52,2),IF(OFFSET(Assumptions!$B$29,0,$C$1)="PFD",ROUND((FLOOR(52*AC$186,1)-IF(FLOOR(52*AC$186,1)&gt;Exogenous!AI$73,(FLOOR(52*AC$186,1)-Exogenous!AI$73)*Exogenous!$N$74+Exogenous!AI$79,IF(FLOOR(52*AC$186,1)&gt;Exogenous!AI$72,(FLOOR(52*AC$186,1)-Exogenous!AI$72)*Exogenous!$N$73+Exogenous!AI$78,IF(FLOOR(52*AC$186,1)&gt;Exogenous!AI$71,(FLOOR(52*AC$186,1)-Exogenous!AI$71)*Exogenous!$N$72+Exogenous!AI$77,FLOOR(52*AC$186,1)*Exogenous!$N$71)))-FLOOR(52*AC$186,1)*Exogenous!$N$75)/52,2),AB$187*(1+AC$30)))</f>
        <v>1899.4903077463798</v>
      </c>
      <c r="AD187" s="13">
        <f ca="1">IF(OFFSET(Assumptions!$B$29,0,$C$1)="FFD",ROUND((FLOOR(52*AD$186,1)-IF(FLOOR(52*AD$186,1)&gt;Exogenous!$P$73,(FLOOR(52*AD$186,1)-Exogenous!$P$73)*Exogenous!$N$74+Exogenous!$P$79,IF(FLOOR(52*AD$186,1)&gt;Exogenous!$P$72,(FLOOR(52*AD$186,1)-Exogenous!$P$72)*Exogenous!$N$73+Exogenous!$P$78,IF(FLOOR(52*AD$186,1)&gt;Exogenous!$P$71,(FLOOR(52*AD$186,1)-Exogenous!$P$71)*Exogenous!$N$72+Exogenous!$P$77,FLOOR(52*AD$186,1)*Exogenous!$N$71)))-FLOOR(52*AD$186,1)*Exogenous!$N$75)/52,2),IF(OFFSET(Assumptions!$B$29,0,$C$1)="PFD",ROUND((FLOOR(52*AD$186,1)-IF(FLOOR(52*AD$186,1)&gt;Exogenous!AJ$73,(FLOOR(52*AD$186,1)-Exogenous!AJ$73)*Exogenous!$N$74+Exogenous!AJ$79,IF(FLOOR(52*AD$186,1)&gt;Exogenous!AJ$72,(FLOOR(52*AD$186,1)-Exogenous!AJ$72)*Exogenous!$N$73+Exogenous!AJ$78,IF(FLOOR(52*AD$186,1)&gt;Exogenous!AJ$71,(FLOOR(52*AD$186,1)-Exogenous!AJ$71)*Exogenous!$N$72+Exogenous!AJ$77,FLOOR(52*AD$186,1)*Exogenous!$N$71)))-FLOOR(52*AD$186,1)*Exogenous!$N$75)/52,2),AC$187*(1+AD$30)))</f>
        <v>1966.5423156098268</v>
      </c>
      <c r="AE187" s="13">
        <f ca="1">IF(OFFSET(Assumptions!$B$29,0,$C$1)="FFD",ROUND((FLOOR(52*AE$186,1)-IF(FLOOR(52*AE$186,1)&gt;Exogenous!$P$73,(FLOOR(52*AE$186,1)-Exogenous!$P$73)*Exogenous!$N$74+Exogenous!$P$79,IF(FLOOR(52*AE$186,1)&gt;Exogenous!$P$72,(FLOOR(52*AE$186,1)-Exogenous!$P$72)*Exogenous!$N$73+Exogenous!$P$78,IF(FLOOR(52*AE$186,1)&gt;Exogenous!$P$71,(FLOOR(52*AE$186,1)-Exogenous!$P$71)*Exogenous!$N$72+Exogenous!$P$77,FLOOR(52*AE$186,1)*Exogenous!$N$71)))-FLOOR(52*AE$186,1)*Exogenous!$N$75)/52,2),IF(OFFSET(Assumptions!$B$29,0,$C$1)="PFD",ROUND((FLOOR(52*AE$186,1)-IF(FLOOR(52*AE$186,1)&gt;Exogenous!AK$73,(FLOOR(52*AE$186,1)-Exogenous!AK$73)*Exogenous!$N$74+Exogenous!AK$79,IF(FLOOR(52*AE$186,1)&gt;Exogenous!AK$72,(FLOOR(52*AE$186,1)-Exogenous!AK$72)*Exogenous!$N$73+Exogenous!AK$78,IF(FLOOR(52*AE$186,1)&gt;Exogenous!AK$71,(FLOOR(52*AE$186,1)-Exogenous!AK$71)*Exogenous!$N$72+Exogenous!AK$77,FLOOR(52*AE$186,1)*Exogenous!$N$71)))-FLOOR(52*AE$186,1)*Exogenous!$N$75)/52,2),AD$187*(1+AE$30)))</f>
        <v>2035.9612593508534</v>
      </c>
      <c r="AF187" s="13">
        <f ca="1">IF(OFFSET(Assumptions!$B$29,0,$C$1)="FFD",ROUND((FLOOR(52*AF$186,1)-IF(FLOOR(52*AF$186,1)&gt;Exogenous!$P$73,(FLOOR(52*AF$186,1)-Exogenous!$P$73)*Exogenous!$N$74+Exogenous!$P$79,IF(FLOOR(52*AF$186,1)&gt;Exogenous!$P$72,(FLOOR(52*AF$186,1)-Exogenous!$P$72)*Exogenous!$N$73+Exogenous!$P$78,IF(FLOOR(52*AF$186,1)&gt;Exogenous!$P$71,(FLOOR(52*AF$186,1)-Exogenous!$P$71)*Exogenous!$N$72+Exogenous!$P$77,FLOOR(52*AF$186,1)*Exogenous!$N$71)))-FLOOR(52*AF$186,1)*Exogenous!$N$75)/52,2),IF(OFFSET(Assumptions!$B$29,0,$C$1)="PFD",ROUND((FLOOR(52*AF$186,1)-IF(FLOOR(52*AF$186,1)&gt;Exogenous!AL$73,(FLOOR(52*AF$186,1)-Exogenous!AL$73)*Exogenous!$N$74+Exogenous!AL$79,IF(FLOOR(52*AF$186,1)&gt;Exogenous!AL$72,(FLOOR(52*AF$186,1)-Exogenous!AL$72)*Exogenous!$N$73+Exogenous!AL$78,IF(FLOOR(52*AF$186,1)&gt;Exogenous!AL$71,(FLOOR(52*AF$186,1)-Exogenous!AL$71)*Exogenous!$N$72+Exogenous!AL$77,FLOOR(52*AF$186,1)*Exogenous!$N$71)))-FLOOR(52*AF$186,1)*Exogenous!$N$75)/52,2),AE$187*(1+AF$30)))</f>
        <v>2107.8306918059384</v>
      </c>
      <c r="AG187" s="13">
        <f ca="1">IF(OFFSET(Assumptions!$B$29,0,$C$1)="FFD",ROUND((FLOOR(52*AG$186,1)-IF(FLOOR(52*AG$186,1)&gt;Exogenous!$P$73,(FLOOR(52*AG$186,1)-Exogenous!$P$73)*Exogenous!$N$74+Exogenous!$P$79,IF(FLOOR(52*AG$186,1)&gt;Exogenous!$P$72,(FLOOR(52*AG$186,1)-Exogenous!$P$72)*Exogenous!$N$73+Exogenous!$P$78,IF(FLOOR(52*AG$186,1)&gt;Exogenous!$P$71,(FLOOR(52*AG$186,1)-Exogenous!$P$71)*Exogenous!$N$72+Exogenous!$P$77,FLOOR(52*AG$186,1)*Exogenous!$N$71)))-FLOOR(52*AG$186,1)*Exogenous!$N$75)/52,2),IF(OFFSET(Assumptions!$B$29,0,$C$1)="PFD",ROUND((FLOOR(52*AG$186,1)-IF(FLOOR(52*AG$186,1)&gt;Exogenous!AM$73,(FLOOR(52*AG$186,1)-Exogenous!AM$73)*Exogenous!$N$74+Exogenous!AM$79,IF(FLOOR(52*AG$186,1)&gt;Exogenous!AM$72,(FLOOR(52*AG$186,1)-Exogenous!AM$72)*Exogenous!$N$73+Exogenous!AM$78,IF(FLOOR(52*AG$186,1)&gt;Exogenous!AM$71,(FLOOR(52*AG$186,1)-Exogenous!AM$71)*Exogenous!$N$72+Exogenous!AM$77,FLOOR(52*AG$186,1)*Exogenous!$N$71)))-FLOOR(52*AG$186,1)*Exogenous!$N$75)/52,2),AF$187*(1+AG$30)))</f>
        <v>2182.2371152266878</v>
      </c>
      <c r="AH187" s="13">
        <f ca="1">IF(OFFSET(Assumptions!$B$29,0,$C$1)="FFD",ROUND((FLOOR(52*AH$186,1)-IF(FLOOR(52*AH$186,1)&gt;Exogenous!$P$73,(FLOOR(52*AH$186,1)-Exogenous!$P$73)*Exogenous!$N$74+Exogenous!$P$79,IF(FLOOR(52*AH$186,1)&gt;Exogenous!$P$72,(FLOOR(52*AH$186,1)-Exogenous!$P$72)*Exogenous!$N$73+Exogenous!$P$78,IF(FLOOR(52*AH$186,1)&gt;Exogenous!$P$71,(FLOOR(52*AH$186,1)-Exogenous!$P$71)*Exogenous!$N$72+Exogenous!$P$77,FLOOR(52*AH$186,1)*Exogenous!$N$71)))-FLOOR(52*AH$186,1)*Exogenous!$N$75)/52,2),IF(OFFSET(Assumptions!$B$29,0,$C$1)="PFD",ROUND((FLOOR(52*AH$186,1)-IF(FLOOR(52*AH$186,1)&gt;Exogenous!AN$73,(FLOOR(52*AH$186,1)-Exogenous!AN$73)*Exogenous!$N$74+Exogenous!AN$79,IF(FLOOR(52*AH$186,1)&gt;Exogenous!AN$72,(FLOOR(52*AH$186,1)-Exogenous!AN$72)*Exogenous!$N$73+Exogenous!AN$78,IF(FLOOR(52*AH$186,1)&gt;Exogenous!AN$71,(FLOOR(52*AH$186,1)-Exogenous!AN$71)*Exogenous!$N$72+Exogenous!AN$77,FLOOR(52*AH$186,1)*Exogenous!$N$71)))-FLOOR(52*AH$186,1)*Exogenous!$N$75)/52,2),AG$187*(1+AH$30)))</f>
        <v>2259.2700853941897</v>
      </c>
      <c r="AI187" s="13">
        <f ca="1">IF(OFFSET(Assumptions!$B$29,0,$C$1)="FFD",ROUND((FLOOR(52*AI$186,1)-IF(FLOOR(52*AI$186,1)&gt;Exogenous!$P$73,(FLOOR(52*AI$186,1)-Exogenous!$P$73)*Exogenous!$N$74+Exogenous!$P$79,IF(FLOOR(52*AI$186,1)&gt;Exogenous!$P$72,(FLOOR(52*AI$186,1)-Exogenous!$P$72)*Exogenous!$N$73+Exogenous!$P$78,IF(FLOOR(52*AI$186,1)&gt;Exogenous!$P$71,(FLOOR(52*AI$186,1)-Exogenous!$P$71)*Exogenous!$N$72+Exogenous!$P$77,FLOOR(52*AI$186,1)*Exogenous!$N$71)))-FLOOR(52*AI$186,1)*Exogenous!$N$75)/52,2),IF(OFFSET(Assumptions!$B$29,0,$C$1)="PFD",ROUND((FLOOR(52*AI$186,1)-IF(FLOOR(52*AI$186,1)&gt;Exogenous!AO$73,(FLOOR(52*AI$186,1)-Exogenous!AO$73)*Exogenous!$N$74+Exogenous!AO$79,IF(FLOOR(52*AI$186,1)&gt;Exogenous!AO$72,(FLOOR(52*AI$186,1)-Exogenous!AO$72)*Exogenous!$N$73+Exogenous!AO$78,IF(FLOOR(52*AI$186,1)&gt;Exogenous!AO$71,(FLOOR(52*AI$186,1)-Exogenous!AO$71)*Exogenous!$N$72+Exogenous!AO$77,FLOOR(52*AI$186,1)*Exogenous!$N$71)))-FLOOR(52*AI$186,1)*Exogenous!$N$75)/52,2),AH$187*(1+AI$30)))</f>
        <v>2339.0223194086043</v>
      </c>
      <c r="AJ187" s="13">
        <f ca="1">IF(OFFSET(Assumptions!$B$29,0,$C$1)="FFD",ROUND((FLOOR(52*AJ$186,1)-IF(FLOOR(52*AJ$186,1)&gt;Exogenous!$P$73,(FLOOR(52*AJ$186,1)-Exogenous!$P$73)*Exogenous!$N$74+Exogenous!$P$79,IF(FLOOR(52*AJ$186,1)&gt;Exogenous!$P$72,(FLOOR(52*AJ$186,1)-Exogenous!$P$72)*Exogenous!$N$73+Exogenous!$P$78,IF(FLOOR(52*AJ$186,1)&gt;Exogenous!$P$71,(FLOOR(52*AJ$186,1)-Exogenous!$P$71)*Exogenous!$N$72+Exogenous!$P$77,FLOOR(52*AJ$186,1)*Exogenous!$N$71)))-FLOOR(52*AJ$186,1)*Exogenous!$N$75)/52,2),IF(OFFSET(Assumptions!$B$29,0,$C$1)="PFD",ROUND((FLOOR(52*AJ$186,1)-IF(FLOOR(52*AJ$186,1)&gt;Exogenous!AP$73,(FLOOR(52*AJ$186,1)-Exogenous!AP$73)*Exogenous!$N$74+Exogenous!AP$79,IF(FLOOR(52*AJ$186,1)&gt;Exogenous!AP$72,(FLOOR(52*AJ$186,1)-Exogenous!AP$72)*Exogenous!$N$73+Exogenous!AP$78,IF(FLOOR(52*AJ$186,1)&gt;Exogenous!AP$71,(FLOOR(52*AJ$186,1)-Exogenous!AP$71)*Exogenous!$N$72+Exogenous!AP$77,FLOOR(52*AJ$186,1)*Exogenous!$N$71)))-FLOOR(52*AJ$186,1)*Exogenous!$N$75)/52,2),AI$187*(1+AJ$30)))</f>
        <v>2421.5898072837276</v>
      </c>
      <c r="AK187" s="13">
        <f ca="1">IF(OFFSET(Assumptions!$B$29,0,$C$1)="FFD",ROUND((FLOOR(52*AK$186,1)-IF(FLOOR(52*AK$186,1)&gt;Exogenous!$P$73,(FLOOR(52*AK$186,1)-Exogenous!$P$73)*Exogenous!$N$74+Exogenous!$P$79,IF(FLOOR(52*AK$186,1)&gt;Exogenous!$P$72,(FLOOR(52*AK$186,1)-Exogenous!$P$72)*Exogenous!$N$73+Exogenous!$P$78,IF(FLOOR(52*AK$186,1)&gt;Exogenous!$P$71,(FLOOR(52*AK$186,1)-Exogenous!$P$71)*Exogenous!$N$72+Exogenous!$P$77,FLOOR(52*AK$186,1)*Exogenous!$N$71)))-FLOOR(52*AK$186,1)*Exogenous!$N$75)/52,2),IF(OFFSET(Assumptions!$B$29,0,$C$1)="PFD",ROUND((FLOOR(52*AK$186,1)-IF(FLOOR(52*AK$186,1)&gt;Exogenous!AQ$73,(FLOOR(52*AK$186,1)-Exogenous!AQ$73)*Exogenous!$N$74+Exogenous!AQ$79,IF(FLOOR(52*AK$186,1)&gt;Exogenous!AQ$72,(FLOOR(52*AK$186,1)-Exogenous!AQ$72)*Exogenous!$N$73+Exogenous!AQ$78,IF(FLOOR(52*AK$186,1)&gt;Exogenous!AQ$71,(FLOOR(52*AK$186,1)-Exogenous!AQ$71)*Exogenous!$N$72+Exogenous!AQ$77,FLOOR(52*AK$186,1)*Exogenous!$N$71)))-FLOOR(52*AK$186,1)*Exogenous!$N$75)/52,2),AJ$187*(1+AK$30)))</f>
        <v>2507.071927480843</v>
      </c>
      <c r="AL187" s="13">
        <f ca="1">IF(OFFSET(Assumptions!$B$29,0,$C$1)="FFD",ROUND((FLOOR(52*AL$186,1)-IF(FLOOR(52*AL$186,1)&gt;Exogenous!$P$73,(FLOOR(52*AL$186,1)-Exogenous!$P$73)*Exogenous!$N$74+Exogenous!$P$79,IF(FLOOR(52*AL$186,1)&gt;Exogenous!$P$72,(FLOOR(52*AL$186,1)-Exogenous!$P$72)*Exogenous!$N$73+Exogenous!$P$78,IF(FLOOR(52*AL$186,1)&gt;Exogenous!$P$71,(FLOOR(52*AL$186,1)-Exogenous!$P$71)*Exogenous!$N$72+Exogenous!$P$77,FLOOR(52*AL$186,1)*Exogenous!$N$71)))-FLOOR(52*AL$186,1)*Exogenous!$N$75)/52,2),IF(OFFSET(Assumptions!$B$29,0,$C$1)="PFD",ROUND((FLOOR(52*AL$186,1)-IF(FLOOR(52*AL$186,1)&gt;Exogenous!AR$73,(FLOOR(52*AL$186,1)-Exogenous!AR$73)*Exogenous!$N$74+Exogenous!AR$79,IF(FLOOR(52*AL$186,1)&gt;Exogenous!AR$72,(FLOOR(52*AL$186,1)-Exogenous!AR$72)*Exogenous!$N$73+Exogenous!AR$78,IF(FLOOR(52*AL$186,1)&gt;Exogenous!AR$71,(FLOOR(52*AL$186,1)-Exogenous!AR$71)*Exogenous!$N$72+Exogenous!AR$77,FLOOR(52*AL$186,1)*Exogenous!$N$71)))-FLOOR(52*AL$186,1)*Exogenous!$N$75)/52,2),AK$187*(1+AL$30)))</f>
        <v>2595.5715665209163</v>
      </c>
      <c r="AM187" s="13">
        <f ca="1">IF(OFFSET(Assumptions!$B$29,0,$C$1)="FFD",ROUND((FLOOR(52*AM$186,1)-IF(FLOOR(52*AM$186,1)&gt;Exogenous!$P$73,(FLOOR(52*AM$186,1)-Exogenous!$P$73)*Exogenous!$N$74+Exogenous!$P$79,IF(FLOOR(52*AM$186,1)&gt;Exogenous!$P$72,(FLOOR(52*AM$186,1)-Exogenous!$P$72)*Exogenous!$N$73+Exogenous!$P$78,IF(FLOOR(52*AM$186,1)&gt;Exogenous!$P$71,(FLOOR(52*AM$186,1)-Exogenous!$P$71)*Exogenous!$N$72+Exogenous!$P$77,FLOOR(52*AM$186,1)*Exogenous!$N$71)))-FLOOR(52*AM$186,1)*Exogenous!$N$75)/52,2),IF(OFFSET(Assumptions!$B$29,0,$C$1)="PFD",ROUND((FLOOR(52*AM$186,1)-IF(FLOOR(52*AM$186,1)&gt;Exogenous!AS$73,(FLOOR(52*AM$186,1)-Exogenous!AS$73)*Exogenous!$N$74+Exogenous!AS$79,IF(FLOOR(52*AM$186,1)&gt;Exogenous!AS$72,(FLOOR(52*AM$186,1)-Exogenous!AS$72)*Exogenous!$N$73+Exogenous!AS$78,IF(FLOOR(52*AM$186,1)&gt;Exogenous!AS$71,(FLOOR(52*AM$186,1)-Exogenous!AS$71)*Exogenous!$N$72+Exogenous!AS$77,FLOOR(52*AM$186,1)*Exogenous!$N$71)))-FLOOR(52*AM$186,1)*Exogenous!$N$75)/52,2),AL$187*(1+AM$30)))</f>
        <v>2687.1952428191044</v>
      </c>
      <c r="AN187" s="13">
        <f ca="1">IF(OFFSET(Assumptions!$B$29,0,$C$1)="FFD",ROUND((FLOOR(52*AN$186,1)-IF(FLOOR(52*AN$186,1)&gt;Exogenous!$P$73,(FLOOR(52*AN$186,1)-Exogenous!$P$73)*Exogenous!$N$74+Exogenous!$P$79,IF(FLOOR(52*AN$186,1)&gt;Exogenous!$P$72,(FLOOR(52*AN$186,1)-Exogenous!$P$72)*Exogenous!$N$73+Exogenous!$P$78,IF(FLOOR(52*AN$186,1)&gt;Exogenous!$P$71,(FLOOR(52*AN$186,1)-Exogenous!$P$71)*Exogenous!$N$72+Exogenous!$P$77,FLOOR(52*AN$186,1)*Exogenous!$N$71)))-FLOOR(52*AN$186,1)*Exogenous!$N$75)/52,2),IF(OFFSET(Assumptions!$B$29,0,$C$1)="PFD",ROUND((FLOOR(52*AN$186,1)-IF(FLOOR(52*AN$186,1)&gt;Exogenous!AT$73,(FLOOR(52*AN$186,1)-Exogenous!AT$73)*Exogenous!$N$74+Exogenous!AT$79,IF(FLOOR(52*AN$186,1)&gt;Exogenous!AT$72,(FLOOR(52*AN$186,1)-Exogenous!AT$72)*Exogenous!$N$73+Exogenous!AT$78,IF(FLOOR(52*AN$186,1)&gt;Exogenous!AT$71,(FLOOR(52*AN$186,1)-Exogenous!AT$71)*Exogenous!$N$72+Exogenous!AT$77,FLOOR(52*AN$186,1)*Exogenous!$N$71)))-FLOOR(52*AN$186,1)*Exogenous!$N$75)/52,2),AM$187*(1+AN$30)))</f>
        <v>2782.0532348906186</v>
      </c>
      <c r="AO187" s="13">
        <f ca="1">IF(OFFSET(Assumptions!$B$29,0,$C$1)="FFD",ROUND((FLOOR(52*AO$186,1)-IF(FLOOR(52*AO$186,1)&gt;Exogenous!$P$73,(FLOOR(52*AO$186,1)-Exogenous!$P$73)*Exogenous!$N$74+Exogenous!$P$79,IF(FLOOR(52*AO$186,1)&gt;Exogenous!$P$72,(FLOOR(52*AO$186,1)-Exogenous!$P$72)*Exogenous!$N$73+Exogenous!$P$78,IF(FLOOR(52*AO$186,1)&gt;Exogenous!$P$71,(FLOOR(52*AO$186,1)-Exogenous!$P$71)*Exogenous!$N$72+Exogenous!$P$77,FLOOR(52*AO$186,1)*Exogenous!$N$71)))-FLOOR(52*AO$186,1)*Exogenous!$N$75)/52,2),IF(OFFSET(Assumptions!$B$29,0,$C$1)="PFD",ROUND((FLOOR(52*AO$186,1)-IF(FLOOR(52*AO$186,1)&gt;Exogenous!AU$73,(FLOOR(52*AO$186,1)-Exogenous!AU$73)*Exogenous!$N$74+Exogenous!AU$79,IF(FLOOR(52*AO$186,1)&gt;Exogenous!AU$72,(FLOOR(52*AO$186,1)-Exogenous!AU$72)*Exogenous!$N$73+Exogenous!AU$78,IF(FLOOR(52*AO$186,1)&gt;Exogenous!AU$71,(FLOOR(52*AO$186,1)-Exogenous!AU$71)*Exogenous!$N$72+Exogenous!AU$77,FLOOR(52*AO$186,1)*Exogenous!$N$71)))-FLOOR(52*AO$186,1)*Exogenous!$N$75)/52,2),AN$187*(1+AO$30)))</f>
        <v>2880.2597140822572</v>
      </c>
      <c r="AP187" s="13">
        <f ca="1">IF(OFFSET(Assumptions!$B$29,0,$C$1)="FFD",ROUND((FLOOR(52*AP$186,1)-IF(FLOOR(52*AP$186,1)&gt;Exogenous!$P$73,(FLOOR(52*AP$186,1)-Exogenous!$P$73)*Exogenous!$N$74+Exogenous!$P$79,IF(FLOOR(52*AP$186,1)&gt;Exogenous!$P$72,(FLOOR(52*AP$186,1)-Exogenous!$P$72)*Exogenous!$N$73+Exogenous!$P$78,IF(FLOOR(52*AP$186,1)&gt;Exogenous!$P$71,(FLOOR(52*AP$186,1)-Exogenous!$P$71)*Exogenous!$N$72+Exogenous!$P$77,FLOOR(52*AP$186,1)*Exogenous!$N$71)))-FLOOR(52*AP$186,1)*Exogenous!$N$75)/52,2),IF(OFFSET(Assumptions!$B$29,0,$C$1)="PFD",ROUND((FLOOR(52*AP$186,1)-IF(FLOOR(52*AP$186,1)&gt;Exogenous!AV$73,(FLOOR(52*AP$186,1)-Exogenous!AV$73)*Exogenous!$N$74+Exogenous!AV$79,IF(FLOOR(52*AP$186,1)&gt;Exogenous!AV$72,(FLOOR(52*AP$186,1)-Exogenous!AV$72)*Exogenous!$N$73+Exogenous!AV$78,IF(FLOOR(52*AP$186,1)&gt;Exogenous!AV$71,(FLOOR(52*AP$186,1)-Exogenous!AV$71)*Exogenous!$N$72+Exogenous!AV$77,FLOOR(52*AP$186,1)*Exogenous!$N$71)))-FLOOR(52*AP$186,1)*Exogenous!$N$75)/52,2),AO$187*(1+AP$30)))</f>
        <v>2981.9328819893608</v>
      </c>
      <c r="AQ187" s="13">
        <f ca="1">IF(OFFSET(Assumptions!$B$29,0,$C$1)="FFD",ROUND((FLOOR(52*AQ$186,1)-IF(FLOOR(52*AQ$186,1)&gt;Exogenous!$P$73,(FLOOR(52*AQ$186,1)-Exogenous!$P$73)*Exogenous!$N$74+Exogenous!$P$79,IF(FLOOR(52*AQ$186,1)&gt;Exogenous!$P$72,(FLOOR(52*AQ$186,1)-Exogenous!$P$72)*Exogenous!$N$73+Exogenous!$P$78,IF(FLOOR(52*AQ$186,1)&gt;Exogenous!$P$71,(FLOOR(52*AQ$186,1)-Exogenous!$P$71)*Exogenous!$N$72+Exogenous!$P$77,FLOOR(52*AQ$186,1)*Exogenous!$N$71)))-FLOOR(52*AQ$186,1)*Exogenous!$N$75)/52,2),IF(OFFSET(Assumptions!$B$29,0,$C$1)="PFD",ROUND((FLOOR(52*AQ$186,1)-IF(FLOOR(52*AQ$186,1)&gt;Exogenous!AW$73,(FLOOR(52*AQ$186,1)-Exogenous!AW$73)*Exogenous!$N$74+Exogenous!AW$79,IF(FLOOR(52*AQ$186,1)&gt;Exogenous!AW$72,(FLOOR(52*AQ$186,1)-Exogenous!AW$72)*Exogenous!$N$73+Exogenous!AW$78,IF(FLOOR(52*AQ$186,1)&gt;Exogenous!AW$71,(FLOOR(52*AQ$186,1)-Exogenous!AW$71)*Exogenous!$N$72+Exogenous!AW$77,FLOOR(52*AQ$186,1)*Exogenous!$N$71)))-FLOOR(52*AQ$186,1)*Exogenous!$N$75)/52,2),AP$187*(1+AQ$30)))</f>
        <v>3087.1951127235848</v>
      </c>
      <c r="AR187" s="13">
        <f ca="1">IF(OFFSET(Assumptions!$B$29,0,$C$1)="FFD",ROUND((FLOOR(52*AR$186,1)-IF(FLOOR(52*AR$186,1)&gt;Exogenous!$P$73,(FLOOR(52*AR$186,1)-Exogenous!$P$73)*Exogenous!$N$74+Exogenous!$P$79,IF(FLOOR(52*AR$186,1)&gt;Exogenous!$P$72,(FLOOR(52*AR$186,1)-Exogenous!$P$72)*Exogenous!$N$73+Exogenous!$P$78,IF(FLOOR(52*AR$186,1)&gt;Exogenous!$P$71,(FLOOR(52*AR$186,1)-Exogenous!$P$71)*Exogenous!$N$72+Exogenous!$P$77,FLOOR(52*AR$186,1)*Exogenous!$N$71)))-FLOOR(52*AR$186,1)*Exogenous!$N$75)/52,2),IF(OFFSET(Assumptions!$B$29,0,$C$1)="PFD",ROUND((FLOOR(52*AR$186,1)-IF(FLOOR(52*AR$186,1)&gt;Exogenous!AX$73,(FLOOR(52*AR$186,1)-Exogenous!AX$73)*Exogenous!$N$74+Exogenous!AX$79,IF(FLOOR(52*AR$186,1)&gt;Exogenous!AX$72,(FLOOR(52*AR$186,1)-Exogenous!AX$72)*Exogenous!$N$73+Exogenous!AX$78,IF(FLOOR(52*AR$186,1)&gt;Exogenous!AX$71,(FLOOR(52*AR$186,1)-Exogenous!AX$71)*Exogenous!$N$72+Exogenous!AX$77,FLOOR(52*AR$186,1)*Exogenous!$N$71)))-FLOOR(52*AR$186,1)*Exogenous!$N$75)/52,2),AQ$187*(1+AR$30)))</f>
        <v>3196.1731002027268</v>
      </c>
      <c r="AS187" s="13">
        <f ca="1">IF(OFFSET(Assumptions!$B$29,0,$C$1)="FFD",ROUND((FLOOR(52*AS$186,1)-IF(FLOOR(52*AS$186,1)&gt;Exogenous!$P$73,(FLOOR(52*AS$186,1)-Exogenous!$P$73)*Exogenous!$N$74+Exogenous!$P$79,IF(FLOOR(52*AS$186,1)&gt;Exogenous!$P$72,(FLOOR(52*AS$186,1)-Exogenous!$P$72)*Exogenous!$N$73+Exogenous!$P$78,IF(FLOOR(52*AS$186,1)&gt;Exogenous!$P$71,(FLOOR(52*AS$186,1)-Exogenous!$P$71)*Exogenous!$N$72+Exogenous!$P$77,FLOOR(52*AS$186,1)*Exogenous!$N$71)))-FLOOR(52*AS$186,1)*Exogenous!$N$75)/52,2),IF(OFFSET(Assumptions!$B$29,0,$C$1)="PFD",ROUND((FLOOR(52*AS$186,1)-IF(FLOOR(52*AS$186,1)&gt;Exogenous!AY$73,(FLOOR(52*AS$186,1)-Exogenous!AY$73)*Exogenous!$N$74+Exogenous!AY$79,IF(FLOOR(52*AS$186,1)&gt;Exogenous!AY$72,(FLOOR(52*AS$186,1)-Exogenous!AY$72)*Exogenous!$N$73+Exogenous!AY$78,IF(FLOOR(52*AS$186,1)&gt;Exogenous!AY$71,(FLOOR(52*AS$186,1)-Exogenous!AY$71)*Exogenous!$N$72+Exogenous!AY$77,FLOOR(52*AS$186,1)*Exogenous!$N$71)))-FLOOR(52*AS$186,1)*Exogenous!$N$75)/52,2),AR$187*(1+AS$30)))</f>
        <v>3308.9980106398825</v>
      </c>
      <c r="AT187" s="13">
        <f ca="1">IF(OFFSET(Assumptions!$B$29,0,$C$1)="FFD",ROUND((FLOOR(52*AT$186,1)-IF(FLOOR(52*AT$186,1)&gt;Exogenous!$P$73,(FLOOR(52*AT$186,1)-Exogenous!$P$73)*Exogenous!$N$74+Exogenous!$P$79,IF(FLOOR(52*AT$186,1)&gt;Exogenous!$P$72,(FLOOR(52*AT$186,1)-Exogenous!$P$72)*Exogenous!$N$73+Exogenous!$P$78,IF(FLOOR(52*AT$186,1)&gt;Exogenous!$P$71,(FLOOR(52*AT$186,1)-Exogenous!$P$71)*Exogenous!$N$72+Exogenous!$P$77,FLOOR(52*AT$186,1)*Exogenous!$N$71)))-FLOOR(52*AT$186,1)*Exogenous!$N$75)/52,2),IF(OFFSET(Assumptions!$B$29,0,$C$1)="PFD",ROUND((FLOOR(52*AT$186,1)-IF(FLOOR(52*AT$186,1)&gt;Exogenous!AZ$73,(FLOOR(52*AT$186,1)-Exogenous!AZ$73)*Exogenous!$N$74+Exogenous!AZ$79,IF(FLOOR(52*AT$186,1)&gt;Exogenous!AZ$72,(FLOOR(52*AT$186,1)-Exogenous!AZ$72)*Exogenous!$N$73+Exogenous!AZ$78,IF(FLOOR(52*AT$186,1)&gt;Exogenous!AZ$71,(FLOOR(52*AT$186,1)-Exogenous!AZ$71)*Exogenous!$N$72+Exogenous!AZ$77,FLOOR(52*AT$186,1)*Exogenous!$N$71)))-FLOOR(52*AT$186,1)*Exogenous!$N$75)/52,2),AS$187*(1+AT$30)))</f>
        <v>3425.80564041547</v>
      </c>
      <c r="AU187" s="13">
        <f ca="1">IF(OFFSET(Assumptions!$B$29,0,$C$1)="FFD",ROUND((FLOOR(52*AU$186,1)-IF(FLOOR(52*AU$186,1)&gt;Exogenous!$P$73,(FLOOR(52*AU$186,1)-Exogenous!$P$73)*Exogenous!$N$74+Exogenous!$P$79,IF(FLOOR(52*AU$186,1)&gt;Exogenous!$P$72,(FLOOR(52*AU$186,1)-Exogenous!$P$72)*Exogenous!$N$73+Exogenous!$P$78,IF(FLOOR(52*AU$186,1)&gt;Exogenous!$P$71,(FLOOR(52*AU$186,1)-Exogenous!$P$71)*Exogenous!$N$72+Exogenous!$P$77,FLOOR(52*AU$186,1)*Exogenous!$N$71)))-FLOOR(52*AU$186,1)*Exogenous!$N$75)/52,2),IF(OFFSET(Assumptions!$B$29,0,$C$1)="PFD",ROUND((FLOOR(52*AU$186,1)-IF(FLOOR(52*AU$186,1)&gt;Exogenous!BA$73,(FLOOR(52*AU$186,1)-Exogenous!BA$73)*Exogenous!$N$74+Exogenous!BA$79,IF(FLOOR(52*AU$186,1)&gt;Exogenous!BA$72,(FLOOR(52*AU$186,1)-Exogenous!BA$72)*Exogenous!$N$73+Exogenous!BA$78,IF(FLOOR(52*AU$186,1)&gt;Exogenous!BA$71,(FLOOR(52*AU$186,1)-Exogenous!BA$71)*Exogenous!$N$72+Exogenous!BA$77,FLOOR(52*AU$186,1)*Exogenous!$N$71)))-FLOOR(52*AU$186,1)*Exogenous!$N$75)/52,2),AT$187*(1+AU$30)))</f>
        <v>3546.7365795221358</v>
      </c>
      <c r="AV187" s="13">
        <f ca="1">IF(OFFSET(Assumptions!$B$29,0,$C$1)="FFD",ROUND((FLOOR(52*AV$186,1)-IF(FLOOR(52*AV$186,1)&gt;Exogenous!$P$73,(FLOOR(52*AV$186,1)-Exogenous!$P$73)*Exogenous!$N$74+Exogenous!$P$79,IF(FLOOR(52*AV$186,1)&gt;Exogenous!$P$72,(FLOOR(52*AV$186,1)-Exogenous!$P$72)*Exogenous!$N$73+Exogenous!$P$78,IF(FLOOR(52*AV$186,1)&gt;Exogenous!$P$71,(FLOOR(52*AV$186,1)-Exogenous!$P$71)*Exogenous!$N$72+Exogenous!$P$77,FLOOR(52*AV$186,1)*Exogenous!$N$71)))-FLOOR(52*AV$186,1)*Exogenous!$N$75)/52,2),IF(OFFSET(Assumptions!$B$29,0,$C$1)="PFD",ROUND((FLOOR(52*AV$186,1)-IF(FLOOR(52*AV$186,1)&gt;Exogenous!BB$73,(FLOOR(52*AV$186,1)-Exogenous!BB$73)*Exogenous!$N$74+Exogenous!BB$79,IF(FLOOR(52*AV$186,1)&gt;Exogenous!BB$72,(FLOOR(52*AV$186,1)-Exogenous!BB$72)*Exogenous!$N$73+Exogenous!BB$78,IF(FLOOR(52*AV$186,1)&gt;Exogenous!BB$71,(FLOOR(52*AV$186,1)-Exogenous!BB$71)*Exogenous!$N$72+Exogenous!BB$77,FLOOR(52*AV$186,1)*Exogenous!$N$71)))-FLOOR(52*AV$186,1)*Exogenous!$N$75)/52,2),AU$187*(1+AV$30)))</f>
        <v>3671.936380779267</v>
      </c>
      <c r="AW187" s="13">
        <f ca="1">IF(OFFSET(Assumptions!$B$29,0,$C$1)="FFD",ROUND((FLOOR(52*AW$186,1)-IF(FLOOR(52*AW$186,1)&gt;Exogenous!$P$73,(FLOOR(52*AW$186,1)-Exogenous!$P$73)*Exogenous!$N$74+Exogenous!$P$79,IF(FLOOR(52*AW$186,1)&gt;Exogenous!$P$72,(FLOOR(52*AW$186,1)-Exogenous!$P$72)*Exogenous!$N$73+Exogenous!$P$78,IF(FLOOR(52*AW$186,1)&gt;Exogenous!$P$71,(FLOOR(52*AW$186,1)-Exogenous!$P$71)*Exogenous!$N$72+Exogenous!$P$77,FLOOR(52*AW$186,1)*Exogenous!$N$71)))-FLOOR(52*AW$186,1)*Exogenous!$N$75)/52,2),IF(OFFSET(Assumptions!$B$29,0,$C$1)="PFD",ROUND((FLOOR(52*AW$186,1)-IF(FLOOR(52*AW$186,1)&gt;Exogenous!BC$73,(FLOOR(52*AW$186,1)-Exogenous!BC$73)*Exogenous!$N$74+Exogenous!BC$79,IF(FLOOR(52*AW$186,1)&gt;Exogenous!BC$72,(FLOOR(52*AW$186,1)-Exogenous!BC$72)*Exogenous!$N$73+Exogenous!BC$78,IF(FLOOR(52*AW$186,1)&gt;Exogenous!BC$71,(FLOOR(52*AW$186,1)-Exogenous!BC$71)*Exogenous!$N$72+Exogenous!BC$77,FLOOR(52*AW$186,1)*Exogenous!$N$71)))-FLOOR(52*AW$186,1)*Exogenous!$N$75)/52,2),AV$187*(1+AW$30)))</f>
        <v>3801.5557350207746</v>
      </c>
    </row>
    <row r="188" spans="1:49" x14ac:dyDescent="0.2">
      <c r="A188" s="1" t="s">
        <v>508</v>
      </c>
      <c r="B188" s="4" t="str">
        <f>$B$12</f>
        <v>From Economic</v>
      </c>
      <c r="D188" s="24">
        <f>Economic!M$21</f>
        <v>326.3</v>
      </c>
      <c r="E188" s="25">
        <f>Economic!N$21</f>
        <v>335.74</v>
      </c>
      <c r="F188" s="25">
        <f>Economic!O$21</f>
        <v>339.11</v>
      </c>
      <c r="G188" s="25">
        <f>Economic!P$21</f>
        <v>345.54</v>
      </c>
      <c r="H188" s="25">
        <f>Economic!Q$21</f>
        <v>351.76</v>
      </c>
      <c r="I188" s="25">
        <f>Economic!R$21</f>
        <v>358.56</v>
      </c>
      <c r="J188" s="13">
        <f ca="1">IF(OFFSET(Assumptions!$B$29,0,$C$1)="FFD",ROUND(IF(52*J$189&lt;=Exogenous!$P$74,52*J$189/(1-Exogenous!$N$71),IF(52*J$189&lt;=Exogenous!$P$75,(52*J$189-Exogenous!$P$80)/(1-Exogenous!$N$72),IF(52*J$189&lt;=Exogenous!$P$76,(52*J$189-Exogenous!$P$81)/(1-Exogenous!$N$73),(52*J$189-Exogenous!$P$82)/(1-Exogenous!$N$74))))/52,2),IF(OFFSET(Assumptions!$B$29,0,$C$1)="PFD",ROUND(IF(52*J$189&lt;=Exogenous!P$74,52*J$189/(1-Exogenous!$N$71),IF(52*J$189&lt;=Exogenous!P$75,(52*J$189-Exogenous!P$80)/(1-Exogenous!$N$72),IF(52*J$189&lt;=Exogenous!P$76,(52*J$189-Exogenous!P$81)/(1-Exogenous!$N$73),(52*J$189-Exogenous!P$82)/(1-Exogenous!$N$74))))/52,2),I$188*J$189/I$189))</f>
        <v>365.73120000000006</v>
      </c>
      <c r="K188" s="13">
        <f ca="1">IF(OFFSET(Assumptions!$B$29,0,$C$1)="FFD",ROUND(IF(52*K$189&lt;=Exogenous!$P$74,52*K$189/(1-Exogenous!$N$71),IF(52*K$189&lt;=Exogenous!$P$75,(52*K$189-Exogenous!$P$80)/(1-Exogenous!$N$72),IF(52*K$189&lt;=Exogenous!$P$76,(52*K$189-Exogenous!$P$81)/(1-Exogenous!$N$73),(52*K$189-Exogenous!$P$82)/(1-Exogenous!$N$74))))/52,2),IF(OFFSET(Assumptions!$B$29,0,$C$1)="PFD",ROUND(IF(52*K$189&lt;=Exogenous!Q$74,52*K$189/(1-Exogenous!$N$71),IF(52*K$189&lt;=Exogenous!Q$75,(52*K$189-Exogenous!Q$80)/(1-Exogenous!$N$72),IF(52*K$189&lt;=Exogenous!Q$76,(52*K$189-Exogenous!Q$81)/(1-Exogenous!$N$73),(52*K$189-Exogenous!Q$82)/(1-Exogenous!$N$74))))/52,2),J$188*K$189/J$189))</f>
        <v>376.62651635179645</v>
      </c>
      <c r="L188" s="13">
        <f ca="1">IF(OFFSET(Assumptions!$B$29,0,$C$1)="FFD",ROUND(IF(52*L$189&lt;=Exogenous!$P$74,52*L$189/(1-Exogenous!$N$71),IF(52*L$189&lt;=Exogenous!$P$75,(52*L$189-Exogenous!$P$80)/(1-Exogenous!$N$72),IF(52*L$189&lt;=Exogenous!$P$76,(52*L$189-Exogenous!$P$81)/(1-Exogenous!$N$73),(52*L$189-Exogenous!$P$82)/(1-Exogenous!$N$74))))/52,2),IF(OFFSET(Assumptions!$B$29,0,$C$1)="PFD",ROUND(IF(52*L$189&lt;=Exogenous!R$74,52*L$189/(1-Exogenous!$N$71),IF(52*L$189&lt;=Exogenous!R$75,(52*L$189-Exogenous!R$80)/(1-Exogenous!$N$72),IF(52*L$189&lt;=Exogenous!R$76,(52*L$189-Exogenous!R$81)/(1-Exogenous!$N$73),(52*L$189-Exogenous!R$82)/(1-Exogenous!$N$74))))/52,2),K$188*L$189/K$189))</f>
        <v>389.92143237901485</v>
      </c>
      <c r="M188" s="13">
        <f ca="1">IF(OFFSET(Assumptions!$B$29,0,$C$1)="FFD",ROUND(IF(52*M$189&lt;=Exogenous!$P$74,52*M$189/(1-Exogenous!$N$71),IF(52*M$189&lt;=Exogenous!$P$75,(52*M$189-Exogenous!$P$80)/(1-Exogenous!$N$72),IF(52*M$189&lt;=Exogenous!$P$76,(52*M$189-Exogenous!$P$81)/(1-Exogenous!$N$73),(52*M$189-Exogenous!$P$82)/(1-Exogenous!$N$74))))/52,2),IF(OFFSET(Assumptions!$B$29,0,$C$1)="PFD",ROUND(IF(52*M$189&lt;=Exogenous!S$74,52*M$189/(1-Exogenous!$N$71),IF(52*M$189&lt;=Exogenous!S$75,(52*M$189-Exogenous!S$80)/(1-Exogenous!$N$72),IF(52*M$189&lt;=Exogenous!S$76,(52*M$189-Exogenous!S$81)/(1-Exogenous!$N$73),(52*M$189-Exogenous!S$82)/(1-Exogenous!$N$74))))/52,2),L$188*M$189/L$189))</f>
        <v>403.68565894199406</v>
      </c>
      <c r="N188" s="13">
        <f ca="1">IF(OFFSET(Assumptions!$B$29,0,$C$1)="FFD",ROUND(IF(52*N$189&lt;=Exogenous!$P$74,52*N$189/(1-Exogenous!$N$71),IF(52*N$189&lt;=Exogenous!$P$75,(52*N$189-Exogenous!$P$80)/(1-Exogenous!$N$72),IF(52*N$189&lt;=Exogenous!$P$76,(52*N$189-Exogenous!$P$81)/(1-Exogenous!$N$73),(52*N$189-Exogenous!$P$82)/(1-Exogenous!$N$74))))/52,2),IF(OFFSET(Assumptions!$B$29,0,$C$1)="PFD",ROUND(IF(52*N$189&lt;=Exogenous!T$74,52*N$189/(1-Exogenous!$N$71),IF(52*N$189&lt;=Exogenous!T$75,(52*N$189-Exogenous!T$80)/(1-Exogenous!$N$72),IF(52*N$189&lt;=Exogenous!T$76,(52*N$189-Exogenous!T$81)/(1-Exogenous!$N$73),(52*N$189-Exogenous!T$82)/(1-Exogenous!$N$74))))/52,2),M$188*N$189/M$189))</f>
        <v>417.9357627026464</v>
      </c>
      <c r="O188" s="13">
        <f ca="1">IF(OFFSET(Assumptions!$B$29,0,$C$1)="FFD",ROUND(IF(52*O$189&lt;=Exogenous!$P$74,52*O$189/(1-Exogenous!$N$71),IF(52*O$189&lt;=Exogenous!$P$75,(52*O$189-Exogenous!$P$80)/(1-Exogenous!$N$72),IF(52*O$189&lt;=Exogenous!$P$76,(52*O$189-Exogenous!$P$81)/(1-Exogenous!$N$73),(52*O$189-Exogenous!$P$82)/(1-Exogenous!$N$74))))/52,2),IF(OFFSET(Assumptions!$B$29,0,$C$1)="PFD",ROUND(IF(52*O$189&lt;=Exogenous!U$74,52*O$189/(1-Exogenous!$N$71),IF(52*O$189&lt;=Exogenous!U$75,(52*O$189-Exogenous!U$80)/(1-Exogenous!$N$72),IF(52*O$189&lt;=Exogenous!U$76,(52*O$189-Exogenous!U$81)/(1-Exogenous!$N$73),(52*O$189-Exogenous!U$82)/(1-Exogenous!$N$74))))/52,2),N$188*O$189/N$189))</f>
        <v>432.68889512604983</v>
      </c>
      <c r="P188" s="13">
        <f ca="1">IF(OFFSET(Assumptions!$B$29,0,$C$1)="FFD",ROUND(IF(52*P$189&lt;=Exogenous!$P$74,52*P$189/(1-Exogenous!$N$71),IF(52*P$189&lt;=Exogenous!$P$75,(52*P$189-Exogenous!$P$80)/(1-Exogenous!$N$72),IF(52*P$189&lt;=Exogenous!$P$76,(52*P$189-Exogenous!$P$81)/(1-Exogenous!$N$73),(52*P$189-Exogenous!$P$82)/(1-Exogenous!$N$74))))/52,2),IF(OFFSET(Assumptions!$B$29,0,$C$1)="PFD",ROUND(IF(52*P$189&lt;=Exogenous!V$74,52*P$189/(1-Exogenous!$N$71),IF(52*P$189&lt;=Exogenous!V$75,(52*P$189-Exogenous!V$80)/(1-Exogenous!$N$72),IF(52*P$189&lt;=Exogenous!V$76,(52*P$189-Exogenous!V$81)/(1-Exogenous!$N$73),(52*P$189-Exogenous!V$82)/(1-Exogenous!$N$74))))/52,2),O$188*P$189/O$189))</f>
        <v>447.9628131239993</v>
      </c>
      <c r="Q188" s="13">
        <f ca="1">IF(OFFSET(Assumptions!$B$29,0,$C$1)="FFD",ROUND(IF(52*Q$189&lt;=Exogenous!$P$74,52*Q$189/(1-Exogenous!$N$71),IF(52*Q$189&lt;=Exogenous!$P$75,(52*Q$189-Exogenous!$P$80)/(1-Exogenous!$N$72),IF(52*Q$189&lt;=Exogenous!$P$76,(52*Q$189-Exogenous!$P$81)/(1-Exogenous!$N$73),(52*Q$189-Exogenous!$P$82)/(1-Exogenous!$N$74))))/52,2),IF(OFFSET(Assumptions!$B$29,0,$C$1)="PFD",ROUND(IF(52*Q$189&lt;=Exogenous!W$74,52*Q$189/(1-Exogenous!$N$71),IF(52*Q$189&lt;=Exogenous!W$75,(52*Q$189-Exogenous!W$80)/(1-Exogenous!$N$72),IF(52*Q$189&lt;=Exogenous!W$76,(52*Q$189-Exogenous!W$81)/(1-Exogenous!$N$73),(52*Q$189-Exogenous!W$82)/(1-Exogenous!$N$74))))/52,2),P$188*Q$189/P$189))</f>
        <v>463.77590042727638</v>
      </c>
      <c r="R188" s="13">
        <f ca="1">IF(OFFSET(Assumptions!$B$29,0,$C$1)="FFD",ROUND(IF(52*R$189&lt;=Exogenous!$P$74,52*R$189/(1-Exogenous!$N$71),IF(52*R$189&lt;=Exogenous!$P$75,(52*R$189-Exogenous!$P$80)/(1-Exogenous!$N$72),IF(52*R$189&lt;=Exogenous!$P$76,(52*R$189-Exogenous!$P$81)/(1-Exogenous!$N$73),(52*R$189-Exogenous!$P$82)/(1-Exogenous!$N$74))))/52,2),IF(OFFSET(Assumptions!$B$29,0,$C$1)="PFD",ROUND(IF(52*R$189&lt;=Exogenous!X$74,52*R$189/(1-Exogenous!$N$71),IF(52*R$189&lt;=Exogenous!X$75,(52*R$189-Exogenous!X$80)/(1-Exogenous!$N$72),IF(52*R$189&lt;=Exogenous!X$76,(52*R$189-Exogenous!X$81)/(1-Exogenous!$N$73),(52*R$189-Exogenous!X$82)/(1-Exogenous!$N$74))))/52,2),Q$188*R$189/Q$189))</f>
        <v>480.14718971235919</v>
      </c>
      <c r="S188" s="13">
        <f ca="1">IF(OFFSET(Assumptions!$B$29,0,$C$1)="FFD",ROUND(IF(52*S$189&lt;=Exogenous!$P$74,52*S$189/(1-Exogenous!$N$71),IF(52*S$189&lt;=Exogenous!$P$75,(52*S$189-Exogenous!$P$80)/(1-Exogenous!$N$72),IF(52*S$189&lt;=Exogenous!$P$76,(52*S$189-Exogenous!$P$81)/(1-Exogenous!$N$73),(52*S$189-Exogenous!$P$82)/(1-Exogenous!$N$74))))/52,2),IF(OFFSET(Assumptions!$B$29,0,$C$1)="PFD",ROUND(IF(52*S$189&lt;=Exogenous!Y$74,52*S$189/(1-Exogenous!$N$71),IF(52*S$189&lt;=Exogenous!Y$75,(52*S$189-Exogenous!Y$80)/(1-Exogenous!$N$72),IF(52*S$189&lt;=Exogenous!Y$76,(52*S$189-Exogenous!Y$81)/(1-Exogenous!$N$73),(52*S$189-Exogenous!Y$82)/(1-Exogenous!$N$74))))/52,2),R$188*S$189/R$189))</f>
        <v>497.09638550920545</v>
      </c>
      <c r="T188" s="13">
        <f ca="1">IF(OFFSET(Assumptions!$B$29,0,$C$1)="FFD",ROUND(IF(52*T$189&lt;=Exogenous!$P$74,52*T$189/(1-Exogenous!$N$71),IF(52*T$189&lt;=Exogenous!$P$75,(52*T$189-Exogenous!$P$80)/(1-Exogenous!$N$72),IF(52*T$189&lt;=Exogenous!$P$76,(52*T$189-Exogenous!$P$81)/(1-Exogenous!$N$73),(52*T$189-Exogenous!$P$82)/(1-Exogenous!$N$74))))/52,2),IF(OFFSET(Assumptions!$B$29,0,$C$1)="PFD",ROUND(IF(52*T$189&lt;=Exogenous!Z$74,52*T$189/(1-Exogenous!$N$71),IF(52*T$189&lt;=Exogenous!Z$75,(52*T$189-Exogenous!Z$80)/(1-Exogenous!$N$72),IF(52*T$189&lt;=Exogenous!Z$76,(52*T$189-Exogenous!Z$81)/(1-Exogenous!$N$73),(52*T$189-Exogenous!Z$82)/(1-Exogenous!$N$74))))/52,2),S$188*T$189/S$189))</f>
        <v>514.64388791768033</v>
      </c>
      <c r="U188" s="13">
        <f ca="1">IF(OFFSET(Assumptions!$B$29,0,$C$1)="FFD",ROUND(IF(52*U$189&lt;=Exogenous!$P$74,52*U$189/(1-Exogenous!$N$71),IF(52*U$189&lt;=Exogenous!$P$75,(52*U$189-Exogenous!$P$80)/(1-Exogenous!$N$72),IF(52*U$189&lt;=Exogenous!$P$76,(52*U$189-Exogenous!$P$81)/(1-Exogenous!$N$73),(52*U$189-Exogenous!$P$82)/(1-Exogenous!$N$74))))/52,2),IF(OFFSET(Assumptions!$B$29,0,$C$1)="PFD",ROUND(IF(52*U$189&lt;=Exogenous!AA$74,52*U$189/(1-Exogenous!$N$71),IF(52*U$189&lt;=Exogenous!AA$75,(52*U$189-Exogenous!AA$80)/(1-Exogenous!$N$72),IF(52*U$189&lt;=Exogenous!AA$76,(52*U$189-Exogenous!AA$81)/(1-Exogenous!$N$73),(52*U$189-Exogenous!AA$82)/(1-Exogenous!$N$74))))/52,2),T$188*U$189/T$189))</f>
        <v>532.81081716117444</v>
      </c>
      <c r="V188" s="13">
        <f ca="1">IF(OFFSET(Assumptions!$B$29,0,$C$1)="FFD",ROUND(IF(52*V$189&lt;=Exogenous!$P$74,52*V$189/(1-Exogenous!$N$71),IF(52*V$189&lt;=Exogenous!$P$75,(52*V$189-Exogenous!$P$80)/(1-Exogenous!$N$72),IF(52*V$189&lt;=Exogenous!$P$76,(52*V$189-Exogenous!$P$81)/(1-Exogenous!$N$73),(52*V$189-Exogenous!$P$82)/(1-Exogenous!$N$74))))/52,2),IF(OFFSET(Assumptions!$B$29,0,$C$1)="PFD",ROUND(IF(52*V$189&lt;=Exogenous!AB$74,52*V$189/(1-Exogenous!$N$71),IF(52*V$189&lt;=Exogenous!AB$75,(52*V$189-Exogenous!AB$80)/(1-Exogenous!$N$72),IF(52*V$189&lt;=Exogenous!AB$76,(52*V$189-Exogenous!AB$81)/(1-Exogenous!$N$73),(52*V$189-Exogenous!AB$82)/(1-Exogenous!$N$74))))/52,2),U$188*V$189/U$189))</f>
        <v>551.61903900696382</v>
      </c>
      <c r="W188" s="13">
        <f ca="1">IF(OFFSET(Assumptions!$B$29,0,$C$1)="FFD",ROUND(IF(52*W$189&lt;=Exogenous!$P$74,52*W$189/(1-Exogenous!$N$71),IF(52*W$189&lt;=Exogenous!$P$75,(52*W$189-Exogenous!$P$80)/(1-Exogenous!$N$72),IF(52*W$189&lt;=Exogenous!$P$76,(52*W$189-Exogenous!$P$81)/(1-Exogenous!$N$73),(52*W$189-Exogenous!$P$82)/(1-Exogenous!$N$74))))/52,2),IF(OFFSET(Assumptions!$B$29,0,$C$1)="PFD",ROUND(IF(52*W$189&lt;=Exogenous!AC$74,52*W$189/(1-Exogenous!$N$71),IF(52*W$189&lt;=Exogenous!AC$75,(52*W$189-Exogenous!AC$80)/(1-Exogenous!$N$72),IF(52*W$189&lt;=Exogenous!AC$76,(52*W$189-Exogenous!AC$81)/(1-Exogenous!$N$73),(52*W$189-Exogenous!AC$82)/(1-Exogenous!$N$74))))/52,2),V$188*W$189/V$189))</f>
        <v>571.09119108390951</v>
      </c>
      <c r="X188" s="13">
        <f ca="1">IF(OFFSET(Assumptions!$B$29,0,$C$1)="FFD",ROUND(IF(52*X$189&lt;=Exogenous!$P$74,52*X$189/(1-Exogenous!$N$71),IF(52*X$189&lt;=Exogenous!$P$75,(52*X$189-Exogenous!$P$80)/(1-Exogenous!$N$72),IF(52*X$189&lt;=Exogenous!$P$76,(52*X$189-Exogenous!$P$81)/(1-Exogenous!$N$73),(52*X$189-Exogenous!$P$82)/(1-Exogenous!$N$74))))/52,2),IF(OFFSET(Assumptions!$B$29,0,$C$1)="PFD",ROUND(IF(52*X$189&lt;=Exogenous!AD$74,52*X$189/(1-Exogenous!$N$71),IF(52*X$189&lt;=Exogenous!AD$75,(52*X$189-Exogenous!AD$80)/(1-Exogenous!$N$72),IF(52*X$189&lt;=Exogenous!AD$76,(52*X$189-Exogenous!AD$81)/(1-Exogenous!$N$73),(52*X$189-Exogenous!AD$82)/(1-Exogenous!$N$74))))/52,2),W$188*X$189/W$189))</f>
        <v>591.25071012917158</v>
      </c>
      <c r="Y188" s="13">
        <f ca="1">IF(OFFSET(Assumptions!$B$29,0,$C$1)="FFD",ROUND(IF(52*Y$189&lt;=Exogenous!$P$74,52*Y$189/(1-Exogenous!$N$71),IF(52*Y$189&lt;=Exogenous!$P$75,(52*Y$189-Exogenous!$P$80)/(1-Exogenous!$N$72),IF(52*Y$189&lt;=Exogenous!$P$76,(52*Y$189-Exogenous!$P$81)/(1-Exogenous!$N$73),(52*Y$189-Exogenous!$P$82)/(1-Exogenous!$N$74))))/52,2),IF(OFFSET(Assumptions!$B$29,0,$C$1)="PFD",ROUND(IF(52*Y$189&lt;=Exogenous!AE$74,52*Y$189/(1-Exogenous!$N$71),IF(52*Y$189&lt;=Exogenous!AE$75,(52*Y$189-Exogenous!AE$80)/(1-Exogenous!$N$72),IF(52*Y$189&lt;=Exogenous!AE$76,(52*Y$189-Exogenous!AE$81)/(1-Exogenous!$N$73),(52*Y$189-Exogenous!AE$82)/(1-Exogenous!$N$74))))/52,2),X$188*Y$189/X$189))</f>
        <v>612.12186019673129</v>
      </c>
      <c r="Z188" s="13">
        <f ca="1">IF(OFFSET(Assumptions!$B$29,0,$C$1)="FFD",ROUND(IF(52*Z$189&lt;=Exogenous!$P$74,52*Z$189/(1-Exogenous!$N$71),IF(52*Z$189&lt;=Exogenous!$P$75,(52*Z$189-Exogenous!$P$80)/(1-Exogenous!$N$72),IF(52*Z$189&lt;=Exogenous!$P$76,(52*Z$189-Exogenous!$P$81)/(1-Exogenous!$N$73),(52*Z$189-Exogenous!$P$82)/(1-Exogenous!$N$74))))/52,2),IF(OFFSET(Assumptions!$B$29,0,$C$1)="PFD",ROUND(IF(52*Z$189&lt;=Exogenous!AF$74,52*Z$189/(1-Exogenous!$N$71),IF(52*Z$189&lt;=Exogenous!AF$75,(52*Z$189-Exogenous!AF$80)/(1-Exogenous!$N$72),IF(52*Z$189&lt;=Exogenous!AF$76,(52*Z$189-Exogenous!AF$81)/(1-Exogenous!$N$73),(52*Z$189-Exogenous!AF$82)/(1-Exogenous!$N$74))))/52,2),Y$188*Z$189/Y$189))</f>
        <v>633.7297618616758</v>
      </c>
      <c r="AA188" s="13">
        <f ca="1">IF(OFFSET(Assumptions!$B$29,0,$C$1)="FFD",ROUND(IF(52*AA$189&lt;=Exogenous!$P$74,52*AA$189/(1-Exogenous!$N$71),IF(52*AA$189&lt;=Exogenous!$P$75,(52*AA$189-Exogenous!$P$80)/(1-Exogenous!$N$72),IF(52*AA$189&lt;=Exogenous!$P$76,(52*AA$189-Exogenous!$P$81)/(1-Exogenous!$N$73),(52*AA$189-Exogenous!$P$82)/(1-Exogenous!$N$74))))/52,2),IF(OFFSET(Assumptions!$B$29,0,$C$1)="PFD",ROUND(IF(52*AA$189&lt;=Exogenous!AG$74,52*AA$189/(1-Exogenous!$N$71),IF(52*AA$189&lt;=Exogenous!AG$75,(52*AA$189-Exogenous!AG$80)/(1-Exogenous!$N$72),IF(52*AA$189&lt;=Exogenous!AG$76,(52*AA$189-Exogenous!AG$81)/(1-Exogenous!$N$73),(52*AA$189-Exogenous!AG$82)/(1-Exogenous!$N$74))))/52,2),Z$188*AA$189/Z$189))</f>
        <v>656.10042245539273</v>
      </c>
      <c r="AB188" s="13">
        <f ca="1">IF(OFFSET(Assumptions!$B$29,0,$C$1)="FFD",ROUND(IF(52*AB$189&lt;=Exogenous!$P$74,52*AB$189/(1-Exogenous!$N$71),IF(52*AB$189&lt;=Exogenous!$P$75,(52*AB$189-Exogenous!$P$80)/(1-Exogenous!$N$72),IF(52*AB$189&lt;=Exogenous!$P$76,(52*AB$189-Exogenous!$P$81)/(1-Exogenous!$N$73),(52*AB$189-Exogenous!$P$82)/(1-Exogenous!$N$74))))/52,2),IF(OFFSET(Assumptions!$B$29,0,$C$1)="PFD",ROUND(IF(52*AB$189&lt;=Exogenous!AH$74,52*AB$189/(1-Exogenous!$N$71),IF(52*AB$189&lt;=Exogenous!AH$75,(52*AB$189-Exogenous!AH$80)/(1-Exogenous!$N$72),IF(52*AB$189&lt;=Exogenous!AH$76,(52*AB$189-Exogenous!AH$81)/(1-Exogenous!$N$73),(52*AB$189-Exogenous!AH$82)/(1-Exogenous!$N$74))))/52,2),AA$188*AB$189/AA$189))</f>
        <v>679.26076736806806</v>
      </c>
      <c r="AC188" s="13">
        <f ca="1">IF(OFFSET(Assumptions!$B$29,0,$C$1)="FFD",ROUND(IF(52*AC$189&lt;=Exogenous!$P$74,52*AC$189/(1-Exogenous!$N$71),IF(52*AC$189&lt;=Exogenous!$P$75,(52*AC$189-Exogenous!$P$80)/(1-Exogenous!$N$72),IF(52*AC$189&lt;=Exogenous!$P$76,(52*AC$189-Exogenous!$P$81)/(1-Exogenous!$N$73),(52*AC$189-Exogenous!$P$82)/(1-Exogenous!$N$74))))/52,2),IF(OFFSET(Assumptions!$B$29,0,$C$1)="PFD",ROUND(IF(52*AC$189&lt;=Exogenous!AI$74,52*AC$189/(1-Exogenous!$N$71),IF(52*AC$189&lt;=Exogenous!AI$75,(52*AC$189-Exogenous!AI$80)/(1-Exogenous!$N$72),IF(52*AC$189&lt;=Exogenous!AI$76,(52*AC$189-Exogenous!AI$81)/(1-Exogenous!$N$73),(52*AC$189-Exogenous!AI$82)/(1-Exogenous!$N$74))))/52,2),AB$188*AC$189/AB$189))</f>
        <v>703.23867245616077</v>
      </c>
      <c r="AD188" s="13">
        <f ca="1">IF(OFFSET(Assumptions!$B$29,0,$C$1)="FFD",ROUND(IF(52*AD$189&lt;=Exogenous!$P$74,52*AD$189/(1-Exogenous!$N$71),IF(52*AD$189&lt;=Exogenous!$P$75,(52*AD$189-Exogenous!$P$80)/(1-Exogenous!$N$72),IF(52*AD$189&lt;=Exogenous!$P$76,(52*AD$189-Exogenous!$P$81)/(1-Exogenous!$N$73),(52*AD$189-Exogenous!$P$82)/(1-Exogenous!$N$74))))/52,2),IF(OFFSET(Assumptions!$B$29,0,$C$1)="PFD",ROUND(IF(52*AD$189&lt;=Exogenous!AJ$74,52*AD$189/(1-Exogenous!$N$71),IF(52*AD$189&lt;=Exogenous!AJ$75,(52*AD$189-Exogenous!AJ$80)/(1-Exogenous!$N$72),IF(52*AD$189&lt;=Exogenous!AJ$76,(52*AD$189-Exogenous!AJ$81)/(1-Exogenous!$N$73),(52*AD$189-Exogenous!AJ$82)/(1-Exogenous!$N$74))))/52,2),AC$188*AD$189/AC$189))</f>
        <v>728.06299759386309</v>
      </c>
      <c r="AE188" s="13">
        <f ca="1">IF(OFFSET(Assumptions!$B$29,0,$C$1)="FFD",ROUND(IF(52*AE$189&lt;=Exogenous!$P$74,52*AE$189/(1-Exogenous!$N$71),IF(52*AE$189&lt;=Exogenous!$P$75,(52*AE$189-Exogenous!$P$80)/(1-Exogenous!$N$72),IF(52*AE$189&lt;=Exogenous!$P$76,(52*AE$189-Exogenous!$P$81)/(1-Exogenous!$N$73),(52*AE$189-Exogenous!$P$82)/(1-Exogenous!$N$74))))/52,2),IF(OFFSET(Assumptions!$B$29,0,$C$1)="PFD",ROUND(IF(52*AE$189&lt;=Exogenous!AK$74,52*AE$189/(1-Exogenous!$N$71),IF(52*AE$189&lt;=Exogenous!AK$75,(52*AE$189-Exogenous!AK$80)/(1-Exogenous!$N$72),IF(52*AE$189&lt;=Exogenous!AK$76,(52*AE$189-Exogenous!AK$81)/(1-Exogenous!$N$73),(52*AE$189-Exogenous!AK$82)/(1-Exogenous!$N$74))))/52,2),AD$188*AE$189/AD$189))</f>
        <v>753.76362140892638</v>
      </c>
      <c r="AF188" s="13">
        <f ca="1">IF(OFFSET(Assumptions!$B$29,0,$C$1)="FFD",ROUND(IF(52*AF$189&lt;=Exogenous!$P$74,52*AF$189/(1-Exogenous!$N$71),IF(52*AF$189&lt;=Exogenous!$P$75,(52*AF$189-Exogenous!$P$80)/(1-Exogenous!$N$72),IF(52*AF$189&lt;=Exogenous!$P$76,(52*AF$189-Exogenous!$P$81)/(1-Exogenous!$N$73),(52*AF$189-Exogenous!$P$82)/(1-Exogenous!$N$74))))/52,2),IF(OFFSET(Assumptions!$B$29,0,$C$1)="PFD",ROUND(IF(52*AF$189&lt;=Exogenous!AL$74,52*AF$189/(1-Exogenous!$N$71),IF(52*AF$189&lt;=Exogenous!AL$75,(52*AF$189-Exogenous!AL$80)/(1-Exogenous!$N$72),IF(52*AF$189&lt;=Exogenous!AL$76,(52*AF$189-Exogenous!AL$81)/(1-Exogenous!$N$73),(52*AF$189-Exogenous!AL$82)/(1-Exogenous!$N$74))))/52,2),AE$188*AF$189/AE$189))</f>
        <v>780.37147724466138</v>
      </c>
      <c r="AG188" s="13">
        <f ca="1">IF(OFFSET(Assumptions!$B$29,0,$C$1)="FFD",ROUND(IF(52*AG$189&lt;=Exogenous!$P$74,52*AG$189/(1-Exogenous!$N$71),IF(52*AG$189&lt;=Exogenous!$P$75,(52*AG$189-Exogenous!$P$80)/(1-Exogenous!$N$72),IF(52*AG$189&lt;=Exogenous!$P$76,(52*AG$189-Exogenous!$P$81)/(1-Exogenous!$N$73),(52*AG$189-Exogenous!$P$82)/(1-Exogenous!$N$74))))/52,2),IF(OFFSET(Assumptions!$B$29,0,$C$1)="PFD",ROUND(IF(52*AG$189&lt;=Exogenous!AM$74,52*AG$189/(1-Exogenous!$N$71),IF(52*AG$189&lt;=Exogenous!AM$75,(52*AG$189-Exogenous!AM$80)/(1-Exogenous!$N$72),IF(52*AG$189&lt;=Exogenous!AM$76,(52*AG$189-Exogenous!AM$81)/(1-Exogenous!$N$73),(52*AG$189-Exogenous!AM$82)/(1-Exogenous!$N$74))))/52,2),AF$188*AG$189/AF$189))</f>
        <v>807.91859039139786</v>
      </c>
      <c r="AH188" s="13">
        <f ca="1">IF(OFFSET(Assumptions!$B$29,0,$C$1)="FFD",ROUND(IF(52*AH$189&lt;=Exogenous!$P$74,52*AH$189/(1-Exogenous!$N$71),IF(52*AH$189&lt;=Exogenous!$P$75,(52*AH$189-Exogenous!$P$80)/(1-Exogenous!$N$72),IF(52*AH$189&lt;=Exogenous!$P$76,(52*AH$189-Exogenous!$P$81)/(1-Exogenous!$N$73),(52*AH$189-Exogenous!$P$82)/(1-Exogenous!$N$74))))/52,2),IF(OFFSET(Assumptions!$B$29,0,$C$1)="PFD",ROUND(IF(52*AH$189&lt;=Exogenous!AN$74,52*AH$189/(1-Exogenous!$N$71),IF(52*AH$189&lt;=Exogenous!AN$75,(52*AH$189-Exogenous!AN$80)/(1-Exogenous!$N$72),IF(52*AH$189&lt;=Exogenous!AN$76,(52*AH$189-Exogenous!AN$81)/(1-Exogenous!$N$73),(52*AH$189-Exogenous!AN$82)/(1-Exogenous!$N$74))))/52,2),AG$188*AH$189/AG$189))</f>
        <v>836.43811663221402</v>
      </c>
      <c r="AI188" s="13">
        <f ca="1">IF(OFFSET(Assumptions!$B$29,0,$C$1)="FFD",ROUND(IF(52*AI$189&lt;=Exogenous!$P$74,52*AI$189/(1-Exogenous!$N$71),IF(52*AI$189&lt;=Exogenous!$P$75,(52*AI$189-Exogenous!$P$80)/(1-Exogenous!$N$72),IF(52*AI$189&lt;=Exogenous!$P$76,(52*AI$189-Exogenous!$P$81)/(1-Exogenous!$N$73),(52*AI$189-Exogenous!$P$82)/(1-Exogenous!$N$74))))/52,2),IF(OFFSET(Assumptions!$B$29,0,$C$1)="PFD",ROUND(IF(52*AI$189&lt;=Exogenous!AO$74,52*AI$189/(1-Exogenous!$N$71),IF(52*AI$189&lt;=Exogenous!AO$75,(52*AI$189-Exogenous!AO$80)/(1-Exogenous!$N$72),IF(52*AI$189&lt;=Exogenous!AO$76,(52*AI$189-Exogenous!AO$81)/(1-Exogenous!$N$73),(52*AI$189-Exogenous!AO$82)/(1-Exogenous!$N$74))))/52,2),AH$188*AI$189/AH$189))</f>
        <v>865.96438214933107</v>
      </c>
      <c r="AJ188" s="13">
        <f ca="1">IF(OFFSET(Assumptions!$B$29,0,$C$1)="FFD",ROUND(IF(52*AJ$189&lt;=Exogenous!$P$74,52*AJ$189/(1-Exogenous!$N$71),IF(52*AJ$189&lt;=Exogenous!$P$75,(52*AJ$189-Exogenous!$P$80)/(1-Exogenous!$N$72),IF(52*AJ$189&lt;=Exogenous!$P$76,(52*AJ$189-Exogenous!$P$81)/(1-Exogenous!$N$73),(52*AJ$189-Exogenous!$P$82)/(1-Exogenous!$N$74))))/52,2),IF(OFFSET(Assumptions!$B$29,0,$C$1)="PFD",ROUND(IF(52*AJ$189&lt;=Exogenous!AP$74,52*AJ$189/(1-Exogenous!$N$71),IF(52*AJ$189&lt;=Exogenous!AP$75,(52*AJ$189-Exogenous!AP$80)/(1-Exogenous!$N$72),IF(52*AJ$189&lt;=Exogenous!AP$76,(52*AJ$189-Exogenous!AP$81)/(1-Exogenous!$N$73),(52*AJ$189-Exogenous!AP$82)/(1-Exogenous!$N$74))))/52,2),AI$188*AJ$189/AI$189))</f>
        <v>896.53292483920234</v>
      </c>
      <c r="AK188" s="13">
        <f ca="1">IF(OFFSET(Assumptions!$B$29,0,$C$1)="FFD",ROUND(IF(52*AK$189&lt;=Exogenous!$P$74,52*AK$189/(1-Exogenous!$N$71),IF(52*AK$189&lt;=Exogenous!$P$75,(52*AK$189-Exogenous!$P$80)/(1-Exogenous!$N$72),IF(52*AK$189&lt;=Exogenous!$P$76,(52*AK$189-Exogenous!$P$81)/(1-Exogenous!$N$73),(52*AK$189-Exogenous!$P$82)/(1-Exogenous!$N$74))))/52,2),IF(OFFSET(Assumptions!$B$29,0,$C$1)="PFD",ROUND(IF(52*AK$189&lt;=Exogenous!AQ$74,52*AK$189/(1-Exogenous!$N$71),IF(52*AK$189&lt;=Exogenous!AQ$75,(52*AK$189-Exogenous!AQ$80)/(1-Exogenous!$N$72),IF(52*AK$189&lt;=Exogenous!AQ$76,(52*AK$189-Exogenous!AQ$81)/(1-Exogenous!$N$73),(52*AK$189-Exogenous!AQ$82)/(1-Exogenous!$N$74))))/52,2),AJ$188*AK$189/AJ$189))</f>
        <v>928.18053708602622</v>
      </c>
      <c r="AL188" s="13">
        <f ca="1">IF(OFFSET(Assumptions!$B$29,0,$C$1)="FFD",ROUND(IF(52*AL$189&lt;=Exogenous!$P$74,52*AL$189/(1-Exogenous!$N$71),IF(52*AL$189&lt;=Exogenous!$P$75,(52*AL$189-Exogenous!$P$80)/(1-Exogenous!$N$72),IF(52*AL$189&lt;=Exogenous!$P$76,(52*AL$189-Exogenous!$P$81)/(1-Exogenous!$N$73),(52*AL$189-Exogenous!$P$82)/(1-Exogenous!$N$74))))/52,2),IF(OFFSET(Assumptions!$B$29,0,$C$1)="PFD",ROUND(IF(52*AL$189&lt;=Exogenous!AR$74,52*AL$189/(1-Exogenous!$N$71),IF(52*AL$189&lt;=Exogenous!AR$75,(52*AL$189-Exogenous!AR$80)/(1-Exogenous!$N$72),IF(52*AL$189&lt;=Exogenous!AR$76,(52*AL$189-Exogenous!AR$81)/(1-Exogenous!$N$73),(52*AL$189-Exogenous!AR$82)/(1-Exogenous!$N$74))))/52,2),AK$188*AL$189/AK$189))</f>
        <v>960.94531004516273</v>
      </c>
      <c r="AM188" s="13">
        <f ca="1">IF(OFFSET(Assumptions!$B$29,0,$C$1)="FFD",ROUND(IF(52*AM$189&lt;=Exogenous!$P$74,52*AM$189/(1-Exogenous!$N$71),IF(52*AM$189&lt;=Exogenous!$P$75,(52*AM$189-Exogenous!$P$80)/(1-Exogenous!$N$72),IF(52*AM$189&lt;=Exogenous!$P$76,(52*AM$189-Exogenous!$P$81)/(1-Exogenous!$N$73),(52*AM$189-Exogenous!$P$82)/(1-Exogenous!$N$74))))/52,2),IF(OFFSET(Assumptions!$B$29,0,$C$1)="PFD",ROUND(IF(52*AM$189&lt;=Exogenous!AS$74,52*AM$189/(1-Exogenous!$N$71),IF(52*AM$189&lt;=Exogenous!AS$75,(52*AM$189-Exogenous!AS$80)/(1-Exogenous!$N$72),IF(52*AM$189&lt;=Exogenous!AS$76,(52*AM$189-Exogenous!AS$81)/(1-Exogenous!$N$73),(52*AM$189-Exogenous!AS$82)/(1-Exogenous!$N$74))))/52,2),AL$188*AM$189/AL$189))</f>
        <v>994.86667948975673</v>
      </c>
      <c r="AN188" s="13">
        <f ca="1">IF(OFFSET(Assumptions!$B$29,0,$C$1)="FFD",ROUND(IF(52*AN$189&lt;=Exogenous!$P$74,52*AN$189/(1-Exogenous!$N$71),IF(52*AN$189&lt;=Exogenous!$P$75,(52*AN$189-Exogenous!$P$80)/(1-Exogenous!$N$72),IF(52*AN$189&lt;=Exogenous!$P$76,(52*AN$189-Exogenous!$P$81)/(1-Exogenous!$N$73),(52*AN$189-Exogenous!$P$82)/(1-Exogenous!$N$74))))/52,2),IF(OFFSET(Assumptions!$B$29,0,$C$1)="PFD",ROUND(IF(52*AN$189&lt;=Exogenous!AT$74,52*AN$189/(1-Exogenous!$N$71),IF(52*AN$189&lt;=Exogenous!AT$75,(52*AN$189-Exogenous!AT$80)/(1-Exogenous!$N$72),IF(52*AN$189&lt;=Exogenous!AT$76,(52*AN$189-Exogenous!AT$81)/(1-Exogenous!$N$73),(52*AN$189-Exogenous!AT$82)/(1-Exogenous!$N$74))))/52,2),AM$188*AN$189/AM$189))</f>
        <v>1029.9854732757453</v>
      </c>
      <c r="AO188" s="13">
        <f ca="1">IF(OFFSET(Assumptions!$B$29,0,$C$1)="FFD",ROUND(IF(52*AO$189&lt;=Exogenous!$P$74,52*AO$189/(1-Exogenous!$N$71),IF(52*AO$189&lt;=Exogenous!$P$75,(52*AO$189-Exogenous!$P$80)/(1-Exogenous!$N$72),IF(52*AO$189&lt;=Exogenous!$P$76,(52*AO$189-Exogenous!$P$81)/(1-Exogenous!$N$73),(52*AO$189-Exogenous!$P$82)/(1-Exogenous!$N$74))))/52,2),IF(OFFSET(Assumptions!$B$29,0,$C$1)="PFD",ROUND(IF(52*AO$189&lt;=Exogenous!AU$74,52*AO$189/(1-Exogenous!$N$71),IF(52*AO$189&lt;=Exogenous!AU$75,(52*AO$189-Exogenous!AU$80)/(1-Exogenous!$N$72),IF(52*AO$189&lt;=Exogenous!AU$76,(52*AO$189-Exogenous!AU$81)/(1-Exogenous!$N$73),(52*AO$189-Exogenous!AU$82)/(1-Exogenous!$N$74))))/52,2),AN$188*AO$189/AN$189))</f>
        <v>1066.3439604823791</v>
      </c>
      <c r="AP188" s="13">
        <f ca="1">IF(OFFSET(Assumptions!$B$29,0,$C$1)="FFD",ROUND(IF(52*AP$189&lt;=Exogenous!$P$74,52*AP$189/(1-Exogenous!$N$71),IF(52*AP$189&lt;=Exogenous!$P$75,(52*AP$189-Exogenous!$P$80)/(1-Exogenous!$N$72),IF(52*AP$189&lt;=Exogenous!$P$76,(52*AP$189-Exogenous!$P$81)/(1-Exogenous!$N$73),(52*AP$189-Exogenous!$P$82)/(1-Exogenous!$N$74))))/52,2),IF(OFFSET(Assumptions!$B$29,0,$C$1)="PFD",ROUND(IF(52*AP$189&lt;=Exogenous!AV$74,52*AP$189/(1-Exogenous!$N$71),IF(52*AP$189&lt;=Exogenous!AV$75,(52*AP$189-Exogenous!AV$80)/(1-Exogenous!$N$72),IF(52*AP$189&lt;=Exogenous!AV$76,(52*AP$189-Exogenous!AV$81)/(1-Exogenous!$N$73),(52*AP$189-Exogenous!AV$82)/(1-Exogenous!$N$74))))/52,2),AO$188*AP$189/AO$189))</f>
        <v>1103.985902287407</v>
      </c>
      <c r="AQ188" s="13">
        <f ca="1">IF(OFFSET(Assumptions!$B$29,0,$C$1)="FFD",ROUND(IF(52*AQ$189&lt;=Exogenous!$P$74,52*AQ$189/(1-Exogenous!$N$71),IF(52*AQ$189&lt;=Exogenous!$P$75,(52*AQ$189-Exogenous!$P$80)/(1-Exogenous!$N$72),IF(52*AQ$189&lt;=Exogenous!$P$76,(52*AQ$189-Exogenous!$P$81)/(1-Exogenous!$N$73),(52*AQ$189-Exogenous!$P$82)/(1-Exogenous!$N$74))))/52,2),IF(OFFSET(Assumptions!$B$29,0,$C$1)="PFD",ROUND(IF(52*AQ$189&lt;=Exogenous!AW$74,52*AQ$189/(1-Exogenous!$N$71),IF(52*AQ$189&lt;=Exogenous!AW$75,(52*AQ$189-Exogenous!AW$80)/(1-Exogenous!$N$72),IF(52*AQ$189&lt;=Exogenous!AW$76,(52*AQ$189-Exogenous!AW$81)/(1-Exogenous!$N$73),(52*AQ$189-Exogenous!AW$82)/(1-Exogenous!$N$74))))/52,2),AP$188*AQ$189/AP$189))</f>
        <v>1142.9566046381524</v>
      </c>
      <c r="AR188" s="13">
        <f ca="1">IF(OFFSET(Assumptions!$B$29,0,$C$1)="FFD",ROUND(IF(52*AR$189&lt;=Exogenous!$P$74,52*AR$189/(1-Exogenous!$N$71),IF(52*AR$189&lt;=Exogenous!$P$75,(52*AR$189-Exogenous!$P$80)/(1-Exogenous!$N$72),IF(52*AR$189&lt;=Exogenous!$P$76,(52*AR$189-Exogenous!$P$81)/(1-Exogenous!$N$73),(52*AR$189-Exogenous!$P$82)/(1-Exogenous!$N$74))))/52,2),IF(OFFSET(Assumptions!$B$29,0,$C$1)="PFD",ROUND(IF(52*AR$189&lt;=Exogenous!AX$74,52*AR$189/(1-Exogenous!$N$71),IF(52*AR$189&lt;=Exogenous!AX$75,(52*AR$189-Exogenous!AX$80)/(1-Exogenous!$N$72),IF(52*AR$189&lt;=Exogenous!AX$76,(52*AR$189-Exogenous!AX$81)/(1-Exogenous!$N$73),(52*AR$189-Exogenous!AX$82)/(1-Exogenous!$N$74))))/52,2),AQ$188*AR$189/AQ$189))</f>
        <v>1183.3029727818789</v>
      </c>
      <c r="AS188" s="13">
        <f ca="1">IF(OFFSET(Assumptions!$B$29,0,$C$1)="FFD",ROUND(IF(52*AS$189&lt;=Exogenous!$P$74,52*AS$189/(1-Exogenous!$N$71),IF(52*AS$189&lt;=Exogenous!$P$75,(52*AS$189-Exogenous!$P$80)/(1-Exogenous!$N$72),IF(52*AS$189&lt;=Exogenous!$P$76,(52*AS$189-Exogenous!$P$81)/(1-Exogenous!$N$73),(52*AS$189-Exogenous!$P$82)/(1-Exogenous!$N$74))))/52,2),IF(OFFSET(Assumptions!$B$29,0,$C$1)="PFD",ROUND(IF(52*AS$189&lt;=Exogenous!AY$74,52*AS$189/(1-Exogenous!$N$71),IF(52*AS$189&lt;=Exogenous!AY$75,(52*AS$189-Exogenous!AY$80)/(1-Exogenous!$N$72),IF(52*AS$189&lt;=Exogenous!AY$76,(52*AS$189-Exogenous!AY$81)/(1-Exogenous!$N$73),(52*AS$189-Exogenous!AY$82)/(1-Exogenous!$N$74))))/52,2),AR$188*AS$189/AR$189))</f>
        <v>1225.0735677210789</v>
      </c>
      <c r="AT188" s="13">
        <f ca="1">IF(OFFSET(Assumptions!$B$29,0,$C$1)="FFD",ROUND(IF(52*AT$189&lt;=Exogenous!$P$74,52*AT$189/(1-Exogenous!$N$71),IF(52*AT$189&lt;=Exogenous!$P$75,(52*AT$189-Exogenous!$P$80)/(1-Exogenous!$N$72),IF(52*AT$189&lt;=Exogenous!$P$76,(52*AT$189-Exogenous!$P$81)/(1-Exogenous!$N$73),(52*AT$189-Exogenous!$P$82)/(1-Exogenous!$N$74))))/52,2),IF(OFFSET(Assumptions!$B$29,0,$C$1)="PFD",ROUND(IF(52*AT$189&lt;=Exogenous!AZ$74,52*AT$189/(1-Exogenous!$N$71),IF(52*AT$189&lt;=Exogenous!AZ$75,(52*AT$189-Exogenous!AZ$80)/(1-Exogenous!$N$72),IF(52*AT$189&lt;=Exogenous!AZ$76,(52*AT$189-Exogenous!AZ$81)/(1-Exogenous!$N$73),(52*AT$189-Exogenous!AZ$82)/(1-Exogenous!$N$74))))/52,2),AS$188*AT$189/AS$189))</f>
        <v>1268.3186646616327</v>
      </c>
      <c r="AU188" s="13">
        <f ca="1">IF(OFFSET(Assumptions!$B$29,0,$C$1)="FFD",ROUND(IF(52*AU$189&lt;=Exogenous!$P$74,52*AU$189/(1-Exogenous!$N$71),IF(52*AU$189&lt;=Exogenous!$P$75,(52*AU$189-Exogenous!$P$80)/(1-Exogenous!$N$72),IF(52*AU$189&lt;=Exogenous!$P$76,(52*AU$189-Exogenous!$P$81)/(1-Exogenous!$N$73),(52*AU$189-Exogenous!$P$82)/(1-Exogenous!$N$74))))/52,2),IF(OFFSET(Assumptions!$B$29,0,$C$1)="PFD",ROUND(IF(52*AU$189&lt;=Exogenous!BA$74,52*AU$189/(1-Exogenous!$N$71),IF(52*AU$189&lt;=Exogenous!BA$75,(52*AU$189-Exogenous!BA$80)/(1-Exogenous!$N$72),IF(52*AU$189&lt;=Exogenous!BA$76,(52*AU$189-Exogenous!BA$81)/(1-Exogenous!$N$73),(52*AU$189-Exogenous!BA$82)/(1-Exogenous!$N$74))))/52,2),AT$188*AU$189/AT$189))</f>
        <v>1313.0903135241883</v>
      </c>
      <c r="AV188" s="13">
        <f ca="1">IF(OFFSET(Assumptions!$B$29,0,$C$1)="FFD",ROUND(IF(52*AV$189&lt;=Exogenous!$P$74,52*AV$189/(1-Exogenous!$N$71),IF(52*AV$189&lt;=Exogenous!$P$75,(52*AV$189-Exogenous!$P$80)/(1-Exogenous!$N$72),IF(52*AV$189&lt;=Exogenous!$P$76,(52*AV$189-Exogenous!$P$81)/(1-Exogenous!$N$73),(52*AV$189-Exogenous!$P$82)/(1-Exogenous!$N$74))))/52,2),IF(OFFSET(Assumptions!$B$29,0,$C$1)="PFD",ROUND(IF(52*AV$189&lt;=Exogenous!BB$74,52*AV$189/(1-Exogenous!$N$71),IF(52*AV$189&lt;=Exogenous!BB$75,(52*AV$189-Exogenous!BB$80)/(1-Exogenous!$N$72),IF(52*AV$189&lt;=Exogenous!BB$76,(52*AV$189-Exogenous!BB$81)/(1-Exogenous!$N$73),(52*AV$189-Exogenous!BB$82)/(1-Exogenous!$N$74))))/52,2),AU$188*AV$189/AU$189))</f>
        <v>1359.4424015915922</v>
      </c>
      <c r="AW188" s="13">
        <f ca="1">IF(OFFSET(Assumptions!$B$29,0,$C$1)="FFD",ROUND(IF(52*AW$189&lt;=Exogenous!$P$74,52*AW$189/(1-Exogenous!$N$71),IF(52*AW$189&lt;=Exogenous!$P$75,(52*AW$189-Exogenous!$P$80)/(1-Exogenous!$N$72),IF(52*AW$189&lt;=Exogenous!$P$76,(52*AW$189-Exogenous!$P$81)/(1-Exogenous!$N$73),(52*AW$189-Exogenous!$P$82)/(1-Exogenous!$N$74))))/52,2),IF(OFFSET(Assumptions!$B$29,0,$C$1)="PFD",ROUND(IF(52*AW$189&lt;=Exogenous!BC$74,52*AW$189/(1-Exogenous!$N$71),IF(52*AW$189&lt;=Exogenous!BC$75,(52*AW$189-Exogenous!BC$80)/(1-Exogenous!$N$72),IF(52*AW$189&lt;=Exogenous!BC$76,(52*AW$189-Exogenous!BC$81)/(1-Exogenous!$N$73),(52*AW$189-Exogenous!BC$82)/(1-Exogenous!$N$74))))/52,2),AV$188*AW$189/AV$189))</f>
        <v>1407.4307183677752</v>
      </c>
    </row>
    <row r="189" spans="1:49" x14ac:dyDescent="0.2">
      <c r="A189" s="1" t="s">
        <v>511</v>
      </c>
      <c r="B189" s="4" t="str">
        <f>$B$12</f>
        <v>From Economic</v>
      </c>
      <c r="D189" s="24">
        <f>Economic!M$22</f>
        <v>288.10000000000002</v>
      </c>
      <c r="E189" s="25">
        <f>Economic!N$22</f>
        <v>295.97000000000003</v>
      </c>
      <c r="F189" s="25">
        <f>Economic!O$22</f>
        <v>298.64</v>
      </c>
      <c r="G189" s="25">
        <f>Economic!P$22</f>
        <v>304.02</v>
      </c>
      <c r="H189" s="25">
        <f>Economic!Q$22</f>
        <v>309.19</v>
      </c>
      <c r="I189" s="25">
        <f>Economic!R$22</f>
        <v>314.76</v>
      </c>
      <c r="J189" s="13">
        <f ca="1">MAX(OFFSET(Assumptions!$B$39,0,$C$1)*J$187/2,I$189*(1+J$34))</f>
        <v>321.05520000000001</v>
      </c>
      <c r="K189" s="13">
        <f ca="1">MAX(OFFSET(Assumptions!$B$39,0,$C$1)*K$187/2,J$189*(1+K$34))</f>
        <v>330.61959584697524</v>
      </c>
      <c r="L189" s="13">
        <f ca="1">MAX(OFFSET(Assumptions!$B$39,0,$C$1)*L$187/2,K$189*(1+L$34))</f>
        <v>342.29046758037344</v>
      </c>
      <c r="M189" s="13">
        <f ca="1">MAX(OFFSET(Assumptions!$B$39,0,$C$1)*M$187/2,L$189*(1+M$34))</f>
        <v>354.37332108596058</v>
      </c>
      <c r="N189" s="13">
        <f ca="1">MAX(OFFSET(Assumptions!$B$39,0,$C$1)*N$187/2,M$189*(1+N$34))</f>
        <v>366.88269932029493</v>
      </c>
      <c r="O189" s="13">
        <f ca="1">MAX(OFFSET(Assumptions!$B$39,0,$C$1)*O$187/2,N$189*(1+O$34))</f>
        <v>379.83365860630136</v>
      </c>
      <c r="P189" s="13">
        <f ca="1">MAX(OFFSET(Assumptions!$B$39,0,$C$1)*P$187/2,O$189*(1+P$34))</f>
        <v>393.24178675510376</v>
      </c>
      <c r="Q189" s="13">
        <f ca="1">MAX(OFFSET(Assumptions!$B$39,0,$C$1)*Q$187/2,P$189*(1+Q$34))</f>
        <v>407.12322182755884</v>
      </c>
      <c r="R189" s="13">
        <f ca="1">MAX(OFFSET(Assumptions!$B$39,0,$C$1)*R$187/2,Q$189*(1+R$34))</f>
        <v>421.49467155807162</v>
      </c>
      <c r="S189" s="13">
        <f ca="1">MAX(OFFSET(Assumptions!$B$39,0,$C$1)*S$187/2,R$189*(1+S$34))</f>
        <v>436.37343346407152</v>
      </c>
      <c r="T189" s="13">
        <f ca="1">MAX(OFFSET(Assumptions!$B$39,0,$C$1)*T$187/2,S$189*(1+T$34))</f>
        <v>451.77741566535315</v>
      </c>
      <c r="U189" s="13">
        <f ca="1">MAX(OFFSET(Assumptions!$B$39,0,$C$1)*U$187/2,T$189*(1+U$34))</f>
        <v>467.72515843834009</v>
      </c>
      <c r="V189" s="13">
        <f ca="1">MAX(OFFSET(Assumptions!$B$39,0,$C$1)*V$187/2,U$189*(1+V$34))</f>
        <v>484.23585653121341</v>
      </c>
      <c r="W189" s="13">
        <f ca="1">MAX(OFFSET(Assumptions!$B$39,0,$C$1)*W$187/2,V$189*(1+W$34))</f>
        <v>501.32938226676521</v>
      </c>
      <c r="X189" s="13">
        <f ca="1">MAX(OFFSET(Assumptions!$B$39,0,$C$1)*X$187/2,W$189*(1+X$34))</f>
        <v>519.02630946078204</v>
      </c>
      <c r="Y189" s="13">
        <f ca="1">MAX(OFFSET(Assumptions!$B$39,0,$C$1)*Y$187/2,X$189*(1+Y$34))</f>
        <v>537.34793818474759</v>
      </c>
      <c r="Z189" s="13">
        <f ca="1">MAX(OFFSET(Assumptions!$B$39,0,$C$1)*Z$187/2,Y$189*(1+Z$34))</f>
        <v>556.31632040266913</v>
      </c>
      <c r="AA189" s="13">
        <f ca="1">MAX(OFFSET(Assumptions!$B$39,0,$C$1)*AA$187/2,Z$189*(1+AA$34))</f>
        <v>575.95428651288319</v>
      </c>
      <c r="AB189" s="13">
        <f ca="1">MAX(OFFSET(Assumptions!$B$39,0,$C$1)*AB$187/2,AA$189*(1+AB$34))</f>
        <v>596.2854728267879</v>
      </c>
      <c r="AC189" s="13">
        <f ca="1">MAX(OFFSET(Assumptions!$B$39,0,$C$1)*AC$187/2,AB$189*(1+AC$34))</f>
        <v>617.33435001757346</v>
      </c>
      <c r="AD189" s="13">
        <f ca="1">MAX(OFFSET(Assumptions!$B$39,0,$C$1)*AD$187/2,AC$189*(1+AD$34))</f>
        <v>639.12625257319371</v>
      </c>
      <c r="AE189" s="13">
        <f ca="1">MAX(OFFSET(Assumptions!$B$39,0,$C$1)*AE$187/2,AD$189*(1+AE$34))</f>
        <v>661.68740928902741</v>
      </c>
      <c r="AF189" s="13">
        <f ca="1">MAX(OFFSET(Assumptions!$B$39,0,$C$1)*AF$187/2,AE$189*(1+AF$34))</f>
        <v>685.04497483693001</v>
      </c>
      <c r="AG189" s="13">
        <f ca="1">MAX(OFFSET(Assumptions!$B$39,0,$C$1)*AG$187/2,AF$189*(1+AG$34))</f>
        <v>709.22706244867356</v>
      </c>
      <c r="AH189" s="13">
        <f ca="1">MAX(OFFSET(Assumptions!$B$39,0,$C$1)*AH$187/2,AG$189*(1+AH$34))</f>
        <v>734.26277775311166</v>
      </c>
      <c r="AI189" s="13">
        <f ca="1">MAX(OFFSET(Assumptions!$B$39,0,$C$1)*AI$187/2,AH$189*(1+AI$34))</f>
        <v>760.18225380779643</v>
      </c>
      <c r="AJ189" s="13">
        <f ca="1">MAX(OFFSET(Assumptions!$B$39,0,$C$1)*AJ$187/2,AI$189*(1+AJ$34))</f>
        <v>787.01668736721149</v>
      </c>
      <c r="AK189" s="13">
        <f ca="1">MAX(OFFSET(Assumptions!$B$39,0,$C$1)*AK$187/2,AJ$189*(1+AK$34))</f>
        <v>814.79837643127405</v>
      </c>
      <c r="AL189" s="13">
        <f ca="1">MAX(OFFSET(Assumptions!$B$39,0,$C$1)*AL$187/2,AK$189*(1+AL$34))</f>
        <v>843.56075911929781</v>
      </c>
      <c r="AM189" s="13">
        <f ca="1">MAX(OFFSET(Assumptions!$B$39,0,$C$1)*AM$187/2,AL$189*(1+AM$34))</f>
        <v>873.33845391620889</v>
      </c>
      <c r="AN189" s="13">
        <f ca="1">MAX(OFFSET(Assumptions!$B$39,0,$C$1)*AN$187/2,AM$189*(1+AN$34))</f>
        <v>904.16730133945111</v>
      </c>
      <c r="AO189" s="13">
        <f ca="1">MAX(OFFSET(Assumptions!$B$39,0,$C$1)*AO$187/2,AN$189*(1+AO$34))</f>
        <v>936.08440707673367</v>
      </c>
      <c r="AP189" s="13">
        <f ca="1">MAX(OFFSET(Assumptions!$B$39,0,$C$1)*AP$187/2,AO$189*(1+AP$34))</f>
        <v>969.1281866465423</v>
      </c>
      <c r="AQ189" s="13">
        <f ca="1">MAX(OFFSET(Assumptions!$B$39,0,$C$1)*AQ$187/2,AP$189*(1+AQ$34))</f>
        <v>1003.3384116351651</v>
      </c>
      <c r="AR189" s="13">
        <f ca="1">MAX(OFFSET(Assumptions!$B$39,0,$C$1)*AR$187/2,AQ$189*(1+AR$34))</f>
        <v>1038.7562575658862</v>
      </c>
      <c r="AS189" s="13">
        <f ca="1">MAX(OFFSET(Assumptions!$B$39,0,$C$1)*AS$187/2,AR$189*(1+AS$34))</f>
        <v>1075.4243534579618</v>
      </c>
      <c r="AT189" s="13">
        <f ca="1">MAX(OFFSET(Assumptions!$B$39,0,$C$1)*AT$187/2,AS$189*(1+AT$34))</f>
        <v>1113.3868331350277</v>
      </c>
      <c r="AU189" s="13">
        <f ca="1">MAX(OFFSET(Assumptions!$B$39,0,$C$1)*AU$187/2,AT$189*(1+AU$34))</f>
        <v>1152.6893883446942</v>
      </c>
      <c r="AV189" s="13">
        <f ca="1">MAX(OFFSET(Assumptions!$B$39,0,$C$1)*AV$187/2,AU$189*(1+AV$34))</f>
        <v>1193.3793237532618</v>
      </c>
      <c r="AW189" s="13">
        <f ca="1">MAX(OFFSET(Assumptions!$B$39,0,$C$1)*AW$187/2,AV$189*(1+AW$34))</f>
        <v>1235.5056138817517</v>
      </c>
    </row>
    <row r="190" spans="1:49" x14ac:dyDescent="0.2">
      <c r="B190" s="4"/>
      <c r="D190" s="24"/>
      <c r="E190" s="25"/>
      <c r="F190" s="25"/>
      <c r="G190" s="25"/>
      <c r="H190" s="25"/>
      <c r="I190" s="25"/>
      <c r="J190" s="13"/>
      <c r="K190" s="13"/>
      <c r="L190" s="13"/>
      <c r="M190" s="13"/>
      <c r="N190" s="13"/>
      <c r="O190" s="13"/>
      <c r="P190" s="13"/>
      <c r="Q190" s="13"/>
      <c r="R190" s="13"/>
      <c r="S190" s="13"/>
    </row>
    <row r="191" spans="1:49" x14ac:dyDescent="0.2">
      <c r="A191" s="22" t="s">
        <v>159</v>
      </c>
    </row>
    <row r="192" spans="1:49" x14ac:dyDescent="0.2">
      <c r="A192" s="1" t="s">
        <v>324</v>
      </c>
      <c r="B192" s="4" t="str">
        <f t="shared" ref="B192:B195" si="158">$B$43</f>
        <v>From Fiscal</v>
      </c>
      <c r="D192" s="18">
        <f>Fiscal!D$157</f>
        <v>6.5519999999999996</v>
      </c>
      <c r="E192" s="19">
        <f ca="1">Fiscal!E$157 +IF(OR(OFFSET(Assumptions!$B$72,0,$C$1)="BU",OFFSET(Assumptions!$B$113,0,$C$1)="SND"),ROUND(Fiscal!E$157/SUM(Fiscal!E$157,Fiscal!E$248)*SUM(Allocate!C$17:C$24),3),0)</f>
        <v>6.6529999999999996</v>
      </c>
      <c r="F192" s="19">
        <f ca="1">Fiscal!F$157 +IF(OR(OFFSET(Assumptions!$B$72,0,$C$1)="BU",OFFSET(Assumptions!$B$113,0,$C$1)="SND"),ROUND(Fiscal!F$157/SUM(Fiscal!F$157,Fiscal!F$248)*SUM(Allocate!D$17:D$24),3),0)</f>
        <v>6.875</v>
      </c>
      <c r="G192" s="19">
        <f ca="1">Fiscal!G$157 +IF(OR(OFFSET(Assumptions!$B$72,0,$C$1)="BU",OFFSET(Assumptions!$B$113,0,$C$1)="SND"),ROUND(Fiscal!G$157/SUM(Fiscal!G$157,Fiscal!G$248)*SUM(Allocate!E$17:E$24),3),0)</f>
        <v>6.992</v>
      </c>
      <c r="H192" s="19">
        <f ca="1">Fiscal!H$157 +IF(OR(OFFSET(Assumptions!$B$72,0,$C$1)="BU",OFFSET(Assumptions!$B$113,0,$C$1)="SND"),ROUND(Fiscal!H$157/SUM(Fiscal!H$157,Fiscal!H$248)*SUM(Allocate!F$17:F$24),3),0)</f>
        <v>7.0580000000000007</v>
      </c>
      <c r="I192" s="19">
        <f ca="1">Fiscal!I$157 +IF(OR(OFFSET(Assumptions!$B$72,0,$C$1)="BU",OFFSET(Assumptions!$B$113,0,$C$1)="SND"),ROUND(Fiscal!I$157/SUM(Fiscal!I$157,Fiscal!I$248)*SUM(Allocate!G$17:G$24),3),0)</f>
        <v>7.1109999999999998</v>
      </c>
      <c r="J192" s="7">
        <f ca="1">IF(J$6=OFFSET(Assumptions!$B$8,0,$C$1),AVERAGE((G$192-G$235)/(SUM(G$192,G$199,G$205)-SUM(G$235,G$239,G$257-G$254,G$269,G$283,G$312)),(H$192-H$235)/(SUM(H$192,H$199,H$205)-SUM(H$235,H$239,H$257-H$254,H$269,H$283,H$312)),(I$192-I$235)/(SUM(I$192,I$199,I$205)-SUM(I$235,I$239,I$257-I$254,I$269,I$283,I$312))),(I$192-I$235)/(SUM(I$192,I$199,I$205)-SUM(I$235,I$239,I$257-I$254,I$269,I$283,I$312)))*SUM(J$179,J$270,J$275,J$279,J$291-J$221,J$296,J$300,J$304,J$308) +J$235</f>
        <v>8.033263232075031</v>
      </c>
      <c r="K192" s="7">
        <f ca="1">IF(K$6=OFFSET(Assumptions!$B$8,0,$C$1),AVERAGE((H$192-H$235)/(SUM(H$192,H$199,H$205)-SUM(H$235,H$239,H$257-H$254,H$269,H$283,H$312)),(I$192-I$235)/(SUM(I$192,I$199,I$205)-SUM(I$235,I$239,I$257-I$254,I$269,I$283,I$312)),(J$192-J$235)/(SUM(J$192,J$199,J$205)-SUM(J$235,J$239,J$257-J$254,J$269,J$283,J$312))),(J$192-J$235)/(SUM(J$192,J$199,J$205)-SUM(J$235,J$239,J$257-J$254,J$269,J$283,J$312)))*SUM(K$179,K$270,K$275,K$279,K$291-K$221,K$296,K$300,K$304,K$308) +K$235</f>
        <v>8.6744037072165003</v>
      </c>
      <c r="L192" s="7">
        <f ca="1">IF(L$6=OFFSET(Assumptions!$B$8,0,$C$1),AVERAGE((I$192-I$235)/(SUM(I$192,I$199,I$205)-SUM(I$235,I$239,I$257-I$254,I$269,I$283,I$312)),(J$192-J$235)/(SUM(J$192,J$199,J$205)-SUM(J$235,J$239,J$257-J$254,J$269,J$283,J$312)),(K$192-K$235)/(SUM(K$192,K$199,K$205)-SUM(K$235,K$239,K$257-K$254,K$269,K$283,K$312))),(K$192-K$235)/(SUM(K$192,K$199,K$205)-SUM(K$235,K$239,K$257-K$254,K$269,K$283,K$312)))*SUM(L$179,L$270,L$275,L$279,L$291-L$221,L$296,L$300,L$304,L$308) +L$235</f>
        <v>9.2459322637337333</v>
      </c>
      <c r="M192" s="7">
        <f ca="1">IF(M$6=OFFSET(Assumptions!$B$8,0,$C$1),AVERAGE((J$192-J$235)/(SUM(J$192,J$199,J$205)-SUM(J$235,J$239,J$257-J$254,J$269,J$283,J$312)),(K$192-K$235)/(SUM(K$192,K$199,K$205)-SUM(K$235,K$239,K$257-K$254,K$269,K$283,K$312)),(L$192-L$235)/(SUM(L$192,L$199,L$205)-SUM(L$235,L$239,L$257-L$254,L$269,L$283,L$312))),(L$192-L$235)/(SUM(L$192,L$199,L$205)-SUM(L$235,L$239,L$257-L$254,L$269,L$283,L$312)))*SUM(M$179,M$270,M$275,M$279,M$291-M$221,M$296,M$300,M$304,M$308) +M$235</f>
        <v>9.7227457403877775</v>
      </c>
      <c r="N192" s="7">
        <f ca="1">IF(N$6=OFFSET(Assumptions!$B$8,0,$C$1),AVERAGE((K$192-K$235)/(SUM(K$192,K$199,K$205)-SUM(K$235,K$239,K$257-K$254,K$269,K$283,K$312)),(L$192-L$235)/(SUM(L$192,L$199,L$205)-SUM(L$235,L$239,L$257-L$254,L$269,L$283,L$312)),(M$192-M$235)/(SUM(M$192,M$199,M$205)-SUM(M$235,M$239,M$257-M$254,M$269,M$283,M$312))),(M$192-M$235)/(SUM(M$192,M$199,M$205)-SUM(M$235,M$239,M$257-M$254,M$269,M$283,M$312)))*SUM(N$179,N$270,N$275,N$279,N$291-N$221,N$296,N$300,N$304,N$308) +N$235</f>
        <v>10.133426159637995</v>
      </c>
      <c r="O192" s="7">
        <f ca="1">IF(O$6=OFFSET(Assumptions!$B$8,0,$C$1),AVERAGE((L$192-L$235)/(SUM(L$192,L$199,L$205)-SUM(L$235,L$239,L$257-L$254,L$269,L$283,L$312)),(M$192-M$235)/(SUM(M$192,M$199,M$205)-SUM(M$235,M$239,M$257-M$254,M$269,M$283,M$312)),(N$192-N$235)/(SUM(N$192,N$199,N$205)-SUM(N$235,N$239,N$257-N$254,N$269,N$283,N$312))),(N$192-N$235)/(SUM(N$192,N$199,N$205)-SUM(N$235,N$239,N$257-N$254,N$269,N$283,N$312)))*SUM(O$179,O$270,O$275,O$279,O$291-O$221,O$296,O$300,O$304,O$308) +O$235</f>
        <v>10.557404353487023</v>
      </c>
      <c r="P192" s="7">
        <f ca="1">IF(P$6=OFFSET(Assumptions!$B$8,0,$C$1),AVERAGE((M$192-M$235)/(SUM(M$192,M$199,M$205)-SUM(M$235,M$239,M$257-M$254,M$269,M$283,M$312)),(N$192-N$235)/(SUM(N$192,N$199,N$205)-SUM(N$235,N$239,N$257-N$254,N$269,N$283,N$312)),(O$192-O$235)/(SUM(O$192,O$199,O$205)-SUM(O$235,O$239,O$257-O$254,O$269,O$283,O$312))),(O$192-O$235)/(SUM(O$192,O$199,O$205)-SUM(O$235,O$239,O$257-O$254,O$269,O$283,O$312)))*SUM(P$179,P$270,P$275,P$279,P$291-P$221,P$296,P$300,P$304,P$308) +P$235</f>
        <v>10.994772038267334</v>
      </c>
      <c r="Q192" s="7">
        <f ca="1">IF(Q$6=OFFSET(Assumptions!$B$8,0,$C$1),AVERAGE((N$192-N$235)/(SUM(N$192,N$199,N$205)-SUM(N$235,N$239,N$257-N$254,N$269,N$283,N$312)),(O$192-O$235)/(SUM(O$192,O$199,O$205)-SUM(O$235,O$239,O$257-O$254,O$269,O$283,O$312)),(P$192-P$235)/(SUM(P$192,P$199,P$205)-SUM(P$235,P$239,P$257-P$254,P$269,P$283,P$312))),(P$192-P$235)/(SUM(P$192,P$199,P$205)-SUM(P$235,P$239,P$257-P$254,P$269,P$283,P$312)))*SUM(Q$179,Q$270,Q$275,Q$279,Q$291-Q$221,Q$296,Q$300,Q$304,Q$308) +Q$235</f>
        <v>11.442296009490049</v>
      </c>
      <c r="R192" s="7">
        <f ca="1">IF(R$6=OFFSET(Assumptions!$B$8,0,$C$1),AVERAGE((O$192-O$235)/(SUM(O$192,O$199,O$205)-SUM(O$235,O$239,O$257-O$254,O$269,O$283,O$312)),(P$192-P$235)/(SUM(P$192,P$199,P$205)-SUM(P$235,P$239,P$257-P$254,P$269,P$283,P$312)),(Q$192-Q$235)/(SUM(Q$192,Q$199,Q$205)-SUM(Q$235,Q$239,Q$257-Q$254,Q$269,Q$283,Q$312))),(Q$192-Q$235)/(SUM(Q$192,Q$199,Q$205)-SUM(Q$235,Q$239,Q$257-Q$254,Q$269,Q$283,Q$312)))*SUM(R$179,R$270,R$275,R$279,R$291-R$221,R$296,R$300,R$304,R$308) +R$235</f>
        <v>11.896880693860352</v>
      </c>
      <c r="S192" s="7">
        <f ca="1">IF(S$6=OFFSET(Assumptions!$B$8,0,$C$1),AVERAGE((P$192-P$235)/(SUM(P$192,P$199,P$205)-SUM(P$235,P$239,P$257-P$254,P$269,P$283,P$312)),(Q$192-Q$235)/(SUM(Q$192,Q$199,Q$205)-SUM(Q$235,Q$239,Q$257-Q$254,Q$269,Q$283,Q$312)),(R$192-R$235)/(SUM(R$192,R$199,R$205)-SUM(R$235,R$239,R$257-R$254,R$269,R$283,R$312))),(R$192-R$235)/(SUM(R$192,R$199,R$205)-SUM(R$235,R$239,R$257-R$254,R$269,R$283,R$312)))*SUM(S$179,S$270,S$275,S$279,S$291-S$221,S$296,S$300,S$304,S$308) +S$235</f>
        <v>12.366626097299083</v>
      </c>
      <c r="T192" s="7">
        <f ca="1">IF(T$6=OFFSET(Assumptions!$B$8,0,$C$1),AVERAGE((Q$192-Q$235)/(SUM(Q$192,Q$199,Q$205)-SUM(Q$235,Q$239,Q$257-Q$254,Q$269,Q$283,Q$312)),(R$192-R$235)/(SUM(R$192,R$199,R$205)-SUM(R$235,R$239,R$257-R$254,R$269,R$283,R$312)),(S$192-S$235)/(SUM(S$192,S$199,S$205)-SUM(S$235,S$239,S$257-S$254,S$269,S$283,S$312))),(S$192-S$235)/(SUM(S$192,S$199,S$205)-SUM(S$235,S$239,S$257-S$254,S$269,S$283,S$312)))*SUM(T$179,T$270,T$275,T$279,T$291-T$221,T$296,T$300,T$304,T$308) +T$235</f>
        <v>12.850049722796514</v>
      </c>
      <c r="U192" s="7">
        <f ca="1">IF(U$6=OFFSET(Assumptions!$B$8,0,$C$1),AVERAGE((R$192-R$235)/(SUM(R$192,R$199,R$205)-SUM(R$235,R$239,R$257-R$254,R$269,R$283,R$312)),(S$192-S$235)/(SUM(S$192,S$199,S$205)-SUM(S$235,S$239,S$257-S$254,S$269,S$283,S$312)),(T$192-T$235)/(SUM(T$192,T$199,T$205)-SUM(T$235,T$239,T$257-T$254,T$269,T$283,T$312))),(T$192-T$235)/(SUM(T$192,T$199,T$205)-SUM(T$235,T$239,T$257-T$254,T$269,T$283,T$312)))*SUM(U$179,U$270,U$275,U$279,U$291-U$221,U$296,U$300,U$304,U$308) +U$235</f>
        <v>13.350024806024617</v>
      </c>
      <c r="V192" s="7">
        <f ca="1">IF(V$6=OFFSET(Assumptions!$B$8,0,$C$1),AVERAGE((S$192-S$235)/(SUM(S$192,S$199,S$205)-SUM(S$235,S$239,S$257-S$254,S$269,S$283,S$312)),(T$192-T$235)/(SUM(T$192,T$199,T$205)-SUM(T$235,T$239,T$257-T$254,T$269,T$283,T$312)),(U$192-U$235)/(SUM(U$192,U$199,U$205)-SUM(U$235,U$239,U$257-U$254,U$269,U$283,U$312))),(U$192-U$235)/(SUM(U$192,U$199,U$205)-SUM(U$235,U$239,U$257-U$254,U$269,U$283,U$312)))*SUM(V$179,V$270,V$275,V$279,V$291-V$221,V$296,V$300,V$304,V$308) +V$235</f>
        <v>13.867808714234613</v>
      </c>
      <c r="W192" s="7">
        <f ca="1">IF(W$6=OFFSET(Assumptions!$B$8,0,$C$1),AVERAGE((T$192-T$235)/(SUM(T$192,T$199,T$205)-SUM(T$235,T$239,T$257-T$254,T$269,T$283,T$312)),(U$192-U$235)/(SUM(U$192,U$199,U$205)-SUM(U$235,U$239,U$257-U$254,U$269,U$283,U$312)),(V$192-V$235)/(SUM(V$192,V$199,V$205)-SUM(V$235,V$239,V$257-V$254,V$269,V$283,V$312))),(V$192-V$235)/(SUM(V$192,V$199,V$205)-SUM(V$235,V$239,V$257-V$254,V$269,V$283,V$312)))*SUM(W$179,W$270,W$275,W$279,W$291-W$221,W$296,W$300,W$304,W$308) +W$235</f>
        <v>14.404928799260695</v>
      </c>
      <c r="X192" s="7">
        <f ca="1">IF(X$6=OFFSET(Assumptions!$B$8,0,$C$1),AVERAGE((U$192-U$235)/(SUM(U$192,U$199,U$205)-SUM(U$235,U$239,U$257-U$254,U$269,U$283,U$312)),(V$192-V$235)/(SUM(V$192,V$199,V$205)-SUM(V$235,V$239,V$257-V$254,V$269,V$283,V$312)),(W$192-W$235)/(SUM(W$192,W$199,W$205)-SUM(W$235,W$239,W$257-W$254,W$269,W$283,W$312))),(W$192-W$235)/(SUM(W$192,W$199,W$205)-SUM(W$235,W$239,W$257-W$254,W$269,W$283,W$312)))*SUM(X$179,X$270,X$275,X$279,X$291-X$221,X$296,X$300,X$304,X$308) +X$235</f>
        <v>14.962563831430918</v>
      </c>
      <c r="Y192" s="7">
        <f ca="1">IF(Y$6=OFFSET(Assumptions!$B$8,0,$C$1),AVERAGE((V$192-V$235)/(SUM(V$192,V$199,V$205)-SUM(V$235,V$239,V$257-V$254,V$269,V$283,V$312)),(W$192-W$235)/(SUM(W$192,W$199,W$205)-SUM(W$235,W$239,W$257-W$254,W$269,W$283,W$312)),(X$192-X$235)/(SUM(X$192,X$199,X$205)-SUM(X$235,X$239,X$257-X$254,X$269,X$283,X$312))),(X$192-X$235)/(SUM(X$192,X$199,X$205)-SUM(X$235,X$239,X$257-X$254,X$269,X$283,X$312)))*SUM(Y$179,Y$270,Y$275,Y$279,Y$291-Y$221,Y$296,Y$300,Y$304,Y$308) +Y$235</f>
        <v>15.542312603873034</v>
      </c>
      <c r="Z192" s="7">
        <f ca="1">IF(Z$6=OFFSET(Assumptions!$B$8,0,$C$1),AVERAGE((W$192-W$235)/(SUM(W$192,W$199,W$205)-SUM(W$235,W$239,W$257-W$254,W$269,W$283,W$312)),(X$192-X$235)/(SUM(X$192,X$199,X$205)-SUM(X$235,X$239,X$257-X$254,X$269,X$283,X$312)),(Y$192-Y$235)/(SUM(Y$192,Y$199,Y$205)-SUM(Y$235,Y$239,Y$257-Y$254,Y$269,Y$283,Y$312))),(Y$192-Y$235)/(SUM(Y$192,Y$199,Y$205)-SUM(Y$235,Y$239,Y$257-Y$254,Y$269,Y$283,Y$312)))*SUM(Z$179,Z$270,Z$275,Z$279,Z$291-Z$221,Z$296,Z$300,Z$304,Z$308) +Z$235</f>
        <v>16.146049778609346</v>
      </c>
      <c r="AA192" s="7">
        <f ca="1">IF(AA$6=OFFSET(Assumptions!$B$8,0,$C$1),AVERAGE((X$192-X$235)/(SUM(X$192,X$199,X$205)-SUM(X$235,X$239,X$257-X$254,X$269,X$283,X$312)),(Y$192-Y$235)/(SUM(Y$192,Y$199,Y$205)-SUM(Y$235,Y$239,Y$257-Y$254,Y$269,Y$283,Y$312)),(Z$192-Z$235)/(SUM(Z$192,Z$199,Z$205)-SUM(Z$235,Z$239,Z$257-Z$254,Z$269,Z$283,Z$312))),(Z$192-Z$235)/(SUM(Z$192,Z$199,Z$205)-SUM(Z$235,Z$239,Z$257-Z$254,Z$269,Z$283,Z$312)))*SUM(AA$179,AA$270,AA$275,AA$279,AA$291-AA$221,AA$296,AA$300,AA$304,AA$308) +AA$235</f>
        <v>16.774214229010138</v>
      </c>
      <c r="AB192" s="7">
        <f ca="1">IF(AB$6=OFFSET(Assumptions!$B$8,0,$C$1),AVERAGE((Y$192-Y$235)/(SUM(Y$192,Y$199,Y$205)-SUM(Y$235,Y$239,Y$257-Y$254,Y$269,Y$283,Y$312)),(Z$192-Z$235)/(SUM(Z$192,Z$199,Z$205)-SUM(Z$235,Z$239,Z$257-Z$254,Z$269,Z$283,Z$312)),(AA$192-AA$235)/(SUM(AA$192,AA$199,AA$205)-SUM(AA$235,AA$239,AA$257-AA$254,AA$269,AA$283,AA$312))),(AA$192-AA$235)/(SUM(AA$192,AA$199,AA$205)-SUM(AA$235,AA$239,AA$257-AA$254,AA$269,AA$283,AA$312)))*SUM(AB$179,AB$270,AB$275,AB$279,AB$291-AB$221,AB$296,AB$300,AB$304,AB$308) +AB$235</f>
        <v>17.429272858601056</v>
      </c>
      <c r="AC192" s="7">
        <f ca="1">IF(AC$6=OFFSET(Assumptions!$B$8,0,$C$1),AVERAGE((Z$192-Z$235)/(SUM(Z$192,Z$199,Z$205)-SUM(Z$235,Z$239,Z$257-Z$254,Z$269,Z$283,Z$312)),(AA$192-AA$235)/(SUM(AA$192,AA$199,AA$205)-SUM(AA$235,AA$239,AA$257-AA$254,AA$269,AA$283,AA$312)),(AB$192-AB$235)/(SUM(AB$192,AB$199,AB$205)-SUM(AB$235,AB$239,AB$257-AB$254,AB$269,AB$283,AB$312))),(AB$192-AB$235)/(SUM(AB$192,AB$199,AB$205)-SUM(AB$235,AB$239,AB$257-AB$254,AB$269,AB$283,AB$312)))*SUM(AC$179,AC$270,AC$275,AC$279,AC$291-AC$221,AC$296,AC$300,AC$304,AC$308) +AC$235</f>
        <v>18.114838591432733</v>
      </c>
      <c r="AD192" s="7">
        <f ca="1">IF(AD$6=OFFSET(Assumptions!$B$8,0,$C$1),AVERAGE((AA$192-AA$235)/(SUM(AA$192,AA$199,AA$205)-SUM(AA$235,AA$239,AA$257-AA$254,AA$269,AA$283,AA$312)),(AB$192-AB$235)/(SUM(AB$192,AB$199,AB$205)-SUM(AB$235,AB$239,AB$257-AB$254,AB$269,AB$283,AB$312)),(AC$192-AC$235)/(SUM(AC$192,AC$199,AC$205)-SUM(AC$235,AC$239,AC$257-AC$254,AC$269,AC$283,AC$312))),(AC$192-AC$235)/(SUM(AC$192,AC$199,AC$205)-SUM(AC$235,AC$239,AC$257-AC$254,AC$269,AC$283,AC$312)))*SUM(AD$179,AD$270,AD$275,AD$279,AD$291-AD$221,AD$296,AD$300,AD$304,AD$308) +AD$235</f>
        <v>18.830538208323944</v>
      </c>
      <c r="AE192" s="7">
        <f ca="1">IF(AE$6=OFFSET(Assumptions!$B$8,0,$C$1),AVERAGE((AB$192-AB$235)/(SUM(AB$192,AB$199,AB$205)-SUM(AB$235,AB$239,AB$257-AB$254,AB$269,AB$283,AB$312)),(AC$192-AC$235)/(SUM(AC$192,AC$199,AC$205)-SUM(AC$235,AC$239,AC$257-AC$254,AC$269,AC$283,AC$312)),(AD$192-AD$235)/(SUM(AD$192,AD$199,AD$205)-SUM(AD$235,AD$239,AD$257-AD$254,AD$269,AD$283,AD$312))),(AD$192-AD$235)/(SUM(AD$192,AD$199,AD$205)-SUM(AD$235,AD$239,AD$257-AD$254,AD$269,AD$283,AD$312)))*SUM(AE$179,AE$270,AE$275,AE$279,AE$291-AE$221,AE$296,AE$300,AE$304,AE$308) +AE$235</f>
        <v>19.575706826736258</v>
      </c>
      <c r="AF192" s="7">
        <f ca="1">IF(AF$6=OFFSET(Assumptions!$B$8,0,$C$1),AVERAGE((AC$192-AC$235)/(SUM(AC$192,AC$199,AC$205)-SUM(AC$235,AC$239,AC$257-AC$254,AC$269,AC$283,AC$312)),(AD$192-AD$235)/(SUM(AD$192,AD$199,AD$205)-SUM(AD$235,AD$239,AD$257-AD$254,AD$269,AD$283,AD$312)),(AE$192-AE$235)/(SUM(AE$192,AE$199,AE$205)-SUM(AE$235,AE$239,AE$257-AE$254,AE$269,AE$283,AE$312))),(AE$192-AE$235)/(SUM(AE$192,AE$199,AE$205)-SUM(AE$235,AE$239,AE$257-AE$254,AE$269,AE$283,AE$312)))*SUM(AF$179,AF$270,AF$275,AF$279,AF$291-AF$221,AF$296,AF$300,AF$304,AF$308) +AF$235</f>
        <v>20.352981221360437</v>
      </c>
      <c r="AG192" s="7">
        <f ca="1">IF(AG$6=OFFSET(Assumptions!$B$8,0,$C$1),AVERAGE((AD$192-AD$235)/(SUM(AD$192,AD$199,AD$205)-SUM(AD$235,AD$239,AD$257-AD$254,AD$269,AD$283,AD$312)),(AE$192-AE$235)/(SUM(AE$192,AE$199,AE$205)-SUM(AE$235,AE$239,AE$257-AE$254,AE$269,AE$283,AE$312)),(AF$192-AF$235)/(SUM(AF$192,AF$199,AF$205)-SUM(AF$235,AF$239,AF$257-AF$254,AF$269,AF$283,AF$312))),(AF$192-AF$235)/(SUM(AF$192,AF$199,AF$205)-SUM(AF$235,AF$239,AF$257-AF$254,AF$269,AF$283,AF$312)))*SUM(AG$179,AG$270,AG$275,AG$279,AG$291-AG$221,AG$296,AG$300,AG$304,AG$308) +AG$235</f>
        <v>21.161695789390752</v>
      </c>
      <c r="AH192" s="7">
        <f ca="1">IF(AH$6=OFFSET(Assumptions!$B$8,0,$C$1),AVERAGE((AE$192-AE$235)/(SUM(AE$192,AE$199,AE$205)-SUM(AE$235,AE$239,AE$257-AE$254,AE$269,AE$283,AE$312)),(AF$192-AF$235)/(SUM(AF$192,AF$199,AF$205)-SUM(AF$235,AF$239,AF$257-AF$254,AF$269,AF$283,AF$312)),(AG$192-AG$235)/(SUM(AG$192,AG$199,AG$205)-SUM(AG$235,AG$239,AG$257-AG$254,AG$269,AG$283,AG$312))),(AG$192-AG$235)/(SUM(AG$192,AG$199,AG$205)-SUM(AG$235,AG$239,AG$257-AG$254,AG$269,AG$283,AG$312)))*SUM(AH$179,AH$270,AH$275,AH$279,AH$291-AH$221,AH$296,AH$300,AH$304,AH$308) +AH$235</f>
        <v>22.005369735774437</v>
      </c>
      <c r="AI192" s="7">
        <f ca="1">IF(AI$6=OFFSET(Assumptions!$B$8,0,$C$1),AVERAGE((AF$192-AF$235)/(SUM(AF$192,AF$199,AF$205)-SUM(AF$235,AF$239,AF$257-AF$254,AF$269,AF$283,AF$312)),(AG$192-AG$235)/(SUM(AG$192,AG$199,AG$205)-SUM(AG$235,AG$239,AG$257-AG$254,AG$269,AG$283,AG$312)),(AH$192-AH$235)/(SUM(AH$192,AH$199,AH$205)-SUM(AH$235,AH$239,AH$257-AH$254,AH$269,AH$283,AH$312))),(AH$192-AH$235)/(SUM(AH$192,AH$199,AH$205)-SUM(AH$235,AH$239,AH$257-AH$254,AH$269,AH$283,AH$312)))*SUM(AI$179,AI$270,AI$275,AI$279,AI$291-AI$221,AI$296,AI$300,AI$304,AI$308) +AI$235</f>
        <v>22.880308211894373</v>
      </c>
      <c r="AJ192" s="7">
        <f ca="1">IF(AJ$6=OFFSET(Assumptions!$B$8,0,$C$1),AVERAGE((AG$192-AG$235)/(SUM(AG$192,AG$199,AG$205)-SUM(AG$235,AG$239,AG$257-AG$254,AG$269,AG$283,AG$312)),(AH$192-AH$235)/(SUM(AH$192,AH$199,AH$205)-SUM(AH$235,AH$239,AH$257-AH$254,AH$269,AH$283,AH$312)),(AI$192-AI$235)/(SUM(AI$192,AI$199,AI$205)-SUM(AI$235,AI$239,AI$257-AI$254,AI$269,AI$283,AI$312))),(AI$192-AI$235)/(SUM(AI$192,AI$199,AI$205)-SUM(AI$235,AI$239,AI$257-AI$254,AI$269,AI$283,AI$312)))*SUM(AJ$179,AJ$270,AJ$275,AJ$279,AJ$291-AJ$221,AJ$296,AJ$300,AJ$304,AJ$308) +AJ$235</f>
        <v>23.790441626728928</v>
      </c>
      <c r="AK192" s="7">
        <f ca="1">IF(AK$6=OFFSET(Assumptions!$B$8,0,$C$1),AVERAGE((AH$192-AH$235)/(SUM(AH$192,AH$199,AH$205)-SUM(AH$235,AH$239,AH$257-AH$254,AH$269,AH$283,AH$312)),(AI$192-AI$235)/(SUM(AI$192,AI$199,AI$205)-SUM(AI$235,AI$239,AI$257-AI$254,AI$269,AI$283,AI$312)),(AJ$192-AJ$235)/(SUM(AJ$192,AJ$199,AJ$205)-SUM(AJ$235,AJ$239,AJ$257-AJ$254,AJ$269,AJ$283,AJ$312))),(AJ$192-AJ$235)/(SUM(AJ$192,AJ$199,AJ$205)-SUM(AJ$235,AJ$239,AJ$257-AJ$254,AJ$269,AJ$283,AJ$312)))*SUM(AK$179,AK$270,AK$275,AK$279,AK$291-AK$221,AK$296,AK$300,AK$304,AK$308) +AK$235</f>
        <v>24.735015824697019</v>
      </c>
      <c r="AL192" s="7">
        <f ca="1">IF(AL$6=OFFSET(Assumptions!$B$8,0,$C$1),AVERAGE((AI$192-AI$235)/(SUM(AI$192,AI$199,AI$205)-SUM(AI$235,AI$239,AI$257-AI$254,AI$269,AI$283,AI$312)),(AJ$192-AJ$235)/(SUM(AJ$192,AJ$199,AJ$205)-SUM(AJ$235,AJ$239,AJ$257-AJ$254,AJ$269,AJ$283,AJ$312)),(AK$192-AK$235)/(SUM(AK$192,AK$199,AK$205)-SUM(AK$235,AK$239,AK$257-AK$254,AK$269,AK$283,AK$312))),(AK$192-AK$235)/(SUM(AK$192,AK$199,AK$205)-SUM(AK$235,AK$239,AK$257-AK$254,AK$269,AK$283,AK$312)))*SUM(AL$179,AL$270,AL$275,AL$279,AL$291-AL$221,AL$296,AL$300,AL$304,AL$308) +AL$235</f>
        <v>25.713281953198702</v>
      </c>
      <c r="AM192" s="7">
        <f ca="1">IF(AM$6=OFFSET(Assumptions!$B$8,0,$C$1),AVERAGE((AJ$192-AJ$235)/(SUM(AJ$192,AJ$199,AJ$205)-SUM(AJ$235,AJ$239,AJ$257-AJ$254,AJ$269,AJ$283,AJ$312)),(AK$192-AK$235)/(SUM(AK$192,AK$199,AK$205)-SUM(AK$235,AK$239,AK$257-AK$254,AK$269,AK$283,AK$312)),(AL$192-AL$235)/(SUM(AL$192,AL$199,AL$205)-SUM(AL$235,AL$239,AL$257-AL$254,AL$269,AL$283,AL$312))),(AL$192-AL$235)/(SUM(AL$192,AL$199,AL$205)-SUM(AL$235,AL$239,AL$257-AL$254,AL$269,AL$283,AL$312)))*SUM(AM$179,AM$270,AM$275,AM$279,AM$291-AM$221,AM$296,AM$300,AM$304,AM$308) +AM$235</f>
        <v>26.726031723193003</v>
      </c>
      <c r="AN192" s="7">
        <f ca="1">IF(AN$6=OFFSET(Assumptions!$B$8,0,$C$1),AVERAGE((AK$192-AK$235)/(SUM(AK$192,AK$199,AK$205)-SUM(AK$235,AK$239,AK$257-AK$254,AK$269,AK$283,AK$312)),(AL$192-AL$235)/(SUM(AL$192,AL$199,AL$205)-SUM(AL$235,AL$239,AL$257-AL$254,AL$269,AL$283,AL$312)),(AM$192-AM$235)/(SUM(AM$192,AM$199,AM$205)-SUM(AM$235,AM$239,AM$257-AM$254,AM$269,AM$283,AM$312))),(AM$192-AM$235)/(SUM(AM$192,AM$199,AM$205)-SUM(AM$235,AM$239,AM$257-AM$254,AM$269,AM$283,AM$312)))*SUM(AN$179,AN$270,AN$275,AN$279,AN$291-AN$221,AN$296,AN$300,AN$304,AN$308) +AN$235</f>
        <v>27.775233814589821</v>
      </c>
      <c r="AO192" s="7">
        <f ca="1">IF(AO$6=OFFSET(Assumptions!$B$8,0,$C$1),AVERAGE((AL$192-AL$235)/(SUM(AL$192,AL$199,AL$205)-SUM(AL$235,AL$239,AL$257-AL$254,AL$269,AL$283,AL$312)),(AM$192-AM$235)/(SUM(AM$192,AM$199,AM$205)-SUM(AM$235,AM$239,AM$257-AM$254,AM$269,AM$283,AM$312)),(AN$192-AN$235)/(SUM(AN$192,AN$199,AN$205)-SUM(AN$235,AN$239,AN$257-AN$254,AN$269,AN$283,AN$312))),(AN$192-AN$235)/(SUM(AN$192,AN$199,AN$205)-SUM(AN$235,AN$239,AN$257-AN$254,AN$269,AN$283,AN$312)))*SUM(AO$179,AO$270,AO$275,AO$279,AO$291-AO$221,AO$296,AO$300,AO$304,AO$308) +AO$235</f>
        <v>28.856748856351025</v>
      </c>
      <c r="AP192" s="7">
        <f ca="1">IF(AP$6=OFFSET(Assumptions!$B$8,0,$C$1),AVERAGE((AM$192-AM$235)/(SUM(AM$192,AM$199,AM$205)-SUM(AM$235,AM$239,AM$257-AM$254,AM$269,AM$283,AM$312)),(AN$192-AN$235)/(SUM(AN$192,AN$199,AN$205)-SUM(AN$235,AN$239,AN$257-AN$254,AN$269,AN$283,AN$312)),(AO$192-AO$235)/(SUM(AO$192,AO$199,AO$205)-SUM(AO$235,AO$239,AO$257-AO$254,AO$269,AO$283,AO$312))),(AO$192-AO$235)/(SUM(AO$192,AO$199,AO$205)-SUM(AO$235,AO$239,AO$257-AO$254,AO$269,AO$283,AO$312)))*SUM(AP$179,AP$270,AP$275,AP$279,AP$291-AP$221,AP$296,AP$300,AP$304,AP$308) +AP$235</f>
        <v>29.975188258609371</v>
      </c>
      <c r="AQ192" s="7">
        <f ca="1">IF(AQ$6=OFFSET(Assumptions!$B$8,0,$C$1),AVERAGE((AN$192-AN$235)/(SUM(AN$192,AN$199,AN$205)-SUM(AN$235,AN$239,AN$257-AN$254,AN$269,AN$283,AN$312)),(AO$192-AO$235)/(SUM(AO$192,AO$199,AO$205)-SUM(AO$235,AO$239,AO$257-AO$254,AO$269,AO$283,AO$312)),(AP$192-AP$235)/(SUM(AP$192,AP$199,AP$205)-SUM(AP$235,AP$239,AP$257-AP$254,AP$269,AP$283,AP$312))),(AP$192-AP$235)/(SUM(AP$192,AP$199,AP$205)-SUM(AP$235,AP$239,AP$257-AP$254,AP$269,AP$283,AP$312)))*SUM(AQ$179,AQ$270,AQ$275,AQ$279,AQ$291-AQ$221,AQ$296,AQ$300,AQ$304,AQ$308) +AQ$235</f>
        <v>31.126855052696921</v>
      </c>
      <c r="AR192" s="7">
        <f ca="1">IF(AR$6=OFFSET(Assumptions!$B$8,0,$C$1),AVERAGE((AO$192-AO$235)/(SUM(AO$192,AO$199,AO$205)-SUM(AO$235,AO$239,AO$257-AO$254,AO$269,AO$283,AO$312)),(AP$192-AP$235)/(SUM(AP$192,AP$199,AP$205)-SUM(AP$235,AP$239,AP$257-AP$254,AP$269,AP$283,AP$312)),(AQ$192-AQ$235)/(SUM(AQ$192,AQ$199,AQ$205)-SUM(AQ$235,AQ$239,AQ$257-AQ$254,AQ$269,AQ$283,AQ$312))),(AQ$192-AQ$235)/(SUM(AQ$192,AQ$199,AQ$205)-SUM(AQ$235,AQ$239,AQ$257-AQ$254,AQ$269,AQ$283,AQ$312)))*SUM(AR$179,AR$270,AR$275,AR$279,AR$291-AR$221,AR$296,AR$300,AR$304,AR$308) +AR$235</f>
        <v>32.313057508354802</v>
      </c>
      <c r="AS192" s="7">
        <f ca="1">IF(AS$6=OFFSET(Assumptions!$B$8,0,$C$1),AVERAGE((AP$192-AP$235)/(SUM(AP$192,AP$199,AP$205)-SUM(AP$235,AP$239,AP$257-AP$254,AP$269,AP$283,AP$312)),(AQ$192-AQ$235)/(SUM(AQ$192,AQ$199,AQ$205)-SUM(AQ$235,AQ$239,AQ$257-AQ$254,AQ$269,AQ$283,AQ$312)),(AR$192-AR$235)/(SUM(AR$192,AR$199,AR$205)-SUM(AR$235,AR$239,AR$257-AR$254,AR$269,AR$283,AR$312))),(AR$192-AR$235)/(SUM(AR$192,AR$199,AR$205)-SUM(AR$235,AR$239,AR$257-AR$254,AR$269,AR$283,AR$312)))*SUM(AS$179,AS$270,AS$275,AS$279,AS$291-AS$221,AS$296,AS$300,AS$304,AS$308) +AS$235</f>
        <v>33.53712429347911</v>
      </c>
      <c r="AT192" s="7">
        <f ca="1">IF(AT$6=OFFSET(Assumptions!$B$8,0,$C$1),AVERAGE((AQ$192-AQ$235)/(SUM(AQ$192,AQ$199,AQ$205)-SUM(AQ$235,AQ$239,AQ$257-AQ$254,AQ$269,AQ$283,AQ$312)),(AR$192-AR$235)/(SUM(AR$192,AR$199,AR$205)-SUM(AR$235,AR$239,AR$257-AR$254,AR$269,AR$283,AR$312)),(AS$192-AS$235)/(SUM(AS$192,AS$199,AS$205)-SUM(AS$235,AS$239,AS$257-AS$254,AS$269,AS$283,AS$312))),(AS$192-AS$235)/(SUM(AS$192,AS$199,AS$205)-SUM(AS$235,AS$239,AS$257-AS$254,AS$269,AS$283,AS$312)))*SUM(AT$179,AT$270,AT$275,AT$279,AT$291-AT$221,AT$296,AT$300,AT$304,AT$308) +AT$235</f>
        <v>34.800035676629101</v>
      </c>
      <c r="AU192" s="7">
        <f ca="1">IF(AU$6=OFFSET(Assumptions!$B$8,0,$C$1),AVERAGE((AR$192-AR$235)/(SUM(AR$192,AR$199,AR$205)-SUM(AR$235,AR$239,AR$257-AR$254,AR$269,AR$283,AR$312)),(AS$192-AS$235)/(SUM(AS$192,AS$199,AS$205)-SUM(AS$235,AS$239,AS$257-AS$254,AS$269,AS$283,AS$312)),(AT$192-AT$235)/(SUM(AT$192,AT$199,AT$205)-SUM(AT$235,AT$239,AT$257-AT$254,AT$269,AT$283,AT$312))),(AT$192-AT$235)/(SUM(AT$192,AT$199,AT$205)-SUM(AT$235,AT$239,AT$257-AT$254,AT$269,AT$283,AT$312)))*SUM(AU$179,AU$270,AU$275,AU$279,AU$291-AU$221,AU$296,AU$300,AU$304,AU$308) +AU$235</f>
        <v>36.103474720003433</v>
      </c>
      <c r="AV192" s="7">
        <f ca="1">IF(AV$6=OFFSET(Assumptions!$B$8,0,$C$1),AVERAGE((AS$192-AS$235)/(SUM(AS$192,AS$199,AS$205)-SUM(AS$235,AS$239,AS$257-AS$254,AS$269,AS$283,AS$312)),(AT$192-AT$235)/(SUM(AT$192,AT$199,AT$205)-SUM(AT$235,AT$239,AT$257-AT$254,AT$269,AT$283,AT$312)),(AU$192-AU$235)/(SUM(AU$192,AU$199,AU$205)-SUM(AU$235,AU$239,AU$257-AU$254,AU$269,AU$283,AU$312))),(AU$192-AU$235)/(SUM(AU$192,AU$199,AU$205)-SUM(AU$235,AU$239,AU$257-AU$254,AU$269,AU$283,AU$312)))*SUM(AV$179,AV$270,AV$275,AV$279,AV$291-AV$221,AV$296,AV$300,AV$304,AV$308) +AV$235</f>
        <v>37.450373809087026</v>
      </c>
      <c r="AW192" s="7">
        <f ca="1">IF(AW$6=OFFSET(Assumptions!$B$8,0,$C$1),AVERAGE((AT$192-AT$235)/(SUM(AT$192,AT$199,AT$205)-SUM(AT$235,AT$239,AT$257-AT$254,AT$269,AT$283,AT$312)),(AU$192-AU$235)/(SUM(AU$192,AU$199,AU$205)-SUM(AU$235,AU$239,AU$257-AU$254,AU$269,AU$283,AU$312)),(AV$192-AV$235)/(SUM(AV$192,AV$199,AV$205)-SUM(AV$235,AV$239,AV$257-AV$254,AV$269,AV$283,AV$312))),(AV$192-AV$235)/(SUM(AV$192,AV$199,AV$205)-SUM(AV$235,AV$239,AV$257-AV$254,AV$269,AV$283,AV$312)))*SUM(AW$179,AW$270,AW$275,AW$279,AW$291-AW$221,AW$296,AW$300,AW$304,AW$308) +AW$235</f>
        <v>38.841627802914928</v>
      </c>
    </row>
    <row r="193" spans="1:49" x14ac:dyDescent="0.2">
      <c r="A193" s="1" t="s">
        <v>295</v>
      </c>
      <c r="B193" s="4" t="str">
        <f t="shared" si="158"/>
        <v>From Fiscal</v>
      </c>
      <c r="D193" s="18">
        <f>Fiscal!D$237</f>
        <v>11.66</v>
      </c>
      <c r="E193" s="19">
        <f>Fiscal!E$237</f>
        <v>12.185</v>
      </c>
      <c r="F193" s="19">
        <f>Fiscal!F$237</f>
        <v>12.413</v>
      </c>
      <c r="G193" s="19">
        <f>Fiscal!G$237</f>
        <v>12.522</v>
      </c>
      <c r="H193" s="19">
        <f>Fiscal!H$237</f>
        <v>12.504</v>
      </c>
      <c r="I193" s="19">
        <f>Fiscal!I$237</f>
        <v>12.558999999999999</v>
      </c>
      <c r="J193" s="7">
        <f ca="1">IF(J$6=OFFSET(Assumptions!$B$8,0,$C$1),AVERAGE((G$193-(G$236-G$235))/SUM(G$193-(G$236-G$235),G$200,G$206),(H$193-(H$236-H$235))/SUM(H$193-(H$236-H$235),H$200,H$206),(I$193-(I$236-I$235))/SUM(I$193-(I$236-I$235),I$200,I$206)),(I$193-(I$236-I$235))/SUM(I$193-(I$236-I$235),I$200,I$206))*SUM(J$181-J$222,J$240,J$258,J$284,J$316-(J$236-J$235)) +J$236-J$235</f>
        <v>13.648450475040677</v>
      </c>
      <c r="K193" s="7">
        <f ca="1">IF(K$6=OFFSET(Assumptions!$B$8,0,$C$1),AVERAGE((H$193-(H$236-H$235))/SUM(H$193-(H$236-H$235),H$200,H$206),(I$193-(I$236-I$235))/SUM(I$193-(I$236-I$235),I$200,I$206),(J$193-(J$236-J$235))/SUM(J$193-(J$236-J$235),J$200,J$206)),(J$193-(J$236-J$235))/SUM(J$193-(J$236-J$235),J$200,J$206))*SUM(K$181-K$222,K$240,K$258,K$284,K$316-(K$236-K$235)) +K$236-K$235</f>
        <v>14.258618705360565</v>
      </c>
      <c r="L193" s="7">
        <f ca="1">IF(L$6=OFFSET(Assumptions!$B$8,0,$C$1),AVERAGE((I$193-(I$236-I$235))/SUM(I$193-(I$236-I$235),I$200,I$206),(J$193-(J$236-J$235))/SUM(J$193-(J$236-J$235),J$200,J$206),(K$193-(K$236-K$235))/SUM(K$193-(K$236-K$235),K$200,K$206)),(K$193-(K$236-K$235))/SUM(K$193-(K$236-K$235),K$200,K$206))*SUM(L$181-L$222,L$240,L$258,L$284,L$316-(L$236-L$235)) +L$236-L$235</f>
        <v>14.876529616485053</v>
      </c>
      <c r="M193" s="7">
        <f ca="1">IF(M$6=OFFSET(Assumptions!$B$8,0,$C$1),AVERAGE((J$193-(J$236-J$235))/SUM(J$193-(J$236-J$235),J$200,J$206),(K$193-(K$236-K$235))/SUM(K$193-(K$236-K$235),K$200,K$206),(L$193-(L$236-L$235))/SUM(L$193-(L$236-L$235),L$200,L$206)),(L$193-(L$236-L$235))/SUM(L$193-(L$236-L$235),L$200,L$206))*SUM(M$181-M$222,M$240,M$258,M$284,M$316-(M$236-M$235)) +M$236-M$235</f>
        <v>15.521042276973155</v>
      </c>
      <c r="N193" s="7">
        <f ca="1">IF(N$6=OFFSET(Assumptions!$B$8,0,$C$1),AVERAGE((K$193-(K$236-K$235))/SUM(K$193-(K$236-K$235),K$200,K$206),(L$193-(L$236-L$235))/SUM(L$193-(L$236-L$235),L$200,L$206),(M$193-(M$236-M$235))/SUM(M$193-(M$236-M$235),M$200,M$206)),(M$193-(M$236-M$235))/SUM(M$193-(M$236-M$235),M$200,M$206))*SUM(N$181-N$222,N$240,N$258,N$284,N$316-(N$236-N$235)) +N$236-N$235</f>
        <v>16.188879386049056</v>
      </c>
      <c r="O193" s="7">
        <f ca="1">IF(O$6=OFFSET(Assumptions!$B$8,0,$C$1),AVERAGE((L$193-(L$236-L$235))/SUM(L$193-(L$236-L$235),L$200,L$206),(M$193-(M$236-M$235))/SUM(M$193-(M$236-M$235),M$200,M$206),(N$193-(N$236-N$235))/SUM(N$193-(N$236-N$235),N$200,N$206)),(N$193-(N$236-N$235))/SUM(N$193-(N$236-N$235),N$200,N$206))*SUM(O$181-O$222,O$240,O$258,O$284,O$316-(O$236-O$235)) +O$236-O$235</f>
        <v>16.878726437897907</v>
      </c>
      <c r="P193" s="7">
        <f ca="1">IF(P$6=OFFSET(Assumptions!$B$8,0,$C$1),AVERAGE((M$193-(M$236-M$235))/SUM(M$193-(M$236-M$235),M$200,M$206),(N$193-(N$236-N$235))/SUM(N$193-(N$236-N$235),N$200,N$206),(O$193-(O$236-O$235))/SUM(O$193-(O$236-O$235),O$200,O$206)),(O$193-(O$236-O$235))/SUM(O$193-(O$236-O$235),O$200,O$206))*SUM(P$181-P$222,P$240,P$258,P$284,P$316-(P$236-P$235)) +P$236-P$235</f>
        <v>17.589874844289213</v>
      </c>
      <c r="Q193" s="7">
        <f ca="1">IF(Q$6=OFFSET(Assumptions!$B$8,0,$C$1),AVERAGE((N$193-(N$236-N$235))/SUM(N$193-(N$236-N$235),N$200,N$206),(O$193-(O$236-O$235))/SUM(O$193-(O$236-O$235),O$200,O$206),(P$193-(P$236-P$235))/SUM(P$193-(P$236-P$235),P$200,P$206)),(P$193-(P$236-P$235))/SUM(P$193-(P$236-P$235),P$200,P$206))*SUM(Q$181-Q$222,Q$240,Q$258,Q$284,Q$316-(Q$236-Q$235)) +Q$236-Q$235</f>
        <v>18.322630544051759</v>
      </c>
      <c r="R193" s="7">
        <f ca="1">IF(R$6=OFFSET(Assumptions!$B$8,0,$C$1),AVERAGE((O$193-(O$236-O$235))/SUM(O$193-(O$236-O$235),O$200,O$206),(P$193-(P$236-P$235))/SUM(P$193-(P$236-P$235),P$200,P$206),(Q$193-(Q$236-Q$235))/SUM(Q$193-(Q$236-Q$235),Q$200,Q$206)),(Q$193-(Q$236-Q$235))/SUM(Q$193-(Q$236-Q$235),Q$200,Q$206))*SUM(R$181-R$222,R$240,R$258,R$284,R$316-(R$236-R$235)) +R$236-R$235</f>
        <v>19.07624393130353</v>
      </c>
      <c r="S193" s="7">
        <f ca="1">IF(S$6=OFFSET(Assumptions!$B$8,0,$C$1),AVERAGE((P$193-(P$236-P$235))/SUM(P$193-(P$236-P$235),P$200,P$206),(Q$193-(Q$236-Q$235))/SUM(Q$193-(Q$236-Q$235),Q$200,Q$206),(R$193-(R$236-R$235))/SUM(R$193-(R$236-R$235),R$200,R$206)),(R$193-(R$236-R$235))/SUM(R$193-(R$236-R$235),R$200,R$206))*SUM(S$181-S$222,S$240,S$258,S$284,S$316-(S$236-S$235)) +S$236-S$235</f>
        <v>19.853678277628713</v>
      </c>
      <c r="T193" s="7">
        <f ca="1">IF(T$6=OFFSET(Assumptions!$B$8,0,$C$1),AVERAGE((Q$193-(Q$236-Q$235))/SUM(Q$193-(Q$236-Q$235),Q$200,Q$206),(R$193-(R$236-R$235))/SUM(R$193-(R$236-R$235),R$200,R$206),(S$193-(S$236-S$235))/SUM(S$193-(S$236-S$235),S$200,S$206)),(S$193-(S$236-S$235))/SUM(S$193-(S$236-S$235),S$200,S$206))*SUM(T$181-T$222,T$240,T$258,T$284,T$316-(T$236-T$235)) +T$236-T$235</f>
        <v>20.655088945738584</v>
      </c>
      <c r="U193" s="7">
        <f ca="1">IF(U$6=OFFSET(Assumptions!$B$8,0,$C$1),AVERAGE((R$193-(R$236-R$235))/SUM(R$193-(R$236-R$235),R$200,R$206),(S$193-(S$236-S$235))/SUM(S$193-(S$236-S$235),S$200,S$206),(T$193-(T$236-T$235))/SUM(T$193-(T$236-T$235),T$200,T$206)),(T$193-(T$236-T$235))/SUM(T$193-(T$236-T$235),T$200,T$206))*SUM(U$181-U$222,U$240,U$258,U$284,U$316-(U$236-U$235)) +U$236-U$235</f>
        <v>21.48339603869416</v>
      </c>
      <c r="V193" s="7">
        <f ca="1">IF(V$6=OFFSET(Assumptions!$B$8,0,$C$1),AVERAGE((S$193-(S$236-S$235))/SUM(S$193-(S$236-S$235),S$200,S$206),(T$193-(T$236-T$235))/SUM(T$193-(T$236-T$235),T$200,T$206),(U$193-(U$236-U$235))/SUM(U$193-(U$236-U$235),U$200,U$206)),(U$193-(U$236-U$235))/SUM(U$193-(U$236-U$235),U$200,U$206))*SUM(V$181-V$222,V$240,V$258,V$284,V$316-(V$236-V$235)) +V$236-V$235</f>
        <v>22.340614828350176</v>
      </c>
      <c r="W193" s="7">
        <f ca="1">IF(W$6=OFFSET(Assumptions!$B$8,0,$C$1),AVERAGE((T$193-(T$236-T$235))/SUM(T$193-(T$236-T$235),T$200,T$206),(U$193-(U$236-U$235))/SUM(U$193-(U$236-U$235),U$200,U$206),(V$193-(V$236-V$235))/SUM(V$193-(V$236-V$235),V$200,V$206)),(V$193-(V$236-V$235))/SUM(V$193-(V$236-V$235),V$200,V$206))*SUM(W$181-W$222,W$240,W$258,W$284,W$316-(W$236-W$235)) +W$236-W$235</f>
        <v>23.229186872687048</v>
      </c>
      <c r="X193" s="7">
        <f ca="1">IF(X$6=OFFSET(Assumptions!$B$8,0,$C$1),AVERAGE((U$193-(U$236-U$235))/SUM(U$193-(U$236-U$235),U$200,U$206),(V$193-(V$236-V$235))/SUM(V$193-(V$236-V$235),V$200,V$206),(W$193-(W$236-W$235))/SUM(W$193-(W$236-W$235),W$200,W$206)),(W$193-(W$236-W$235))/SUM(W$193-(W$236-W$235),W$200,W$206))*SUM(X$181-X$222,X$240,X$258,X$284,X$316-(X$236-X$235)) +X$236-X$235</f>
        <v>24.151824673917432</v>
      </c>
      <c r="Y193" s="7">
        <f ca="1">IF(Y$6=OFFSET(Assumptions!$B$8,0,$C$1),AVERAGE((V$193-(V$236-V$235))/SUM(V$193-(V$236-V$235),V$200,V$206),(W$193-(W$236-W$235))/SUM(W$193-(W$236-W$235),W$200,W$206),(X$193-(X$236-X$235))/SUM(X$193-(X$236-X$235),X$200,X$206)),(X$193-(X$236-X$235))/SUM(X$193-(X$236-X$235),X$200,X$206))*SUM(Y$181-Y$222,Y$240,Y$258,Y$284,Y$316-(Y$236-Y$235)) +Y$236-Y$235</f>
        <v>25.108633687320399</v>
      </c>
      <c r="Z193" s="7">
        <f ca="1">IF(Z$6=OFFSET(Assumptions!$B$8,0,$C$1),AVERAGE((W$193-(W$236-W$235))/SUM(W$193-(W$236-W$235),W$200,W$206),(X$193-(X$236-X$235))/SUM(X$193-(X$236-X$235),X$200,X$206),(Y$193-(Y$236-Y$235))/SUM(Y$193-(Y$236-Y$235),Y$200,Y$206)),(Y$193-(Y$236-Y$235))/SUM(Y$193-(Y$236-Y$235),Y$200,Y$206))*SUM(Z$181-Z$222,Z$240,Z$258,Z$284,Z$316-(Z$236-Z$235)) +Z$236-Z$235</f>
        <v>26.1042419621416</v>
      </c>
      <c r="AA193" s="7">
        <f ca="1">IF(AA$6=OFFSET(Assumptions!$B$8,0,$C$1),AVERAGE((X$193-(X$236-X$235))/SUM(X$193-(X$236-X$235),X$200,X$206),(Y$193-(Y$236-Y$235))/SUM(Y$193-(Y$236-Y$235),Y$200,Y$206),(Z$193-(Z$236-Z$235))/SUM(Z$193-(Z$236-Z$235),Z$200,Z$206)),(Z$193-(Z$236-Z$235))/SUM(Z$193-(Z$236-Z$235),Z$200,Z$206))*SUM(AA$181-AA$222,AA$240,AA$258,AA$284,AA$316-(AA$236-AA$235)) +AA$236-AA$235</f>
        <v>27.140204238132409</v>
      </c>
      <c r="AB193" s="7">
        <f ca="1">IF(AB$6=OFFSET(Assumptions!$B$8,0,$C$1),AVERAGE((Y$193-(Y$236-Y$235))/SUM(Y$193-(Y$236-Y$235),Y$200,Y$206),(Z$193-(Z$236-Z$235))/SUM(Z$193-(Z$236-Z$235),Z$200,Z$206),(AA$193-(AA$236-AA$235))/SUM(AA$193-(AA$236-AA$235),AA$200,AA$206)),(AA$193-(AA$236-AA$235))/SUM(AA$193-(AA$236-AA$235),AA$200,AA$206))*SUM(AB$181-AB$222,AB$240,AB$258,AB$284,AB$316-(AB$236-AB$235)) +AB$236-AB$235</f>
        <v>28.219632015377528</v>
      </c>
      <c r="AC193" s="7">
        <f ca="1">IF(AC$6=OFFSET(Assumptions!$B$8,0,$C$1),AVERAGE((Z$193-(Z$236-Z$235))/SUM(Z$193-(Z$236-Z$235),Z$200,Z$206),(AA$193-(AA$236-AA$235))/SUM(AA$193-(AA$236-AA$235),AA$200,AA$206),(AB$193-(AB$236-AB$235))/SUM(AB$193-(AB$236-AB$235),AB$200,AB$206)),(AB$193-(AB$236-AB$235))/SUM(AB$193-(AB$236-AB$235),AB$200,AB$206))*SUM(AC$181-AC$222,AC$240,AC$258,AC$284,AC$316-(AC$236-AC$235)) +AC$236-AC$235</f>
        <v>29.346623930512909</v>
      </c>
      <c r="AD193" s="7">
        <f ca="1">IF(AD$6=OFFSET(Assumptions!$B$8,0,$C$1),AVERAGE((AA$193-(AA$236-AA$235))/SUM(AA$193-(AA$236-AA$235),AA$200,AA$206),(AB$193-(AB$236-AB$235))/SUM(AB$193-(AB$236-AB$235),AB$200,AB$206),(AC$193-(AC$236-AC$235))/SUM(AC$193-(AC$236-AC$235),AC$200,AC$206)),(AC$193-(AC$236-AC$235))/SUM(AC$193-(AC$236-AC$235),AC$200,AC$206))*SUM(AD$181-AD$222,AD$240,AD$258,AD$284,AD$316-(AD$236-AD$235)) +AD$236-AD$235</f>
        <v>30.522281624752768</v>
      </c>
      <c r="AE193" s="7">
        <f ca="1">IF(AE$6=OFFSET(Assumptions!$B$8,0,$C$1),AVERAGE((AB$193-(AB$236-AB$235))/SUM(AB$193-(AB$236-AB$235),AB$200,AB$206),(AC$193-(AC$236-AC$235))/SUM(AC$193-(AC$236-AC$235),AC$200,AC$206),(AD$193-(AD$236-AD$235))/SUM(AD$193-(AD$236-AD$235),AD$200,AD$206)),(AD$193-(AD$236-AD$235))/SUM(AD$193-(AD$236-AD$235),AD$200,AD$206))*SUM(AE$181-AE$222,AE$240,AE$258,AE$284,AE$316-(AE$236-AE$235)) +AE$236-AE$235</f>
        <v>31.745615764119432</v>
      </c>
      <c r="AF193" s="7">
        <f ca="1">IF(AF$6=OFFSET(Assumptions!$B$8,0,$C$1),AVERAGE((AC$193-(AC$236-AC$235))/SUM(AC$193-(AC$236-AC$235),AC$200,AC$206),(AD$193-(AD$236-AD$235))/SUM(AD$193-(AD$236-AD$235),AD$200,AD$206),(AE$193-(AE$236-AE$235))/SUM(AE$193-(AE$236-AE$235),AE$200,AE$206)),(AE$193-(AE$236-AE$235))/SUM(AE$193-(AE$236-AE$235),AE$200,AE$206))*SUM(AF$181-AF$222,AF$240,AF$258,AF$284,AF$316-(AF$236-AF$235)) +AF$236-AF$235</f>
        <v>33.020014511566451</v>
      </c>
      <c r="AG193" s="7">
        <f ca="1">IF(AG$6=OFFSET(Assumptions!$B$8,0,$C$1),AVERAGE((AD$193-(AD$236-AD$235))/SUM(AD$193-(AD$236-AD$235),AD$200,AD$206),(AE$193-(AE$236-AE$235))/SUM(AE$193-(AE$236-AE$235),AE$200,AE$206),(AF$193-(AF$236-AF$235))/SUM(AF$193-(AF$236-AF$235),AF$200,AF$206)),(AF$193-(AF$236-AF$235))/SUM(AF$193-(AF$236-AF$235),AF$200,AF$206))*SUM(AG$181-AG$222,AG$240,AG$258,AG$284,AG$316-(AG$236-AG$235)) +AG$236-AG$235</f>
        <v>34.346127325412517</v>
      </c>
      <c r="AH193" s="7">
        <f ca="1">IF(AH$6=OFFSET(Assumptions!$B$8,0,$C$1),AVERAGE((AE$193-(AE$236-AE$235))/SUM(AE$193-(AE$236-AE$235),AE$200,AE$206),(AF$193-(AF$236-AF$235))/SUM(AF$193-(AF$236-AF$235),AF$200,AF$206),(AG$193-(AG$236-AG$235))/SUM(AG$193-(AG$236-AG$235),AG$200,AG$206)),(AG$193-(AG$236-AG$235))/SUM(AG$193-(AG$236-AG$235),AG$200,AG$206))*SUM(AH$181-AH$222,AH$240,AH$258,AH$284,AH$316-(AH$236-AH$235)) +AH$236-AH$235</f>
        <v>35.726283467999934</v>
      </c>
      <c r="AI193" s="7">
        <f ca="1">IF(AI$6=OFFSET(Assumptions!$B$8,0,$C$1),AVERAGE((AF$193-(AF$236-AF$235))/SUM(AF$193-(AF$236-AF$235),AF$200,AF$206),(AG$193-(AG$236-AG$235))/SUM(AG$193-(AG$236-AG$235),AG$200,AG$206),(AH$193-(AH$236-AH$235))/SUM(AH$193-(AH$236-AH$235),AH$200,AH$206)),(AH$193-(AH$236-AH$235))/SUM(AH$193-(AH$236-AH$235),AH$200,AH$206))*SUM(AI$181-AI$222,AI$240,AI$258,AI$284,AI$316-(AI$236-AI$235)) +AI$236-AI$235</f>
        <v>37.158008901114187</v>
      </c>
      <c r="AJ193" s="7">
        <f ca="1">IF(AJ$6=OFFSET(Assumptions!$B$8,0,$C$1),AVERAGE((AG$193-(AG$236-AG$235))/SUM(AG$193-(AG$236-AG$235),AG$200,AG$206),(AH$193-(AH$236-AH$235))/SUM(AH$193-(AH$236-AH$235),AH$200,AH$206),(AI$193-(AI$236-AI$235))/SUM(AI$193-(AI$236-AI$235),AI$200,AI$206)),(AI$193-(AI$236-AI$235))/SUM(AI$193-(AI$236-AI$235),AI$200,AI$206))*SUM(AJ$181-AJ$222,AJ$240,AJ$258,AJ$284,AJ$316-(AJ$236-AJ$235)) +AJ$236-AJ$235</f>
        <v>38.6459202408561</v>
      </c>
      <c r="AK193" s="7">
        <f ca="1">IF(AK$6=OFFSET(Assumptions!$B$8,0,$C$1),AVERAGE((AH$193-(AH$236-AH$235))/SUM(AH$193-(AH$236-AH$235),AH$200,AH$206),(AI$193-(AI$236-AI$235))/SUM(AI$193-(AI$236-AI$235),AI$200,AI$206),(AJ$193-(AJ$236-AJ$235))/SUM(AJ$193-(AJ$236-AJ$235),AJ$200,AJ$206)),(AJ$193-(AJ$236-AJ$235))/SUM(AJ$193-(AJ$236-AJ$235),AJ$200,AJ$206))*SUM(AK$181-AK$222,AK$240,AK$258,AK$284,AK$316-(AK$236-AK$235)) +AK$236-AK$235</f>
        <v>40.188904880279132</v>
      </c>
      <c r="AL193" s="7">
        <f ca="1">IF(AL$6=OFFSET(Assumptions!$B$8,0,$C$1),AVERAGE((AI$193-(AI$236-AI$235))/SUM(AI$193-(AI$236-AI$235),AI$200,AI$206),(AJ$193-(AJ$236-AJ$235))/SUM(AJ$193-(AJ$236-AJ$235),AJ$200,AJ$206),(AK$193-(AK$236-AK$235))/SUM(AK$193-(AK$236-AK$235),AK$200,AK$206)),(AK$193-(AK$236-AK$235))/SUM(AK$193-(AK$236-AK$235),AK$200,AK$206))*SUM(AL$181-AL$222,AL$240,AL$258,AL$284,AL$316-(AL$236-AL$235)) +AL$236-AL$235</f>
        <v>41.785861884072105</v>
      </c>
      <c r="AM193" s="7">
        <f ca="1">IF(AM$6=OFFSET(Assumptions!$B$8,0,$C$1),AVERAGE((AJ$193-(AJ$236-AJ$235))/SUM(AJ$193-(AJ$236-AJ$235),AJ$200,AJ$206),(AK$193-(AK$236-AK$235))/SUM(AK$193-(AK$236-AK$235),AK$200,AK$206),(AL$193-(AL$236-AL$235))/SUM(AL$193-(AL$236-AL$235),AL$200,AL$206)),(AL$193-(AL$236-AL$235))/SUM(AL$193-(AL$236-AL$235),AL$200,AL$206))*SUM(AM$181-AM$222,AM$240,AM$258,AM$284,AM$316-(AM$236-AM$235)) +AM$236-AM$235</f>
        <v>43.438933916283233</v>
      </c>
      <c r="AN193" s="7">
        <f ca="1">IF(AN$6=OFFSET(Assumptions!$B$8,0,$C$1),AVERAGE((AK$193-(AK$236-AK$235))/SUM(AK$193-(AK$236-AK$235),AK$200,AK$206),(AL$193-(AL$236-AL$235))/SUM(AL$193-(AL$236-AL$235),AL$200,AL$206),(AM$193-(AM$236-AM$235))/SUM(AM$193-(AM$236-AM$235),AM$200,AM$206)),(AM$193-(AM$236-AM$235))/SUM(AM$193-(AM$236-AM$235),AM$200,AM$206))*SUM(AN$181-AN$222,AN$240,AN$258,AN$284,AN$316-(AN$236-AN$235)) +AN$236-AN$235</f>
        <v>45.150483512405195</v>
      </c>
      <c r="AO193" s="7">
        <f ca="1">IF(AO$6=OFFSET(Assumptions!$B$8,0,$C$1),AVERAGE((AL$193-(AL$236-AL$235))/SUM(AL$193-(AL$236-AL$235),AL$200,AL$206),(AM$193-(AM$236-AM$235))/SUM(AM$193-(AM$236-AM$235),AM$200,AM$206),(AN$193-(AN$236-AN$235))/SUM(AN$193-(AN$236-AN$235),AN$200,AN$206)),(AN$193-(AN$236-AN$235))/SUM(AN$193-(AN$236-AN$235),AN$200,AN$206))*SUM(AO$181-AO$222,AO$240,AO$258,AO$284,AO$316-(AO$236-AO$235)) +AO$236-AO$235</f>
        <v>46.914088623456145</v>
      </c>
      <c r="AP193" s="7">
        <f ca="1">IF(AP$6=OFFSET(Assumptions!$B$8,0,$C$1),AVERAGE((AM$193-(AM$236-AM$235))/SUM(AM$193-(AM$236-AM$235),AM$200,AM$206),(AN$193-(AN$236-AN$235))/SUM(AN$193-(AN$236-AN$235),AN$200,AN$206),(AO$193-(AO$236-AO$235))/SUM(AO$193-(AO$236-AO$235),AO$200,AO$206)),(AO$193-(AO$236-AO$235))/SUM(AO$193-(AO$236-AO$235),AO$200,AO$206))*SUM(AP$181-AP$222,AP$240,AP$258,AP$284,AP$316-(AP$236-AP$235)) +AP$236-AP$235</f>
        <v>48.737093018910521</v>
      </c>
      <c r="AQ193" s="7">
        <f ca="1">IF(AQ$6=OFFSET(Assumptions!$B$8,0,$C$1),AVERAGE((AN$193-(AN$236-AN$235))/SUM(AN$193-(AN$236-AN$235),AN$200,AN$206),(AO$193-(AO$236-AO$235))/SUM(AO$193-(AO$236-AO$235),AO$200,AO$206),(AP$193-(AP$236-AP$235))/SUM(AP$193-(AP$236-AP$235),AP$200,AP$206)),(AP$193-(AP$236-AP$235))/SUM(AP$193-(AP$236-AP$235),AP$200,AP$206))*SUM(AQ$181-AQ$222,AQ$240,AQ$258,AQ$284,AQ$316-(AQ$236-AQ$235)) +AQ$236-AQ$235</f>
        <v>50.614595923201627</v>
      </c>
      <c r="AR193" s="7">
        <f ca="1">IF(AR$6=OFFSET(Assumptions!$B$8,0,$C$1),AVERAGE((AO$193-(AO$236-AO$235))/SUM(AO$193-(AO$236-AO$235),AO$200,AO$206),(AP$193-(AP$236-AP$235))/SUM(AP$193-(AP$236-AP$235),AP$200,AP$206),(AQ$193-(AQ$236-AQ$235))/SUM(AQ$193-(AQ$236-AQ$235),AQ$200,AQ$206)),(AQ$193-(AQ$236-AQ$235))/SUM(AQ$193-(AQ$236-AQ$235),AQ$200,AQ$206))*SUM(AR$181-AR$222,AR$240,AR$258,AR$284,AR$316-(AR$236-AR$235)) +AR$236-AR$235</f>
        <v>52.54875500754747</v>
      </c>
      <c r="AS193" s="7">
        <f ca="1">IF(AS$6=OFFSET(Assumptions!$B$8,0,$C$1),AVERAGE((AP$193-(AP$236-AP$235))/SUM(AP$193-(AP$236-AP$235),AP$200,AP$206),(AQ$193-(AQ$236-AQ$235))/SUM(AQ$193-(AQ$236-AQ$235),AQ$200,AQ$206),(AR$193-(AR$236-AR$235))/SUM(AR$193-(AR$236-AR$235),AR$200,AR$206)),(AR$193-(AR$236-AR$235))/SUM(AR$193-(AR$236-AR$235),AR$200,AR$206))*SUM(AS$181-AS$222,AS$240,AS$258,AS$284,AS$316-(AS$236-AS$235)) +AS$236-AS$235</f>
        <v>54.544092515073828</v>
      </c>
      <c r="AT193" s="7">
        <f ca="1">IF(AT$6=OFFSET(Assumptions!$B$8,0,$C$1),AVERAGE((AQ$193-(AQ$236-AQ$235))/SUM(AQ$193-(AQ$236-AQ$235),AQ$200,AQ$206),(AR$193-(AR$236-AR$235))/SUM(AR$193-(AR$236-AR$235),AR$200,AR$206),(AS$193-(AS$236-AS$235))/SUM(AS$193-(AS$236-AS$235),AS$200,AS$206)),(AS$193-(AS$236-AS$235))/SUM(AS$193-(AS$236-AS$235),AS$200,AS$206))*SUM(AT$181-AT$222,AT$240,AT$258,AT$284,AT$316-(AT$236-AT$235)) +AT$236-AT$235</f>
        <v>56.601935250902187</v>
      </c>
      <c r="AU193" s="7">
        <f ca="1">IF(AU$6=OFFSET(Assumptions!$B$8,0,$C$1),AVERAGE((AR$193-(AR$236-AR$235))/SUM(AR$193-(AR$236-AR$235),AR$200,AR$206),(AS$193-(AS$236-AS$235))/SUM(AS$193-(AS$236-AS$235),AS$200,AS$206),(AT$193-(AT$236-AT$235))/SUM(AT$193-(AT$236-AT$235),AT$200,AT$206)),(AT$193-(AT$236-AT$235))/SUM(AT$193-(AT$236-AT$235),AT$200,AT$206))*SUM(AU$181-AU$222,AU$240,AU$258,AU$284,AU$316-(AU$236-AU$235)) +AU$236-AU$235</f>
        <v>58.725190185252586</v>
      </c>
      <c r="AV193" s="7">
        <f ca="1">IF(AV$6=OFFSET(Assumptions!$B$8,0,$C$1),AVERAGE((AS$193-(AS$236-AS$235))/SUM(AS$193-(AS$236-AS$235),AS$200,AS$206),(AT$193-(AT$236-AT$235))/SUM(AT$193-(AT$236-AT$235),AT$200,AT$206),(AU$193-(AU$236-AU$235))/SUM(AU$193-(AU$236-AU$235),AU$200,AU$206)),(AU$193-(AU$236-AU$235))/SUM(AU$193-(AU$236-AU$235),AU$200,AU$206))*SUM(AV$181-AV$222,AV$240,AV$258,AV$284,AV$316-(AV$236-AV$235)) +AV$236-AV$235</f>
        <v>60.9201955816309</v>
      </c>
      <c r="AW193" s="7">
        <f ca="1">IF(AW$6=OFFSET(Assumptions!$B$8,0,$C$1),AVERAGE((AT$193-(AT$236-AT$235))/SUM(AT$193-(AT$236-AT$235),AT$200,AT$206),(AU$193-(AU$236-AU$235))/SUM(AU$193-(AU$236-AU$235),AU$200,AU$206),(AV$193-(AV$236-AV$235))/SUM(AV$193-(AV$236-AV$235),AV$200,AV$206)),(AV$193-(AV$236-AV$235))/SUM(AV$193-(AV$236-AV$235),AV$200,AV$206))*SUM(AW$181-AW$222,AW$240,AW$258,AW$284,AW$316-(AW$236-AW$235)) +AW$236-AW$235</f>
        <v>63.186001988866174</v>
      </c>
    </row>
    <row r="194" spans="1:49" x14ac:dyDescent="0.2">
      <c r="A194" s="1" t="s">
        <v>529</v>
      </c>
      <c r="B194" s="4" t="str">
        <f t="shared" si="158"/>
        <v>From Fiscal</v>
      </c>
      <c r="D194" s="18">
        <f>Fiscal!D$238</f>
        <v>2.9350000000000001</v>
      </c>
      <c r="E194" s="19">
        <f>Fiscal!E$238</f>
        <v>2.9369999999999998</v>
      </c>
      <c r="F194" s="19">
        <f>Fiscal!F$238</f>
        <v>2.855</v>
      </c>
      <c r="G194" s="19">
        <f>Fiscal!G$238</f>
        <v>2.89</v>
      </c>
      <c r="H194" s="19">
        <f>Fiscal!H$238</f>
        <v>2.9710000000000001</v>
      </c>
      <c r="I194" s="19">
        <f>Fiscal!I$238</f>
        <v>3.0419999999999998</v>
      </c>
      <c r="J194" s="7">
        <f ca="1">IF(J$6=OFFSET(Assumptions!$B$8,0,$C$1),AVERAGE(G$194/SUM(G$194,G$201,G$207),H$194/SUM(H$194,H$201,H$207),I$194/SUM(I$194,I$201,I$207)),I$194/SUM(I$194,I$201,I$207))*SUM(J$285,J$317-J$223)</f>
        <v>3.2291055732931868</v>
      </c>
      <c r="K194" s="7">
        <f ca="1">IF(K$6=OFFSET(Assumptions!$B$8,0,$C$1),AVERAGE(H$194/SUM(H$194,H$201,H$207),I$194/SUM(I$194,I$201,I$207),J$194/SUM(J$194,J$201,J$207)),J$194/SUM(J$194,J$201,J$207))*SUM(K$285,K$317-K$223)</f>
        <v>3.3640412789734468</v>
      </c>
      <c r="L194" s="7">
        <f ca="1">IF(L$6=OFFSET(Assumptions!$B$8,0,$C$1),AVERAGE(I$194/SUM(I$194,I$201,I$207),J$194/SUM(J$194,J$201,J$207),K$194/SUM(K$194,K$201,K$207)),K$194/SUM(K$194,K$201,K$207))*SUM(L$285,L$317-L$223)</f>
        <v>3.5098522380359141</v>
      </c>
      <c r="M194" s="7">
        <f ca="1">IF(M$6=OFFSET(Assumptions!$B$8,0,$C$1),AVERAGE(J$194/SUM(J$194,J$201,J$207),K$194/SUM(K$194,K$201,K$207),L$194/SUM(L$194,L$201,L$207)),L$194/SUM(L$194,L$201,L$207))*SUM(M$285,M$317-M$223)</f>
        <v>3.6614909153267088</v>
      </c>
      <c r="N194" s="7">
        <f ca="1">IF(N$6=OFFSET(Assumptions!$B$8,0,$C$1),AVERAGE(K$194/SUM(K$194,K$201,K$207),L$194/SUM(L$194,L$201,L$207),M$194/SUM(M$194,M$201,M$207)),M$194/SUM(M$194,M$201,M$207))*SUM(N$285,N$317-N$223)</f>
        <v>3.8194046473732923</v>
      </c>
      <c r="O194" s="7">
        <f ca="1">IF(O$6=OFFSET(Assumptions!$B$8,0,$C$1),AVERAGE(L$194/SUM(L$194,L$201,L$207),M$194/SUM(M$194,M$201,M$207),N$194/SUM(N$194,N$201,N$207)),N$194/SUM(N$194,N$201,N$207))*SUM(O$285,O$317-O$223)</f>
        <v>3.9824441227858514</v>
      </c>
      <c r="P194" s="7">
        <f ca="1">IF(P$6=OFFSET(Assumptions!$B$8,0,$C$1),AVERAGE(M$194/SUM(M$194,M$201,M$207),N$194/SUM(N$194,N$201,N$207),O$194/SUM(O$194,O$201,O$207)),O$194/SUM(O$194,O$201,O$207))*SUM(P$285,P$317-P$223)</f>
        <v>4.1508641984268246</v>
      </c>
      <c r="Q194" s="7">
        <f ca="1">IF(Q$6=OFFSET(Assumptions!$B$8,0,$C$1),AVERAGE(N$194/SUM(N$194,N$201,N$207),O$194/SUM(O$194,O$201,O$207),P$194/SUM(P$194,P$201,P$207)),P$194/SUM(P$194,P$201,P$207))*SUM(Q$285,Q$317-Q$223)</f>
        <v>4.3244778367441157</v>
      </c>
      <c r="R194" s="7">
        <f ca="1">IF(R$6=OFFSET(Assumptions!$B$8,0,$C$1),AVERAGE(O$194/SUM(O$194,O$201,O$207),P$194/SUM(P$194,P$201,P$207),Q$194/SUM(Q$194,Q$201,Q$207)),Q$194/SUM(Q$194,Q$201,Q$207))*SUM(R$285,R$317-R$223)</f>
        <v>4.5031559853916754</v>
      </c>
      <c r="S194" s="7">
        <f ca="1">IF(S$6=OFFSET(Assumptions!$B$8,0,$C$1),AVERAGE(P$194/SUM(P$194,P$201,P$207),Q$194/SUM(Q$194,Q$201,Q$207),R$194/SUM(R$194,R$201,R$207)),R$194/SUM(R$194,R$201,R$207))*SUM(S$285,S$317-S$223)</f>
        <v>4.6874666617466794</v>
      </c>
      <c r="T194" s="7">
        <f ca="1">IF(T$6=OFFSET(Assumptions!$B$8,0,$C$1),AVERAGE(Q$194/SUM(Q$194,Q$201,Q$207),R$194/SUM(R$194,R$201,R$207),S$194/SUM(S$194,S$201,S$207)),S$194/SUM(S$194,S$201,S$207))*SUM(T$285,T$317-T$223)</f>
        <v>4.8774769812834844</v>
      </c>
      <c r="U194" s="7">
        <f ca="1">IF(U$6=OFFSET(Assumptions!$B$8,0,$C$1),AVERAGE(R$194/SUM(R$194,R$201,R$207),S$194/SUM(S$194,S$201,S$207),T$194/SUM(T$194,T$201,T$207)),T$194/SUM(T$194,T$201,T$207))*SUM(U$285,U$317-U$223)</f>
        <v>5.0738691228177384</v>
      </c>
      <c r="V194" s="7">
        <f ca="1">IF(V$6=OFFSET(Assumptions!$B$8,0,$C$1),AVERAGE(S$194/SUM(S$194,S$201,S$207),T$194/SUM(T$194,T$201,T$207),U$194/SUM(U$194,U$201,U$207)),U$194/SUM(U$194,U$201,U$207))*SUM(V$285,V$317-V$223)</f>
        <v>5.2771280027954335</v>
      </c>
      <c r="W194" s="7">
        <f ca="1">IF(W$6=OFFSET(Assumptions!$B$8,0,$C$1),AVERAGE(T$194/SUM(T$194,T$201,T$207),U$194/SUM(U$194,U$201,U$207),V$194/SUM(V$194,V$201,V$207)),V$194/SUM(V$194,V$201,V$207))*SUM(W$285,W$317-W$223)</f>
        <v>5.4878426847076494</v>
      </c>
      <c r="X194" s="7">
        <f ca="1">IF(X$6=OFFSET(Assumptions!$B$8,0,$C$1),AVERAGE(U$194/SUM(U$194,U$201,U$207),V$194/SUM(V$194,V$201,V$207),W$194/SUM(W$194,W$201,W$207)),W$194/SUM(W$194,W$201,W$207))*SUM(X$285,X$317-X$223)</f>
        <v>5.7066808044041393</v>
      </c>
      <c r="Y194" s="7">
        <f ca="1">IF(Y$6=OFFSET(Assumptions!$B$8,0,$C$1),AVERAGE(V$194/SUM(V$194,V$201,V$207),W$194/SUM(W$194,W$201,W$207),X$194/SUM(X$194,X$201,X$207)),X$194/SUM(X$194,X$201,X$207))*SUM(Y$285,Y$317-Y$223)</f>
        <v>5.9336198110603782</v>
      </c>
      <c r="Z194" s="7">
        <f ca="1">IF(Z$6=OFFSET(Assumptions!$B$8,0,$C$1),AVERAGE(W$194/SUM(W$194,W$201,W$207),X$194/SUM(X$194,X$201,X$207),Y$194/SUM(Y$194,Y$201,Y$207)),Y$194/SUM(Y$194,Y$201,Y$207))*SUM(Z$285,Z$317-Z$223)</f>
        <v>6.1698088377993416</v>
      </c>
      <c r="AA194" s="7">
        <f ca="1">IF(AA$6=OFFSET(Assumptions!$B$8,0,$C$1),AVERAGE(X$194/SUM(X$194,X$201,X$207),Y$194/SUM(Y$194,Y$201,Y$207),Z$194/SUM(Z$194,Z$201,Z$207)),Z$194/SUM(Z$194,Z$201,Z$207))*SUM(AA$285,AA$317-AA$223)</f>
        <v>6.4156300635731851</v>
      </c>
      <c r="AB194" s="7">
        <f ca="1">IF(AB$6=OFFSET(Assumptions!$B$8,0,$C$1),AVERAGE(Y$194/SUM(Y$194,Y$201,Y$207),Z$194/SUM(Z$194,Z$201,Z$207),AA$194/SUM(AA$194,AA$201,AA$207)),AA$194/SUM(AA$194,AA$201,AA$207))*SUM(AB$285,AB$317-AB$223)</f>
        <v>6.6718219174014148</v>
      </c>
      <c r="AC194" s="7">
        <f ca="1">IF(AC$6=OFFSET(Assumptions!$B$8,0,$C$1),AVERAGE(Z$194/SUM(Z$194,Z$201,Z$207),AA$194/SUM(AA$194,AA$201,AA$207),AB$194/SUM(AB$194,AB$201,AB$207)),AB$194/SUM(AB$194,AB$201,AB$207))*SUM(AC$285,AC$317-AC$223)</f>
        <v>6.9393518734129591</v>
      </c>
      <c r="AD194" s="7">
        <f ca="1">IF(AD$6=OFFSET(Assumptions!$B$8,0,$C$1),AVERAGE(AA$194/SUM(AA$194,AA$201,AA$207),AB$194/SUM(AB$194,AB$201,AB$207),AC$194/SUM(AC$194,AC$201,AC$207)),AC$194/SUM(AC$194,AC$201,AC$207))*SUM(AD$285,AD$317-AD$223)</f>
        <v>7.2185018526700464</v>
      </c>
      <c r="AE194" s="7">
        <f ca="1">IF(AE$6=OFFSET(Assumptions!$B$8,0,$C$1),AVERAGE(AB$194/SUM(AB$194,AB$201,AB$207),AC$194/SUM(AC$194,AC$201,AC$207),AD$194/SUM(AD$194,AD$201,AD$207)),AD$194/SUM(AD$194,AD$201,AD$207))*SUM(AE$285,AE$317-AE$223)</f>
        <v>7.5090151430432028</v>
      </c>
      <c r="AF194" s="7">
        <f ca="1">IF(AF$6=OFFSET(Assumptions!$B$8,0,$C$1),AVERAGE(AC$194/SUM(AC$194,AC$201,AC$207),AD$194/SUM(AD$194,AD$201,AD$207),AE$194/SUM(AE$194,AE$201,AE$207)),AE$194/SUM(AE$194,AE$201,AE$207))*SUM(AF$285,AF$317-AF$223)</f>
        <v>7.8116956691813977</v>
      </c>
      <c r="AG194" s="7">
        <f ca="1">IF(AG$6=OFFSET(Assumptions!$B$8,0,$C$1),AVERAGE(AD$194/SUM(AD$194,AD$201,AD$207),AE$194/SUM(AE$194,AE$201,AE$207),AF$194/SUM(AF$194,AF$201,AF$207)),AF$194/SUM(AF$194,AF$201,AF$207))*SUM(AG$285,AG$317-AG$223)</f>
        <v>8.1267125282227184</v>
      </c>
      <c r="AH194" s="7">
        <f ca="1">IF(AH$6=OFFSET(Assumptions!$B$8,0,$C$1),AVERAGE(AE$194/SUM(AE$194,AE$201,AE$207),AF$194/SUM(AF$194,AF$201,AF$207),AG$194/SUM(AG$194,AG$201,AG$207)),AG$194/SUM(AG$194,AG$201,AG$207))*SUM(AH$285,AH$317-AH$223)</f>
        <v>8.4545708836235587</v>
      </c>
      <c r="AI194" s="7">
        <f ca="1">IF(AI$6=OFFSET(Assumptions!$B$8,0,$C$1),AVERAGE(AF$194/SUM(AF$194,AF$201,AF$207),AG$194/SUM(AG$194,AG$201,AG$207),AH$194/SUM(AH$194,AH$201,AH$207)),AH$194/SUM(AH$194,AH$201,AH$207))*SUM(AI$285,AI$317-AI$223)</f>
        <v>8.7946973074382147</v>
      </c>
      <c r="AJ194" s="7">
        <f ca="1">IF(AJ$6=OFFSET(Assumptions!$B$8,0,$C$1),AVERAGE(AG$194/SUM(AG$194,AG$201,AG$207),AH$194/SUM(AH$194,AH$201,AH$207),AI$194/SUM(AI$194,AI$201,AI$207)),AI$194/SUM(AI$194,AI$201,AI$207))*SUM(AJ$285,AJ$317-AJ$223)</f>
        <v>9.1481816800031748</v>
      </c>
      <c r="AK194" s="7">
        <f ca="1">IF(AK$6=OFFSET(Assumptions!$B$8,0,$C$1),AVERAGE(AH$194/SUM(AH$194,AH$201,AH$207),AI$194/SUM(AI$194,AI$201,AI$207),AJ$194/SUM(AJ$194,AJ$201,AJ$207)),AJ$194/SUM(AJ$194,AJ$201,AJ$207))*SUM(AK$285,AK$317-AK$223)</f>
        <v>9.5147327839656004</v>
      </c>
      <c r="AL194" s="7">
        <f ca="1">IF(AL$6=OFFSET(Assumptions!$B$8,0,$C$1),AVERAGE(AI$194/SUM(AI$194,AI$201,AI$207),AJ$194/SUM(AJ$194,AJ$201,AJ$207),AK$194/SUM(AK$194,AK$201,AK$207)),AK$194/SUM(AK$194,AK$201,AK$207))*SUM(AL$285,AL$317-AL$223)</f>
        <v>9.8940614349252076</v>
      </c>
      <c r="AM194" s="7">
        <f ca="1">IF(AM$6=OFFSET(Assumptions!$B$8,0,$C$1),AVERAGE(AJ$194/SUM(AJ$194,AJ$201,AJ$207),AK$194/SUM(AK$194,AK$201,AK$207),AL$194/SUM(AL$194,AL$201,AL$207)),AL$194/SUM(AL$194,AL$201,AL$207))*SUM(AM$285,AM$317-AM$223)</f>
        <v>10.286685801086877</v>
      </c>
      <c r="AN194" s="7">
        <f ca="1">IF(AN$6=OFFSET(Assumptions!$B$8,0,$C$1),AVERAGE(AK$194/SUM(AK$194,AK$201,AK$207),AL$194/SUM(AL$194,AL$201,AL$207),AM$194/SUM(AM$194,AM$201,AM$207)),AM$194/SUM(AM$194,AM$201,AM$207))*SUM(AN$285,AN$317-AN$223)</f>
        <v>10.693151975878859</v>
      </c>
      <c r="AO194" s="7">
        <f ca="1">IF(AO$6=OFFSET(Assumptions!$B$8,0,$C$1),AVERAGE(AL$194/SUM(AL$194,AL$201,AL$207),AM$194/SUM(AM$194,AM$201,AM$207),AN$194/SUM(AN$194,AN$201,AN$207)),AN$194/SUM(AN$194,AN$201,AN$207))*SUM(AO$285,AO$317-AO$223)</f>
        <v>11.111862752165786</v>
      </c>
      <c r="AP194" s="7">
        <f ca="1">IF(AP$6=OFFSET(Assumptions!$B$8,0,$C$1),AVERAGE(AM$194/SUM(AM$194,AM$201,AM$207),AN$194/SUM(AN$194,AN$201,AN$207),AO$194/SUM(AO$194,AO$201,AO$207)),AO$194/SUM(AO$194,AO$201,AO$207))*SUM(AP$285,AP$317-AP$223)</f>
        <v>11.544596748803299</v>
      </c>
      <c r="AQ194" s="7">
        <f ca="1">IF(AQ$6=OFFSET(Assumptions!$B$8,0,$C$1),AVERAGE(AN$194/SUM(AN$194,AN$201,AN$207),AO$194/SUM(AO$194,AO$201,AO$207),AP$194/SUM(AP$194,AP$201,AP$207)),AP$194/SUM(AP$194,AP$201,AP$207))*SUM(AQ$285,AQ$317-AQ$223)</f>
        <v>11.990140449016506</v>
      </c>
      <c r="AR194" s="7">
        <f ca="1">IF(AR$6=OFFSET(Assumptions!$B$8,0,$C$1),AVERAGE(AO$194/SUM(AO$194,AO$201,AO$207),AP$194/SUM(AP$194,AP$201,AP$207),AQ$194/SUM(AQ$194,AQ$201,AQ$207)),AQ$194/SUM(AQ$194,AQ$201,AQ$207))*SUM(AR$285,AR$317-AR$223)</f>
        <v>12.448998166501639</v>
      </c>
      <c r="AS194" s="7">
        <f ca="1">IF(AS$6=OFFSET(Assumptions!$B$8,0,$C$1),AVERAGE(AP$194/SUM(AP$194,AP$201,AP$207),AQ$194/SUM(AQ$194,AQ$201,AQ$207),AR$194/SUM(AR$194,AR$201,AR$207)),AR$194/SUM(AR$194,AR$201,AR$207))*SUM(AS$285,AS$317-AS$223)</f>
        <v>12.922240564915478</v>
      </c>
      <c r="AT194" s="7">
        <f ca="1">IF(AT$6=OFFSET(Assumptions!$B$8,0,$C$1),AVERAGE(AQ$194/SUM(AQ$194,AQ$201,AQ$207),AR$194/SUM(AR$194,AR$201,AR$207),AS$194/SUM(AS$194,AS$201,AS$207)),AS$194/SUM(AS$194,AS$201,AS$207))*SUM(AT$285,AT$317-AT$223)</f>
        <v>13.410246634193838</v>
      </c>
      <c r="AU194" s="7">
        <f ca="1">IF(AU$6=OFFSET(Assumptions!$B$8,0,$C$1),AVERAGE(AR$194/SUM(AR$194,AR$201,AR$207),AS$194/SUM(AS$194,AS$201,AS$207),AT$194/SUM(AT$194,AT$201,AT$207)),AT$194/SUM(AT$194,AT$201,AT$207))*SUM(AU$285,AU$317-AU$223)</f>
        <v>13.913664659258217</v>
      </c>
      <c r="AV194" s="7">
        <f ca="1">IF(AV$6=OFFSET(Assumptions!$B$8,0,$C$1),AVERAGE(AS$194/SUM(AS$194,AS$201,AS$207),AT$194/SUM(AT$194,AT$201,AT$207),AU$194/SUM(AU$194,AU$201,AU$207)),AU$194/SUM(AU$194,AU$201,AU$207))*SUM(AV$285,AV$317-AV$223)</f>
        <v>14.434051637639039</v>
      </c>
      <c r="AW194" s="7">
        <f ca="1">IF(AW$6=OFFSET(Assumptions!$B$8,0,$C$1),AVERAGE(AT$194/SUM(AT$194,AT$201,AT$207),AU$194/SUM(AU$194,AU$201,AU$207),AV$194/SUM(AV$194,AV$201,AV$207)),AV$194/SUM(AV$194,AV$201,AV$207))*SUM(AW$285,AW$317-AW$223)</f>
        <v>14.971113257217905</v>
      </c>
    </row>
    <row r="195" spans="1:49" x14ac:dyDescent="0.2">
      <c r="A195" s="1" t="s">
        <v>530</v>
      </c>
      <c r="B195" s="4" t="str">
        <f t="shared" si="158"/>
        <v>From Fiscal</v>
      </c>
      <c r="D195" s="18">
        <f>Fiscal!D$239</f>
        <v>-2.3E-2</v>
      </c>
      <c r="E195" s="19">
        <f>Fiscal!E$239</f>
        <v>-2.1999999999999999E-2</v>
      </c>
      <c r="F195" s="19">
        <f>Fiscal!F$239</f>
        <v>-2.3E-2</v>
      </c>
      <c r="G195" s="19">
        <f>Fiscal!G$239</f>
        <v>-2.3E-2</v>
      </c>
      <c r="H195" s="19">
        <f>Fiscal!H$239</f>
        <v>-2.3E-2</v>
      </c>
      <c r="I195" s="19">
        <f>Fiscal!I$239</f>
        <v>-2.3E-2</v>
      </c>
      <c r="J195" s="7">
        <f ca="1">IF(J$6=OFFSET(Assumptions!$B$8,0,$C$1),AVERAGE(G$195/SUM(G$195,G$208),H$195/SUM(H$195,H$208),I$195/SUM(I$195,I$208)),I$195/SUM(I$195,I$208))*SUM(J$182,J$241,J$259,J$286,J$318)</f>
        <v>-2.5082502508533559E-2</v>
      </c>
      <c r="K195" s="7">
        <f ca="1">IF(K$6=OFFSET(Assumptions!$B$8,0,$C$1),AVERAGE(H$195/SUM(H$195,H$208),I$195/SUM(I$195,I$208),J$195/SUM(J$195,J$208)),J$195/SUM(J$195,J$208))*SUM(K$182,K$241,K$259,K$286,K$318)</f>
        <v>-2.6214753527272056E-2</v>
      </c>
      <c r="L195" s="7">
        <f ca="1">IF(L$6=OFFSET(Assumptions!$B$8,0,$C$1),AVERAGE(I$195/SUM(I$195,I$208),J$195/SUM(J$195,J$208),K$195/SUM(K$195,K$208)),K$195/SUM(K$195,K$208))*SUM(L$182,L$241,L$259,L$286,L$318)</f>
        <v>-2.735337031383353E-2</v>
      </c>
      <c r="M195" s="7">
        <f ca="1">IF(M$6=OFFSET(Assumptions!$B$8,0,$C$1),AVERAGE(J$195/SUM(J$195,J$208),K$195/SUM(K$195,K$208),L$195/SUM(L$195,L$208)),L$195/SUM(L$195,L$208))*SUM(M$182,M$241,M$259,M$286,M$318)</f>
        <v>-2.8541607555980005E-2</v>
      </c>
      <c r="N195" s="7">
        <f ca="1">IF(N$6=OFFSET(Assumptions!$B$8,0,$C$1),AVERAGE(K$195/SUM(K$195,K$208),L$195/SUM(L$195,L$208),M$195/SUM(M$195,M$208)),M$195/SUM(M$195,M$208))*SUM(N$182,N$241,N$259,N$286,N$318)</f>
        <v>-2.9773296364113425E-2</v>
      </c>
      <c r="O195" s="7">
        <f ca="1">IF(O$6=OFFSET(Assumptions!$B$8,0,$C$1),AVERAGE(L$195/SUM(L$195,L$208),M$195/SUM(M$195,M$208),N$195/SUM(N$195,N$208)),N$195/SUM(N$195,N$208))*SUM(O$182,O$241,O$259,O$286,O$318)</f>
        <v>-3.1046122254395594E-2</v>
      </c>
      <c r="P195" s="7">
        <f ca="1">IF(P$6=OFFSET(Assumptions!$B$8,0,$C$1),AVERAGE(M$195/SUM(M$195,M$208),N$195/SUM(N$195,N$208),O$195/SUM(O$195,O$208)),O$195/SUM(O$195,O$208))*SUM(P$182,P$241,P$259,P$286,P$318)</f>
        <v>-3.235581332182063E-2</v>
      </c>
      <c r="Q195" s="7">
        <f ca="1">IF(Q$6=OFFSET(Assumptions!$B$8,0,$C$1),AVERAGE(N$195/SUM(N$195,N$208),O$195/SUM(O$195,O$208),P$195/SUM(P$195,P$208)),P$195/SUM(P$195,P$208))*SUM(Q$182,Q$241,Q$259,Q$286,Q$318)</f>
        <v>-3.3705130325516038E-2</v>
      </c>
      <c r="R195" s="7">
        <f ca="1">IF(R$6=OFFSET(Assumptions!$B$8,0,$C$1),AVERAGE(O$195/SUM(O$195,O$208),P$195/SUM(P$195,P$208),Q$195/SUM(Q$195,Q$208)),Q$195/SUM(Q$195,Q$208))*SUM(R$182,R$241,R$259,R$286,R$318)</f>
        <v>-3.5093030510958072E-2</v>
      </c>
      <c r="S195" s="7">
        <f ca="1">IF(S$6=OFFSET(Assumptions!$B$8,0,$C$1),AVERAGE(P$195/SUM(P$195,P$208),Q$195/SUM(Q$195,Q$208),R$195/SUM(R$195,R$208)),R$195/SUM(R$195,R$208))*SUM(S$182,S$241,S$259,S$286,S$318)</f>
        <v>-3.6523992810519386E-2</v>
      </c>
      <c r="T195" s="7">
        <f ca="1">IF(T$6=OFFSET(Assumptions!$B$8,0,$C$1),AVERAGE(Q$195/SUM(Q$195,Q$208),R$195/SUM(R$195,R$208),S$195/SUM(S$195,S$208)),S$195/SUM(S$195,S$208))*SUM(T$182,T$241,T$259,T$286,T$318)</f>
        <v>-3.7998496231449706E-2</v>
      </c>
      <c r="U195" s="7">
        <f ca="1">IF(U$6=OFFSET(Assumptions!$B$8,0,$C$1),AVERAGE(R$195/SUM(R$195,R$208),S$195/SUM(S$195,S$208),T$195/SUM(T$195,T$208)),T$195/SUM(T$195,T$208))*SUM(U$182,U$241,U$259,U$286,U$318)</f>
        <v>-3.9521776178008318E-2</v>
      </c>
      <c r="V195" s="7">
        <f ca="1">IF(V$6=OFFSET(Assumptions!$B$8,0,$C$1),AVERAGE(S$195/SUM(S$195,S$208),T$195/SUM(T$195,T$208),U$195/SUM(U$195,U$208)),U$195/SUM(U$195,U$208))*SUM(V$182,V$241,V$259,V$286,V$318)</f>
        <v>-4.1097538064361672E-2</v>
      </c>
      <c r="W195" s="7">
        <f ca="1">IF(W$6=OFFSET(Assumptions!$B$8,0,$C$1),AVERAGE(T$195/SUM(T$195,T$208),U$195/SUM(U$195,U$208),V$195/SUM(V$195,V$208)),V$195/SUM(V$195,V$208))*SUM(W$182,W$241,W$259,W$286,W$318)</f>
        <v>-4.2730282939124266E-2</v>
      </c>
      <c r="X195" s="7">
        <f ca="1">IF(X$6=OFFSET(Assumptions!$B$8,0,$C$1),AVERAGE(U$195/SUM(U$195,U$208),V$195/SUM(V$195,V$208),W$195/SUM(W$195,W$208)),W$195/SUM(W$195,W$208))*SUM(X$182,X$241,X$259,X$286,X$318)</f>
        <v>-4.4425100551068165E-2</v>
      </c>
      <c r="Y195" s="7">
        <f ca="1">IF(Y$6=OFFSET(Assumptions!$B$8,0,$C$1),AVERAGE(V$195/SUM(V$195,V$208),W$195/SUM(W$195,W$208),X$195/SUM(X$195,X$208)),X$195/SUM(X$195,X$208))*SUM(Y$182,Y$241,Y$259,Y$286,Y$318)</f>
        <v>-4.6181854613244921E-2</v>
      </c>
      <c r="Z195" s="7">
        <f ca="1">IF(Z$6=OFFSET(Assumptions!$B$8,0,$C$1),AVERAGE(W$195/SUM(W$195,W$208),X$195/SUM(X$195,X$208),Y$195/SUM(Y$195,Y$208)),Y$195/SUM(Y$195,Y$208))*SUM(Z$182,Z$241,Z$259,Z$286,Z$318)</f>
        <v>-4.8009301597961969E-2</v>
      </c>
      <c r="AA195" s="7">
        <f ca="1">IF(AA$6=OFFSET(Assumptions!$B$8,0,$C$1),AVERAGE(X$195/SUM(X$195,X$208),Y$195/SUM(Y$195,Y$208),Z$195/SUM(Z$195,Z$208)),Z$195/SUM(Z$195,Z$208))*SUM(AA$182,AA$241,AA$259,AA$286,AA$318)</f>
        <v>-4.991035080538625E-2</v>
      </c>
      <c r="AB195" s="7">
        <f ca="1">IF(AB$6=OFFSET(Assumptions!$B$8,0,$C$1),AVERAGE(Y$195/SUM(Y$195,Y$208),Z$195/SUM(Z$195,Z$208),AA$195/SUM(AA$195,AA$208)),AA$195/SUM(AA$195,AA$208))*SUM(AB$182,AB$241,AB$259,AB$286,AB$318)</f>
        <v>-5.1890656150962451E-2</v>
      </c>
      <c r="AC195" s="7">
        <f ca="1">IF(AC$6=OFFSET(Assumptions!$B$8,0,$C$1),AVERAGE(Z$195/SUM(Z$195,Z$208),AA$195/SUM(AA$195,AA$208),AB$195/SUM(AB$195,AB$208)),AB$195/SUM(AB$195,AB$208))*SUM(AC$182,AC$241,AC$259,AC$286,AC$318)</f>
        <v>-5.3957632872880107E-2</v>
      </c>
      <c r="AD195" s="7">
        <f ca="1">IF(AD$6=OFFSET(Assumptions!$B$8,0,$C$1),AVERAGE(AA$195/SUM(AA$195,AA$208),AB$195/SUM(AB$195,AB$208),AC$195/SUM(AC$195,AC$208)),AC$195/SUM(AC$195,AC$208))*SUM(AD$182,AD$241,AD$259,AD$286,AD$318)</f>
        <v>-5.611341302178445E-2</v>
      </c>
      <c r="AE195" s="7">
        <f ca="1">IF(AE$6=OFFSET(Assumptions!$B$8,0,$C$1),AVERAGE(AB$195/SUM(AB$195,AB$208),AC$195/SUM(AC$195,AC$208),AD$195/SUM(AD$195,AD$208)),AD$195/SUM(AD$195,AD$208))*SUM(AE$182,AE$241,AE$259,AE$286,AE$318)</f>
        <v>-5.8356037213752661E-2</v>
      </c>
      <c r="AF195" s="7">
        <f ca="1">IF(AF$6=OFFSET(Assumptions!$B$8,0,$C$1),AVERAGE(AC$195/SUM(AC$195,AC$208),AD$195/SUM(AD$195,AD$208),AE$195/SUM(AE$195,AE$208)),AE$195/SUM(AE$195,AE$208))*SUM(AF$182,AF$241,AF$259,AF$286,AF$318)</f>
        <v>-6.069165996818672E-2</v>
      </c>
      <c r="AG195" s="7">
        <f ca="1">IF(AG$6=OFFSET(Assumptions!$B$8,0,$C$1),AVERAGE(AD$195/SUM(AD$195,AD$208),AE$195/SUM(AE$195,AE$208),AF$195/SUM(AF$195,AF$208)),AF$195/SUM(AF$195,AF$208))*SUM(AG$182,AG$241,AG$259,AG$286,AG$318)</f>
        <v>-6.312155169214817E-2</v>
      </c>
      <c r="AH195" s="7">
        <f ca="1">IF(AH$6=OFFSET(Assumptions!$B$8,0,$C$1),AVERAGE(AE$195/SUM(AE$195,AE$208),AF$195/SUM(AF$195,AF$208),AG$195/SUM(AG$195,AG$208)),AG$195/SUM(AG$195,AG$208))*SUM(AH$182,AH$241,AH$259,AH$286,AH$318)</f>
        <v>-6.5649619523556246E-2</v>
      </c>
      <c r="AI195" s="7">
        <f ca="1">IF(AI$6=OFFSET(Assumptions!$B$8,0,$C$1),AVERAGE(AF$195/SUM(AF$195,AF$208),AG$195/SUM(AG$195,AG$208),AH$195/SUM(AH$195,AH$208)),AH$195/SUM(AH$195,AH$208))*SUM(AI$182,AI$241,AI$259,AI$286,AI$318)</f>
        <v>-6.8271438709179108E-2</v>
      </c>
      <c r="AJ195" s="7">
        <f ca="1">IF(AJ$6=OFFSET(Assumptions!$B$8,0,$C$1),AVERAGE(AG$195/SUM(AG$195,AG$208),AH$195/SUM(AH$195,AH$208),AI$195/SUM(AI$195,AI$208)),AI$195/SUM(AI$195,AI$208))*SUM(AJ$182,AJ$241,AJ$259,AJ$286,AJ$318)</f>
        <v>-7.0995360103390012E-2</v>
      </c>
      <c r="AK195" s="7">
        <f ca="1">IF(AK$6=OFFSET(Assumptions!$B$8,0,$C$1),AVERAGE(AH$195/SUM(AH$195,AH$208),AI$195/SUM(AI$195,AI$208),AJ$195/SUM(AJ$195,AJ$208)),AJ$195/SUM(AJ$195,AJ$208))*SUM(AK$182,AK$241,AK$259,AK$286,AK$318)</f>
        <v>-7.3819161237955122E-2</v>
      </c>
      <c r="AL195" s="7">
        <f ca="1">IF(AL$6=OFFSET(Assumptions!$B$8,0,$C$1),AVERAGE(AI$195/SUM(AI$195,AI$208),AJ$195/SUM(AJ$195,AJ$208),AK$195/SUM(AK$195,AK$208)),AK$195/SUM(AK$195,AK$208))*SUM(AL$182,AL$241,AL$259,AL$286,AL$318)</f>
        <v>-7.6740635272327579E-2</v>
      </c>
      <c r="AM195" s="7">
        <f ca="1">IF(AM$6=OFFSET(Assumptions!$B$8,0,$C$1),AVERAGE(AJ$195/SUM(AJ$195,AJ$208),AK$195/SUM(AK$195,AK$208),AL$195/SUM(AL$195,AL$208)),AL$195/SUM(AL$195,AL$208))*SUM(AM$182,AM$241,AM$259,AM$286,AM$318)</f>
        <v>-7.9763731305824676E-2</v>
      </c>
      <c r="AN195" s="7">
        <f ca="1">IF(AN$6=OFFSET(Assumptions!$B$8,0,$C$1),AVERAGE(AK$195/SUM(AK$195,AK$208),AL$195/SUM(AL$195,AL$208),AM$195/SUM(AM$195,AM$208)),AM$195/SUM(AM$195,AM$208))*SUM(AN$182,AN$241,AN$259,AN$286,AN$318)</f>
        <v>-8.2892635007567717E-2</v>
      </c>
      <c r="AO195" s="7">
        <f ca="1">IF(AO$6=OFFSET(Assumptions!$B$8,0,$C$1),AVERAGE(AL$195/SUM(AL$195,AL$208),AM$195/SUM(AM$195,AM$208),AN$195/SUM(AN$195,AN$208)),AN$195/SUM(AN$195,AN$208))*SUM(AO$182,AO$241,AO$259,AO$286,AO$318)</f>
        <v>-8.6115147806239759E-2</v>
      </c>
      <c r="AP195" s="7">
        <f ca="1">IF(AP$6=OFFSET(Assumptions!$B$8,0,$C$1),AVERAGE(AM$195/SUM(AM$195,AM$208),AN$195/SUM(AN$195,AN$208),AO$195/SUM(AO$195,AO$208)),AO$195/SUM(AO$195,AO$208))*SUM(AP$182,AP$241,AP$259,AP$286,AP$318)</f>
        <v>-8.944485935467883E-2</v>
      </c>
      <c r="AQ195" s="7">
        <f ca="1">IF(AQ$6=OFFSET(Assumptions!$B$8,0,$C$1),AVERAGE(AN$195/SUM(AN$195,AN$208),AO$195/SUM(AO$195,AO$208),AP$195/SUM(AP$195,AP$208)),AP$195/SUM(AP$195,AP$208))*SUM(AQ$182,AQ$241,AQ$259,AQ$286,AQ$318)</f>
        <v>-9.2872490781565412E-2</v>
      </c>
      <c r="AR195" s="7">
        <f ca="1">IF(AR$6=OFFSET(Assumptions!$B$8,0,$C$1),AVERAGE(AO$195/SUM(AO$195,AO$208),AP$195/SUM(AP$195,AP$208),AQ$195/SUM(AQ$195,AQ$208)),AQ$195/SUM(AQ$195,AQ$208))*SUM(AR$182,AR$241,AR$259,AR$286,AR$318)</f>
        <v>-9.6401897508796269E-2</v>
      </c>
      <c r="AS195" s="7">
        <f ca="1">IF(AS$6=OFFSET(Assumptions!$B$8,0,$C$1),AVERAGE(AP$195/SUM(AP$195,AP$208),AQ$195/SUM(AQ$195,AQ$208),AR$195/SUM(AR$195,AR$208)),AR$195/SUM(AR$195,AR$208))*SUM(AS$182,AS$241,AS$259,AS$286,AS$318)</f>
        <v>-0.10004127303911904</v>
      </c>
      <c r="AT195" s="7">
        <f ca="1">IF(AT$6=OFFSET(Assumptions!$B$8,0,$C$1),AVERAGE(AQ$195/SUM(AQ$195,AQ$208),AR$195/SUM(AR$195,AR$208),AS$195/SUM(AS$195,AS$208)),AS$195/SUM(AS$195,AS$208))*SUM(AT$182,AT$241,AT$259,AT$286,AT$318)</f>
        <v>-0.10379454670175853</v>
      </c>
      <c r="AU195" s="7">
        <f ca="1">IF(AU$6=OFFSET(Assumptions!$B$8,0,$C$1),AVERAGE(AR$195/SUM(AR$195,AR$208),AS$195/SUM(AS$195,AS$208),AT$195/SUM(AT$195,AT$208)),AT$195/SUM(AT$195,AT$208))*SUM(AU$182,AU$241,AU$259,AU$286,AU$318)</f>
        <v>-0.10766606946983172</v>
      </c>
      <c r="AV195" s="7">
        <f ca="1">IF(AV$6=OFFSET(Assumptions!$B$8,0,$C$1),AVERAGE(AS$195/SUM(AS$195,AS$208),AT$195/SUM(AT$195,AT$208),AU$195/SUM(AU$195,AU$208)),AU$195/SUM(AU$195,AU$208))*SUM(AV$182,AV$241,AV$259,AV$286,AV$318)</f>
        <v>-0.11166772283238845</v>
      </c>
      <c r="AW195" s="7">
        <f ca="1">IF(AW$6=OFFSET(Assumptions!$B$8,0,$C$1),AVERAGE(AT$195/SUM(AT$195,AT$208),AU$195/SUM(AU$195,AU$208),AV$195/SUM(AV$195,AV$208)),AV$195/SUM(AV$195,AV$208))*SUM(AW$182,AW$241,AW$259,AW$286,AW$318)</f>
        <v>-0.11579730412670682</v>
      </c>
    </row>
    <row r="196" spans="1:49" ht="15" x14ac:dyDescent="0.25">
      <c r="A196" s="2" t="s">
        <v>531</v>
      </c>
      <c r="D196" s="40">
        <f t="shared" ref="D196" si="159">SUM(D$192:D$195)</f>
        <v>21.123999999999999</v>
      </c>
      <c r="E196" s="39">
        <f t="shared" ref="E196:AW196" ca="1" si="160">SUM(E$192:E$195)</f>
        <v>21.753000000000004</v>
      </c>
      <c r="F196" s="39">
        <f t="shared" ca="1" si="160"/>
        <v>22.12</v>
      </c>
      <c r="G196" s="39">
        <f t="shared" ca="1" si="160"/>
        <v>22.381</v>
      </c>
      <c r="H196" s="39">
        <f t="shared" ca="1" si="160"/>
        <v>22.51</v>
      </c>
      <c r="I196" s="39">
        <f t="shared" ca="1" si="160"/>
        <v>22.688999999999997</v>
      </c>
      <c r="J196" s="43">
        <f t="shared" ca="1" si="160"/>
        <v>24.885736777900362</v>
      </c>
      <c r="K196" s="43">
        <f t="shared" ca="1" si="160"/>
        <v>26.270848938023242</v>
      </c>
      <c r="L196" s="43">
        <f t="shared" ca="1" si="160"/>
        <v>27.604960747940869</v>
      </c>
      <c r="M196" s="43">
        <f t="shared" ca="1" si="160"/>
        <v>28.876737325131664</v>
      </c>
      <c r="N196" s="43">
        <f t="shared" ca="1" si="160"/>
        <v>30.111936896696232</v>
      </c>
      <c r="O196" s="43">
        <f t="shared" ca="1" si="160"/>
        <v>31.387528791916385</v>
      </c>
      <c r="P196" s="43">
        <f t="shared" ca="1" si="160"/>
        <v>32.70315526766155</v>
      </c>
      <c r="Q196" s="43">
        <f t="shared" ca="1" si="160"/>
        <v>34.055699259960406</v>
      </c>
      <c r="R196" s="43">
        <f t="shared" ca="1" si="160"/>
        <v>35.441187580044605</v>
      </c>
      <c r="S196" s="43">
        <f t="shared" ca="1" si="160"/>
        <v>36.871247043863953</v>
      </c>
      <c r="T196" s="43">
        <f t="shared" ca="1" si="160"/>
        <v>38.34461715358713</v>
      </c>
      <c r="U196" s="43">
        <f t="shared" ca="1" si="160"/>
        <v>39.867768191358508</v>
      </c>
      <c r="V196" s="43">
        <f t="shared" ca="1" si="160"/>
        <v>41.444454007315862</v>
      </c>
      <c r="W196" s="43">
        <f t="shared" ca="1" si="160"/>
        <v>43.079228073716266</v>
      </c>
      <c r="X196" s="43">
        <f t="shared" ca="1" si="160"/>
        <v>44.776644209201422</v>
      </c>
      <c r="Y196" s="43">
        <f t="shared" ca="1" si="160"/>
        <v>46.538384247640572</v>
      </c>
      <c r="Z196" s="43">
        <f t="shared" ca="1" si="160"/>
        <v>48.372091276952325</v>
      </c>
      <c r="AA196" s="43">
        <f t="shared" ca="1" si="160"/>
        <v>50.280138179910345</v>
      </c>
      <c r="AB196" s="43">
        <f t="shared" ca="1" si="160"/>
        <v>52.268836135229037</v>
      </c>
      <c r="AC196" s="43">
        <f t="shared" ca="1" si="160"/>
        <v>54.346856762485722</v>
      </c>
      <c r="AD196" s="43">
        <f t="shared" ca="1" si="160"/>
        <v>56.515208272724969</v>
      </c>
      <c r="AE196" s="43">
        <f t="shared" ca="1" si="160"/>
        <v>58.771981696685131</v>
      </c>
      <c r="AF196" s="43">
        <f t="shared" ca="1" si="160"/>
        <v>61.1239997421401</v>
      </c>
      <c r="AG196" s="43">
        <f t="shared" ca="1" si="160"/>
        <v>63.571414091333843</v>
      </c>
      <c r="AH196" s="43">
        <f t="shared" ca="1" si="160"/>
        <v>66.120574467874377</v>
      </c>
      <c r="AI196" s="43">
        <f t="shared" ca="1" si="160"/>
        <v>68.764742981737598</v>
      </c>
      <c r="AJ196" s="43">
        <f t="shared" ca="1" si="160"/>
        <v>71.513548187484801</v>
      </c>
      <c r="AK196" s="43">
        <f t="shared" ca="1" si="160"/>
        <v>74.364834327703804</v>
      </c>
      <c r="AL196" s="43">
        <f t="shared" ca="1" si="160"/>
        <v>77.316464636923683</v>
      </c>
      <c r="AM196" s="43">
        <f t="shared" ca="1" si="160"/>
        <v>80.37188770925728</v>
      </c>
      <c r="AN196" s="43">
        <f t="shared" ca="1" si="160"/>
        <v>83.535976667866308</v>
      </c>
      <c r="AO196" s="43">
        <f t="shared" ca="1" si="160"/>
        <v>86.796585084166722</v>
      </c>
      <c r="AP196" s="43">
        <f t="shared" ca="1" si="160"/>
        <v>90.167433166968507</v>
      </c>
      <c r="AQ196" s="43">
        <f t="shared" ca="1" si="160"/>
        <v>93.638718934133493</v>
      </c>
      <c r="AR196" s="43">
        <f t="shared" ca="1" si="160"/>
        <v>97.214408784895113</v>
      </c>
      <c r="AS196" s="43">
        <f t="shared" ca="1" si="160"/>
        <v>100.9034161004293</v>
      </c>
      <c r="AT196" s="43">
        <f t="shared" ca="1" si="160"/>
        <v>104.70842301502337</v>
      </c>
      <c r="AU196" s="43">
        <f t="shared" ca="1" si="160"/>
        <v>108.63466349504441</v>
      </c>
      <c r="AV196" s="43">
        <f t="shared" ca="1" si="160"/>
        <v>112.69295330552457</v>
      </c>
      <c r="AW196" s="43">
        <f t="shared" ca="1" si="160"/>
        <v>116.8829457448723</v>
      </c>
    </row>
    <row r="197" spans="1:49" ht="15" x14ac:dyDescent="0.25">
      <c r="A197" s="2"/>
      <c r="D197" s="55"/>
      <c r="E197" s="56"/>
      <c r="F197" s="56"/>
      <c r="G197" s="56"/>
      <c r="H197" s="56"/>
      <c r="I197" s="56"/>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row>
    <row r="198" spans="1:49" x14ac:dyDescent="0.2">
      <c r="A198" s="22" t="s">
        <v>160</v>
      </c>
    </row>
    <row r="199" spans="1:49" x14ac:dyDescent="0.2">
      <c r="A199" s="1" t="s">
        <v>324</v>
      </c>
      <c r="B199" s="4" t="str">
        <f t="shared" ref="B199:B201" si="161">$B$43</f>
        <v>From Fiscal</v>
      </c>
      <c r="D199" s="18">
        <f>Fiscal!D$242</f>
        <v>1.4410000000000001</v>
      </c>
      <c r="E199" s="19">
        <f>Fiscal!E$242</f>
        <v>1.532</v>
      </c>
      <c r="F199" s="19">
        <f>Fiscal!F$242</f>
        <v>1.5860000000000001</v>
      </c>
      <c r="G199" s="19">
        <f>Fiscal!G$242</f>
        <v>1.669</v>
      </c>
      <c r="H199" s="19">
        <f>Fiscal!H$242</f>
        <v>1.744</v>
      </c>
      <c r="I199" s="19">
        <f>Fiscal!I$242</f>
        <v>1.804</v>
      </c>
      <c r="J199" s="7">
        <f ca="1">IF(J$6=OFFSET(Assumptions!$B$8,0,$C$1),AVERAGE((G$199-G$411)/G$14,(H$199-H$411)/H$14,(I$199-I$411)/I$14),(I$199-I$411)/I$14) *J$14 +J$411</f>
        <v>1.8473977075836236</v>
      </c>
      <c r="K199" s="7">
        <f ca="1">IF(K$6=OFFSET(Assumptions!$B$8,0,$C$1),AVERAGE((H$199-H$411)/H$14,(I$199-I$411)/I$14,(J$199-J$411)/J$14),(J$199-J$411)/J$14) *K$14 +K$411</f>
        <v>1.9266572838664682</v>
      </c>
      <c r="L199" s="7">
        <f ca="1">IF(L$6=OFFSET(Assumptions!$B$8,0,$C$1),AVERAGE((I$199-I$411)/I$14,(J$199-J$411)/J$14,(K$199-K$411)/K$14),(K$199-K$411)/K$14) *L$14 +L$411</f>
        <v>2.0098351214622459</v>
      </c>
      <c r="M199" s="7">
        <f ca="1">IF(M$6=OFFSET(Assumptions!$B$8,0,$C$1),AVERAGE((J$199-J$411)/J$14,(K$199-K$411)/K$14,(L$199-L$411)/L$14),(L$199-L$411)/L$14) *M$14 +M$411</f>
        <v>2.0965590884876626</v>
      </c>
      <c r="N199" s="7">
        <f ca="1">IF(N$6=OFFSET(Assumptions!$B$8,0,$C$1),AVERAGE((K$199-K$411)/K$14,(L$199-L$411)/L$14,(M$199-M$411)/M$14),(M$199-M$411)/M$14) *N$14 +N$411</f>
        <v>2.1869256077706165</v>
      </c>
      <c r="O199" s="7">
        <f ca="1">IF(O$6=OFFSET(Assumptions!$B$8,0,$C$1),AVERAGE((L$199-L$411)/L$14,(M$199-M$411)/M$14,(N$199-N$411)/N$14),(N$199-N$411)/N$14) *O$14 +O$411</f>
        <v>2.2809402689735436</v>
      </c>
      <c r="P199" s="7">
        <f ca="1">IF(P$6=OFFSET(Assumptions!$B$8,0,$C$1),AVERAGE((M$199-M$411)/M$14,(N$199-N$411)/N$14,(O$199-O$411)/O$14),(O$199-O$411)/O$14) *P$14 +P$411</f>
        <v>2.378623511820968</v>
      </c>
      <c r="Q199" s="7">
        <f ca="1">IF(Q$6=OFFSET(Assumptions!$B$8,0,$C$1),AVERAGE((N$199-N$411)/N$14,(O$199-O$411)/O$14,(P$199-P$411)/P$14),(P$199-P$411)/P$14) *Q$14 +Q$411</f>
        <v>2.4800766888277335</v>
      </c>
      <c r="R199" s="7">
        <f ca="1">IF(R$6=OFFSET(Assumptions!$B$8,0,$C$1),AVERAGE((O$199-O$411)/O$14,(P$199-P$411)/P$14,(Q$199-Q$411)/Q$14),(Q$199-Q$411)/Q$14) *R$14 +R$411</f>
        <v>2.5853347351547598</v>
      </c>
      <c r="S199" s="7">
        <f ca="1">IF(S$6=OFFSET(Assumptions!$B$8,0,$C$1),AVERAGE((P$199-P$411)/P$14,(Q$199-Q$411)/Q$14,(R$199-R$411)/R$14),(R$199-R$411)/R$14) *S$14 +S$411</f>
        <v>2.6945733376275394</v>
      </c>
      <c r="T199" s="7">
        <f ca="1">IF(T$6=OFFSET(Assumptions!$B$8,0,$C$1),AVERAGE((Q$199-Q$411)/Q$14,(R$199-R$411)/R$14,(S$199-S$411)/S$14),(S$199-S$411)/S$14) *T$14 +T$411</f>
        <v>2.8079366932403405</v>
      </c>
      <c r="U199" s="7">
        <f ca="1">IF(U$6=OFFSET(Assumptions!$B$8,0,$C$1),AVERAGE((R$199-R$411)/R$14,(S$199-S$411)/S$14,(T$199-T$411)/T$14),(T$199-T$411)/T$14) *U$14 +U$411</f>
        <v>2.9256291258654965</v>
      </c>
      <c r="V199" s="7">
        <f ca="1">IF(V$6=OFFSET(Assumptions!$B$8,0,$C$1),AVERAGE((S$199-S$411)/S$14,(T$199-T$411)/T$14,(U$199-U$411)/U$14),(U$199-U$411)/U$14) *V$14 +V$411</f>
        <v>3.0478007716336823</v>
      </c>
      <c r="W199" s="7">
        <f ca="1">IF(W$6=OFFSET(Assumptions!$B$8,0,$C$1),AVERAGE((T$199-T$411)/T$14,(U$199-U$411)/U$14,(V$199-V$411)/V$14),(V$199-V$411)/V$14) *W$14 +W$411</f>
        <v>3.1747333729402674</v>
      </c>
      <c r="X199" s="7">
        <f ca="1">IF(X$6=OFFSET(Assumptions!$B$8,0,$C$1),AVERAGE((U$199-U$411)/U$14,(V$199-V$411)/V$14,(W$199-W$411)/W$14),(W$199-W$411)/W$14) *X$14 +X$411</f>
        <v>3.3065524781803743</v>
      </c>
      <c r="Y199" s="7">
        <f ca="1">IF(Y$6=OFFSET(Assumptions!$B$8,0,$C$1),AVERAGE((V$199-V$411)/V$14,(W$199-W$411)/W$14,(X$199-X$411)/X$14),(X$199-X$411)/X$14) *Y$14 +Y$411</f>
        <v>3.4435032971599036</v>
      </c>
      <c r="Z199" s="7">
        <f ca="1">IF(Z$6=OFFSET(Assumptions!$B$8,0,$C$1),AVERAGE((W$199-W$411)/W$14,(X$199-X$411)/X$14,(Y$199-Y$411)/Y$14),(Y$199-Y$411)/Y$14) *Z$14 +Z$411</f>
        <v>3.5857967269845563</v>
      </c>
      <c r="AA199" s="7">
        <f ca="1">IF(AA$6=OFFSET(Assumptions!$B$8,0,$C$1),AVERAGE((X$199-X$411)/X$14,(Y$199-Y$411)/Y$14,(Z$199-Z$411)/Z$14),(Z$199-Z$411)/Z$14) *AA$14 +AA$411</f>
        <v>3.7337598959079883</v>
      </c>
      <c r="AB199" s="7">
        <f ca="1">IF(AB$6=OFFSET(Assumptions!$B$8,0,$C$1),AVERAGE((Y$199-Y$411)/Y$14,(Z$199-Z$411)/Z$14,(AA$199-AA$411)/AA$14),(AA$199-AA$411)/AA$14) *AB$14 +AB$411</f>
        <v>3.8876385834597214</v>
      </c>
      <c r="AC199" s="7">
        <f ca="1">IF(AC$6=OFFSET(Assumptions!$B$8,0,$C$1),AVERAGE((Z$199-Z$411)/Z$14,(AA$199-AA$411)/AA$14,(AB$199-AB$411)/AB$14),(AB$199-AB$411)/AB$14) *AC$14 +AC$411</f>
        <v>4.0477981045052722</v>
      </c>
      <c r="AD199" s="7">
        <f ca="1">IF(AD$6=OFFSET(Assumptions!$B$8,0,$C$1),AVERAGE((AA$199-AA$411)/AA$14,(AB$199-AB$411)/AB$14,(AC$199-AC$411)/AC$14),(AC$199-AC$411)/AC$14) *AD$14 +AD$411</f>
        <v>4.2145508221288557</v>
      </c>
      <c r="AE199" s="7">
        <f ca="1">IF(AE$6=OFFSET(Assumptions!$B$8,0,$C$1),AVERAGE((AB$199-AB$411)/AB$14,(AC$199-AC$411)/AC$14,(AD$199-AD$411)/AD$14),(AD$199-AD$411)/AD$14) *AE$14 +AE$411</f>
        <v>4.3881311125392415</v>
      </c>
      <c r="AF199" s="7">
        <f ca="1">IF(AF$6=OFFSET(Assumptions!$B$8,0,$C$1),AVERAGE((AC$199-AC$411)/AC$14,(AD$199-AD$411)/AD$14,(AE$199-AE$411)/AE$14),(AE$199-AE$411)/AE$14) *AF$14 +AF$411</f>
        <v>4.568825000706779</v>
      </c>
      <c r="AG199" s="7">
        <f ca="1">IF(AG$6=OFFSET(Assumptions!$B$8,0,$C$1),AVERAGE((AD$199-AD$411)/AD$14,(AE$199-AE$411)/AE$14,(AF$199-AF$411)/AF$14),(AF$199-AF$411)/AF$14) *AG$14 +AG$411</f>
        <v>4.7569776488587445</v>
      </c>
      <c r="AH199" s="7">
        <f ca="1">IF(AH$6=OFFSET(Assumptions!$B$8,0,$C$1),AVERAGE((AE$199-AE$411)/AE$14,(AF$199-AF$411)/AF$14,(AG$199-AG$411)/AG$14),(AG$199-AG$411)/AG$14) *AH$14 +AH$411</f>
        <v>4.9528460547940414</v>
      </c>
      <c r="AI199" s="7">
        <f ca="1">IF(AI$6=OFFSET(Assumptions!$B$8,0,$C$1),AVERAGE((AF$199-AF$411)/AF$14,(AG$199-AG$411)/AG$14,(AH$199-AH$411)/AH$14),(AH$199-AH$411)/AH$14) *AI$14 +AI$411</f>
        <v>5.156601432198193</v>
      </c>
      <c r="AJ199" s="7">
        <f ca="1">IF(AJ$6=OFFSET(Assumptions!$B$8,0,$C$1),AVERAGE((AG$199-AG$411)/AG$14,(AH$199-AH$411)/AH$14,(AI$199-AI$411)/AI$14),(AI$199-AI$411)/AI$14) *AJ$14 +AJ$411</f>
        <v>5.3686610158943964</v>
      </c>
      <c r="AK199" s="7">
        <f ca="1">IF(AK$6=OFFSET(Assumptions!$B$8,0,$C$1),AVERAGE((AH$199-AH$411)/AH$14,(AI$199-AI$411)/AI$14,(AJ$199-AJ$411)/AJ$14),(AJ$199-AJ$411)/AJ$14) *AK$14 +AK$411</f>
        <v>5.5892484609850452</v>
      </c>
      <c r="AL199" s="7">
        <f ca="1">IF(AL$6=OFFSET(Assumptions!$B$8,0,$C$1),AVERAGE((AI$199-AI$411)/AI$14,(AJ$199-AJ$411)/AJ$14,(AK$199-AK$411)/AK$14),(AK$199-AK$411)/AK$14) *AL$14 +AL$411</f>
        <v>5.8185112517001842</v>
      </c>
      <c r="AM199" s="7">
        <f ca="1">IF(AM$6=OFFSET(Assumptions!$B$8,0,$C$1),AVERAGE((AJ$199-AJ$411)/AJ$14,(AK$199-AK$411)/AK$14,(AL$199-AL$411)/AL$14),(AL$199-AL$411)/AL$14) *AM$14 +AM$411</f>
        <v>6.0567875230644352</v>
      </c>
      <c r="AN199" s="7">
        <f ca="1">IF(AN$6=OFFSET(Assumptions!$B$8,0,$C$1),AVERAGE((AK$199-AK$411)/AK$14,(AL$199-AL$411)/AL$14,(AM$199-AM$411)/AM$14),(AM$199-AM$411)/AM$14) *AN$14 +AN$411</f>
        <v>6.3044644486134098</v>
      </c>
      <c r="AO199" s="7">
        <f ca="1">IF(AO$6=OFFSET(Assumptions!$B$8,0,$C$1),AVERAGE((AL$199-AL$411)/AL$14,(AM$199-AM$411)/AM$14,(AN$199-AN$411)/AN$14),(AN$199-AN$411)/AN$14) *AO$14 +AO$411</f>
        <v>6.5614660042251431</v>
      </c>
      <c r="AP199" s="7">
        <f ca="1">IF(AP$6=OFFSET(Assumptions!$B$8,0,$C$1),AVERAGE((AM$199-AM$411)/AM$14,(AN$199-AN$411)/AN$14,(AO$199-AO$411)/AO$14),(AO$199-AO$411)/AO$14) *AP$14 +AP$411</f>
        <v>6.8283150643855297</v>
      </c>
      <c r="AQ199" s="7">
        <f ca="1">IF(AQ$6=OFFSET(Assumptions!$B$8,0,$C$1),AVERAGE((AN$199-AN$411)/AN$14,(AO$199-AO$411)/AO$14,(AP$199-AP$411)/AP$14),(AP$199-AP$411)/AP$14) *AQ$14 +AQ$411</f>
        <v>7.105033544535285</v>
      </c>
      <c r="AR199" s="7">
        <f ca="1">IF(AR$6=OFFSET(Assumptions!$B$8,0,$C$1),AVERAGE((AO$199-AO$411)/AO$14,(AP$199-AP$411)/AP$14,(AQ$199-AQ$411)/AQ$14),(AQ$199-AQ$411)/AQ$14) *AR$14 +AR$411</f>
        <v>7.3918866291152847</v>
      </c>
      <c r="AS199" s="7">
        <f ca="1">IF(AS$6=OFFSET(Assumptions!$B$8,0,$C$1),AVERAGE((AP$199-AP$411)/AP$14,(AQ$199-AQ$411)/AQ$14,(AR$199-AR$411)/AR$14),(AR$199-AR$411)/AR$14) *AS$14 +AS$411</f>
        <v>7.6892354611312665</v>
      </c>
      <c r="AT199" s="7">
        <f ca="1">IF(AT$6=OFFSET(Assumptions!$B$8,0,$C$1),AVERAGE((AQ$199-AQ$411)/AQ$14,(AR$199-AR$411)/AR$14,(AS$199-AS$411)/AS$14),(AS$199-AS$411)/AS$14) *AT$14 +AT$411</f>
        <v>7.9973174803087321</v>
      </c>
      <c r="AU199" s="7">
        <f ca="1">IF(AU$6=OFFSET(Assumptions!$B$8,0,$C$1),AVERAGE((AR$199-AR$411)/AR$14,(AS$199-AS$411)/AS$14,(AT$199-AT$411)/AT$14),(AT$199-AT$411)/AT$14) *AU$14 +AU$411</f>
        <v>8.3164898594176275</v>
      </c>
      <c r="AV199" s="7">
        <f ca="1">IF(AV$6=OFFSET(Assumptions!$B$8,0,$C$1),AVERAGE((AS$199-AS$411)/AS$14,(AT$199-AT$411)/AT$14,(AU$199-AU$411)/AU$14),(AU$199-AU$411)/AU$14) *AV$14 +AV$411</f>
        <v>8.6472608385267478</v>
      </c>
      <c r="AW199" s="7">
        <f ca="1">IF(AW$6=OFFSET(Assumptions!$B$8,0,$C$1),AVERAGE((AT$199-AT$411)/AT$14,(AU$199-AU$411)/AU$14,(AV$199-AV$411)/AV$14),(AV$199-AV$411)/AV$14) *AW$14 +AW$411</f>
        <v>8.989916553071847</v>
      </c>
    </row>
    <row r="200" spans="1:49" x14ac:dyDescent="0.2">
      <c r="A200" s="1" t="s">
        <v>295</v>
      </c>
      <c r="B200" s="4" t="str">
        <f t="shared" si="161"/>
        <v>From Fiscal</v>
      </c>
      <c r="D200" s="18">
        <f>Fiscal!D$243</f>
        <v>1.7509999999999999</v>
      </c>
      <c r="E200" s="19">
        <f>Fiscal!E$243</f>
        <v>1.78</v>
      </c>
      <c r="F200" s="19">
        <f>Fiscal!F$243</f>
        <v>1.929</v>
      </c>
      <c r="G200" s="19">
        <f>Fiscal!G$243</f>
        <v>1.929</v>
      </c>
      <c r="H200" s="19">
        <f>Fiscal!H$243</f>
        <v>1.9850000000000001</v>
      </c>
      <c r="I200" s="19">
        <f>Fiscal!I$243</f>
        <v>2.0270000000000001</v>
      </c>
      <c r="J200" s="7">
        <f ca="1">IF(J$6=OFFSET(Assumptions!$B$8,0,$C$1),AVERAGE(G$200/(G$200+G$201),H$200/(H$200+H$201),I$200/(I$200+I$201)),I$200/(I$200+I$201))*(IF(J$6=OFFSET(Assumptions!$B$8,0,$C$1),AVERAGE((G$200+G$201-(G$414-G$411))/G$14,(H$200+H$201-(H$414-H$411))/H$14,(I$200+I$201-(I$414-I$411))/I$14),(I$200+I$201-(I$414-I$411))/I$14)*J$14 +(J$414-J$411))</f>
        <v>2.0521011930373656</v>
      </c>
      <c r="K200" s="7">
        <f ca="1">IF(K$6=OFFSET(Assumptions!$B$8,0,$C$1),AVERAGE(H$200/(H$200+H$201),I$200/(I$200+I$201),J$200/(J$200+J$201)),J$200/(J$200+J$201))*(IF(K$6=OFFSET(Assumptions!$B$8,0,$C$1),AVERAGE((H$200+H$201-(H$414-H$411))/H$14,(I$200+I$201-(I$414-I$411))/I$14,(J$200+J$201-(J$414-J$411))/J$14),(J$200+J$201-(J$414-J$411))/J$14)*K$14 +(K$414-K$411))</f>
        <v>2.0754032441485815</v>
      </c>
      <c r="L200" s="7">
        <f ca="1">IF(L$6=OFFSET(Assumptions!$B$8,0,$C$1),AVERAGE(I$200/(I$200+I$201),J$200/(J$200+J$201),K$200/(K$200+K$201)),K$200/(K$200+K$201))*(IF(L$6=OFFSET(Assumptions!$B$8,0,$C$1),AVERAGE((I$200+I$201-(I$414-I$411))/I$14,(J$200+J$201-(J$414-J$411))/J$14,(K$200+K$201-(K$414-K$411))/K$14),(K$200+K$201-(K$414-K$411))/K$14)*L$14 +(L$414-L$411))</f>
        <v>2.1029676317313597</v>
      </c>
      <c r="M200" s="7">
        <f ca="1">IF(M$6=OFFSET(Assumptions!$B$8,0,$C$1),AVERAGE(J$200/(J$200+J$201),K$200/(K$200+K$201),L$200/(L$200+L$201)),L$200/(L$200+L$201))*(IF(M$6=OFFSET(Assumptions!$B$8,0,$C$1),AVERAGE((J$200+J$201-(J$414-J$411))/J$14,(K$200+K$201-(K$414-K$411))/K$14,(L$200+L$201-(L$414-L$411))/L$14),(L$200+L$201-(L$414-L$411))/L$14)*M$14 +(M$414-M$411))</f>
        <v>2.1339133667012331</v>
      </c>
      <c r="N200" s="7">
        <f ca="1">IF(N$6=OFFSET(Assumptions!$B$8,0,$C$1),AVERAGE(K$200/(K$200+K$201),L$200/(L$200+L$201),M$200/(M$200+M$201)),M$200/(M$200+M$201))*(IF(N$6=OFFSET(Assumptions!$B$8,0,$C$1),AVERAGE((K$200+K$201-(K$414-K$411))/K$14,(L$200+L$201-(L$414-L$411))/L$14,(M$200+M$201-(M$414-M$411))/M$14),(M$200+M$201-(M$414-M$411))/M$14)*N$14 +(N$414-N$411))</f>
        <v>2.1683017335328056</v>
      </c>
      <c r="O200" s="7">
        <f ca="1">IF(O$6=OFFSET(Assumptions!$B$8,0,$C$1),AVERAGE(L$200/(L$200+L$201),M$200/(M$200+M$201),N$200/(N$200+N$201)),N$200/(N$200+N$201))*(IF(O$6=OFFSET(Assumptions!$B$8,0,$C$1),AVERAGE((L$200+L$201-(L$414-L$411))/L$14,(M$200+M$201-(M$414-M$411))/M$14,(N$200+N$201-(N$414-N$411))/N$14),(N$200+N$201-(N$414-N$411))/N$14)*O$14 +(O$414-O$411))</f>
        <v>2.2061212124233047</v>
      </c>
      <c r="P200" s="7">
        <f ca="1">IF(P$6=OFFSET(Assumptions!$B$8,0,$C$1),AVERAGE(M$200/(M$200+M$201),N$200/(N$200+N$201),O$200/(O$200+O$201)),O$200/(O$200+O$201))*(IF(P$6=OFFSET(Assumptions!$B$8,0,$C$1),AVERAGE((M$200+M$201-(M$414-M$411))/M$14,(N$200+N$201-(N$414-N$411))/N$14,(O$200+O$201-(O$414-O$411))/O$14),(O$200+O$201-(O$414-O$411))/O$14)*P$14 +(P$414-P$411))</f>
        <v>2.2474011852900766</v>
      </c>
      <c r="Q200" s="7">
        <f ca="1">IF(Q$6=OFFSET(Assumptions!$B$8,0,$C$1),AVERAGE(N$200/(N$200+N$201),O$200/(O$200+O$201),P$200/(P$200+P$201)),P$200/(P$200+P$201))*(IF(Q$6=OFFSET(Assumptions!$B$8,0,$C$1),AVERAGE((N$200+N$201-(N$414-N$411))/N$14,(O$200+O$201-(O$414-O$411))/O$14,(P$200+P$201-(P$414-P$411))/P$14),(P$200+P$201-(P$414-P$411))/P$14)*Q$14 +(Q$414-Q$411))</f>
        <v>2.2921589201497268</v>
      </c>
      <c r="R200" s="7">
        <f ca="1">IF(R$6=OFFSET(Assumptions!$B$8,0,$C$1),AVERAGE(O$200/(O$200+O$201),P$200/(P$200+P$201),Q$200/(Q$200+Q$201)),Q$200/(Q$200+Q$201))*(IF(R$6=OFFSET(Assumptions!$B$8,0,$C$1),AVERAGE((O$200+O$201-(O$414-O$411))/O$14,(P$200+P$201-(P$414-P$411))/P$14,(Q$200+Q$201-(Q$414-Q$411))/Q$14),(Q$200+Q$201-(Q$414-Q$411))/Q$14)*R$14 +(R$414-R$411))</f>
        <v>2.3404088213247634</v>
      </c>
      <c r="S200" s="7">
        <f ca="1">IF(S$6=OFFSET(Assumptions!$B$8,0,$C$1),AVERAGE(P$200/(P$200+P$201),Q$200/(Q$200+Q$201),R$200/(R$200+R$201)),R$200/(R$200+R$201))*(IF(S$6=OFFSET(Assumptions!$B$8,0,$C$1),AVERAGE((P$200+P$201-(P$414-P$411))/P$14,(Q$200+Q$201-(Q$414-Q$411))/Q$14,(R$200+R$201-(R$414-R$411))/R$14),(R$200+R$201-(R$414-R$411))/R$14)*S$14 +(S$414-S$411))</f>
        <v>2.3921977064233704</v>
      </c>
      <c r="T200" s="7">
        <f ca="1">IF(T$6=OFFSET(Assumptions!$B$8,0,$C$1),AVERAGE(Q$200/(Q$200+Q$201),R$200/(R$200+R$201),S$200/(S$200+S$201)),S$200/(S$200+S$201))*(IF(T$6=OFFSET(Assumptions!$B$8,0,$C$1),AVERAGE((Q$200+Q$201-(Q$414-Q$411))/Q$14,(R$200+R$201-(R$414-R$411))/R$14,(S$200+S$201-(S$414-S$411))/S$14),(S$200+S$201-(S$414-S$411))/S$14)*T$14 +(T$414-T$411))</f>
        <v>2.447560238067902</v>
      </c>
      <c r="U200" s="7">
        <f ca="1">IF(U$6=OFFSET(Assumptions!$B$8,0,$C$1),AVERAGE(R$200/(R$200+R$201),S$200/(S$200+S$201),T$200/(T$200+T$201)),T$200/(T$200+T$201))*(IF(U$6=OFFSET(Assumptions!$B$8,0,$C$1),AVERAGE((R$200+R$201-(R$414-R$411))/R$14,(S$200+S$201-(S$414-S$411))/S$14,(T$200+T$201-(T$414-T$411))/T$14),(T$200+T$201-(T$414-T$411))/T$14)*U$14 +(U$414-U$411))</f>
        <v>2.5065639115396663</v>
      </c>
      <c r="V200" s="7">
        <f ca="1">IF(V$6=OFFSET(Assumptions!$B$8,0,$C$1),AVERAGE(S$200/(S$200+S$201),T$200/(T$200+T$201),U$200/(U$200+U$201)),U$200/(U$200+U$201))*(IF(V$6=OFFSET(Assumptions!$B$8,0,$C$1),AVERAGE((S$200+S$201-(S$414-S$411))/S$14,(T$200+T$201-(T$414-T$411))/T$14,(U$200+U$201-(U$414-U$411))/U$14),(U$200+U$201-(U$414-U$411))/U$14)*V$14 +(V$414-V$411))</f>
        <v>2.5692823894102284</v>
      </c>
      <c r="W200" s="7">
        <f ca="1">IF(W$6=OFFSET(Assumptions!$B$8,0,$C$1),AVERAGE(T$200/(T$200+T$201),U$200/(U$200+U$201),V$200/(V$200+V$201)),V$200/(V$200+V$201))*(IF(W$6=OFFSET(Assumptions!$B$8,0,$C$1),AVERAGE((T$200+T$201-(T$414-T$411))/T$14,(U$200+U$201-(U$414-U$411))/U$14,(V$200+V$201-(V$414-V$411))/V$14),(V$200+V$201-(V$414-V$411))/V$14)*W$14 +(W$414-W$411))</f>
        <v>2.6358056052584846</v>
      </c>
      <c r="X200" s="7">
        <f ca="1">IF(X$6=OFFSET(Assumptions!$B$8,0,$C$1),AVERAGE(U$200/(U$200+U$201),V$200/(V$200+V$201),W$200/(W$200+W$201)),W$200/(W$200+W$201))*(IF(X$6=OFFSET(Assumptions!$B$8,0,$C$1),AVERAGE((U$200+U$201-(U$414-U$411))/U$14,(V$200+V$201-(V$414-V$411))/V$14,(W$200+W$201-(W$414-W$411))/W$14),(W$200+W$201-(W$414-W$411))/W$14)*X$14 +(X$414-X$411))</f>
        <v>2.7062407321908997</v>
      </c>
      <c r="Y200" s="7">
        <f ca="1">IF(Y$6=OFFSET(Assumptions!$B$8,0,$C$1),AVERAGE(V$200/(V$200+V$201),W$200/(W$200+W$201),X$200/(X$200+X$201)),X$200/(X$200+X$201))*(IF(Y$6=OFFSET(Assumptions!$B$8,0,$C$1),AVERAGE((V$200+V$201-(V$414-V$411))/V$14,(W$200+W$201-(W$414-W$411))/W$14,(X$200+X$201-(X$414-X$411))/X$14),(X$200+X$201-(X$414-X$411))/X$14)*Y$14 +(Y$414-Y$411))</f>
        <v>2.7806735097085364</v>
      </c>
      <c r="Z200" s="7">
        <f ca="1">IF(Z$6=OFFSET(Assumptions!$B$8,0,$C$1),AVERAGE(W$200/(W$200+W$201),X$200/(X$200+X$201),Y$200/(Y$200+Y$201)),Y$200/(Y$200+Y$201))*(IF(Z$6=OFFSET(Assumptions!$B$8,0,$C$1),AVERAGE((W$200+W$201-(W$414-W$411))/W$14,(X$200+X$201-(X$414-X$411))/X$14,(Y$200+Y$201-(Y$414-Y$411))/Y$14),(Y$200+Y$201-(Y$414-Y$411))/Y$14)*Z$14 +(Z$414-Z$411))</f>
        <v>2.8592473659849489</v>
      </c>
      <c r="AA200" s="7">
        <f ca="1">IF(AA$6=OFFSET(Assumptions!$B$8,0,$C$1),AVERAGE(X$200/(X$200+X$201),Y$200/(Y$200+Y$201),Z$200/(Z$200+Z$201)),Z$200/(Z$200+Z$201))*(IF(AA$6=OFFSET(Assumptions!$B$8,0,$C$1),AVERAGE((X$200+X$201-(X$414-X$411))/X$14,(Y$200+Y$201-(Y$414-Y$411))/Y$14,(Z$200+Z$201-(Z$414-Z$411))/Z$14),(Z$200+Z$201-(Z$414-Z$411))/Z$14)*AA$14 +(AA$414-AA$411))</f>
        <v>2.9420923168734228</v>
      </c>
      <c r="AB200" s="7">
        <f ca="1">IF(AB$6=OFFSET(Assumptions!$B$8,0,$C$1),AVERAGE(Y$200/(Y$200+Y$201),Z$200/(Z$200+Z$201),AA$200/(AA$200+AA$201)),AA$200/(AA$200+AA$201))*(IF(AB$6=OFFSET(Assumptions!$B$8,0,$C$1),AVERAGE((Y$200+Y$201-(Y$414-Y$411))/Y$14,(Z$200+Z$201-(Z$414-Z$411))/Z$14,(AA$200+AA$201-(AA$414-AA$411))/AA$14),(AA$200+AA$201-(AA$414-AA$411))/AA$14)*AB$14 +(AB$414-AB$411))</f>
        <v>3.0293630186335636</v>
      </c>
      <c r="AC200" s="7">
        <f ca="1">IF(AC$6=OFFSET(Assumptions!$B$8,0,$C$1),AVERAGE(Z$200/(Z$200+Z$201),AA$200/(AA$200+AA$201),AB$200/(AB$200+AB$201)),AB$200/(AB$200+AB$201))*(IF(AC$6=OFFSET(Assumptions!$B$8,0,$C$1),AVERAGE((Z$200+Z$201-(Z$414-Z$411))/Z$14,(AA$200+AA$201-(AA$414-AA$411))/AA$14,(AB$200+AB$201-(AB$414-AB$411))/AB$14),(AB$200+AB$201-(AB$414-AB$411))/AB$14)*AC$14 +(AC$414-AC$411))</f>
        <v>3.1212410943591378</v>
      </c>
      <c r="AD200" s="7">
        <f ca="1">IF(AD$6=OFFSET(Assumptions!$B$8,0,$C$1),AVERAGE(AA$200/(AA$200+AA$201),AB$200/(AB$200+AB$201),AC$200/(AC$200+AC$201)),AC$200/(AC$200+AC$201))*(IF(AD$6=OFFSET(Assumptions!$B$8,0,$C$1),AVERAGE((AA$200+AA$201-(AA$414-AA$411))/AA$14,(AB$200+AB$201-(AB$414-AB$411))/AB$14,(AC$200+AC$201-(AC$414-AC$411))/AC$14),(AC$200+AC$201-(AC$414-AC$411))/AC$14)*AD$14 +(AD$414-AD$411))</f>
        <v>3.2178926461062467</v>
      </c>
      <c r="AE200" s="7">
        <f ca="1">IF(AE$6=OFFSET(Assumptions!$B$8,0,$C$1),AVERAGE(AB$200/(AB$200+AB$201),AC$200/(AC$200+AC$201),AD$200/(AD$200+AD$201)),AD$200/(AD$200+AD$201))*(IF(AE$6=OFFSET(Assumptions!$B$8,0,$C$1),AVERAGE((AB$200+AB$201-(AB$414-AB$411))/AB$14,(AC$200+AC$201-(AC$414-AC$411))/AC$14,(AD$200+AD$201-(AD$414-AD$411))/AD$14),(AD$200+AD$201-(AD$414-AD$411))/AD$14)*AE$14 +(AE$414-AE$411))</f>
        <v>3.3194575320016981</v>
      </c>
      <c r="AF200" s="7">
        <f ca="1">IF(AF$6=OFFSET(Assumptions!$B$8,0,$C$1),AVERAGE(AC$200/(AC$200+AC$201),AD$200/(AD$200+AD$201),AE$200/(AE$200+AE$201)),AE$200/(AE$200+AE$201))*(IF(AF$6=OFFSET(Assumptions!$B$8,0,$C$1),AVERAGE((AC$200+AC$201-(AC$414-AC$411))/AC$14,(AD$200+AD$201-(AD$414-AD$411))/AD$14,(AE$200+AE$201-(AE$414-AE$411))/AE$14),(AE$200+AE$201-(AE$414-AE$411))/AE$14)*AF$14 +(AF$414-AF$411))</f>
        <v>3.4261191044183374</v>
      </c>
      <c r="AG200" s="7">
        <f ca="1">IF(AG$6=OFFSET(Assumptions!$B$8,0,$C$1),AVERAGE(AD$200/(AD$200+AD$201),AE$200/(AE$200+AE$201),AF$200/(AF$200+AF$201)),AF$200/(AF$200+AF$201))*(IF(AG$6=OFFSET(Assumptions!$B$8,0,$C$1),AVERAGE((AD$200+AD$201-(AD$414-AD$411))/AD$14,(AE$200+AE$201-(AE$414-AE$411))/AE$14,(AF$200+AF$201-(AF$414-AF$411))/AF$14),(AF$200+AF$201-(AF$414-AF$411))/AF$14)*AG$14 +(AG$414-AG$411))</f>
        <v>3.5380432664162926</v>
      </c>
      <c r="AH200" s="7">
        <f ca="1">IF(AH$6=OFFSET(Assumptions!$B$8,0,$C$1),AVERAGE(AE$200/(AE$200+AE$201),AF$200/(AF$200+AF$201),AG$200/(AG$200+AG$201)),AG$200/(AG$200+AG$201))*(IF(AH$6=OFFSET(Assumptions!$B$8,0,$C$1),AVERAGE((AE$200+AE$201-(AE$414-AE$411))/AE$14,(AF$200+AF$201-(AF$414-AF$411))/AF$14,(AG$200+AG$201-(AG$414-AG$411))/AG$14),(AG$200+AG$201-(AG$414-AG$411))/AG$14)*AH$14 +(AH$414-AH$411))</f>
        <v>3.6554123487121539</v>
      </c>
      <c r="AI200" s="7">
        <f ca="1">IF(AI$6=OFFSET(Assumptions!$B$8,0,$C$1),AVERAGE(AF$200/(AF$200+AF$201),AG$200/(AG$200+AG$201),AH$200/(AH$200+AH$201)),AH$200/(AH$200+AH$201))*(IF(AI$6=OFFSET(Assumptions!$B$8,0,$C$1),AVERAGE((AF$200+AF$201-(AF$414-AF$411))/AF$14,(AG$200+AG$201-(AG$414-AG$411))/AG$14,(AH$200+AH$201-(AH$414-AH$411))/AH$14),(AH$200+AH$201-(AH$414-AH$411))/AH$14)*AI$14 +(AI$414-AI$411))</f>
        <v>3.77835977875201</v>
      </c>
      <c r="AJ200" s="7">
        <f ca="1">IF(AJ$6=OFFSET(Assumptions!$B$8,0,$C$1),AVERAGE(AG$200/(AG$200+AG$201),AH$200/(AH$200+AH$201),AI$200/(AI$200+AI$201)),AI$200/(AI$200+AI$201))*(IF(AJ$6=OFFSET(Assumptions!$B$8,0,$C$1),AVERAGE((AG$200+AG$201-(AG$414-AG$411))/AG$14,(AH$200+AH$201-(AH$414-AH$411))/AH$14,(AI$200+AI$201-(AI$414-AI$411))/AI$14),(AI$200+AI$201-(AI$414-AI$411))/AI$14)*AJ$14 +(AJ$414-AJ$411))</f>
        <v>3.9070854921182856</v>
      </c>
      <c r="AK200" s="7">
        <f ca="1">IF(AK$6=OFFSET(Assumptions!$B$8,0,$C$1),AVERAGE(AH$200/(AH$200+AH$201),AI$200/(AI$200+AI$201),AJ$200/(AJ$200+AJ$201)),AJ$200/(AJ$200+AJ$201))*(IF(AK$6=OFFSET(Assumptions!$B$8,0,$C$1),AVERAGE((AH$200+AH$201-(AH$414-AH$411))/AH$14,(AI$200+AI$201-(AI$414-AI$411))/AI$14,(AJ$200+AJ$201-(AJ$414-AJ$411))/AJ$14),(AJ$200+AJ$201-(AJ$414-AJ$411))/AJ$14)*AK$14 +(AK$414-AK$411))</f>
        <v>4.0417402389102639</v>
      </c>
      <c r="AL200" s="7">
        <f ca="1">IF(AL$6=OFFSET(Assumptions!$B$8,0,$C$1),AVERAGE(AI$200/(AI$200+AI$201),AJ$200/(AJ$200+AJ$201),AK$200/(AK$200+AK$201)),AK$200/(AK$200+AK$201))*(IF(AL$6=OFFSET(Assumptions!$B$8,0,$C$1),AVERAGE((AI$200+AI$201-(AI$414-AI$411))/AI$14,(AJ$200+AJ$201-(AJ$414-AJ$411))/AJ$14,(AK$200+AK$201-(AK$414-AK$411))/AK$14),(AK$200+AK$201-(AK$414-AK$411))/AK$14)*AL$14 +(AL$414-AL$411))</f>
        <v>4.1824615171972663</v>
      </c>
      <c r="AM200" s="7">
        <f ca="1">IF(AM$6=OFFSET(Assumptions!$B$8,0,$C$1),AVERAGE(AJ$200/(AJ$200+AJ$201),AK$200/(AK$200+AK$201),AL$200/(AL$200+AL$201)),AL$200/(AL$200+AL$201))*(IF(AM$6=OFFSET(Assumptions!$B$8,0,$C$1),AVERAGE((AJ$200+AJ$201-(AJ$414-AJ$411))/AJ$14,(AK$200+AK$201-(AK$414-AK$411))/AK$14,(AL$200+AL$201-(AL$414-AL$411))/AL$14),(AL$200+AL$201-(AL$414-AL$411))/AL$14)*AM$14 +(AM$414-AM$411))</f>
        <v>4.3294162491921346</v>
      </c>
      <c r="AN200" s="7">
        <f ca="1">IF(AN$6=OFFSET(Assumptions!$B$8,0,$C$1),AVERAGE(AK$200/(AK$200+AK$201),AL$200/(AL$200+AL$201),AM$200/(AM$200+AM$201)),AM$200/(AM$200+AM$201))*(IF(AN$6=OFFSET(Assumptions!$B$8,0,$C$1),AVERAGE((AK$200+AK$201-(AK$414-AK$411))/AK$14,(AL$200+AL$201-(AL$414-AL$411))/AL$14,(AM$200+AM$201-(AM$414-AM$411))/AM$14),(AM$200+AM$201-(AM$414-AM$411))/AM$14)*AN$14 +(AN$414-AN$411))</f>
        <v>4.4827812763523553</v>
      </c>
      <c r="AO200" s="7">
        <f ca="1">IF(AO$6=OFFSET(Assumptions!$B$8,0,$C$1),AVERAGE(AL$200/(AL$200+AL$201),AM$200/(AM$200+AM$201),AN$200/(AN$200+AN$201)),AN$200/(AN$200+AN$201))*(IF(AO$6=OFFSET(Assumptions!$B$8,0,$C$1),AVERAGE((AL$200+AL$201-(AL$414-AL$411))/AL$14,(AM$200+AM$201-(AM$414-AM$411))/AM$14,(AN$200+AN$201-(AN$414-AN$411))/AN$14),(AN$200+AN$201-(AN$414-AN$411))/AN$14)*AO$14 +(AO$414-AO$411))</f>
        <v>4.6426301349226238</v>
      </c>
      <c r="AP200" s="7">
        <f ca="1">IF(AP$6=OFFSET(Assumptions!$B$8,0,$C$1),AVERAGE(AM$200/(AM$200+AM$201),AN$200/(AN$200+AN$201),AO$200/(AO$200+AO$201)),AO$200/(AO$200+AO$201))*(IF(AP$6=OFFSET(Assumptions!$B$8,0,$C$1),AVERAGE((AM$200+AM$201-(AM$414-AM$411))/AM$14,(AN$200+AN$201-(AN$414-AN$411))/AN$14,(AO$200+AO$201-(AO$414-AO$411))/AO$14),(AO$200+AO$201-(AO$414-AO$411))/AO$14)*AP$14 +(AP$414-AP$411))</f>
        <v>4.8091663053589286</v>
      </c>
      <c r="AQ200" s="7">
        <f ca="1">IF(AQ$6=OFFSET(Assumptions!$B$8,0,$C$1),AVERAGE(AN$200/(AN$200+AN$201),AO$200/(AO$200+AO$201),AP$200/(AP$200+AP$201)),AP$200/(AP$200+AP$201))*(IF(AQ$6=OFFSET(Assumptions!$B$8,0,$C$1),AVERAGE((AN$200+AN$201-(AN$414-AN$411))/AN$14,(AO$200+AO$201-(AO$414-AO$411))/AO$14,(AP$200+AP$201-(AP$414-AP$411))/AP$14),(AP$200+AP$201-(AP$414-AP$411))/AP$14)*AQ$14 +(AQ$414-AQ$411))</f>
        <v>4.9824786826728209</v>
      </c>
      <c r="AR200" s="7">
        <f ca="1">IF(AR$6=OFFSET(Assumptions!$B$8,0,$C$1),AVERAGE(AO$200/(AO$200+AO$201),AP$200/(AP$200+AP$201),AQ$200/(AQ$200+AQ$201)),AQ$200/(AQ$200+AQ$201))*(IF(AR$6=OFFSET(Assumptions!$B$8,0,$C$1),AVERAGE((AO$200+AO$201-(AO$414-AO$411))/AO$14,(AP$200+AP$201-(AP$414-AP$411))/AP$14,(AQ$200+AQ$201-(AQ$414-AQ$411))/AQ$14),(AQ$200+AQ$201-(AQ$414-AQ$411))/AQ$14)*AR$14 +(AR$414-AR$411))</f>
        <v>5.1627093936539152</v>
      </c>
      <c r="AS200" s="7">
        <f ca="1">IF(AS$6=OFFSET(Assumptions!$B$8,0,$C$1),AVERAGE(AP$200/(AP$200+AP$201),AQ$200/(AQ$200+AQ$201),AR$200/(AR$200+AR$201)),AR$200/(AR$200+AR$201))*(IF(AS$6=OFFSET(Assumptions!$B$8,0,$C$1),AVERAGE((AP$200+AP$201-(AP$414-AP$411))/AP$14,(AQ$200+AQ$201-(AQ$414-AQ$411))/AQ$14,(AR$200+AR$201-(AR$414-AR$411))/AR$14),(AR$200+AR$201-(AR$414-AR$411))/AR$14)*AS$14 +(AS$414-AS$411))</f>
        <v>5.3500391598739965</v>
      </c>
      <c r="AT200" s="7">
        <f ca="1">IF(AT$6=OFFSET(Assumptions!$B$8,0,$C$1),AVERAGE(AQ$200/(AQ$200+AQ$201),AR$200/(AR$200+AR$201),AS$200/(AS$200+AS$201)),AS$200/(AS$200+AS$201))*(IF(AT$6=OFFSET(Assumptions!$B$8,0,$C$1),AVERAGE((AQ$200+AQ$201-(AQ$414-AQ$411))/AQ$14,(AR$200+AR$201-(AR$414-AR$411))/AR$14,(AS$200+AS$201-(AS$414-AS$411))/AS$14),(AS$200+AS$201-(AS$414-AS$411))/AS$14)*AT$14 +(AT$414-AT$411))</f>
        <v>5.544635688055509</v>
      </c>
      <c r="AU200" s="7">
        <f ca="1">IF(AU$6=OFFSET(Assumptions!$B$8,0,$C$1),AVERAGE(AR$200/(AR$200+AR$201),AS$200/(AS$200+AS$201),AT$200/(AT$200+AT$201)),AT$200/(AT$200+AT$201))*(IF(AU$6=OFFSET(Assumptions!$B$8,0,$C$1),AVERAGE((AR$200+AR$201-(AR$414-AR$411))/AR$14,(AS$200+AS$201-(AS$414-AS$411))/AS$14,(AT$200+AT$201-(AT$414-AT$411))/AT$14),(AT$200+AT$201-(AT$414-AT$411))/AT$14)*AU$14 +(AU$414-AU$411))</f>
        <v>5.7466854246615</v>
      </c>
      <c r="AV200" s="7">
        <f ca="1">IF(AV$6=OFFSET(Assumptions!$B$8,0,$C$1),AVERAGE(AS$200/(AS$200+AS$201),AT$200/(AT$200+AT$201),AU$200/(AU$200+AU$201)),AU$200/(AU$200+AU$201))*(IF(AV$6=OFFSET(Assumptions!$B$8,0,$C$1),AVERAGE((AS$200+AS$201-(AS$414-AS$411))/AS$14,(AT$200+AT$201-(AT$414-AT$411))/AT$14,(AU$200+AU$201-(AU$414-AU$411))/AU$14),(AU$200+AU$201-(AU$414-AU$411))/AU$14)*AV$14 +(AV$414-AV$411))</f>
        <v>5.9564337332282546</v>
      </c>
      <c r="AW200" s="7">
        <f ca="1">IF(AW$6=OFFSET(Assumptions!$B$8,0,$C$1),AVERAGE(AT$200/(AT$200+AT$201),AU$200/(AU$200+AU$201),AV$200/(AV$200+AV$201)),AV$200/(AV$200+AV$201))*(IF(AW$6=OFFSET(Assumptions!$B$8,0,$C$1),AVERAGE((AT$200+AT$201-(AT$414-AT$411))/AT$14,(AU$200+AU$201-(AU$414-AU$411))/AU$14,(AV$200+AV$201-(AV$414-AV$411))/AV$14),(AV$200+AV$201-(AV$414-AV$411))/AV$14)*AW$14 +(AW$414-AW$411))</f>
        <v>6.1740635001157758</v>
      </c>
    </row>
    <row r="201" spans="1:49" x14ac:dyDescent="0.2">
      <c r="A201" s="1" t="s">
        <v>529</v>
      </c>
      <c r="B201" s="4" t="str">
        <f t="shared" si="161"/>
        <v>From Fiscal</v>
      </c>
      <c r="D201" s="18">
        <f>SUM(Fiscal!D$244:D$245)</f>
        <v>1.65</v>
      </c>
      <c r="E201" s="19">
        <f>SUM(Fiscal!E$244:E$245)</f>
        <v>1.5629999999999999</v>
      </c>
      <c r="F201" s="19">
        <f>SUM(Fiscal!F$244:F$245)</f>
        <v>1.6850000000000001</v>
      </c>
      <c r="G201" s="19">
        <f>SUM(Fiscal!G$244:G$245)</f>
        <v>1.754</v>
      </c>
      <c r="H201" s="19">
        <f>SUM(Fiscal!H$244:H$245)</f>
        <v>1.776</v>
      </c>
      <c r="I201" s="19">
        <f>SUM(Fiscal!I$244:I$245)</f>
        <v>1.7709999999999999</v>
      </c>
      <c r="J201" s="7">
        <f ca="1">IF(J$6=OFFSET(Assumptions!$B$8,0,$C$1),AVERAGE(G$201/(G$200+G$201),H$201/(H$200+H$201),I$201/(I$200+I$201)),I$201/(I$200+I$201))*(IF(J$6=OFFSET(Assumptions!$B$8,0,$C$1),AVERAGE((G$200+G$201-(G$414-G$411))/G$14,(H$200+H$201-(H$414-H$411))/H$14,(I$200+I$201-(I$414-I$411))/I$14),(I$200+I$201-(I$414-I$411))/I$14)*J$14 +(J$414-J$411))</f>
        <v>1.8314019231138312</v>
      </c>
      <c r="K201" s="7">
        <f ca="1">IF(K$6=OFFSET(Assumptions!$B$8,0,$C$1),AVERAGE(H$201/(H$200+H$201),I$201/(I$200+I$201),J$201/(J$200+J$201)),J$201/(J$200+J$201))*(IF(K$6=OFFSET(Assumptions!$B$8,0,$C$1),AVERAGE((H$200+H$201-(H$414-H$411))/H$14,(I$200+I$201-(I$414-I$411))/I$14,(J$200+J$201-(J$414-J$411))/J$14),(J$200+J$201-(J$414-J$411))/J$14)*K$14 +(K$414-K$411))</f>
        <v>1.8521978864719604</v>
      </c>
      <c r="L201" s="7">
        <f ca="1">IF(L$6=OFFSET(Assumptions!$B$8,0,$C$1),AVERAGE(I$201/(I$200+I$201),J$201/(J$200+J$201),K$201/(K$200+K$201)),K$201/(K$200+K$201))*(IF(L$6=OFFSET(Assumptions!$B$8,0,$C$1),AVERAGE((I$200+I$201-(I$414-I$411))/I$14,(J$200+J$201-(J$414-J$411))/J$14,(K$200+K$201-(K$414-K$411))/K$14),(K$200+K$201-(K$414-K$411))/K$14)*L$14 +(L$414-L$411))</f>
        <v>1.8767977807655922</v>
      </c>
      <c r="M201" s="7">
        <f ca="1">IF(M$6=OFFSET(Assumptions!$B$8,0,$C$1),AVERAGE(J$201/(J$200+J$201),K$201/(K$200+K$201),L$201/(L$200+L$201)),L$201/(L$200+L$201))*(IF(M$6=OFFSET(Assumptions!$B$8,0,$C$1),AVERAGE((J$200+J$201-(J$414-J$411))/J$14,(K$200+K$201-(K$414-K$411))/K$14,(L$200+L$201-(L$414-L$411))/L$14),(L$200+L$201-(L$414-L$411))/L$14)*M$14 +(M$414-M$411))</f>
        <v>1.9044153654774418</v>
      </c>
      <c r="N201" s="7">
        <f ca="1">IF(N$6=OFFSET(Assumptions!$B$8,0,$C$1),AVERAGE(K$201/(K$200+K$201),L$201/(L$200+L$201),M$201/(M$200+M$201)),M$201/(M$200+M$201))*(IF(N$6=OFFSET(Assumptions!$B$8,0,$C$1),AVERAGE((K$200+K$201-(K$414-K$411))/K$14,(L$200+L$201-(L$414-L$411))/L$14,(M$200+M$201-(M$414-M$411))/M$14),(M$200+M$201-(M$414-M$411))/M$14)*N$14 +(N$414-N$411))</f>
        <v>1.9351053340626994</v>
      </c>
      <c r="O201" s="7">
        <f ca="1">IF(O$6=OFFSET(Assumptions!$B$8,0,$C$1),AVERAGE(L$201/(L$200+L$201),M$201/(M$200+M$201),N$201/(N$200+N$201)),N$201/(N$200+N$201))*(IF(O$6=OFFSET(Assumptions!$B$8,0,$C$1),AVERAGE((L$200+L$201-(L$414-L$411))/L$14,(M$200+M$201-(M$414-M$411))/M$14,(N$200+N$201-(N$414-N$411))/N$14),(N$200+N$201-(N$414-N$411))/N$14)*O$14 +(O$414-O$411))</f>
        <v>1.9688574056497274</v>
      </c>
      <c r="P201" s="7">
        <f ca="1">IF(P$6=OFFSET(Assumptions!$B$8,0,$C$1),AVERAGE(M$201/(M$200+M$201),N$201/(N$200+N$201),O$201/(O$200+O$201)),O$201/(O$200+O$201))*(IF(P$6=OFFSET(Assumptions!$B$8,0,$C$1),AVERAGE((M$200+M$201-(M$414-M$411))/M$14,(N$200+N$201-(N$414-N$411))/N$14,(O$200+O$201-(O$414-O$411))/O$14),(O$200+O$201-(O$414-O$411))/O$14)*P$14 +(P$414-P$411))</f>
        <v>2.0056978021909888</v>
      </c>
      <c r="Q201" s="7">
        <f ca="1">IF(Q$6=OFFSET(Assumptions!$B$8,0,$C$1),AVERAGE(N$201/(N$200+N$201),O$201/(O$200+O$201),P$201/(P$200+P$201)),P$201/(P$200+P$201))*(IF(Q$6=OFFSET(Assumptions!$B$8,0,$C$1),AVERAGE((N$200+N$201-(N$414-N$411))/N$14,(O$200+O$201-(O$414-O$411))/O$14,(P$200+P$201-(P$414-P$411))/P$14),(P$200+P$201-(P$414-P$411))/P$14)*Q$14 +(Q$414-Q$411))</f>
        <v>2.0456419345633585</v>
      </c>
      <c r="R201" s="7">
        <f ca="1">IF(R$6=OFFSET(Assumptions!$B$8,0,$C$1),AVERAGE(O$201/(O$200+O$201),P$201/(P$200+P$201),Q$201/(Q$200+Q$201)),Q$201/(Q$200+Q$201))*(IF(R$6=OFFSET(Assumptions!$B$8,0,$C$1),AVERAGE((O$200+O$201-(O$414-O$411))/O$14,(P$200+P$201-(P$414-P$411))/P$14,(Q$200+Q$201-(Q$414-Q$411))/Q$14),(Q$200+Q$201-(Q$414-Q$411))/Q$14)*R$14 +(R$414-R$411))</f>
        <v>2.0887026579340335</v>
      </c>
      <c r="S201" s="7">
        <f ca="1">IF(S$6=OFFSET(Assumptions!$B$8,0,$C$1),AVERAGE(P$201/(P$200+P$201),Q$201/(Q$200+Q$201),R$201/(R$200+R$201)),R$201/(R$200+R$201))*(IF(S$6=OFFSET(Assumptions!$B$8,0,$C$1),AVERAGE((P$200+P$201-(P$414-P$411))/P$14,(Q$200+Q$201-(Q$414-Q$411))/Q$14,(R$200+R$201-(R$414-R$411))/R$14),(R$200+R$201-(R$414-R$411))/R$14)*S$14 +(S$414-S$411))</f>
        <v>2.1349217547735639</v>
      </c>
      <c r="T201" s="7">
        <f ca="1">IF(T$6=OFFSET(Assumptions!$B$8,0,$C$1),AVERAGE(Q$201/(Q$200+Q$201),R$201/(R$200+R$201),S$201/(S$200+S$201)),S$201/(S$200+S$201))*(IF(T$6=OFFSET(Assumptions!$B$8,0,$C$1),AVERAGE((Q$200+Q$201-(Q$414-Q$411))/Q$14,(R$200+R$201-(R$414-R$411))/R$14,(S$200+S$201-(S$414-S$411))/S$14),(S$200+S$201-(S$414-S$411))/S$14)*T$14 +(T$414-T$411))</f>
        <v>2.1843301598104397</v>
      </c>
      <c r="U201" s="7">
        <f ca="1">IF(U$6=OFFSET(Assumptions!$B$8,0,$C$1),AVERAGE(R$201/(R$200+R$201),S$201/(S$200+S$201),T$201/(T$200+T$201)),T$201/(T$200+T$201))*(IF(U$6=OFFSET(Assumptions!$B$8,0,$C$1),AVERAGE((R$200+R$201-(R$414-R$411))/R$14,(S$200+S$201-(S$414-S$411))/S$14,(T$200+T$201-(T$414-T$411))/T$14),(T$200+T$201-(T$414-T$411))/T$14)*U$14 +(U$414-U$411))</f>
        <v>2.2369881093470454</v>
      </c>
      <c r="V201" s="7">
        <f ca="1">IF(V$6=OFFSET(Assumptions!$B$8,0,$C$1),AVERAGE(S$201/(S$200+S$201),T$201/(T$200+T$201),U$201/(U$200+U$201)),U$201/(U$200+U$201))*(IF(V$6=OFFSET(Assumptions!$B$8,0,$C$1),AVERAGE((S$200+S$201-(S$414-S$411))/S$14,(T$200+T$201-(T$414-T$411))/T$14,(U$200+U$201-(U$414-U$411))/U$14),(U$200+U$201-(U$414-U$411))/U$14)*V$14 +(V$414-V$411))</f>
        <v>2.2929613436966187</v>
      </c>
      <c r="W201" s="7">
        <f ca="1">IF(W$6=OFFSET(Assumptions!$B$8,0,$C$1),AVERAGE(T$201/(T$200+T$201),U$201/(U$200+U$201),V$201/(V$200+V$201)),V$201/(V$200+V$201))*(IF(W$6=OFFSET(Assumptions!$B$8,0,$C$1),AVERAGE((T$200+T$201-(T$414-T$411))/T$14,(U$200+U$201-(U$414-U$411))/U$14,(V$200+V$201-(V$414-V$411))/V$14),(V$200+V$201-(V$414-V$411))/V$14)*W$14 +(W$414-W$411))</f>
        <v>2.3523301242662984</v>
      </c>
      <c r="X201" s="7">
        <f ca="1">IF(X$6=OFFSET(Assumptions!$B$8,0,$C$1),AVERAGE(U$201/(U$200+U$201),V$201/(V$200+V$201),W$201/(W$200+W$201)),W$201/(W$200+W$201))*(IF(X$6=OFFSET(Assumptions!$B$8,0,$C$1),AVERAGE((U$200+U$201-(U$414-U$411))/U$14,(V$200+V$201-(V$414-V$411))/V$14,(W$200+W$201-(W$414-W$411))/W$14),(W$200+W$201-(W$414-W$411))/W$14)*X$14 +(X$414-X$411))</f>
        <v>2.4151900979149969</v>
      </c>
      <c r="Y201" s="7">
        <f ca="1">IF(Y$6=OFFSET(Assumptions!$B$8,0,$C$1),AVERAGE(V$201/(V$200+V$201),W$201/(W$200+W$201),X$201/(X$200+X$201)),X$201/(X$200+X$201))*(IF(Y$6=OFFSET(Assumptions!$B$8,0,$C$1),AVERAGE((V$200+V$201-(V$414-V$411))/V$14,(W$200+W$201-(W$414-W$411))/W$14,(X$200+X$201-(X$414-X$411))/X$14),(X$200+X$201-(X$414-X$411))/X$14)*Y$14 +(Y$414-Y$411))</f>
        <v>2.4816177830364792</v>
      </c>
      <c r="Z201" s="7">
        <f ca="1">IF(Z$6=OFFSET(Assumptions!$B$8,0,$C$1),AVERAGE(W$201/(W$200+W$201),X$201/(X$200+X$201),Y$201/(Y$200+Y$201)),Y$201/(Y$200+Y$201))*(IF(Z$6=OFFSET(Assumptions!$B$8,0,$C$1),AVERAGE((W$200+W$201-(W$414-W$411))/W$14,(X$200+X$201-(X$414-X$411))/X$14,(Y$200+Y$201-(Y$414-Y$411))/Y$14),(Y$200+Y$201-(Y$414-Y$411))/Y$14)*Z$14 +(Z$414-Z$411))</f>
        <v>2.5517411823987213</v>
      </c>
      <c r="AA201" s="7">
        <f ca="1">IF(AA$6=OFFSET(Assumptions!$B$8,0,$C$1),AVERAGE(X$201/(X$200+X$201),Y$201/(Y$200+Y$201),Z$201/(Z$200+Z$201)),Z$201/(Z$200+Z$201))*(IF(AA$6=OFFSET(Assumptions!$B$8,0,$C$1),AVERAGE((X$200+X$201-(X$414-X$411))/X$14,(Y$200+Y$201-(Y$414-Y$411))/Y$14,(Z$200+Z$201-(Z$414-Z$411))/Z$14),(Z$200+Z$201-(Z$414-Z$411))/Z$14)*AA$14 +(AA$414-AA$411))</f>
        <v>2.6256763289169367</v>
      </c>
      <c r="AB201" s="7">
        <f ca="1">IF(AB$6=OFFSET(Assumptions!$B$8,0,$C$1),AVERAGE(Y$201/(Y$200+Y$201),Z$201/(Z$200+Z$201),AA$201/(AA$200+AA$201)),AA$201/(AA$200+AA$201))*(IF(AB$6=OFFSET(Assumptions!$B$8,0,$C$1),AVERAGE((Y$200+Y$201-(Y$414-Y$411))/Y$14,(Z$200+Z$201-(Z$414-Z$411))/Z$14,(AA$200+AA$201-(AA$414-AA$411))/AA$14),(AA$200+AA$201-(AA$414-AA$411))/AA$14)*AB$14 +(AB$414-AB$411))</f>
        <v>2.7035612458875518</v>
      </c>
      <c r="AC201" s="7">
        <f ca="1">IF(AC$6=OFFSET(Assumptions!$B$8,0,$C$1),AVERAGE(Z$201/(Z$200+Z$201),AA$201/(AA$200+AA$201),AB$201/(AB$200+AB$201)),AB$201/(AB$200+AB$201))*(IF(AC$6=OFFSET(Assumptions!$B$8,0,$C$1),AVERAGE((Z$200+Z$201-(Z$414-Z$411))/Z$14,(AA$200+AA$201-(AA$414-AA$411))/AA$14,(AB$200+AB$201-(AB$414-AB$411))/AB$14),(AB$200+AB$201-(AB$414-AB$411))/AB$14)*AC$14 +(AC$414-AC$411))</f>
        <v>2.7855580232135084</v>
      </c>
      <c r="AD201" s="7">
        <f ca="1">IF(AD$6=OFFSET(Assumptions!$B$8,0,$C$1),AVERAGE(AA$201/(AA$200+AA$201),AB$201/(AB$200+AB$201),AC$201/(AC$200+AC$201)),AC$201/(AC$200+AC$201))*(IF(AD$6=OFFSET(Assumptions!$B$8,0,$C$1),AVERAGE((AA$200+AA$201-(AA$414-AA$411))/AA$14,(AB$200+AB$201-(AB$414-AB$411))/AB$14,(AC$200+AC$201-(AC$414-AC$411))/AC$14),(AC$200+AC$201-(AC$414-AC$411))/AC$14)*AD$14 +(AD$414-AD$411))</f>
        <v>2.8718148990158157</v>
      </c>
      <c r="AE201" s="7">
        <f ca="1">IF(AE$6=OFFSET(Assumptions!$B$8,0,$C$1),AVERAGE(AB$201/(AB$200+AB$201),AC$201/(AC$200+AC$201),AD$201/(AD$200+AD$201)),AD$201/(AD$200+AD$201))*(IF(AE$6=OFFSET(Assumptions!$B$8,0,$C$1),AVERAGE((AB$200+AB$201-(AB$414-AB$411))/AB$14,(AC$200+AC$201-(AC$414-AC$411))/AC$14,(AD$200+AD$201-(AD$414-AD$411))/AD$14),(AD$200+AD$201-(AD$414-AD$411))/AD$14)*AE$14 +(AE$414-AE$411))</f>
        <v>2.9624566899669018</v>
      </c>
      <c r="AF201" s="7">
        <f ca="1">IF(AF$6=OFFSET(Assumptions!$B$8,0,$C$1),AVERAGE(AC$201/(AC$200+AC$201),AD$201/(AD$200+AD$201),AE$201/(AE$200+AE$201)),AE$201/(AE$200+AE$201))*(IF(AF$6=OFFSET(Assumptions!$B$8,0,$C$1),AVERAGE((AC$200+AC$201-(AC$414-AC$411))/AC$14,(AD$200+AD$201-(AD$414-AD$411))/AD$14,(AE$200+AE$201-(AE$414-AE$411))/AE$14),(AE$200+AE$201-(AE$414-AE$411))/AE$14)*AF$14 +(AF$414-AF$411))</f>
        <v>3.057647029268372</v>
      </c>
      <c r="AG201" s="7">
        <f ca="1">IF(AG$6=OFFSET(Assumptions!$B$8,0,$C$1),AVERAGE(AD$201/(AD$200+AD$201),AE$201/(AE$200+AE$201),AF$201/(AF$200+AF$201)),AF$201/(AF$200+AF$201))*(IF(AG$6=OFFSET(Assumptions!$B$8,0,$C$1),AVERAGE((AD$200+AD$201-(AD$414-AD$411))/AD$14,(AE$200+AE$201-(AE$414-AE$411))/AE$14,(AF$200+AF$201-(AF$414-AF$411))/AF$14),(AF$200+AF$201-(AF$414-AF$411))/AF$14)*AG$14 +(AG$414-AG$411))</f>
        <v>3.1575339774468705</v>
      </c>
      <c r="AH201" s="7">
        <f ca="1">IF(AH$6=OFFSET(Assumptions!$B$8,0,$C$1),AVERAGE(AE$201/(AE$200+AE$201),AF$201/(AF$200+AF$201),AG$201/(AG$200+AG$201)),AG$201/(AG$200+AG$201))*(IF(AH$6=OFFSET(Assumptions!$B$8,0,$C$1),AVERAGE((AE$200+AE$201-(AE$414-AE$411))/AE$14,(AF$200+AF$201-(AF$414-AF$411))/AF$14,(AG$200+AG$201-(AG$414-AG$411))/AG$14),(AG$200+AG$201-(AG$414-AG$411))/AG$14)*AH$14 +(AH$414-AH$411))</f>
        <v>3.2622802559247819</v>
      </c>
      <c r="AI201" s="7">
        <f ca="1">IF(AI$6=OFFSET(Assumptions!$B$8,0,$C$1),AVERAGE(AF$201/(AF$200+AF$201),AG$201/(AG$200+AG$201),AH$201/(AH$200+AH$201)),AH$201/(AH$200+AH$201))*(IF(AI$6=OFFSET(Assumptions!$B$8,0,$C$1),AVERAGE((AF$200+AF$201-(AF$414-AF$411))/AF$14,(AG$200+AG$201-(AG$414-AG$411))/AG$14,(AH$200+AH$201-(AH$414-AH$411))/AH$14),(AH$200+AH$201-(AH$414-AH$411))/AH$14)*AI$14 +(AI$414-AI$411))</f>
        <v>3.3720049423003213</v>
      </c>
      <c r="AJ201" s="7">
        <f ca="1">IF(AJ$6=OFFSET(Assumptions!$B$8,0,$C$1),AVERAGE(AG$201/(AG$200+AG$201),AH$201/(AH$200+AH$201),AI$201/(AI$200+AI$201)),AI$201/(AI$200+AI$201))*(IF(AJ$6=OFFSET(Assumptions!$B$8,0,$C$1),AVERAGE((AG$200+AG$201-(AG$414-AG$411))/AG$14,(AH$200+AH$201-(AH$414-AH$411))/AH$14,(AI$200+AI$201-(AI$414-AI$411))/AI$14),(AI$200+AI$201-(AI$414-AI$411))/AI$14)*AJ$14 +(AJ$414-AJ$411))</f>
        <v>3.4868864694945336</v>
      </c>
      <c r="AK201" s="7">
        <f ca="1">IF(AK$6=OFFSET(Assumptions!$B$8,0,$C$1),AVERAGE(AH$201/(AH$200+AH$201),AI$201/(AI$200+AI$201),AJ$201/(AJ$200+AJ$201)),AJ$201/(AJ$200+AJ$201))*(IF(AK$6=OFFSET(Assumptions!$B$8,0,$C$1),AVERAGE((AH$200+AH$201-(AH$414-AH$411))/AH$14,(AI$200+AI$201-(AI$414-AI$411))/AI$14,(AJ$200+AJ$201-(AJ$414-AJ$411))/AJ$14),(AJ$200+AJ$201-(AJ$414-AJ$411))/AJ$14)*AK$14 +(AK$414-AK$411))</f>
        <v>3.6070593747430442</v>
      </c>
      <c r="AL201" s="7">
        <f ca="1">IF(AL$6=OFFSET(Assumptions!$B$8,0,$C$1),AVERAGE(AI$201/(AI$200+AI$201),AJ$201/(AJ$200+AJ$201),AK$201/(AK$200+AK$201)),AK$201/(AK$200+AK$201))*(IF(AL$6=OFFSET(Assumptions!$B$8,0,$C$1),AVERAGE((AI$200+AI$201-(AI$414-AI$411))/AI$14,(AJ$200+AJ$201-(AJ$414-AJ$411))/AJ$14,(AK$200+AK$201-(AK$414-AK$411))/AK$14),(AK$200+AK$201-(AK$414-AK$411))/AK$14)*AL$14 +(AL$414-AL$411))</f>
        <v>3.7326463684801308</v>
      </c>
      <c r="AM201" s="7">
        <f ca="1">IF(AM$6=OFFSET(Assumptions!$B$8,0,$C$1),AVERAGE(AJ$201/(AJ$200+AJ$201),AK$201/(AK$200+AK$201),AL$201/(AL$200+AL$201)),AL$201/(AL$200+AL$201))*(IF(AM$6=OFFSET(Assumptions!$B$8,0,$C$1),AVERAGE((AJ$200+AJ$201-(AJ$414-AJ$411))/AJ$14,(AK$200+AK$201-(AK$414-AK$411))/AK$14,(AL$200+AL$201-(AL$414-AL$411))/AL$14),(AL$200+AL$201-(AL$414-AL$411))/AL$14)*AM$14 +(AM$414-AM$411))</f>
        <v>3.8637964207773714</v>
      </c>
      <c r="AN201" s="7">
        <f ca="1">IF(AN$6=OFFSET(Assumptions!$B$8,0,$C$1),AVERAGE(AK$201/(AK$200+AK$201),AL$201/(AL$200+AL$201),AM$201/(AM$200+AM$201)),AM$201/(AM$200+AM$201))*(IF(AN$6=OFFSET(Assumptions!$B$8,0,$C$1),AVERAGE((AK$200+AK$201-(AK$414-AK$411))/AK$14,(AL$200+AL$201-(AL$414-AL$411))/AL$14,(AM$200+AM$201-(AM$414-AM$411))/AM$14),(AM$200+AM$201-(AM$414-AM$411))/AM$14)*AN$14 +(AN$414-AN$411))</f>
        <v>4.0006673541565902</v>
      </c>
      <c r="AO201" s="7">
        <f ca="1">IF(AO$6=OFFSET(Assumptions!$B$8,0,$C$1),AVERAGE(AL$201/(AL$200+AL$201),AM$201/(AM$200+AM$201),AN$201/(AN$200+AN$201)),AN$201/(AN$200+AN$201))*(IF(AO$6=OFFSET(Assumptions!$B$8,0,$C$1),AVERAGE((AL$200+AL$201-(AL$414-AL$411))/AL$14,(AM$200+AM$201-(AM$414-AM$411))/AM$14,(AN$200+AN$201-(AN$414-AN$411))/AN$14),(AN$200+AN$201-(AN$414-AN$411))/AN$14)*AO$14 +(AO$414-AO$411))</f>
        <v>4.1433247961903517</v>
      </c>
      <c r="AP201" s="7">
        <f ca="1">IF(AP$6=OFFSET(Assumptions!$B$8,0,$C$1),AVERAGE(AM$201/(AM$200+AM$201),AN$201/(AN$200+AN$201),AO$201/(AO$200+AO$201)),AO$201/(AO$200+AO$201))*(IF(AP$6=OFFSET(Assumptions!$B$8,0,$C$1),AVERAGE((AM$200+AM$201-(AM$414-AM$411))/AM$14,(AN$200+AN$201-(AN$414-AN$411))/AN$14,(AO$200+AO$201-(AO$414-AO$411))/AO$14),(AO$200+AO$201-(AO$414-AO$411))/AO$14)*AP$14 +(AP$414-AP$411))</f>
        <v>4.2919503434293897</v>
      </c>
      <c r="AQ201" s="7">
        <f ca="1">IF(AQ$6=OFFSET(Assumptions!$B$8,0,$C$1),AVERAGE(AN$201/(AN$200+AN$201),AO$201/(AO$200+AO$201),AP$201/(AP$200+AP$201)),AP$201/(AP$200+AP$201))*(IF(AQ$6=OFFSET(Assumptions!$B$8,0,$C$1),AVERAGE((AN$200+AN$201-(AN$414-AN$411))/AN$14,(AO$200+AO$201-(AO$414-AO$411))/AO$14,(AP$200+AP$201-(AP$414-AP$411))/AP$14),(AP$200+AP$201-(AP$414-AP$411))/AP$14)*AQ$14 +(AQ$414-AQ$411))</f>
        <v>4.4466233304092837</v>
      </c>
      <c r="AR201" s="7">
        <f ca="1">IF(AR$6=OFFSET(Assumptions!$B$8,0,$C$1),AVERAGE(AO$201/(AO$200+AO$201),AP$201/(AP$200+AP$201),AQ$201/(AQ$200+AQ$201)),AQ$201/(AQ$200+AQ$201))*(IF(AR$6=OFFSET(Assumptions!$B$8,0,$C$1),AVERAGE((AO$200+AO$201-(AO$414-AO$411))/AO$14,(AP$200+AP$201-(AP$414-AP$411))/AP$14,(AQ$200+AQ$201-(AQ$414-AQ$411))/AQ$14),(AQ$200+AQ$201-(AQ$414-AQ$411))/AQ$14)*AR$14 +(AR$414-AR$411))</f>
        <v>4.6074705984752393</v>
      </c>
      <c r="AS201" s="7">
        <f ca="1">IF(AS$6=OFFSET(Assumptions!$B$8,0,$C$1),AVERAGE(AP$201/(AP$200+AP$201),AQ$201/(AQ$200+AQ$201),AR$201/(AR$200+AR$201)),AR$201/(AR$200+AR$201))*(IF(AS$6=OFFSET(Assumptions!$B$8,0,$C$1),AVERAGE((AP$200+AP$201-(AP$414-AP$411))/AP$14,(AQ$200+AQ$201-(AQ$414-AQ$411))/AQ$14,(AR$200+AR$201-(AR$414-AR$411))/AR$14),(AR$200+AR$201-(AR$414-AR$411))/AR$14)*AS$14 +(AS$414-AS$411))</f>
        <v>4.7746534329650556</v>
      </c>
      <c r="AT201" s="7">
        <f ca="1">IF(AT$6=OFFSET(Assumptions!$B$8,0,$C$1),AVERAGE(AQ$201/(AQ$200+AQ$201),AR$201/(AR$200+AR$201),AS$201/(AS$200+AS$201)),AS$201/(AS$200+AS$201))*(IF(AT$6=OFFSET(Assumptions!$B$8,0,$C$1),AVERAGE((AQ$200+AQ$201-(AQ$414-AQ$411))/AQ$14,(AR$200+AR$201-(AR$414-AR$411))/AR$14,(AS$200+AS$201-(AS$414-AS$411))/AS$14),(AS$200+AS$201-(AS$414-AS$411))/AS$14)*AT$14 +(AT$414-AT$411))</f>
        <v>4.9483215040875148</v>
      </c>
      <c r="AU201" s="7">
        <f ca="1">IF(AU$6=OFFSET(Assumptions!$B$8,0,$C$1),AVERAGE(AR$201/(AR$200+AR$201),AS$201/(AS$200+AS$201),AT$201/(AT$200+AT$201)),AT$201/(AT$200+AT$201))*(IF(AU$6=OFFSET(Assumptions!$B$8,0,$C$1),AVERAGE((AR$200+AR$201-(AR$414-AR$411))/AR$14,(AS$200+AS$201-(AS$414-AS$411))/AS$14,(AT$200+AT$201-(AT$414-AT$411))/AT$14),(AT$200+AT$201-(AT$414-AT$411))/AT$14)*AU$14 +(AU$414-AU$411))</f>
        <v>5.128641206371376</v>
      </c>
      <c r="AV201" s="7">
        <f ca="1">IF(AV$6=OFFSET(Assumptions!$B$8,0,$C$1),AVERAGE(AS$201/(AS$200+AS$201),AT$201/(AT$200+AT$201),AU$201/(AU$200+AU$201)),AU$201/(AU$200+AU$201))*(IF(AV$6=OFFSET(Assumptions!$B$8,0,$C$1),AVERAGE((AS$200+AS$201-(AS$414-AS$411))/AS$14,(AT$200+AT$201-(AT$414-AT$411))/AT$14,(AU$200+AU$201-(AU$414-AU$411))/AU$14),(AU$200+AU$201-(AU$414-AU$411))/AU$14)*AV$14 +(AV$414-AV$411))</f>
        <v>5.3158315150083792</v>
      </c>
      <c r="AW201" s="7">
        <f ca="1">IF(AW$6=OFFSET(Assumptions!$B$8,0,$C$1),AVERAGE(AT$201/(AT$200+AT$201),AU$201/(AU$200+AU$201),AV$201/(AV$200+AV$201)),AV$201/(AV$200+AV$201))*(IF(AW$6=OFFSET(Assumptions!$B$8,0,$C$1),AVERAGE((AT$200+AT$201-(AT$414-AT$411))/AT$14,(AU$200+AU$201-(AU$414-AU$411))/AU$14,(AV$200+AV$201-(AV$414-AV$411))/AV$14),(AV$200+AV$201-(AV$414-AV$411))/AV$14)*AW$14 +(AW$414-AW$411))</f>
        <v>5.5100556473060127</v>
      </c>
    </row>
    <row r="202" spans="1:49" ht="15" x14ac:dyDescent="0.25">
      <c r="A202" s="2" t="s">
        <v>532</v>
      </c>
      <c r="D202" s="40">
        <f t="shared" ref="D202" si="162">SUM(D$199:D$201)</f>
        <v>4.8420000000000005</v>
      </c>
      <c r="E202" s="39">
        <f>SUM(E$199:E$201)</f>
        <v>4.875</v>
      </c>
      <c r="F202" s="39">
        <f t="shared" ref="F202:I202" si="163">SUM(F$199:F$201)</f>
        <v>5.2</v>
      </c>
      <c r="G202" s="39">
        <f t="shared" si="163"/>
        <v>5.3520000000000003</v>
      </c>
      <c r="H202" s="39">
        <f t="shared" si="163"/>
        <v>5.5049999999999999</v>
      </c>
      <c r="I202" s="39">
        <f t="shared" si="163"/>
        <v>5.6020000000000003</v>
      </c>
      <c r="J202" s="43">
        <f t="shared" ref="J202:AW202" ca="1" si="164">SUM(J$199:J$201)</f>
        <v>5.7309008237348209</v>
      </c>
      <c r="K202" s="43">
        <f t="shared" ca="1" si="164"/>
        <v>5.8542584144870098</v>
      </c>
      <c r="L202" s="43">
        <f t="shared" ca="1" si="164"/>
        <v>5.989600533959198</v>
      </c>
      <c r="M202" s="43">
        <f t="shared" ca="1" si="164"/>
        <v>6.1348878206663375</v>
      </c>
      <c r="N202" s="43">
        <f t="shared" ca="1" si="164"/>
        <v>6.2903326753661215</v>
      </c>
      <c r="O202" s="43">
        <f t="shared" ca="1" si="164"/>
        <v>6.4559188870465753</v>
      </c>
      <c r="P202" s="43">
        <f t="shared" ca="1" si="164"/>
        <v>6.6317224993020334</v>
      </c>
      <c r="Q202" s="43">
        <f t="shared" ca="1" si="164"/>
        <v>6.8178775435408188</v>
      </c>
      <c r="R202" s="43">
        <f t="shared" ca="1" si="164"/>
        <v>7.0144462144135566</v>
      </c>
      <c r="S202" s="43">
        <f t="shared" ca="1" si="164"/>
        <v>7.2216927988244732</v>
      </c>
      <c r="T202" s="43">
        <f t="shared" ca="1" si="164"/>
        <v>7.4398270911186817</v>
      </c>
      <c r="U202" s="43">
        <f t="shared" ca="1" si="164"/>
        <v>7.6691811467522086</v>
      </c>
      <c r="V202" s="43">
        <f t="shared" ca="1" si="164"/>
        <v>7.9100445047405294</v>
      </c>
      <c r="W202" s="43">
        <f t="shared" ca="1" si="164"/>
        <v>8.1628691024650504</v>
      </c>
      <c r="X202" s="43">
        <f t="shared" ca="1" si="164"/>
        <v>8.4279833082862723</v>
      </c>
      <c r="Y202" s="43">
        <f t="shared" ca="1" si="164"/>
        <v>8.7057945899049187</v>
      </c>
      <c r="Z202" s="43">
        <f t="shared" ca="1" si="164"/>
        <v>8.9967852753682269</v>
      </c>
      <c r="AA202" s="43">
        <f t="shared" ca="1" si="164"/>
        <v>9.3015285416983478</v>
      </c>
      <c r="AB202" s="43">
        <f t="shared" ca="1" si="164"/>
        <v>9.6205628479808354</v>
      </c>
      <c r="AC202" s="43">
        <f t="shared" ca="1" si="164"/>
        <v>9.9545972220779184</v>
      </c>
      <c r="AD202" s="43">
        <f t="shared" ca="1" si="164"/>
        <v>10.304258367250918</v>
      </c>
      <c r="AE202" s="43">
        <f t="shared" ca="1" si="164"/>
        <v>10.67004533450784</v>
      </c>
      <c r="AF202" s="43">
        <f t="shared" ca="1" si="164"/>
        <v>11.052591134393488</v>
      </c>
      <c r="AG202" s="43">
        <f t="shared" ca="1" si="164"/>
        <v>11.452554892721908</v>
      </c>
      <c r="AH202" s="43">
        <f t="shared" ca="1" si="164"/>
        <v>11.870538659430977</v>
      </c>
      <c r="AI202" s="43">
        <f t="shared" ca="1" si="164"/>
        <v>12.306966153250524</v>
      </c>
      <c r="AJ202" s="43">
        <f t="shared" ca="1" si="164"/>
        <v>12.762632977507216</v>
      </c>
      <c r="AK202" s="43">
        <f t="shared" ca="1" si="164"/>
        <v>13.238048074638353</v>
      </c>
      <c r="AL202" s="43">
        <f t="shared" ca="1" si="164"/>
        <v>13.733619137377582</v>
      </c>
      <c r="AM202" s="43">
        <f t="shared" ca="1" si="164"/>
        <v>14.250000193033941</v>
      </c>
      <c r="AN202" s="43">
        <f t="shared" ca="1" si="164"/>
        <v>14.787913079122355</v>
      </c>
      <c r="AO202" s="43">
        <f t="shared" ca="1" si="164"/>
        <v>15.347420935338118</v>
      </c>
      <c r="AP202" s="43">
        <f t="shared" ca="1" si="164"/>
        <v>15.929431713173848</v>
      </c>
      <c r="AQ202" s="43">
        <f t="shared" ca="1" si="164"/>
        <v>16.53413555761739</v>
      </c>
      <c r="AR202" s="43">
        <f t="shared" ca="1" si="164"/>
        <v>17.162066621244438</v>
      </c>
      <c r="AS202" s="43">
        <f t="shared" ca="1" si="164"/>
        <v>17.813928053970319</v>
      </c>
      <c r="AT202" s="43">
        <f t="shared" ca="1" si="164"/>
        <v>18.490274672451754</v>
      </c>
      <c r="AU202" s="43">
        <f t="shared" ca="1" si="164"/>
        <v>19.191816490450503</v>
      </c>
      <c r="AV202" s="43">
        <f t="shared" ca="1" si="164"/>
        <v>19.919526086763383</v>
      </c>
      <c r="AW202" s="43">
        <f t="shared" ca="1" si="164"/>
        <v>20.674035700493633</v>
      </c>
    </row>
    <row r="203" spans="1:49" ht="15" x14ac:dyDescent="0.25">
      <c r="A203" s="2"/>
      <c r="D203" s="55"/>
      <c r="E203" s="56"/>
      <c r="F203" s="56"/>
      <c r="G203" s="56"/>
      <c r="H203" s="56"/>
      <c r="I203" s="56"/>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row>
    <row r="204" spans="1:49" x14ac:dyDescent="0.2">
      <c r="A204" s="22" t="s">
        <v>161</v>
      </c>
    </row>
    <row r="205" spans="1:49" x14ac:dyDescent="0.2">
      <c r="A205" s="1" t="s">
        <v>324</v>
      </c>
      <c r="B205" s="4" t="str">
        <f t="shared" ref="B205:B208" si="165">$B$43</f>
        <v>From Fiscal</v>
      </c>
      <c r="D205" s="18">
        <f>Fiscal!D$248</f>
        <v>36.857999999999997</v>
      </c>
      <c r="E205" s="19">
        <f ca="1">Fiscal!E$248 +IF(OR(OFFSET(Assumptions!$B$72,0,$C$1)="BU",OFFSET(Assumptions!$B$113,0,$C$1)="SND"),SUM(Allocate!C$17:C$24)-ROUND(Fiscal!E$157/SUM(Fiscal!E$157,Fiscal!E$248)*SUM(Allocate!C$17:C$24),3)+SUM(Allocate!C$14:C$16),0)</f>
        <v>38.128</v>
      </c>
      <c r="F205" s="19">
        <f ca="1">Fiscal!F$248 +IF(OR(OFFSET(Assumptions!$B$72,0,$C$1)="BU",OFFSET(Assumptions!$B$113,0,$C$1)="SND"),SUM(Allocate!D$17:D$24)-ROUND(Fiscal!F$157/SUM(Fiscal!F$157,Fiscal!F$248)*SUM(Allocate!D$17:D$24),3)+SUM(Allocate!D$14:D$16),0)</f>
        <v>39.849000000000004</v>
      </c>
      <c r="G205" s="19">
        <f ca="1">Fiscal!G$248 +IF(OR(OFFSET(Assumptions!$B$72,0,$C$1)="BU",OFFSET(Assumptions!$B$113,0,$C$1)="SND"),SUM(Allocate!E$17:E$24)-ROUND(Fiscal!G$157/SUM(Fiscal!G$157,Fiscal!G$248)*SUM(Allocate!E$17:E$24),3)+SUM(Allocate!E$14:E$16),0)</f>
        <v>41.236999999999995</v>
      </c>
      <c r="H205" s="19">
        <f ca="1">Fiscal!H$248 +IF(OR(OFFSET(Assumptions!$B$72,0,$C$1)="BU",OFFSET(Assumptions!$B$113,0,$C$1)="SND"),SUM(Allocate!F$17:F$24)-ROUND(Fiscal!H$157/SUM(Fiscal!H$157,Fiscal!H$248)*SUM(Allocate!F$17:F$24),3)+SUM(Allocate!F$14:F$16),0)</f>
        <v>42.686</v>
      </c>
      <c r="I205" s="19">
        <f ca="1">Fiscal!I$248 +IF(OR(OFFSET(Assumptions!$B$72,0,$C$1)="BU",OFFSET(Assumptions!$B$113,0,$C$1)="SND"),SUM(Allocate!G$17:G$24)-ROUND(Fiscal!I$157/SUM(Fiscal!I$157,Fiscal!I$248)*SUM(Allocate!G$17:G$24),3)+SUM(Allocate!G$14:G$16),0)</f>
        <v>44.37</v>
      </c>
      <c r="J205" s="7">
        <f ca="1">IF(J$6=OFFSET(Assumptions!$B$8,0,$C$1),AVERAGE((SUM(G$205,G$199)-SUM(G$239,G$257-G$254,G$269,G$283,G$312))/(SUM(G$192,G$199,G$205)-SUM(G$235,G$239,G$257-G$254,G$269,G$283,G$312)),(SUM(H$205,H$199)-SUM(H$239,H$257-H$254,H$269,H$283,H$312))/(SUM(H$192,H$199,H$205)-SUM(H$235,H$239,H$257-H$254,H$269,H$283,H$312)),(SUM(I$205,I$199)-SUM(I$239,I$257-I$254,I$269,I$283,I$312))/(SUM(I$192,I$199,I$205)-SUM(I$235,I$239,I$257-I$254,I$269,I$283,I$312))),(SUM(I$205,I$199)-SUM(I$239,I$257-I$254,I$269,I$283,I$312))/(SUM(I$192,I$199,I$205)-SUM(I$235,I$239,I$257-I$254,I$269,I$283,I$312)))*SUM(J$179,J$270,J$275,J$279,J$291-J$221,J$296,J$300,J$304,J$308) +SUM(J$239,J$257-J$254,J$269,J$283,J$312) -SUM(J$199,J$221)</f>
        <v>46.941034060132736</v>
      </c>
      <c r="K205" s="7">
        <f ca="1">IF(K$6=OFFSET(Assumptions!$B$8,0,$C$1),AVERAGE((SUM(H$205,H$199)-SUM(H$239,H$257-H$254,H$269,H$283,H$312))/(SUM(H$192,H$199,H$205)-SUM(H$235,H$239,H$257-H$254,H$269,H$283,H$312)),(SUM(I$205,I$199)-SUM(I$239,I$257-I$254,I$269,I$283,I$312))/(SUM(I$192,I$199,I$205)-SUM(I$235,I$239,I$257-I$254,I$269,I$283,I$312)),(SUM(J$205,J$199)-SUM(J$239,J$257-J$254,J$269,J$283,J$312))/(SUM(J$192,J$199,J$205)-SUM(J$235,J$239,J$257-J$254,J$269,J$283,J$312))),(SUM(J$205,J$199)-SUM(J$239,J$257-J$254,J$269,J$283,J$312))/(SUM(J$192,J$199,J$205)-SUM(J$235,J$239,J$257-J$254,J$269,J$283,J$312)))*SUM(K$179,K$270,K$275,K$279,K$291-K$221,K$296,K$300,K$304,K$308) +SUM(K$239,K$257-K$254,K$269,K$283,K$312) -SUM(K$199,K$221)</f>
        <v>49.997852380344227</v>
      </c>
      <c r="L205" s="7">
        <f ca="1">IF(L$6=OFFSET(Assumptions!$B$8,0,$C$1),AVERAGE((SUM(I$205,I$199)-SUM(I$239,I$257-I$254,I$269,I$283,I$312))/(SUM(I$192,I$199,I$205)-SUM(I$235,I$239,I$257-I$254,I$269,I$283,I$312)),(SUM(J$205,J$199)-SUM(J$239,J$257-J$254,J$269,J$283,J$312))/(SUM(J$192,J$199,J$205)-SUM(J$235,J$239,J$257-J$254,J$269,J$283,J$312)),(SUM(K$205,K$199)-SUM(K$239,K$257-K$254,K$269,K$283,K$312))/(SUM(K$192,K$199,K$205)-SUM(K$235,K$239,K$257-K$254,K$269,K$283,K$312))),(SUM(K$205,K$199)-SUM(K$239,K$257-K$254,K$269,K$283,K$312))/(SUM(K$192,K$199,K$205)-SUM(K$235,K$239,K$257-K$254,K$269,K$283,K$312)))*SUM(L$179,L$270,L$275,L$279,L$291-L$221,L$296,L$300,L$304,L$308) +SUM(L$239,L$257-L$254,L$269,L$283,L$312) -SUM(L$199,L$221)</f>
        <v>52.791420442264254</v>
      </c>
      <c r="M205" s="7">
        <f ca="1">IF(M$6=OFFSET(Assumptions!$B$8,0,$C$1),AVERAGE((SUM(J$205,J$199)-SUM(J$239,J$257-J$254,J$269,J$283,J$312))/(SUM(J$192,J$199,J$205)-SUM(J$235,J$239,J$257-J$254,J$269,J$283,J$312)),(SUM(K$205,K$199)-SUM(K$239,K$257-K$254,K$269,K$283,K$312))/(SUM(K$192,K$199,K$205)-SUM(K$235,K$239,K$257-K$254,K$269,K$283,K$312)),(SUM(L$205,L$199)-SUM(L$239,L$257-L$254,L$269,L$283,L$312))/(SUM(L$192,L$199,L$205)-SUM(L$235,L$239,L$257-L$254,L$269,L$283,L$312))),(SUM(L$205,L$199)-SUM(L$239,L$257-L$254,L$269,L$283,L$312))/(SUM(L$192,L$199,L$205)-SUM(L$235,L$239,L$257-L$254,L$269,L$283,L$312)))*SUM(M$179,M$270,M$275,M$279,M$291-M$221,M$296,M$300,M$304,M$308) +SUM(M$239,M$257-M$254,M$269,M$283,M$312) -SUM(M$199,M$221)</f>
        <v>55.457952868461575</v>
      </c>
      <c r="N205" s="7">
        <f ca="1">IF(N$6=OFFSET(Assumptions!$B$8,0,$C$1),AVERAGE((SUM(K$205,K$199)-SUM(K$239,K$257-K$254,K$269,K$283,K$312))/(SUM(K$192,K$199,K$205)-SUM(K$235,K$239,K$257-K$254,K$269,K$283,K$312)),(SUM(L$205,L$199)-SUM(L$239,L$257-L$254,L$269,L$283,L$312))/(SUM(L$192,L$199,L$205)-SUM(L$235,L$239,L$257-L$254,L$269,L$283,L$312)),(SUM(M$205,M$199)-SUM(M$239,M$257-M$254,M$269,M$283,M$312))/(SUM(M$192,M$199,M$205)-SUM(M$235,M$239,M$257-M$254,M$269,M$283,M$312))),(SUM(M$205,M$199)-SUM(M$239,M$257-M$254,M$269,M$283,M$312))/(SUM(M$192,M$199,M$205)-SUM(M$235,M$239,M$257-M$254,M$269,M$283,M$312)))*SUM(N$179,N$270,N$275,N$279,N$291-N$221,N$296,N$300,N$304,N$308) +SUM(N$239,N$257-N$254,N$269,N$283,N$312) -SUM(N$199,N$221)</f>
        <v>58.026604699030869</v>
      </c>
      <c r="O205" s="7">
        <f ca="1">IF(O$6=OFFSET(Assumptions!$B$8,0,$C$1),AVERAGE((SUM(L$205,L$199)-SUM(L$239,L$257-L$254,L$269,L$283,L$312))/(SUM(L$192,L$199,L$205)-SUM(L$235,L$239,L$257-L$254,L$269,L$283,L$312)),(SUM(M$205,M$199)-SUM(M$239,M$257-M$254,M$269,M$283,M$312))/(SUM(M$192,M$199,M$205)-SUM(M$235,M$239,M$257-M$254,M$269,M$283,M$312)),(SUM(N$205,N$199)-SUM(N$239,N$257-N$254,N$269,N$283,N$312))/(SUM(N$192,N$199,N$205)-SUM(N$235,N$239,N$257-N$254,N$269,N$283,N$312))),(SUM(N$205,N$199)-SUM(N$239,N$257-N$254,N$269,N$283,N$312))/(SUM(N$192,N$199,N$205)-SUM(N$235,N$239,N$257-N$254,N$269,N$283,N$312)))*SUM(O$179,O$270,O$275,O$279,O$291-O$221,O$296,O$300,O$304,O$308) +SUM(O$239,O$257-O$254,O$269,O$283,O$312) -SUM(O$199,O$221)</f>
        <v>60.915090751195258</v>
      </c>
      <c r="P205" s="7">
        <f ca="1">IF(P$6=OFFSET(Assumptions!$B$8,0,$C$1),AVERAGE((SUM(M$205,M$199)-SUM(M$239,M$257-M$254,M$269,M$283,M$312))/(SUM(M$192,M$199,M$205)-SUM(M$235,M$239,M$257-M$254,M$269,M$283,M$312)),(SUM(N$205,N$199)-SUM(N$239,N$257-N$254,N$269,N$283,N$312))/(SUM(N$192,N$199,N$205)-SUM(N$235,N$239,N$257-N$254,N$269,N$283,N$312)),(SUM(O$205,O$199)-SUM(O$239,O$257-O$254,O$269,O$283,O$312))/(SUM(O$192,O$199,O$205)-SUM(O$235,O$239,O$257-O$254,O$269,O$283,O$312))),(SUM(O$205,O$199)-SUM(O$239,O$257-O$254,O$269,O$283,O$312))/(SUM(O$192,O$199,O$205)-SUM(O$235,O$239,O$257-O$254,O$269,O$283,O$312)))*SUM(P$179,P$270,P$275,P$279,P$291-P$221,P$296,P$300,P$304,P$308) +SUM(P$239,P$257-P$254,P$269,P$283,P$312) -SUM(P$199,P$221)</f>
        <v>63.929033866859108</v>
      </c>
      <c r="Q205" s="7">
        <f ca="1">IF(Q$6=OFFSET(Assumptions!$B$8,0,$C$1),AVERAGE((SUM(N$205,N$199)-SUM(N$239,N$257-N$254,N$269,N$283,N$312))/(SUM(N$192,N$199,N$205)-SUM(N$235,N$239,N$257-N$254,N$269,N$283,N$312)),(SUM(O$205,O$199)-SUM(O$239,O$257-O$254,O$269,O$283,O$312))/(SUM(O$192,O$199,O$205)-SUM(O$235,O$239,O$257-O$254,O$269,O$283,O$312)),(SUM(P$205,P$199)-SUM(P$239,P$257-P$254,P$269,P$283,P$312))/(SUM(P$192,P$199,P$205)-SUM(P$235,P$239,P$257-P$254,P$269,P$283,P$312))),(SUM(P$205,P$199)-SUM(P$239,P$257-P$254,P$269,P$283,P$312))/(SUM(P$192,P$199,P$205)-SUM(P$235,P$239,P$257-P$254,P$269,P$283,P$312)))*SUM(Q$179,Q$270,Q$275,Q$279,Q$291-Q$221,Q$296,Q$300,Q$304,Q$308) +SUM(Q$239,Q$257-Q$254,Q$269,Q$283,Q$312) -SUM(Q$199,Q$221)</f>
        <v>67.019045385108853</v>
      </c>
      <c r="R205" s="7">
        <f ca="1">IF(R$6=OFFSET(Assumptions!$B$8,0,$C$1),AVERAGE((SUM(O$205,O$199)-SUM(O$239,O$257-O$254,O$269,O$283,O$312))/(SUM(O$192,O$199,O$205)-SUM(O$235,O$239,O$257-O$254,O$269,O$283,O$312)),(SUM(P$205,P$199)-SUM(P$239,P$257-P$254,P$269,P$283,P$312))/(SUM(P$192,P$199,P$205)-SUM(P$235,P$239,P$257-P$254,P$269,P$283,P$312)),(SUM(Q$205,Q$199)-SUM(Q$239,Q$257-Q$254,Q$269,Q$283,Q$312))/(SUM(Q$192,Q$199,Q$205)-SUM(Q$235,Q$239,Q$257-Q$254,Q$269,Q$283,Q$312))),(SUM(Q$205,Q$199)-SUM(Q$239,Q$257-Q$254,Q$269,Q$283,Q$312))/(SUM(Q$192,Q$199,Q$205)-SUM(Q$235,Q$239,Q$257-Q$254,Q$269,Q$283,Q$312)))*SUM(R$179,R$270,R$275,R$279,R$291-R$221,R$296,R$300,R$304,R$308) +SUM(R$239,R$257-R$254,R$269,R$283,R$312) -SUM(R$199,R$221)</f>
        <v>70.243462712789665</v>
      </c>
      <c r="S205" s="7">
        <f ca="1">IF(S$6=OFFSET(Assumptions!$B$8,0,$C$1),AVERAGE((SUM(P$205,P$199)-SUM(P$239,P$257-P$254,P$269,P$283,P$312))/(SUM(P$192,P$199,P$205)-SUM(P$235,P$239,P$257-P$254,P$269,P$283,P$312)),(SUM(Q$205,Q$199)-SUM(Q$239,Q$257-Q$254,Q$269,Q$283,Q$312))/(SUM(Q$192,Q$199,Q$205)-SUM(Q$235,Q$239,Q$257-Q$254,Q$269,Q$283,Q$312)),(SUM(R$205,R$199)-SUM(R$239,R$257-R$254,R$269,R$283,R$312))/(SUM(R$192,R$199,R$205)-SUM(R$235,R$239,R$257-R$254,R$269,R$283,R$312))),(SUM(R$205,R$199)-SUM(R$239,R$257-R$254,R$269,R$283,R$312))/(SUM(R$192,R$199,R$205)-SUM(R$235,R$239,R$257-R$254,R$269,R$283,R$312)))*SUM(S$179,S$270,S$275,S$279,S$291-S$221,S$296,S$300,S$304,S$308) +SUM(S$239,S$257-S$254,S$269,S$283,S$312) -SUM(S$199,S$221)</f>
        <v>73.603909180202564</v>
      </c>
      <c r="T205" s="7">
        <f ca="1">IF(T$6=OFFSET(Assumptions!$B$8,0,$C$1),AVERAGE((SUM(Q$205,Q$199)-SUM(Q$239,Q$257-Q$254,Q$269,Q$283,Q$312))/(SUM(Q$192,Q$199,Q$205)-SUM(Q$235,Q$239,Q$257-Q$254,Q$269,Q$283,Q$312)),(SUM(R$205,R$199)-SUM(R$239,R$257-R$254,R$269,R$283,R$312))/(SUM(R$192,R$199,R$205)-SUM(R$235,R$239,R$257-R$254,R$269,R$283,R$312)),(SUM(S$205,S$199)-SUM(S$239,S$257-S$254,S$269,S$283,S$312))/(SUM(S$192,S$199,S$205)-SUM(S$235,S$239,S$257-S$254,S$269,S$283,S$312))),(SUM(S$205,S$199)-SUM(S$239,S$257-S$254,S$269,S$283,S$312))/(SUM(S$192,S$199,S$205)-SUM(S$235,S$239,S$257-S$254,S$269,S$283,S$312)))*SUM(T$179,T$270,T$275,T$279,T$291-T$221,T$296,T$300,T$304,T$308) +SUM(T$239,T$257-T$254,T$269,T$283,T$312) -SUM(T$199,T$221)</f>
        <v>77.120448776825612</v>
      </c>
      <c r="U205" s="7">
        <f ca="1">IF(U$6=OFFSET(Assumptions!$B$8,0,$C$1),AVERAGE((SUM(R$205,R$199)-SUM(R$239,R$257-R$254,R$269,R$283,R$312))/(SUM(R$192,R$199,R$205)-SUM(R$235,R$239,R$257-R$254,R$269,R$283,R$312)),(SUM(S$205,S$199)-SUM(S$239,S$257-S$254,S$269,S$283,S$312))/(SUM(S$192,S$199,S$205)-SUM(S$235,S$239,S$257-S$254,S$269,S$283,S$312)),(SUM(T$205,T$199)-SUM(T$239,T$257-T$254,T$269,T$283,T$312))/(SUM(T$192,T$199,T$205)-SUM(T$235,T$239,T$257-T$254,T$269,T$283,T$312))),(SUM(T$205,T$199)-SUM(T$239,T$257-T$254,T$269,T$283,T$312))/(SUM(T$192,T$199,T$205)-SUM(T$235,T$239,T$257-T$254,T$269,T$283,T$312)))*SUM(U$179,U$270,U$275,U$279,U$291-U$221,U$296,U$300,U$304,U$308) +SUM(U$239,U$257-U$254,U$269,U$283,U$312) -SUM(U$199,U$221)</f>
        <v>80.822503855250687</v>
      </c>
      <c r="V205" s="7">
        <f ca="1">IF(V$6=OFFSET(Assumptions!$B$8,0,$C$1),AVERAGE((SUM(S$205,S$199)-SUM(S$239,S$257-S$254,S$269,S$283,S$312))/(SUM(S$192,S$199,S$205)-SUM(S$235,S$239,S$257-S$254,S$269,S$283,S$312)),(SUM(T$205,T$199)-SUM(T$239,T$257-T$254,T$269,T$283,T$312))/(SUM(T$192,T$199,T$205)-SUM(T$235,T$239,T$257-T$254,T$269,T$283,T$312)),(SUM(U$205,U$199)-SUM(U$239,U$257-U$254,U$269,U$283,U$312))/(SUM(U$192,U$199,U$205)-SUM(U$235,U$239,U$257-U$254,U$269,U$283,U$312))),(SUM(U$205,U$199)-SUM(U$239,U$257-U$254,U$269,U$283,U$312))/(SUM(U$192,U$199,U$205)-SUM(U$235,U$239,U$257-U$254,U$269,U$283,U$312)))*SUM(V$179,V$270,V$275,V$279,V$291-V$221,V$296,V$300,V$304,V$308) +SUM(V$239,V$257-V$254,V$269,V$283,V$312) -SUM(V$199,V$221)</f>
        <v>84.673637824444086</v>
      </c>
      <c r="W205" s="7">
        <f ca="1">IF(W$6=OFFSET(Assumptions!$B$8,0,$C$1),AVERAGE((SUM(T$205,T$199)-SUM(T$239,T$257-T$254,T$269,T$283,T$312))/(SUM(T$192,T$199,T$205)-SUM(T$235,T$239,T$257-T$254,T$269,T$283,T$312)),(SUM(U$205,U$199)-SUM(U$239,U$257-U$254,U$269,U$283,U$312))/(SUM(U$192,U$199,U$205)-SUM(U$235,U$239,U$257-U$254,U$269,U$283,U$312)),(SUM(V$205,V$199)-SUM(V$239,V$257-V$254,V$269,V$283,V$312))/(SUM(V$192,V$199,V$205)-SUM(V$235,V$239,V$257-V$254,V$269,V$283,V$312))),(SUM(V$205,V$199)-SUM(V$239,V$257-V$254,V$269,V$283,V$312))/(SUM(V$192,V$199,V$205)-SUM(V$235,V$239,V$257-V$254,V$269,V$283,V$312)))*SUM(W$179,W$270,W$275,W$279,W$291-W$221,W$296,W$300,W$304,W$308) +SUM(W$239,W$257-W$254,W$269,W$283,W$312) -SUM(W$199,W$221)</f>
        <v>88.69199235335843</v>
      </c>
      <c r="X205" s="7">
        <f ca="1">IF(X$6=OFFSET(Assumptions!$B$8,0,$C$1),AVERAGE((SUM(U$205,U$199)-SUM(U$239,U$257-U$254,U$269,U$283,U$312))/(SUM(U$192,U$199,U$205)-SUM(U$235,U$239,U$257-U$254,U$269,U$283,U$312)),(SUM(V$205,V$199)-SUM(V$239,V$257-V$254,V$269,V$283,V$312))/(SUM(V$192,V$199,V$205)-SUM(V$235,V$239,V$257-V$254,V$269,V$283,V$312)),(SUM(W$205,W$199)-SUM(W$239,W$257-W$254,W$269,W$283,W$312))/(SUM(W$192,W$199,W$205)-SUM(W$235,W$239,W$257-W$254,W$269,W$283,W$312))),(SUM(W$205,W$199)-SUM(W$239,W$257-W$254,W$269,W$283,W$312))/(SUM(W$192,W$199,W$205)-SUM(W$235,W$239,W$257-W$254,W$269,W$283,W$312)))*SUM(X$179,X$270,X$275,X$279,X$291-X$221,X$296,X$300,X$304,X$308) +SUM(X$239,X$257-X$254,X$269,X$283,X$312) -SUM(X$199,X$221)</f>
        <v>92.883612277119909</v>
      </c>
      <c r="Y205" s="7">
        <f ca="1">IF(Y$6=OFFSET(Assumptions!$B$8,0,$C$1),AVERAGE((SUM(V$205,V$199)-SUM(V$239,V$257-V$254,V$269,V$283,V$312))/(SUM(V$192,V$199,V$205)-SUM(V$235,V$239,V$257-V$254,V$269,V$283,V$312)),(SUM(W$205,W$199)-SUM(W$239,W$257-W$254,W$269,W$283,W$312))/(SUM(W$192,W$199,W$205)-SUM(W$235,W$239,W$257-W$254,W$269,W$283,W$312)),(SUM(X$205,X$199)-SUM(X$239,X$257-X$254,X$269,X$283,X$312))/(SUM(X$192,X$199,X$205)-SUM(X$235,X$239,X$257-X$254,X$269,X$283,X$312))),(SUM(X$205,X$199)-SUM(X$239,X$257-X$254,X$269,X$283,X$312))/(SUM(X$192,X$199,X$205)-SUM(X$235,X$239,X$257-X$254,X$269,X$283,X$312)))*SUM(Y$179,Y$270,Y$275,Y$279,Y$291-Y$221,Y$296,Y$300,Y$304,Y$308) +SUM(Y$239,Y$257-Y$254,Y$269,Y$283,Y$312) -SUM(Y$199,Y$221)</f>
        <v>97.25781327673225</v>
      </c>
      <c r="Z205" s="7">
        <f ca="1">IF(Z$6=OFFSET(Assumptions!$B$8,0,$C$1),AVERAGE((SUM(W$205,W$199)-SUM(W$239,W$257-W$254,W$269,W$283,W$312))/(SUM(W$192,W$199,W$205)-SUM(W$235,W$239,W$257-W$254,W$269,W$283,W$312)),(SUM(X$205,X$199)-SUM(X$239,X$257-X$254,X$269,X$283,X$312))/(SUM(X$192,X$199,X$205)-SUM(X$235,X$239,X$257-X$254,X$269,X$283,X$312)),(SUM(Y$205,Y$199)-SUM(Y$239,Y$257-Y$254,Y$269,Y$283,Y$312))/(SUM(Y$192,Y$199,Y$205)-SUM(Y$235,Y$239,Y$257-Y$254,Y$269,Y$283,Y$312))),(SUM(Y$205,Y$199)-SUM(Y$239,Y$257-Y$254,Y$269,Y$283,Y$312))/(SUM(Y$192,Y$199,Y$205)-SUM(Y$235,Y$239,Y$257-Y$254,Y$269,Y$283,Y$312)))*SUM(Z$179,Z$270,Z$275,Z$279,Z$291-Z$221,Z$296,Z$300,Z$304,Z$308) +SUM(Z$239,Z$257-Z$254,Z$269,Z$283,Z$312) -SUM(Z$199,Z$221)</f>
        <v>101.81907422332688</v>
      </c>
      <c r="AA205" s="7">
        <f ca="1">IF(AA$6=OFFSET(Assumptions!$B$8,0,$C$1),AVERAGE((SUM(X$205,X$199)-SUM(X$239,X$257-X$254,X$269,X$283,X$312))/(SUM(X$192,X$199,X$205)-SUM(X$235,X$239,X$257-X$254,X$269,X$283,X$312)),(SUM(Y$205,Y$199)-SUM(Y$239,Y$257-Y$254,Y$269,Y$283,Y$312))/(SUM(Y$192,Y$199,Y$205)-SUM(Y$235,Y$239,Y$257-Y$254,Y$269,Y$283,Y$312)),(SUM(Z$205,Z$199)-SUM(Z$239,Z$257-Z$254,Z$269,Z$283,Z$312))/(SUM(Z$192,Z$199,Z$205)-SUM(Z$235,Z$239,Z$257-Z$254,Z$269,Z$283,Z$312))),(SUM(Z$205,Z$199)-SUM(Z$239,Z$257-Z$254,Z$269,Z$283,Z$312))/(SUM(Z$192,Z$199,Z$205)-SUM(Z$235,Z$239,Z$257-Z$254,Z$269,Z$283,Z$312)))*SUM(AA$179,AA$270,AA$275,AA$279,AA$291-AA$221,AA$296,AA$300,AA$304,AA$308) +SUM(AA$239,AA$257-AA$254,AA$269,AA$283,AA$312) -SUM(AA$199,AA$221)</f>
        <v>106.57173089433404</v>
      </c>
      <c r="AB205" s="7">
        <f ca="1">IF(AB$6=OFFSET(Assumptions!$B$8,0,$C$1),AVERAGE((SUM(Y$205,Y$199)-SUM(Y$239,Y$257-Y$254,Y$269,Y$283,Y$312))/(SUM(Y$192,Y$199,Y$205)-SUM(Y$235,Y$239,Y$257-Y$254,Y$269,Y$283,Y$312)),(SUM(Z$205,Z$199)-SUM(Z$239,Z$257-Z$254,Z$269,Z$283,Z$312))/(SUM(Z$192,Z$199,Z$205)-SUM(Z$235,Z$239,Z$257-Z$254,Z$269,Z$283,Z$312)),(SUM(AA$205,AA$199)-SUM(AA$239,AA$257-AA$254,AA$269,AA$283,AA$312))/(SUM(AA$192,AA$199,AA$205)-SUM(AA$235,AA$239,AA$257-AA$254,AA$269,AA$283,AA$312))),(SUM(AA$205,AA$199)-SUM(AA$239,AA$257-AA$254,AA$269,AA$283,AA$312))/(SUM(AA$192,AA$199,AA$205)-SUM(AA$235,AA$239,AA$257-AA$254,AA$269,AA$283,AA$312)))*SUM(AB$179,AB$270,AB$275,AB$279,AB$291-AB$221,AB$296,AB$300,AB$304,AB$308) +SUM(AB$239,AB$257-AB$254,AB$269,AB$283,AB$312) -SUM(AB$199,AB$221)</f>
        <v>111.53336618625933</v>
      </c>
      <c r="AC205" s="7">
        <f ca="1">IF(AC$6=OFFSET(Assumptions!$B$8,0,$C$1),AVERAGE((SUM(Z$205,Z$199)-SUM(Z$239,Z$257-Z$254,Z$269,Z$283,Z$312))/(SUM(Z$192,Z$199,Z$205)-SUM(Z$235,Z$239,Z$257-Z$254,Z$269,Z$283,Z$312)),(SUM(AA$205,AA$199)-SUM(AA$239,AA$257-AA$254,AA$269,AA$283,AA$312))/(SUM(AA$192,AA$199,AA$205)-SUM(AA$235,AA$239,AA$257-AA$254,AA$269,AA$283,AA$312)),(SUM(AB$205,AB$199)-SUM(AB$239,AB$257-AB$254,AB$269,AB$283,AB$312))/(SUM(AB$192,AB$199,AB$205)-SUM(AB$235,AB$239,AB$257-AB$254,AB$269,AB$283,AB$312))),(SUM(AB$205,AB$199)-SUM(AB$239,AB$257-AB$254,AB$269,AB$283,AB$312))/(SUM(AB$192,AB$199,AB$205)-SUM(AB$235,AB$239,AB$257-AB$254,AB$269,AB$283,AB$312)))*SUM(AC$179,AC$270,AC$275,AC$279,AC$291-AC$221,AC$296,AC$300,AC$304,AC$308) +SUM(AC$239,AC$257-AC$254,AC$269,AC$283,AC$312) -SUM(AC$199,AC$221)</f>
        <v>116.70722835003775</v>
      </c>
      <c r="AD205" s="7">
        <f ca="1">IF(AD$6=OFFSET(Assumptions!$B$8,0,$C$1),AVERAGE((SUM(AA$205,AA$199)-SUM(AA$239,AA$257-AA$254,AA$269,AA$283,AA$312))/(SUM(AA$192,AA$199,AA$205)-SUM(AA$235,AA$239,AA$257-AA$254,AA$269,AA$283,AA$312)),(SUM(AB$205,AB$199)-SUM(AB$239,AB$257-AB$254,AB$269,AB$283,AB$312))/(SUM(AB$192,AB$199,AB$205)-SUM(AB$235,AB$239,AB$257-AB$254,AB$269,AB$283,AB$312)),(SUM(AC$205,AC$199)-SUM(AC$239,AC$257-AC$254,AC$269,AC$283,AC$312))/(SUM(AC$192,AC$199,AC$205)-SUM(AC$235,AC$239,AC$257-AC$254,AC$269,AC$283,AC$312))),(SUM(AC$205,AC$199)-SUM(AC$239,AC$257-AC$254,AC$269,AC$283,AC$312))/(SUM(AC$192,AC$199,AC$205)-SUM(AC$235,AC$239,AC$257-AC$254,AC$269,AC$283,AC$312)))*SUM(AD$179,AD$270,AD$275,AD$279,AD$291-AD$221,AD$296,AD$300,AD$304,AD$308) +SUM(AD$239,AD$257-AD$254,AD$269,AD$283,AD$312) -SUM(AD$199,AD$221)</f>
        <v>122.08618290564293</v>
      </c>
      <c r="AE205" s="7">
        <f ca="1">IF(AE$6=OFFSET(Assumptions!$B$8,0,$C$1),AVERAGE((SUM(AB$205,AB$199)-SUM(AB$239,AB$257-AB$254,AB$269,AB$283,AB$312))/(SUM(AB$192,AB$199,AB$205)-SUM(AB$235,AB$239,AB$257-AB$254,AB$269,AB$283,AB$312)),(SUM(AC$205,AC$199)-SUM(AC$239,AC$257-AC$254,AC$269,AC$283,AC$312))/(SUM(AC$192,AC$199,AC$205)-SUM(AC$235,AC$239,AC$257-AC$254,AC$269,AC$283,AC$312)),(SUM(AD$205,AD$199)-SUM(AD$239,AD$257-AD$254,AD$269,AD$283,AD$312))/(SUM(AD$192,AD$199,AD$205)-SUM(AD$235,AD$239,AD$257-AD$254,AD$269,AD$283,AD$312))),(SUM(AD$205,AD$199)-SUM(AD$239,AD$257-AD$254,AD$269,AD$283,AD$312))/(SUM(AD$192,AD$199,AD$205)-SUM(AD$235,AD$239,AD$257-AD$254,AD$269,AD$283,AD$312)))*SUM(AE$179,AE$270,AE$275,AE$279,AE$291-AE$221,AE$296,AE$300,AE$304,AE$308) +SUM(AE$239,AE$257-AE$254,AE$269,AE$283,AE$312) -SUM(AE$199,AE$221)</f>
        <v>127.69001530124754</v>
      </c>
      <c r="AF205" s="7">
        <f ca="1">IF(AF$6=OFFSET(Assumptions!$B$8,0,$C$1),AVERAGE((SUM(AC$205,AC$199)-SUM(AC$239,AC$257-AC$254,AC$269,AC$283,AC$312))/(SUM(AC$192,AC$199,AC$205)-SUM(AC$235,AC$239,AC$257-AC$254,AC$269,AC$283,AC$312)),(SUM(AD$205,AD$199)-SUM(AD$239,AD$257-AD$254,AD$269,AD$283,AD$312))/(SUM(AD$192,AD$199,AD$205)-SUM(AD$235,AD$239,AD$257-AD$254,AD$269,AD$283,AD$312)),(SUM(AE$205,AE$199)-SUM(AE$239,AE$257-AE$254,AE$269,AE$283,AE$312))/(SUM(AE$192,AE$199,AE$205)-SUM(AE$235,AE$239,AE$257-AE$254,AE$269,AE$283,AE$312))),(SUM(AE$205,AE$199)-SUM(AE$239,AE$257-AE$254,AE$269,AE$283,AE$312))/(SUM(AE$192,AE$199,AE$205)-SUM(AE$235,AE$239,AE$257-AE$254,AE$269,AE$283,AE$312)))*SUM(AF$179,AF$270,AF$275,AF$279,AF$291-AF$221,AF$296,AF$300,AF$304,AF$308) +SUM(AF$239,AF$257-AF$254,AF$269,AF$283,AF$312) -SUM(AF$199,AF$221)</f>
        <v>133.51638871071501</v>
      </c>
      <c r="AG205" s="7">
        <f ca="1">IF(AG$6=OFFSET(Assumptions!$B$8,0,$C$1),AVERAGE((SUM(AD$205,AD$199)-SUM(AD$239,AD$257-AD$254,AD$269,AD$283,AD$312))/(SUM(AD$192,AD$199,AD$205)-SUM(AD$235,AD$239,AD$257-AD$254,AD$269,AD$283,AD$312)),(SUM(AE$205,AE$199)-SUM(AE$239,AE$257-AE$254,AE$269,AE$283,AE$312))/(SUM(AE$192,AE$199,AE$205)-SUM(AE$235,AE$239,AE$257-AE$254,AE$269,AE$283,AE$312)),(SUM(AF$205,AF$199)-SUM(AF$239,AF$257-AF$254,AF$269,AF$283,AF$312))/(SUM(AF$192,AF$199,AF$205)-SUM(AF$235,AF$239,AF$257-AF$254,AF$269,AF$283,AF$312))),(SUM(AF$205,AF$199)-SUM(AF$239,AF$257-AF$254,AF$269,AF$283,AF$312))/(SUM(AF$192,AF$199,AF$205)-SUM(AF$235,AF$239,AF$257-AF$254,AF$269,AF$283,AF$312)))*SUM(AG$179,AG$270,AG$275,AG$279,AG$291-AG$221,AG$296,AG$300,AG$304,AG$308) +SUM(AG$239,AG$257-AG$254,AG$269,AG$283,AG$312) -SUM(AG$199,AG$221)</f>
        <v>139.59226259967309</v>
      </c>
      <c r="AH205" s="7">
        <f ca="1">IF(AH$6=OFFSET(Assumptions!$B$8,0,$C$1),AVERAGE((SUM(AE$205,AE$199)-SUM(AE$239,AE$257-AE$254,AE$269,AE$283,AE$312))/(SUM(AE$192,AE$199,AE$205)-SUM(AE$235,AE$239,AE$257-AE$254,AE$269,AE$283,AE$312)),(SUM(AF$205,AF$199)-SUM(AF$239,AF$257-AF$254,AF$269,AF$283,AF$312))/(SUM(AF$192,AF$199,AF$205)-SUM(AF$235,AF$239,AF$257-AF$254,AF$269,AF$283,AF$312)),(SUM(AG$205,AG$199)-SUM(AG$239,AG$257-AG$254,AG$269,AG$283,AG$312))/(SUM(AG$192,AG$199,AG$205)-SUM(AG$235,AG$239,AG$257-AG$254,AG$269,AG$283,AG$312))),(SUM(AG$205,AG$199)-SUM(AG$239,AG$257-AG$254,AG$269,AG$283,AG$312))/(SUM(AG$192,AG$199,AG$205)-SUM(AG$235,AG$239,AG$257-AG$254,AG$269,AG$283,AG$312)))*SUM(AH$179,AH$270,AH$275,AH$279,AH$291-AH$221,AH$296,AH$300,AH$304,AH$308) +SUM(AH$239,AH$257-AH$254,AH$269,AH$283,AH$312) -SUM(AH$199,AH$221)</f>
        <v>145.93411029420804</v>
      </c>
      <c r="AI205" s="7">
        <f ca="1">IF(AI$6=OFFSET(Assumptions!$B$8,0,$C$1),AVERAGE((SUM(AF$205,AF$199)-SUM(AF$239,AF$257-AF$254,AF$269,AF$283,AF$312))/(SUM(AF$192,AF$199,AF$205)-SUM(AF$235,AF$239,AF$257-AF$254,AF$269,AF$283,AF$312)),(SUM(AG$205,AG$199)-SUM(AG$239,AG$257-AG$254,AG$269,AG$283,AG$312))/(SUM(AG$192,AG$199,AG$205)-SUM(AG$235,AG$239,AG$257-AG$254,AG$269,AG$283,AG$312)),(SUM(AH$205,AH$199)-SUM(AH$239,AH$257-AH$254,AH$269,AH$283,AH$312))/(SUM(AH$192,AH$199,AH$205)-SUM(AH$235,AH$239,AH$257-AH$254,AH$269,AH$283,AH$312))),(SUM(AH$205,AH$199)-SUM(AH$239,AH$257-AH$254,AH$269,AH$283,AH$312))/(SUM(AH$192,AH$199,AH$205)-SUM(AH$235,AH$239,AH$257-AH$254,AH$269,AH$283,AH$312)))*SUM(AI$179,AI$270,AI$275,AI$279,AI$291-AI$221,AI$296,AI$300,AI$304,AI$308) +SUM(AI$239,AI$257-AI$254,AI$269,AI$283,AI$312) -SUM(AI$199,AI$221)</f>
        <v>152.53317299251376</v>
      </c>
      <c r="AJ205" s="7">
        <f ca="1">IF(AJ$6=OFFSET(Assumptions!$B$8,0,$C$1),AVERAGE((SUM(AG$205,AG$199)-SUM(AG$239,AG$257-AG$254,AG$269,AG$283,AG$312))/(SUM(AG$192,AG$199,AG$205)-SUM(AG$235,AG$239,AG$257-AG$254,AG$269,AG$283,AG$312)),(SUM(AH$205,AH$199)-SUM(AH$239,AH$257-AH$254,AH$269,AH$283,AH$312))/(SUM(AH$192,AH$199,AH$205)-SUM(AH$235,AH$239,AH$257-AH$254,AH$269,AH$283,AH$312)),(SUM(AI$205,AI$199)-SUM(AI$239,AI$257-AI$254,AI$269,AI$283,AI$312))/(SUM(AI$192,AI$199,AI$205)-SUM(AI$235,AI$239,AI$257-AI$254,AI$269,AI$283,AI$312))),(SUM(AI$205,AI$199)-SUM(AI$239,AI$257-AI$254,AI$269,AI$283,AI$312))/(SUM(AI$192,AI$199,AI$205)-SUM(AI$235,AI$239,AI$257-AI$254,AI$269,AI$283,AI$312)))*SUM(AJ$179,AJ$270,AJ$275,AJ$279,AJ$291-AJ$221,AJ$296,AJ$300,AJ$304,AJ$308) +SUM(AJ$239,AJ$257-AJ$254,AJ$269,AJ$283,AJ$312) -SUM(AJ$199,AJ$221)</f>
        <v>159.39219988207131</v>
      </c>
      <c r="AK205" s="7">
        <f ca="1">IF(AK$6=OFFSET(Assumptions!$B$8,0,$C$1),AVERAGE((SUM(AH$205,AH$199)-SUM(AH$239,AH$257-AH$254,AH$269,AH$283,AH$312))/(SUM(AH$192,AH$199,AH$205)-SUM(AH$235,AH$239,AH$257-AH$254,AH$269,AH$283,AH$312)),(SUM(AI$205,AI$199)-SUM(AI$239,AI$257-AI$254,AI$269,AI$283,AI$312))/(SUM(AI$192,AI$199,AI$205)-SUM(AI$235,AI$239,AI$257-AI$254,AI$269,AI$283,AI$312)),(SUM(AJ$205,AJ$199)-SUM(AJ$239,AJ$257-AJ$254,AJ$269,AJ$283,AJ$312))/(SUM(AJ$192,AJ$199,AJ$205)-SUM(AJ$235,AJ$239,AJ$257-AJ$254,AJ$269,AJ$283,AJ$312))),(SUM(AJ$205,AJ$199)-SUM(AJ$239,AJ$257-AJ$254,AJ$269,AJ$283,AJ$312))/(SUM(AJ$192,AJ$199,AJ$205)-SUM(AJ$235,AJ$239,AJ$257-AJ$254,AJ$269,AJ$283,AJ$312)))*SUM(AK$179,AK$270,AK$275,AK$279,AK$291-AK$221,AK$296,AK$300,AK$304,AK$308) +SUM(AK$239,AK$257-AK$254,AK$269,AK$283,AK$312) -SUM(AK$199,AK$221)</f>
        <v>166.54062740299091</v>
      </c>
      <c r="AL205" s="7">
        <f ca="1">IF(AL$6=OFFSET(Assumptions!$B$8,0,$C$1),AVERAGE((SUM(AI$205,AI$199)-SUM(AI$239,AI$257-AI$254,AI$269,AI$283,AI$312))/(SUM(AI$192,AI$199,AI$205)-SUM(AI$235,AI$239,AI$257-AI$254,AI$269,AI$283,AI$312)),(SUM(AJ$205,AJ$199)-SUM(AJ$239,AJ$257-AJ$254,AJ$269,AJ$283,AJ$312))/(SUM(AJ$192,AJ$199,AJ$205)-SUM(AJ$235,AJ$239,AJ$257-AJ$254,AJ$269,AJ$283,AJ$312)),(SUM(AK$205,AK$199)-SUM(AK$239,AK$257-AK$254,AK$269,AK$283,AK$312))/(SUM(AK$192,AK$199,AK$205)-SUM(AK$235,AK$239,AK$257-AK$254,AK$269,AK$283,AK$312))),(SUM(AK$205,AK$199)-SUM(AK$239,AK$257-AK$254,AK$269,AK$283,AK$312))/(SUM(AK$192,AK$199,AK$205)-SUM(AK$235,AK$239,AK$257-AK$254,AK$269,AK$283,AK$312)))*SUM(AL$179,AL$270,AL$275,AL$279,AL$291-AL$221,AL$296,AL$300,AL$304,AL$308) +SUM(AL$239,AL$257-AL$254,AL$269,AL$283,AL$312) -SUM(AL$199,AL$221)</f>
        <v>173.98667243837835</v>
      </c>
      <c r="AM205" s="7">
        <f ca="1">IF(AM$6=OFFSET(Assumptions!$B$8,0,$C$1),AVERAGE((SUM(AJ$205,AJ$199)-SUM(AJ$239,AJ$257-AJ$254,AJ$269,AJ$283,AJ$312))/(SUM(AJ$192,AJ$199,AJ$205)-SUM(AJ$235,AJ$239,AJ$257-AJ$254,AJ$269,AJ$283,AJ$312)),(SUM(AK$205,AK$199)-SUM(AK$239,AK$257-AK$254,AK$269,AK$283,AK$312))/(SUM(AK$192,AK$199,AK$205)-SUM(AK$235,AK$239,AK$257-AK$254,AK$269,AK$283,AK$312)),(SUM(AL$205,AL$199)-SUM(AL$239,AL$257-AL$254,AL$269,AL$283,AL$312))/(SUM(AL$192,AL$199,AL$205)-SUM(AL$235,AL$239,AL$257-AL$254,AL$269,AL$283,AL$312))),(SUM(AL$205,AL$199)-SUM(AL$239,AL$257-AL$254,AL$269,AL$283,AL$312))/(SUM(AL$192,AL$199,AL$205)-SUM(AL$235,AL$239,AL$257-AL$254,AL$269,AL$283,AL$312)))*SUM(AM$179,AM$270,AM$275,AM$279,AM$291-AM$221,AM$296,AM$300,AM$304,AM$308) +SUM(AM$239,AM$257-AM$254,AM$269,AM$283,AM$312) -SUM(AM$199,AM$221)</f>
        <v>181.74406657928176</v>
      </c>
      <c r="AN205" s="7">
        <f ca="1">IF(AN$6=OFFSET(Assumptions!$B$8,0,$C$1),AVERAGE((SUM(AK$205,AK$199)-SUM(AK$239,AK$257-AK$254,AK$269,AK$283,AK$312))/(SUM(AK$192,AK$199,AK$205)-SUM(AK$235,AK$239,AK$257-AK$254,AK$269,AK$283,AK$312)),(SUM(AL$205,AL$199)-SUM(AL$239,AL$257-AL$254,AL$269,AL$283,AL$312))/(SUM(AL$192,AL$199,AL$205)-SUM(AL$235,AL$239,AL$257-AL$254,AL$269,AL$283,AL$312)),(SUM(AM$205,AM$199)-SUM(AM$239,AM$257-AM$254,AM$269,AM$283,AM$312))/(SUM(AM$192,AM$199,AM$205)-SUM(AM$235,AM$239,AM$257-AM$254,AM$269,AM$283,AM$312))),(SUM(AM$205,AM$199)-SUM(AM$239,AM$257-AM$254,AM$269,AM$283,AM$312))/(SUM(AM$192,AM$199,AM$205)-SUM(AM$235,AM$239,AM$257-AM$254,AM$269,AM$283,AM$312)))*SUM(AN$179,AN$270,AN$275,AN$279,AN$291-AN$221,AN$296,AN$300,AN$304,AN$308) +SUM(AN$239,AN$257-AN$254,AN$269,AN$283,AN$312) -SUM(AN$199,AN$221)</f>
        <v>189.86076456373596</v>
      </c>
      <c r="AO205" s="7">
        <f ca="1">IF(AO$6=OFFSET(Assumptions!$B$8,0,$C$1),AVERAGE((SUM(AL$205,AL$199)-SUM(AL$239,AL$257-AL$254,AL$269,AL$283,AL$312))/(SUM(AL$192,AL$199,AL$205)-SUM(AL$235,AL$239,AL$257-AL$254,AL$269,AL$283,AL$312)),(SUM(AM$205,AM$199)-SUM(AM$239,AM$257-AM$254,AM$269,AM$283,AM$312))/(SUM(AM$192,AM$199,AM$205)-SUM(AM$235,AM$239,AM$257-AM$254,AM$269,AM$283,AM$312)),(SUM(AN$205,AN$199)-SUM(AN$239,AN$257-AN$254,AN$269,AN$283,AN$312))/(SUM(AN$192,AN$199,AN$205)-SUM(AN$235,AN$239,AN$257-AN$254,AN$269,AN$283,AN$312))),(SUM(AN$205,AN$199)-SUM(AN$239,AN$257-AN$254,AN$269,AN$283,AN$312))/(SUM(AN$192,AN$199,AN$205)-SUM(AN$235,AN$239,AN$257-AN$254,AN$269,AN$283,AN$312)))*SUM(AO$179,AO$270,AO$275,AO$279,AO$291-AO$221,AO$296,AO$300,AO$304,AO$308) +SUM(AO$239,AO$257-AO$254,AO$269,AO$283,AO$312) -SUM(AO$199,AO$221)</f>
        <v>198.34594328151036</v>
      </c>
      <c r="AP205" s="7">
        <f ca="1">IF(AP$6=OFFSET(Assumptions!$B$8,0,$C$1),AVERAGE((SUM(AM$205,AM$199)-SUM(AM$239,AM$257-AM$254,AM$269,AM$283,AM$312))/(SUM(AM$192,AM$199,AM$205)-SUM(AM$235,AM$239,AM$257-AM$254,AM$269,AM$283,AM$312)),(SUM(AN$205,AN$199)-SUM(AN$239,AN$257-AN$254,AN$269,AN$283,AN$312))/(SUM(AN$192,AN$199,AN$205)-SUM(AN$235,AN$239,AN$257-AN$254,AN$269,AN$283,AN$312)),(SUM(AO$205,AO$199)-SUM(AO$239,AO$257-AO$254,AO$269,AO$283,AO$312))/(SUM(AO$192,AO$199,AO$205)-SUM(AO$235,AO$239,AO$257-AO$254,AO$269,AO$283,AO$312))),(SUM(AO$205,AO$199)-SUM(AO$239,AO$257-AO$254,AO$269,AO$283,AO$312))/(SUM(AO$192,AO$199,AO$205)-SUM(AO$235,AO$239,AO$257-AO$254,AO$269,AO$283,AO$312)))*SUM(AP$179,AP$270,AP$275,AP$279,AP$291-AP$221,AP$296,AP$300,AP$304,AP$308) +SUM(AP$239,AP$257-AP$254,AP$269,AP$283,AP$312) -SUM(AP$199,AP$221)</f>
        <v>207.22935814188722</v>
      </c>
      <c r="AQ205" s="7">
        <f ca="1">IF(AQ$6=OFFSET(Assumptions!$B$8,0,$C$1),AVERAGE((SUM(AN$205,AN$199)-SUM(AN$239,AN$257-AN$254,AN$269,AN$283,AN$312))/(SUM(AN$192,AN$199,AN$205)-SUM(AN$235,AN$239,AN$257-AN$254,AN$269,AN$283,AN$312)),(SUM(AO$205,AO$199)-SUM(AO$239,AO$257-AO$254,AO$269,AO$283,AO$312))/(SUM(AO$192,AO$199,AO$205)-SUM(AO$235,AO$239,AO$257-AO$254,AO$269,AO$283,AO$312)),(SUM(AP$205,AP$199)-SUM(AP$239,AP$257-AP$254,AP$269,AP$283,AP$312))/(SUM(AP$192,AP$199,AP$205)-SUM(AP$235,AP$239,AP$257-AP$254,AP$269,AP$283,AP$312))),(SUM(AP$205,AP$199)-SUM(AP$239,AP$257-AP$254,AP$269,AP$283,AP$312))/(SUM(AP$192,AP$199,AP$205)-SUM(AP$235,AP$239,AP$257-AP$254,AP$269,AP$283,AP$312)))*SUM(AQ$179,AQ$270,AQ$275,AQ$279,AQ$291-AQ$221,AQ$296,AQ$300,AQ$304,AQ$308) +SUM(AQ$239,AQ$257-AQ$254,AQ$269,AQ$283,AQ$312) -SUM(AQ$199,AQ$221)</f>
        <v>216.52806190861281</v>
      </c>
      <c r="AR205" s="7">
        <f ca="1">IF(AR$6=OFFSET(Assumptions!$B$8,0,$C$1),AVERAGE((SUM(AO$205,AO$199)-SUM(AO$239,AO$257-AO$254,AO$269,AO$283,AO$312))/(SUM(AO$192,AO$199,AO$205)-SUM(AO$235,AO$239,AO$257-AO$254,AO$269,AO$283,AO$312)),(SUM(AP$205,AP$199)-SUM(AP$239,AP$257-AP$254,AP$269,AP$283,AP$312))/(SUM(AP$192,AP$199,AP$205)-SUM(AP$235,AP$239,AP$257-AP$254,AP$269,AP$283,AP$312)),(SUM(AQ$205,AQ$199)-SUM(AQ$239,AQ$257-AQ$254,AQ$269,AQ$283,AQ$312))/(SUM(AQ$192,AQ$199,AQ$205)-SUM(AQ$235,AQ$239,AQ$257-AQ$254,AQ$269,AQ$283,AQ$312))),(SUM(AQ$205,AQ$199)-SUM(AQ$239,AQ$257-AQ$254,AQ$269,AQ$283,AQ$312))/(SUM(AQ$192,AQ$199,AQ$205)-SUM(AQ$235,AQ$239,AQ$257-AQ$254,AQ$269,AQ$283,AQ$312)))*SUM(AR$179,AR$270,AR$275,AR$279,AR$291-AR$221,AR$296,AR$300,AR$304,AR$308) +SUM(AR$239,AR$257-AR$254,AR$269,AR$283,AR$312) -SUM(AR$199,AR$221)</f>
        <v>226.2583584546461</v>
      </c>
      <c r="AS205" s="7">
        <f ca="1">IF(AS$6=OFFSET(Assumptions!$B$8,0,$C$1),AVERAGE((SUM(AP$205,AP$199)-SUM(AP$239,AP$257-AP$254,AP$269,AP$283,AP$312))/(SUM(AP$192,AP$199,AP$205)-SUM(AP$235,AP$239,AP$257-AP$254,AP$269,AP$283,AP$312)),(SUM(AQ$205,AQ$199)-SUM(AQ$239,AQ$257-AQ$254,AQ$269,AQ$283,AQ$312))/(SUM(AQ$192,AQ$199,AQ$205)-SUM(AQ$235,AQ$239,AQ$257-AQ$254,AQ$269,AQ$283,AQ$312)),(SUM(AR$205,AR$199)-SUM(AR$239,AR$257-AR$254,AR$269,AR$283,AR$312))/(SUM(AR$192,AR$199,AR$205)-SUM(AR$235,AR$239,AR$257-AR$254,AR$269,AR$283,AR$312))),(SUM(AR$205,AR$199)-SUM(AR$239,AR$257-AR$254,AR$269,AR$283,AR$312))/(SUM(AR$192,AR$199,AR$205)-SUM(AR$235,AR$239,AR$257-AR$254,AR$269,AR$283,AR$312)))*SUM(AS$179,AS$270,AS$275,AS$279,AS$291-AS$221,AS$296,AS$300,AS$304,AS$308) +SUM(AS$239,AS$257-AS$254,AS$269,AS$283,AS$312) -SUM(AS$199,AS$221)</f>
        <v>236.42891380085638</v>
      </c>
      <c r="AT205" s="7">
        <f ca="1">IF(AT$6=OFFSET(Assumptions!$B$8,0,$C$1),AVERAGE((SUM(AQ$205,AQ$199)-SUM(AQ$239,AQ$257-AQ$254,AQ$269,AQ$283,AQ$312))/(SUM(AQ$192,AQ$199,AQ$205)-SUM(AQ$235,AQ$239,AQ$257-AQ$254,AQ$269,AQ$283,AQ$312)),(SUM(AR$205,AR$199)-SUM(AR$239,AR$257-AR$254,AR$269,AR$283,AR$312))/(SUM(AR$192,AR$199,AR$205)-SUM(AR$235,AR$239,AR$257-AR$254,AR$269,AR$283,AR$312)),(SUM(AS$205,AS$199)-SUM(AS$239,AS$257-AS$254,AS$269,AS$283,AS$312))/(SUM(AS$192,AS$199,AS$205)-SUM(AS$235,AS$239,AS$257-AS$254,AS$269,AS$283,AS$312))),(SUM(AS$205,AS$199)-SUM(AS$239,AS$257-AS$254,AS$269,AS$283,AS$312))/(SUM(AS$192,AS$199,AS$205)-SUM(AS$235,AS$239,AS$257-AS$254,AS$269,AS$283,AS$312)))*SUM(AT$179,AT$270,AT$275,AT$279,AT$291-AT$221,AT$296,AT$300,AT$304,AT$308) +SUM(AT$239,AT$257-AT$254,AT$269,AT$283,AT$312) -SUM(AT$199,AT$221)</f>
        <v>247.03303795058409</v>
      </c>
      <c r="AU205" s="7">
        <f ca="1">IF(AU$6=OFFSET(Assumptions!$B$8,0,$C$1),AVERAGE((SUM(AR$205,AR$199)-SUM(AR$239,AR$257-AR$254,AR$269,AR$283,AR$312))/(SUM(AR$192,AR$199,AR$205)-SUM(AR$235,AR$239,AR$257-AR$254,AR$269,AR$283,AR$312)),(SUM(AS$205,AS$199)-SUM(AS$239,AS$257-AS$254,AS$269,AS$283,AS$312))/(SUM(AS$192,AS$199,AS$205)-SUM(AS$235,AS$239,AS$257-AS$254,AS$269,AS$283,AS$312)),(SUM(AT$205,AT$199)-SUM(AT$239,AT$257-AT$254,AT$269,AT$283,AT$312))/(SUM(AT$192,AT$199,AT$205)-SUM(AT$235,AT$239,AT$257-AT$254,AT$269,AT$283,AT$312))),(SUM(AT$205,AT$199)-SUM(AT$239,AT$257-AT$254,AT$269,AT$283,AT$312))/(SUM(AT$192,AT$199,AT$205)-SUM(AT$235,AT$239,AT$257-AT$254,AT$269,AT$283,AT$312)))*SUM(AU$179,AU$270,AU$275,AU$279,AU$291-AU$221,AU$296,AU$300,AU$304,AU$308) +SUM(AU$239,AU$257-AU$254,AU$269,AU$283,AU$312) -SUM(AU$199,AU$221)</f>
        <v>258.10129241749553</v>
      </c>
      <c r="AV205" s="7">
        <f ca="1">IF(AV$6=OFFSET(Assumptions!$B$8,0,$C$1),AVERAGE((SUM(AS$205,AS$199)-SUM(AS$239,AS$257-AS$254,AS$269,AS$283,AS$312))/(SUM(AS$192,AS$199,AS$205)-SUM(AS$235,AS$239,AS$257-AS$254,AS$269,AS$283,AS$312)),(SUM(AT$205,AT$199)-SUM(AT$239,AT$257-AT$254,AT$269,AT$283,AT$312))/(SUM(AT$192,AT$199,AT$205)-SUM(AT$235,AT$239,AT$257-AT$254,AT$269,AT$283,AT$312)),(SUM(AU$205,AU$199)-SUM(AU$239,AU$257-AU$254,AU$269,AU$283,AU$312))/(SUM(AU$192,AU$199,AU$205)-SUM(AU$235,AU$239,AU$257-AU$254,AU$269,AU$283,AU$312))),(SUM(AU$205,AU$199)-SUM(AU$239,AU$257-AU$254,AU$269,AU$283,AU$312))/(SUM(AU$192,AU$199,AU$205)-SUM(AU$235,AU$239,AU$257-AU$254,AU$269,AU$283,AU$312)))*SUM(AV$179,AV$270,AV$275,AV$279,AV$291-AV$221,AV$296,AV$300,AV$304,AV$308) +SUM(AV$239,AV$257-AV$254,AV$269,AV$283,AV$312) -SUM(AV$199,AV$221)</f>
        <v>269.64546460802745</v>
      </c>
      <c r="AW205" s="7">
        <f ca="1">IF(AW$6=OFFSET(Assumptions!$B$8,0,$C$1),AVERAGE((SUM(AT$205,AT$199)-SUM(AT$239,AT$257-AT$254,AT$269,AT$283,AT$312))/(SUM(AT$192,AT$199,AT$205)-SUM(AT$235,AT$239,AT$257-AT$254,AT$269,AT$283,AT$312)),(SUM(AU$205,AU$199)-SUM(AU$239,AU$257-AU$254,AU$269,AU$283,AU$312))/(SUM(AU$192,AU$199,AU$205)-SUM(AU$235,AU$239,AU$257-AU$254,AU$269,AU$283,AU$312)),(SUM(AV$205,AV$199)-SUM(AV$239,AV$257-AV$254,AV$269,AV$283,AV$312))/(SUM(AV$192,AV$199,AV$205)-SUM(AV$235,AV$239,AV$257-AV$254,AV$269,AV$283,AV$312))),(SUM(AV$205,AV$199)-SUM(AV$239,AV$257-AV$254,AV$269,AV$283,AV$312))/(SUM(AV$192,AV$199,AV$205)-SUM(AV$235,AV$239,AV$257-AV$254,AV$269,AV$283,AV$312)))*SUM(AW$179,AW$270,AW$275,AW$279,AW$291-AW$221,AW$296,AW$300,AW$304,AW$308) +SUM(AW$239,AW$257-AW$254,AW$269,AW$283,AW$312) -SUM(AW$199,AW$221)</f>
        <v>281.69165256777438</v>
      </c>
    </row>
    <row r="206" spans="1:49" x14ac:dyDescent="0.2">
      <c r="A206" s="1" t="s">
        <v>295</v>
      </c>
      <c r="B206" s="4" t="str">
        <f t="shared" si="165"/>
        <v>From Fiscal</v>
      </c>
      <c r="D206" s="18">
        <f>Fiscal!D$249</f>
        <v>17.914000000000001</v>
      </c>
      <c r="E206" s="19">
        <f>Fiscal!E$249</f>
        <v>18.533999999999999</v>
      </c>
      <c r="F206" s="19">
        <f>Fiscal!F$249</f>
        <v>19.023</v>
      </c>
      <c r="G206" s="19">
        <f>Fiscal!G$249</f>
        <v>19.042999999999999</v>
      </c>
      <c r="H206" s="19">
        <f>Fiscal!H$249</f>
        <v>19.018000000000001</v>
      </c>
      <c r="I206" s="19">
        <f>Fiscal!I$249</f>
        <v>19.044</v>
      </c>
      <c r="J206" s="7">
        <f ca="1">IF(J$6=OFFSET(Assumptions!$B$8,0,$C$1),AVERAGE(SUM(G$206,G$200)/SUM(G$193-(G$236-G$235),G$200,G$206),SUM(H$206,H$200)/SUM(H$193-(H$236-H$235),H$200,H$206),SUM(I$206,I$200)/SUM(I$193-(I$236-I$235),I$200,I$206)),SUM(I$206,I$200)/SUM(I$193-(I$236-I$235),I$200,I$206))*SUM(J$181-J$222,J$240,J$258,J$284,J$316-(J$236-J$235)) -J$200</f>
        <v>20.844832757861834</v>
      </c>
      <c r="K206" s="7">
        <f ca="1">IF(K$6=OFFSET(Assumptions!$B$8,0,$C$1),AVERAGE(SUM(H$206,H$200)/SUM(H$193-(H$236-H$235),H$200,H$206),SUM(I$206,I$200)/SUM(I$193-(I$236-I$235),I$200,I$206),SUM(J$206,J$200)/SUM(J$193-(J$236-J$235),J$200,J$206)),SUM(J$206,J$200)/SUM(J$193-(J$236-J$235),J$200,J$206))*SUM(K$181-K$222,K$240,K$258,K$284,K$316-(K$236-K$235)) -K$200</f>
        <v>21.847768683980089</v>
      </c>
      <c r="L206" s="7">
        <f ca="1">IF(L$6=OFFSET(Assumptions!$B$8,0,$C$1),AVERAGE(SUM(I$206,I$200)/SUM(I$193-(I$236-I$235),I$200,I$206),SUM(J$206,J$200)/SUM(J$193-(J$236-J$235),J$200,J$206),SUM(K$206,K$200)/SUM(K$193-(K$236-K$235),K$200,K$206)),SUM(K$206,K$200)/SUM(K$193-(K$236-K$235),K$200,K$206))*SUM(L$181-L$222,L$240,L$258,L$284,L$316-(L$236-L$235)) -L$200</f>
        <v>22.858839187827826</v>
      </c>
      <c r="M206" s="7">
        <f ca="1">IF(M$6=OFFSET(Assumptions!$B$8,0,$C$1),AVERAGE(SUM(J$206,J$200)/SUM(J$193-(J$236-J$235),J$200,J$206),SUM(K$206,K$200)/SUM(K$193-(K$236-K$235),K$200,K$206),SUM(L$206,L$200)/SUM(L$193-(L$236-L$235),L$200,L$206)),SUM(L$206,L$200)/SUM(L$193-(L$236-L$235),L$200,L$206))*SUM(M$181-M$222,M$240,M$258,M$284,M$316-(M$236-M$235)) -M$200</f>
        <v>23.910456070439373</v>
      </c>
      <c r="N206" s="7">
        <f ca="1">IF(N$6=OFFSET(Assumptions!$B$8,0,$C$1),AVERAGE(SUM(K$206,K$200)/SUM(K$193-(K$236-K$235),K$200,K$206),SUM(L$206,L$200)/SUM(L$193-(L$236-L$235),L$200,L$206),SUM(M$206,M$200)/SUM(M$193-(M$236-M$235),M$200,M$206)),SUM(M$206,M$200)/SUM(M$193-(M$236-M$235),M$200,M$206))*SUM(N$181-N$222,N$240,N$258,N$284,N$316-(N$236-N$235)) -N$200</f>
        <v>24.997892137044587</v>
      </c>
      <c r="O206" s="7">
        <f ca="1">IF(O$6=OFFSET(Assumptions!$B$8,0,$C$1),AVERAGE(SUM(L$206,L$200)/SUM(L$193-(L$236-L$235),L$200,L$206),SUM(M$206,M$200)/SUM(M$193-(M$236-M$235),M$200,M$206),SUM(N$206,N$200)/SUM(N$193-(N$236-N$235),N$200,N$206)),SUM(N$206,N$200)/SUM(N$193-(N$236-N$235),N$200,N$206))*SUM(O$181-O$222,O$240,O$258,O$284,O$316-(O$236-O$235)) -O$200</f>
        <v>26.118874152009639</v>
      </c>
      <c r="P206" s="7">
        <f ca="1">IF(P$6=OFFSET(Assumptions!$B$8,0,$C$1),AVERAGE(SUM(M$206,M$200)/SUM(M$193-(M$236-M$235),M$200,M$206),SUM(N$206,N$200)/SUM(N$193-(N$236-N$235),N$200,N$206),SUM(O$206,O$200)/SUM(O$193-(O$236-O$235),O$200,O$206)),SUM(O$206,O$200)/SUM(O$193-(O$236-O$235),O$200,O$206))*SUM(P$181-P$222,P$240,P$258,P$284,P$316-(P$236-P$235)) -P$200</f>
        <v>27.272258658083569</v>
      </c>
      <c r="Q206" s="7">
        <f ca="1">IF(Q$6=OFFSET(Assumptions!$B$8,0,$C$1),AVERAGE(SUM(N$206,N$200)/SUM(N$193-(N$236-N$235),N$200,N$206),SUM(O$206,O$200)/SUM(O$193-(O$236-O$235),O$200,O$206),SUM(P$206,P$200)/SUM(P$193-(P$236-P$235),P$200,P$206)),SUM(P$206,P$200)/SUM(P$193-(P$236-P$235),P$200,P$206))*SUM(Q$181-Q$222,Q$240,Q$258,Q$284,Q$316-(Q$236-Q$235)) -Q$200</f>
        <v>28.458924191301957</v>
      </c>
      <c r="R206" s="7">
        <f ca="1">IF(R$6=OFFSET(Assumptions!$B$8,0,$C$1),AVERAGE(SUM(O$206,O$200)/SUM(O$193-(O$236-O$235),O$200,O$206),SUM(P$206,P$200)/SUM(P$193-(P$236-P$235),P$200,P$206),SUM(Q$206,Q$200)/SUM(Q$193-(Q$236-Q$235),Q$200,Q$206)),SUM(Q$206,Q$200)/SUM(Q$193-(Q$236-Q$235),Q$200,Q$206))*SUM(R$181-R$222,R$240,R$258,R$284,R$316-(R$236-R$235)) -R$200</f>
        <v>29.677978819180538</v>
      </c>
      <c r="S206" s="7">
        <f ca="1">IF(S$6=OFFSET(Assumptions!$B$8,0,$C$1),AVERAGE(SUM(P$206,P$200)/SUM(P$193-(P$236-P$235),P$200,P$206),SUM(Q$206,Q$200)/SUM(Q$193-(Q$236-Q$235),Q$200,Q$206),SUM(R$206,R$200)/SUM(R$193-(R$236-R$235),R$200,R$206)),SUM(R$206,R$200)/SUM(R$193-(R$236-R$235),R$200,R$206))*SUM(S$181-S$222,S$240,S$258,S$284,S$316-(S$236-S$235)) -S$200</f>
        <v>30.933437695904754</v>
      </c>
      <c r="T206" s="7">
        <f ca="1">IF(T$6=OFFSET(Assumptions!$B$8,0,$C$1),AVERAGE(SUM(Q$206,Q$200)/SUM(Q$193-(Q$236-Q$235),Q$200,Q$206),SUM(R$206,R$200)/SUM(R$193-(R$236-R$235),R$200,R$206),SUM(S$206,S$200)/SUM(S$193-(S$236-S$235),S$200,S$206)),SUM(S$206,S$200)/SUM(S$193-(S$236-S$235),S$200,S$206))*SUM(T$181-T$222,T$240,T$258,T$284,T$316-(T$236-T$235)) -T$200</f>
        <v>32.225756263842236</v>
      </c>
      <c r="U206" s="7">
        <f ca="1">IF(U$6=OFFSET(Assumptions!$B$8,0,$C$1),AVERAGE(SUM(R$206,R$200)/SUM(R$193-(R$236-R$235),R$200,R$206),SUM(S$206,S$200)/SUM(S$193-(S$236-S$235),S$200,S$206),SUM(T$206,T$200)/SUM(T$193-(T$236-T$235),T$200,T$206)),SUM(T$206,T$200)/SUM(T$193-(T$236-T$235),T$200,T$206))*SUM(U$181-U$222,U$240,U$258,U$284,U$316-(U$236-U$235)) -U$200</f>
        <v>33.559620119414284</v>
      </c>
      <c r="V206" s="7">
        <f ca="1">IF(V$6=OFFSET(Assumptions!$B$8,0,$C$1),AVERAGE(SUM(S$206,S$200)/SUM(S$193-(S$236-S$235),S$200,S$206),SUM(T$206,T$200)/SUM(T$193-(T$236-T$235),T$200,T$206),SUM(U$206,U$200)/SUM(U$193-(U$236-U$235),U$200,U$206)),SUM(U$206,U$200)/SUM(U$193-(U$236-U$235),U$200,U$206))*SUM(V$181-V$222,V$240,V$258,V$284,V$316-(V$236-V$235)) -V$200</f>
        <v>34.93834128941262</v>
      </c>
      <c r="W206" s="7">
        <f ca="1">IF(W$6=OFFSET(Assumptions!$B$8,0,$C$1),AVERAGE(SUM(T$206,T$200)/SUM(T$193-(T$236-T$235),T$200,T$206),SUM(U$206,U$200)/SUM(U$193-(U$236-U$235),U$200,U$206),SUM(V$206,V$200)/SUM(V$193-(V$236-V$235),V$200,V$206)),SUM(V$206,V$200)/SUM(V$193-(V$236-V$235),V$200,V$206))*SUM(W$181-W$222,W$240,W$258,W$284,W$316-(W$236-W$235)) -W$200</f>
        <v>36.365931697218578</v>
      </c>
      <c r="X206" s="7">
        <f ca="1">IF(X$6=OFFSET(Assumptions!$B$8,0,$C$1),AVERAGE(SUM(U$206,U$200)/SUM(U$193-(U$236-U$235),U$200,U$206),SUM(V$206,V$200)/SUM(V$193-(V$236-V$235),V$200,V$206),SUM(W$206,W$200)/SUM(W$193-(W$236-W$235),W$200,W$206)),SUM(W$206,W$200)/SUM(W$193-(W$236-W$235),W$200,W$206))*SUM(X$181-X$222,X$240,X$258,X$284,X$316-(X$236-X$235)) -X$200</f>
        <v>37.846917581758113</v>
      </c>
      <c r="Y206" s="7">
        <f ca="1">IF(Y$6=OFFSET(Assumptions!$B$8,0,$C$1),AVERAGE(SUM(V$206,V$200)/SUM(V$193-(V$236-V$235),V$200,V$206),SUM(W$206,W$200)/SUM(W$193-(W$236-W$235),W$200,W$206),SUM(X$206,X$200)/SUM(X$193-(X$236-X$235),X$200,X$206)),SUM(X$206,X$200)/SUM(X$193-(X$236-X$235),X$200,X$206))*SUM(Y$181-Y$222,Y$240,Y$258,Y$284,Y$316-(Y$236-Y$235)) -Y$200</f>
        <v>39.381161276989211</v>
      </c>
      <c r="Z206" s="7">
        <f ca="1">IF(Z$6=OFFSET(Assumptions!$B$8,0,$C$1),AVERAGE(SUM(W$206,W$200)/SUM(W$193-(W$236-W$235),W$200,W$206),SUM(X$206,X$200)/SUM(X$193-(X$236-X$235),X$200,X$206),SUM(Y$206,Y$200)/SUM(Y$193-(Y$236-Y$235),Y$200,Y$206)),SUM(Y$206,Y$200)/SUM(Y$193-(Y$236-Y$235),Y$200,Y$206))*SUM(Z$181-Z$222,Z$240,Z$258,Z$284,Z$316-(Z$236-Z$235)) -Z$200</f>
        <v>40.976447281190659</v>
      </c>
      <c r="AA206" s="7">
        <f ca="1">IF(AA$6=OFFSET(Assumptions!$B$8,0,$C$1),AVERAGE(SUM(X$206,X$200)/SUM(X$193-(X$236-X$235),X$200,X$206),SUM(Y$206,Y$200)/SUM(Y$193-(Y$236-Y$235),Y$200,Y$206),SUM(Z$206,Z$200)/SUM(Z$193-(Z$236-Z$235),Z$200,Z$206)),SUM(Z$206,Z$200)/SUM(Z$193-(Z$236-Z$235),Z$200,Z$206))*SUM(AA$181-AA$222,AA$240,AA$258,AA$284,AA$316-(AA$236-AA$235)) -AA$200</f>
        <v>42.635333930850926</v>
      </c>
      <c r="AB206" s="7">
        <f ca="1">IF(AB$6=OFFSET(Assumptions!$B$8,0,$C$1),AVERAGE(SUM(Y$206,Y$200)/SUM(Y$193-(Y$236-Y$235),Y$200,Y$206),SUM(Z$206,Z$200)/SUM(Z$193-(Z$236-Z$235),Z$200,Z$206),SUM(AA$206,AA$200)/SUM(AA$193-(AA$236-AA$235),AA$200,AA$206)),SUM(AA$206,AA$200)/SUM(AA$193-(AA$236-AA$235),AA$200,AA$206))*SUM(AB$181-AB$222,AB$240,AB$258,AB$284,AB$316-(AB$236-AB$235)) -AB$200</f>
        <v>44.362817575886176</v>
      </c>
      <c r="AC206" s="7">
        <f ca="1">IF(AC$6=OFFSET(Assumptions!$B$8,0,$C$1),AVERAGE(SUM(Z$206,Z$200)/SUM(Z$193-(Z$236-Z$235),Z$200,Z$206),SUM(AA$206,AA$200)/SUM(AA$193-(AA$236-AA$235),AA$200,AA$206),SUM(AB$206,AB$200)/SUM(AB$193-(AB$236-AB$235),AB$200,AB$206)),SUM(AB$206,AB$200)/SUM(AB$193-(AB$236-AB$235),AB$200,AB$206))*SUM(AC$181-AC$222,AC$240,AC$258,AC$284,AC$316-(AC$236-AC$235)) -AC$200</f>
        <v>46.165449640403338</v>
      </c>
      <c r="AD206" s="7">
        <f ca="1">IF(AD$6=OFFSET(Assumptions!$B$8,0,$C$1),AVERAGE(SUM(AA$206,AA$200)/SUM(AA$193-(AA$236-AA$235),AA$200,AA$206),SUM(AB$206,AB$200)/SUM(AB$193-(AB$236-AB$235),AB$200,AB$206),SUM(AC$206,AC$200)/SUM(AC$193-(AC$236-AC$235),AC$200,AC$206)),SUM(AC$206,AC$200)/SUM(AC$193-(AC$236-AC$235),AC$200,AC$206))*SUM(AD$181-AD$222,AD$240,AD$258,AD$284,AD$316-(AD$236-AD$235)) -AD$200</f>
        <v>48.045067526178173</v>
      </c>
      <c r="AE206" s="7">
        <f ca="1">IF(AE$6=OFFSET(Assumptions!$B$8,0,$C$1),AVERAGE(SUM(AB$206,AB$200)/SUM(AB$193-(AB$236-AB$235),AB$200,AB$206),SUM(AC$206,AC$200)/SUM(AC$193-(AC$236-AC$235),AC$200,AC$206),SUM(AD$206,AD$200)/SUM(AD$193-(AD$236-AD$235),AD$200,AD$206)),SUM(AD$206,AD$200)/SUM(AD$193-(AD$236-AD$235),AD$200,AD$206))*SUM(AE$181-AE$222,AE$240,AE$258,AE$284,AE$316-(AE$236-AE$235)) -AE$200</f>
        <v>49.999869277974227</v>
      </c>
      <c r="AF206" s="7">
        <f ca="1">IF(AF$6=OFFSET(Assumptions!$B$8,0,$C$1),AVERAGE(SUM(AC$206,AC$200)/SUM(AC$193-(AC$236-AC$235),AC$200,AC$206),SUM(AD$206,AD$200)/SUM(AD$193-(AD$236-AD$235),AD$200,AD$206),SUM(AE$206,AE$200)/SUM(AE$193-(AE$236-AE$235),AE$200,AE$206)),SUM(AE$206,AE$200)/SUM(AE$193-(AE$236-AE$235),AE$200,AE$206))*SUM(AF$181-AF$222,AF$240,AF$258,AF$284,AF$316-(AF$236-AF$235)) -AF$200</f>
        <v>52.035287347695984</v>
      </c>
      <c r="AG206" s="7">
        <f ca="1">IF(AG$6=OFFSET(Assumptions!$B$8,0,$C$1),AVERAGE(SUM(AD$206,AD$200)/SUM(AD$193-(AD$236-AD$235),AD$200,AD$206),SUM(AE$206,AE$200)/SUM(AE$193-(AE$236-AE$235),AE$200,AE$206),SUM(AF$206,AF$200)/SUM(AF$193-(AF$236-AF$235),AF$200,AF$206)),SUM(AF$206,AF$200)/SUM(AF$193-(AF$236-AF$235),AF$200,AF$206))*SUM(AG$181-AG$222,AG$240,AG$258,AG$284,AG$316-(AG$236-AG$235)) -AG$200</f>
        <v>54.152399661525386</v>
      </c>
      <c r="AH206" s="7">
        <f ca="1">IF(AH$6=OFFSET(Assumptions!$B$8,0,$C$1),AVERAGE(SUM(AE$206,AE$200)/SUM(AE$193-(AE$236-AE$235),AE$200,AE$206),SUM(AF$206,AF$200)/SUM(AF$193-(AF$236-AF$235),AF$200,AF$206),SUM(AG$206,AG$200)/SUM(AG$193-(AG$236-AG$235),AG$200,AG$206)),SUM(AG$206,AG$200)/SUM(AG$193-(AG$236-AG$235),AG$200,AG$206))*SUM(AH$181-AH$222,AH$240,AH$258,AH$284,AH$316-(AH$236-AH$235)) -AH$200</f>
        <v>56.354631629723968</v>
      </c>
      <c r="AI206" s="7">
        <f ca="1">IF(AI$6=OFFSET(Assumptions!$B$8,0,$C$1),AVERAGE(SUM(AF$206,AF$200)/SUM(AF$193-(AF$236-AF$235),AF$200,AF$206),SUM(AG$206,AG$200)/SUM(AG$193-(AG$236-AG$235),AG$200,AG$206),SUM(AH$206,AH$200)/SUM(AH$193-(AH$236-AH$235),AH$200,AH$206)),SUM(AH$206,AH$200)/SUM(AH$193-(AH$236-AH$235),AH$200,AH$206))*SUM(AI$181-AI$222,AI$240,AI$258,AI$284,AI$316-(AI$236-AI$235)) -AI$200</f>
        <v>58.637998858056811</v>
      </c>
      <c r="AJ206" s="7">
        <f ca="1">IF(AJ$6=OFFSET(Assumptions!$B$8,0,$C$1),AVERAGE(SUM(AG$206,AG$200)/SUM(AG$193-(AG$236-AG$235),AG$200,AG$206),SUM(AH$206,AH$200)/SUM(AH$193-(AH$236-AH$235),AH$200,AH$206),SUM(AI$206,AI$200)/SUM(AI$193-(AI$236-AI$235),AI$200,AI$206)),SUM(AI$206,AI$200)/SUM(AI$193-(AI$236-AI$235),AI$200,AI$206))*SUM(AJ$181-AJ$222,AJ$240,AJ$258,AJ$284,AJ$316-(AJ$236-AJ$235)) -AJ$200</f>
        <v>61.00990467203448</v>
      </c>
      <c r="AK206" s="7">
        <f ca="1">IF(AK$6=OFFSET(Assumptions!$B$8,0,$C$1),AVERAGE(SUM(AH$206,AH$200)/SUM(AH$193-(AH$236-AH$235),AH$200,AH$206),SUM(AI$206,AI$200)/SUM(AI$193-(AI$236-AI$235),AI$200,AI$206),SUM(AJ$206,AJ$200)/SUM(AJ$193-(AJ$236-AJ$235),AJ$200,AJ$206)),SUM(AJ$206,AJ$200)/SUM(AJ$193-(AJ$236-AJ$235),AJ$200,AJ$206))*SUM(AK$181-AK$222,AK$240,AK$258,AK$284,AK$316-(AK$236-AK$235)) -AK$200</f>
        <v>63.468329123863256</v>
      </c>
      <c r="AL206" s="7">
        <f ca="1">IF(AL$6=OFFSET(Assumptions!$B$8,0,$C$1),AVERAGE(SUM(AI$206,AI$200)/SUM(AI$193-(AI$236-AI$235),AI$200,AI$206),SUM(AJ$206,AJ$200)/SUM(AJ$193-(AJ$236-AJ$235),AJ$200,AJ$206),SUM(AK$206,AK$200)/SUM(AK$193-(AK$236-AK$235),AK$200,AK$206)),SUM(AK$206,AK$200)/SUM(AK$193-(AK$236-AK$235),AK$200,AK$206))*SUM(AL$181-AL$222,AL$240,AL$258,AL$284,AL$316-(AL$236-AL$235)) -AL$200</f>
        <v>66.011285126315954</v>
      </c>
      <c r="AM206" s="7">
        <f ca="1">IF(AM$6=OFFSET(Assumptions!$B$8,0,$C$1),AVERAGE(SUM(AJ$206,AJ$200)/SUM(AJ$193-(AJ$236-AJ$235),AJ$200,AJ$206),SUM(AK$206,AK$200)/SUM(AK$193-(AK$236-AK$235),AK$200,AK$206),SUM(AL$206,AL$200)/SUM(AL$193-(AL$236-AL$235),AL$200,AL$206)),SUM(AL$206,AL$200)/SUM(AL$193-(AL$236-AL$235),AL$200,AL$206))*SUM(AM$181-AM$222,AM$240,AM$258,AM$284,AM$316-(AM$236-AM$235)) -AM$200</f>
        <v>68.642281831864523</v>
      </c>
      <c r="AN206" s="7">
        <f ca="1">IF(AN$6=OFFSET(Assumptions!$B$8,0,$C$1),AVERAGE(SUM(AK$206,AK$200)/SUM(AK$193-(AK$236-AK$235),AK$200,AK$206),SUM(AL$206,AL$200)/SUM(AL$193-(AL$236-AL$235),AL$200,AL$206),SUM(AM$206,AM$200)/SUM(AM$193-(AM$236-AM$235),AM$200,AM$206)),SUM(AM$206,AM$200)/SUM(AM$193-(AM$236-AM$235),AM$200,AM$206))*SUM(AN$181-AN$222,AN$240,AN$258,AN$284,AN$316-(AN$236-AN$235)) -AN$200</f>
        <v>71.365035132579422</v>
      </c>
      <c r="AO206" s="7">
        <f ca="1">IF(AO$6=OFFSET(Assumptions!$B$8,0,$C$1),AVERAGE(SUM(AL$206,AL$200)/SUM(AL$193-(AL$236-AL$235),AL$200,AL$206),SUM(AM$206,AM$200)/SUM(AM$193-(AM$236-AM$235),AM$200,AM$206),SUM(AN$206,AN$200)/SUM(AN$193-(AN$236-AN$235),AN$200,AN$206)),SUM(AN$206,AN$200)/SUM(AN$193-(AN$236-AN$235),AN$200,AN$206))*SUM(AO$181-AO$222,AO$240,AO$258,AO$284,AO$316-(AO$236-AO$235)) -AO$200</f>
        <v>74.168682345889522</v>
      </c>
      <c r="AP206" s="7">
        <f ca="1">IF(AP$6=OFFSET(Assumptions!$B$8,0,$C$1),AVERAGE(SUM(AM$206,AM$200)/SUM(AM$193-(AM$236-AM$235),AM$200,AM$206),SUM(AN$206,AN$200)/SUM(AN$193-(AN$236-AN$235),AN$200,AN$206),SUM(AO$206,AO$200)/SUM(AO$193-(AO$236-AO$235),AO$200,AO$206)),SUM(AO$206,AO$200)/SUM(AO$193-(AO$236-AO$235),AO$200,AO$206))*SUM(AP$181-AP$222,AP$240,AP$258,AP$284,AP$316-(AP$236-AP$235)) -AP$200</f>
        <v>77.065357643024697</v>
      </c>
      <c r="AQ206" s="7">
        <f ca="1">IF(AQ$6=OFFSET(Assumptions!$B$8,0,$C$1),AVERAGE(SUM(AN$206,AN$200)/SUM(AN$193-(AN$236-AN$235),AN$200,AN$206),SUM(AO$206,AO$200)/SUM(AO$193-(AO$236-AO$235),AO$200,AO$206),SUM(AP$206,AP$200)/SUM(AP$193-(AP$236-AP$235),AP$200,AP$206)),SUM(AP$206,AP$200)/SUM(AP$193-(AP$236-AP$235),AP$200,AP$206))*SUM(AQ$181-AQ$222,AQ$240,AQ$258,AQ$284,AQ$316-(AQ$236-AQ$235)) -AQ$200</f>
        <v>80.046815111001649</v>
      </c>
      <c r="AR206" s="7">
        <f ca="1">IF(AR$6=OFFSET(Assumptions!$B$8,0,$C$1),AVERAGE(SUM(AO$206,AO$200)/SUM(AO$193-(AO$236-AO$235),AO$200,AO$206),SUM(AP$206,AP$200)/SUM(AP$193-(AP$236-AP$235),AP$200,AP$206),SUM(AQ$206,AQ$200)/SUM(AQ$193-(AQ$236-AQ$235),AQ$200,AQ$206)),SUM(AQ$206,AQ$200)/SUM(AQ$193-(AQ$236-AQ$235),AQ$200,AQ$206))*SUM(AR$181-AR$222,AR$240,AR$258,AR$284,AR$316-(AR$236-AR$235)) -AR$200</f>
        <v>83.116537545631246</v>
      </c>
      <c r="AS206" s="7">
        <f ca="1">IF(AS$6=OFFSET(Assumptions!$B$8,0,$C$1),AVERAGE(SUM(AP$206,AP$200)/SUM(AP$193-(AP$236-AP$235),AP$200,AP$206),SUM(AQ$206,AQ$200)/SUM(AQ$193-(AQ$236-AQ$235),AQ$200,AQ$206),SUM(AR$206,AR$200)/SUM(AR$193-(AR$236-AR$235),AR$200,AR$206)),SUM(AR$206,AR$200)/SUM(AR$193-(AR$236-AR$235),AR$200,AR$206))*SUM(AS$181-AS$222,AS$240,AS$258,AS$284,AS$316-(AS$236-AS$235)) -AS$200</f>
        <v>86.281865302680416</v>
      </c>
      <c r="AT206" s="7">
        <f ca="1">IF(AT$6=OFFSET(Assumptions!$B$8,0,$C$1),AVERAGE(SUM(AQ$206,AQ$200)/SUM(AQ$193-(AQ$236-AQ$235),AQ$200,AQ$206),SUM(AR$206,AR$200)/SUM(AR$193-(AR$236-AR$235),AR$200,AR$206),SUM(AS$206,AS$200)/SUM(AS$193-(AS$236-AS$235),AS$200,AS$206)),SUM(AS$206,AS$200)/SUM(AS$193-(AS$236-AS$235),AS$200,AS$206))*SUM(AT$181-AT$222,AT$240,AT$258,AT$284,AT$316-(AT$236-AT$235)) -AT$200</f>
        <v>89.544859729525029</v>
      </c>
      <c r="AU206" s="7">
        <f ca="1">IF(AU$6=OFFSET(Assumptions!$B$8,0,$C$1),AVERAGE(SUM(AR$206,AR$200)/SUM(AR$193-(AR$236-AR$235),AR$200,AR$206),SUM(AS$206,AS$200)/SUM(AS$193-(AS$236-AS$235),AS$200,AS$206),SUM(AT$206,AT$200)/SUM(AT$193-(AT$236-AT$235),AT$200,AT$206)),SUM(AT$206,AT$200)/SUM(AT$193-(AT$236-AT$235),AT$200,AT$206))*SUM(AU$181-AU$222,AU$240,AU$258,AU$284,AU$316-(AU$236-AU$235)) -AU$200</f>
        <v>92.910218136764485</v>
      </c>
      <c r="AV206" s="7">
        <f ca="1">IF(AV$6=OFFSET(Assumptions!$B$8,0,$C$1),AVERAGE(SUM(AS$206,AS$200)/SUM(AS$193-(AS$236-AS$235),AS$200,AS$206),SUM(AT$206,AT$200)/SUM(AT$193-(AT$236-AT$235),AT$200,AT$206),SUM(AU$206,AU$200)/SUM(AU$193-(AU$236-AU$235),AU$200,AU$206)),SUM(AU$206,AU$200)/SUM(AU$193-(AU$236-AU$235),AU$200,AU$206))*SUM(AV$181-AV$222,AV$240,AV$258,AV$284,AV$316-(AV$236-AV$235)) -AV$200</f>
        <v>96.388496274977442</v>
      </c>
      <c r="AW206" s="7">
        <f ca="1">IF(AW$6=OFFSET(Assumptions!$B$8,0,$C$1),AVERAGE(SUM(AT$206,AT$200)/SUM(AT$193-(AT$236-AT$235),AT$200,AT$206),SUM(AU$206,AU$200)/SUM(AU$193-(AU$236-AU$235),AU$200,AU$206),SUM(AV$206,AV$200)/SUM(AV$193-(AV$236-AV$235),AV$200,AV$206)),SUM(AV$206,AV$200)/SUM(AV$193-(AV$236-AV$235),AV$200,AV$206))*SUM(AW$181-AW$222,AW$240,AW$258,AW$284,AW$316-(AW$236-AW$235)) -AW$200</f>
        <v>99.977687071337456</v>
      </c>
    </row>
    <row r="207" spans="1:49" x14ac:dyDescent="0.2">
      <c r="A207" s="1" t="s">
        <v>529</v>
      </c>
      <c r="B207" s="4" t="str">
        <f t="shared" si="165"/>
        <v>From Fiscal</v>
      </c>
      <c r="D207" s="18">
        <f>Fiscal!D$250</f>
        <v>9.3330000000000002</v>
      </c>
      <c r="E207" s="19">
        <f>Fiscal!E$250</f>
        <v>9.0609999999999999</v>
      </c>
      <c r="F207" s="19">
        <f>Fiscal!F$250</f>
        <v>9.3320000000000007</v>
      </c>
      <c r="G207" s="19">
        <f>Fiscal!G$250</f>
        <v>9.7219999999999995</v>
      </c>
      <c r="H207" s="19">
        <f>Fiscal!H$250</f>
        <v>9.8810000000000002</v>
      </c>
      <c r="I207" s="19">
        <f>Fiscal!I$250</f>
        <v>9.9710000000000001</v>
      </c>
      <c r="J207" s="7">
        <f ca="1">IF(J$6=OFFSET(Assumptions!$B$8,0,$C$1),AVERAGE(SUM(G$207,G$201)/SUM(G$194,G$201,G$207),SUM(H$207,H$201)/SUM(H$194,H$201,H$207),SUM(I$207,I$201)/SUM(I$194,I$201,I$207)),SUM(I$207,I$201)/SUM(I$194,I$201,I$207))*SUM(J$285,J$317-J$223) -J$201</f>
        <v>10.81940106481786</v>
      </c>
      <c r="K207" s="7">
        <f ca="1">IF(K$6=OFFSET(Assumptions!$B$8,0,$C$1),AVERAGE(SUM(H$207,H$201)/SUM(H$194,H$201,H$207),SUM(I$207,I$201)/SUM(I$194,I$201,I$207),SUM(J$207,J$201)/SUM(J$194,J$201,J$207)),SUM(J$207,J$201)/SUM(J$194,J$201,J$207))*SUM(K$285,K$317-K$223) -K$201</f>
        <v>11.327248402167172</v>
      </c>
      <c r="L207" s="7">
        <f ca="1">IF(L$6=OFFSET(Assumptions!$B$8,0,$C$1),AVERAGE(SUM(I$207,I$201)/SUM(I$194,I$201,I$207),SUM(J$207,J$201)/SUM(J$194,J$201,J$207),SUM(K$207,K$201)/SUM(K$194,K$201,K$207)),SUM(K$207,K$201)/SUM(K$194,K$201,K$207))*SUM(L$285,L$317-L$223) -L$201</f>
        <v>11.873898247069715</v>
      </c>
      <c r="M207" s="7">
        <f ca="1">IF(M$6=OFFSET(Assumptions!$B$8,0,$C$1),AVERAGE(SUM(J$207,J$201)/SUM(J$194,J$201,J$207),SUM(K$207,K$201)/SUM(K$194,K$201,K$207),SUM(L$207,L$201)/SUM(L$194,L$201,L$207)),SUM(L$207,L$201)/SUM(L$194,L$201,L$207))*SUM(M$285,M$317-M$223) -M$201</f>
        <v>12.440361898853324</v>
      </c>
      <c r="N207" s="7">
        <f ca="1">IF(N$6=OFFSET(Assumptions!$B$8,0,$C$1),AVERAGE(SUM(K$207,K$201)/SUM(K$194,K$201,K$207),SUM(L$207,L$201)/SUM(L$194,L$201,L$207),SUM(M$207,M$201)/SUM(M$194,M$201,M$207)),SUM(M$207,M$201)/SUM(M$194,M$201,M$207))*SUM(N$285,N$317-N$223) -N$201</f>
        <v>13.028337213228445</v>
      </c>
      <c r="O207" s="7">
        <f ca="1">IF(O$6=OFFSET(Assumptions!$B$8,0,$C$1),AVERAGE(SUM(L$207,L$201)/SUM(L$194,L$201,L$207),SUM(M$207,M$201)/SUM(M$194,M$201,M$207),SUM(N$207,N$201)/SUM(N$194,N$201,N$207)),SUM(N$207,N$201)/SUM(N$194,N$201,N$207))*SUM(O$285,O$317-O$223) -O$201</f>
        <v>13.633331765399682</v>
      </c>
      <c r="P207" s="7">
        <f ca="1">IF(P$6=OFFSET(Assumptions!$B$8,0,$C$1),AVERAGE(SUM(M$207,M$201)/SUM(M$194,M$201,M$207),SUM(N$207,N$201)/SUM(N$194,N$201,N$207),SUM(O$207,O$201)/SUM(O$194,O$201,O$207)),SUM(O$207,O$201)/SUM(O$194,O$201,O$207))*SUM(P$285,P$317-P$223) -P$201</f>
        <v>14.25631779688492</v>
      </c>
      <c r="Q207" s="7">
        <f ca="1">IF(Q$6=OFFSET(Assumptions!$B$8,0,$C$1),AVERAGE(SUM(N$207,N$201)/SUM(N$194,N$201,N$207),SUM(O$207,O$201)/SUM(O$194,O$201,O$207),SUM(P$207,P$201)/SUM(P$194,P$201,P$207)),SUM(P$207,P$201)/SUM(P$194,P$201,P$207))*SUM(Q$285,Q$317-Q$223) -Q$201</f>
        <v>14.896547131907157</v>
      </c>
      <c r="R207" s="7">
        <f ca="1">IF(R$6=OFFSET(Assumptions!$B$8,0,$C$1),AVERAGE(SUM(O$207,O$201)/SUM(O$194,O$201,O$207),SUM(P$207,P$201)/SUM(P$194,P$201,P$207),SUM(Q$207,Q$201)/SUM(Q$194,Q$201,Q$207)),SUM(Q$207,Q$201)/SUM(Q$194,Q$201,Q$207))*SUM(R$285,R$317-R$223) -R$201</f>
        <v>15.553501321484459</v>
      </c>
      <c r="S207" s="7">
        <f ca="1">IF(S$6=OFFSET(Assumptions!$B$8,0,$C$1),AVERAGE(SUM(P$207,P$201)/SUM(P$194,P$201,P$207),SUM(Q$207,Q$201)/SUM(Q$194,Q$201,Q$207),SUM(R$207,R$201)/SUM(R$194,R$201,R$207)),SUM(R$207,R$201)/SUM(R$194,R$201,R$207))*SUM(S$285,S$317-S$223) -S$201</f>
        <v>16.229363928762655</v>
      </c>
      <c r="T207" s="7">
        <f ca="1">IF(T$6=OFFSET(Assumptions!$B$8,0,$C$1),AVERAGE(SUM(Q$207,Q$201)/SUM(Q$194,Q$201,Q$207),SUM(R$207,R$201)/SUM(R$194,R$201,R$207),SUM(S$207,S$201)/SUM(S$194,S$201,S$207)),SUM(S$207,S$201)/SUM(S$194,S$201,S$207))*SUM(T$285,T$317-T$223) -T$201</f>
        <v>16.924366960135576</v>
      </c>
      <c r="U207" s="7">
        <f ca="1">IF(U$6=OFFSET(Assumptions!$B$8,0,$C$1),AVERAGE(SUM(R$207,R$201)/SUM(R$194,R$201,R$207),SUM(S$207,S$201)/SUM(S$194,S$201,S$207),SUM(T$207,T$201)/SUM(T$194,T$201,T$207)),SUM(T$207,T$201)/SUM(T$194,T$201,T$207))*SUM(U$285,U$317-U$223) -U$201</f>
        <v>17.641122779995808</v>
      </c>
      <c r="V207" s="7">
        <f ca="1">IF(V$6=OFFSET(Assumptions!$B$8,0,$C$1),AVERAGE(SUM(S$207,S$201)/SUM(S$194,S$201,S$207),SUM(T$207,T$201)/SUM(T$194,T$201,T$207),SUM(U$207,U$201)/SUM(U$194,U$201,U$207)),SUM(U$207,U$201)/SUM(U$194,U$201,U$207))*SUM(V$285,V$317-V$223) -V$201</f>
        <v>18.381465425626295</v>
      </c>
      <c r="W207" s="7">
        <f ca="1">IF(W$6=OFFSET(Assumptions!$B$8,0,$C$1),AVERAGE(SUM(T$207,T$201)/SUM(T$194,T$201,T$207),SUM(U$207,U$201)/SUM(U$194,U$201,U$207),SUM(V$207,V$201)/SUM(V$194,V$201,V$207)),SUM(V$207,V$201)/SUM(V$194,V$201,V$207))*SUM(W$285,W$317-W$223) -W$201</f>
        <v>19.147622434483665</v>
      </c>
      <c r="X207" s="7">
        <f ca="1">IF(X$6=OFFSET(Assumptions!$B$8,0,$C$1),AVERAGE(SUM(U$207,U$201)/SUM(U$194,U$201,U$207),SUM(V$207,V$201)/SUM(V$194,V$201,V$207),SUM(W$207,W$201)/SUM(W$194,W$201,W$207)),SUM(W$207,W$201)/SUM(W$194,W$201,W$207))*SUM(X$285,X$317-X$223) -X$201</f>
        <v>19.942113784813603</v>
      </c>
      <c r="Y207" s="7">
        <f ca="1">IF(Y$6=OFFSET(Assumptions!$B$8,0,$C$1),AVERAGE(SUM(V$207,V$201)/SUM(V$194,V$201,V$207),SUM(W$207,W$201)/SUM(W$194,W$201,W$207),SUM(X$207,X$201)/SUM(X$194,X$201,X$207)),SUM(X$207,X$201)/SUM(X$194,X$201,X$207))*SUM(Y$285,Y$317-Y$223) -Y$201</f>
        <v>20.764774609906752</v>
      </c>
      <c r="Z207" s="7">
        <f ca="1">IF(Z$6=OFFSET(Assumptions!$B$8,0,$C$1),AVERAGE(SUM(W$207,W$201)/SUM(W$194,W$201,W$207),SUM(X$207,X$201)/SUM(X$194,X$201,X$207),SUM(Y$207,Y$201)/SUM(Y$194,Y$201,Y$207)),SUM(Y$207,Y$201)/SUM(Y$194,Y$201,Y$207))*SUM(Z$285,Z$317-Z$223) -Z$201</f>
        <v>21.619978914258663</v>
      </c>
      <c r="AA207" s="7">
        <f ca="1">IF(AA$6=OFFSET(Assumptions!$B$8,0,$C$1),AVERAGE(SUM(X$207,X$201)/SUM(X$194,X$201,X$207),SUM(Y$207,Y$201)/SUM(Y$194,Y$201,Y$207),SUM(Z$207,Z$201)/SUM(Z$194,Z$201,Z$207)),SUM(Z$207,Z$201)/SUM(Z$194,Z$201,Z$207))*SUM(AA$285,AA$317-AA$223) -AA$201</f>
        <v>22.509107943541061</v>
      </c>
      <c r="AB207" s="7">
        <f ca="1">IF(AB$6=OFFSET(Assumptions!$B$8,0,$C$1),AVERAGE(SUM(Y$207,Y$201)/SUM(Y$194,Y$201,Y$207),SUM(Z$207,Z$201)/SUM(Z$194,Z$201,Z$207),SUM(AA$207,AA$201)/SUM(AA$194,AA$201,AA$207)),SUM(AA$207,AA$201)/SUM(AA$194,AA$201,AA$207))*SUM(AB$285,AB$317-AB$223) -AB$201</f>
        <v>23.434916648946682</v>
      </c>
      <c r="AC207" s="7">
        <f ca="1">IF(AC$6=OFFSET(Assumptions!$B$8,0,$C$1),AVERAGE(SUM(Z$207,Z$201)/SUM(Z$194,Z$201,Z$207),SUM(AA$207,AA$201)/SUM(AA$194,AA$201,AA$207),SUM(AB$207,AB$201)/SUM(AB$194,AB$201,AB$207)),SUM(AB$207,AB$201)/SUM(AB$194,AB$201,AB$207))*SUM(AC$285,AC$317-AC$223) -AC$201</f>
        <v>24.401033254739524</v>
      </c>
      <c r="AD207" s="7">
        <f ca="1">IF(AD$6=OFFSET(Assumptions!$B$8,0,$C$1),AVERAGE(SUM(AA$207,AA$201)/SUM(AA$194,AA$201,AA$207),SUM(AB$207,AB$201)/SUM(AB$194,AB$201,AB$207),SUM(AC$207,AC$201)/SUM(AC$194,AC$201,AC$207)),SUM(AC$207,AC$201)/SUM(AC$194,AC$201,AC$207))*SUM(AD$285,AD$317-AD$223) -AD$201</f>
        <v>25.408414016824992</v>
      </c>
      <c r="AE207" s="7">
        <f ca="1">IF(AE$6=OFFSET(Assumptions!$B$8,0,$C$1),AVERAGE(SUM(AB$207,AB$201)/SUM(AB$194,AB$201,AB$207),SUM(AC$207,AC$201)/SUM(AC$194,AC$201,AC$207),SUM(AD$207,AD$201)/SUM(AD$194,AD$201,AD$207)),SUM(AD$207,AD$201)/SUM(AD$194,AD$201,AD$207))*SUM(AE$285,AE$317-AE$223) -AE$201</f>
        <v>26.455928386602476</v>
      </c>
      <c r="AF207" s="7">
        <f ca="1">IF(AF$6=OFFSET(Assumptions!$B$8,0,$C$1),AVERAGE(SUM(AC$207,AC$201)/SUM(AC$194,AC$201,AC$207),SUM(AD$207,AD$201)/SUM(AD$194,AD$201,AD$207),SUM(AE$207,AE$201)/SUM(AE$194,AE$201,AE$207)),SUM(AE$207,AE$201)/SUM(AE$194,AE$201,AE$207))*SUM(AF$285,AF$317-AF$223) -AF$201</f>
        <v>27.546562300347233</v>
      </c>
      <c r="AG207" s="7">
        <f ca="1">IF(AG$6=OFFSET(Assumptions!$B$8,0,$C$1),AVERAGE(SUM(AD$207,AD$201)/SUM(AD$194,AD$201,AD$207),SUM(AE$207,AE$201)/SUM(AE$194,AE$201,AE$207),SUM(AF$207,AF$201)/SUM(AF$194,AF$201,AF$207)),SUM(AF$207,AF$201)/SUM(AF$194,AF$201,AF$207))*SUM(AG$285,AG$317-AG$223) -AG$201</f>
        <v>28.680830176516736</v>
      </c>
      <c r="AH207" s="7">
        <f ca="1">IF(AH$6=OFFSET(Assumptions!$B$8,0,$C$1),AVERAGE(SUM(AE$207,AE$201)/SUM(AE$194,AE$201,AE$207),SUM(AF$207,AF$201)/SUM(AF$194,AF$201,AF$207),SUM(AG$207,AG$201)/SUM(AG$194,AG$201,AG$207)),SUM(AG$207,AG$201)/SUM(AG$194,AG$201,AG$207))*SUM(AH$285,AH$317-AH$223) -AH$201</f>
        <v>29.860548393850689</v>
      </c>
      <c r="AI207" s="7">
        <f ca="1">IF(AI$6=OFFSET(Assumptions!$B$8,0,$C$1),AVERAGE(SUM(AF$207,AF$201)/SUM(AF$194,AF$201,AF$207),SUM(AG$207,AG$201)/SUM(AG$194,AG$201,AG$207),SUM(AH$207,AH$201)/SUM(AH$194,AH$201,AH$207)),SUM(AH$207,AH$201)/SUM(AH$194,AH$201,AH$207))*SUM(AI$285,AI$317-AI$223) -AI$201</f>
        <v>31.083351331922159</v>
      </c>
      <c r="AJ207" s="7">
        <f ca="1">IF(AJ$6=OFFSET(Assumptions!$B$8,0,$C$1),AVERAGE(SUM(AG$207,AG$201)/SUM(AG$194,AG$201,AG$207),SUM(AH$207,AH$201)/SUM(AH$194,AH$201,AH$207),SUM(AI$207,AI$201)/SUM(AI$194,AI$201,AI$207)),SUM(AI$207,AI$201)/SUM(AI$194,AI$201,AI$207))*SUM(AJ$285,AJ$317-AJ$223) -AJ$201</f>
        <v>32.353330427934935</v>
      </c>
      <c r="AK207" s="7">
        <f ca="1">IF(AK$6=OFFSET(Assumptions!$B$8,0,$C$1),AVERAGE(SUM(AH$207,AH$201)/SUM(AH$194,AH$201,AH$207),SUM(AI$207,AI$201)/SUM(AI$194,AI$201,AI$207),SUM(AJ$207,AJ$201)/SUM(AJ$194,AJ$201,AJ$207)),SUM(AJ$207,AJ$201)/SUM(AJ$194,AJ$201,AJ$207))*SUM(AK$285,AK$317-AK$223) -AK$201</f>
        <v>33.669210230157461</v>
      </c>
      <c r="AL207" s="7">
        <f ca="1">IF(AL$6=OFFSET(Assumptions!$B$8,0,$C$1),AVERAGE(SUM(AI$207,AI$201)/SUM(AI$194,AI$201,AI$207),SUM(AJ$207,AJ$201)/SUM(AJ$194,AJ$201,AJ$207),SUM(AK$207,AK$201)/SUM(AK$194,AK$201,AK$207)),SUM(AK$207,AK$201)/SUM(AK$194,AK$201,AK$207))*SUM(AL$285,AL$317-AL$223) -AL$201</f>
        <v>35.029735078243448</v>
      </c>
      <c r="AM207" s="7">
        <f ca="1">IF(AM$6=OFFSET(Assumptions!$B$8,0,$C$1),AVERAGE(SUM(AJ$207,AJ$201)/SUM(AJ$194,AJ$201,AJ$207),SUM(AK$207,AK$201)/SUM(AK$194,AK$201,AK$207),SUM(AL$207,AL$201)/SUM(AL$194,AL$201,AL$207)),SUM(AL$207,AL$201)/SUM(AL$194,AL$201,AL$207))*SUM(AM$285,AM$317-AM$223) -AM$201</f>
        <v>36.436786051534618</v>
      </c>
      <c r="AN207" s="7">
        <f ca="1">IF(AN$6=OFFSET(Assumptions!$B$8,0,$C$1),AVERAGE(SUM(AK$207,AK$201)/SUM(AK$194,AK$201,AK$207),SUM(AL$207,AL$201)/SUM(AL$194,AL$201,AL$207),SUM(AM$207,AM$201)/SUM(AM$194,AM$201,AM$207)),SUM(AM$207,AM$201)/SUM(AM$194,AM$201,AM$207))*SUM(AN$285,AN$317-AN$223) -AN$201</f>
        <v>37.892344780746889</v>
      </c>
      <c r="AO207" s="7">
        <f ca="1">IF(AO$6=OFFSET(Assumptions!$B$8,0,$C$1),AVERAGE(SUM(AL$207,AL$201)/SUM(AL$194,AL$201,AL$207),SUM(AM$207,AM$201)/SUM(AM$194,AM$201,AM$207),SUM(AN$207,AN$201)/SUM(AN$194,AN$201,AN$207)),SUM(AN$207,AN$201)/SUM(AN$194,AN$201,AN$207))*SUM(AO$285,AO$317-AO$223) -AO$201</f>
        <v>39.390088192602747</v>
      </c>
      <c r="AP207" s="7">
        <f ca="1">IF(AP$6=OFFSET(Assumptions!$B$8,0,$C$1),AVERAGE(SUM(AM$207,AM$201)/SUM(AM$194,AM$201,AM$207),SUM(AN$207,AN$201)/SUM(AN$194,AN$201,AN$207),SUM(AO$207,AO$201)/SUM(AO$194,AO$201,AO$207)),SUM(AO$207,AO$201)/SUM(AO$194,AO$201,AO$207))*SUM(AP$285,AP$317-AP$223) -AP$201</f>
        <v>40.9368028605981</v>
      </c>
      <c r="AQ207" s="7">
        <f ca="1">IF(AQ$6=OFFSET(Assumptions!$B$8,0,$C$1),AVERAGE(SUM(AN$207,AN$201)/SUM(AN$194,AN$201,AN$207),SUM(AO$207,AO$201)/SUM(AO$194,AO$201,AO$207),SUM(AP$207,AP$201)/SUM(AP$194,AP$201,AP$207)),SUM(AP$207,AP$201)/SUM(AP$194,AP$201,AP$207))*SUM(AQ$285,AQ$317-AQ$223) -AQ$201</f>
        <v>42.52765520438745</v>
      </c>
      <c r="AR207" s="7">
        <f ca="1">IF(AR$6=OFFSET(Assumptions!$B$8,0,$C$1),AVERAGE(SUM(AO$207,AO$201)/SUM(AO$194,AO$201,AO$207),SUM(AP$207,AP$201)/SUM(AP$194,AP$201,AP$207),SUM(AQ$207,AQ$201)/SUM(AQ$194,AQ$201,AQ$207)),SUM(AQ$207,AQ$201)/SUM(AQ$194,AQ$201,AQ$207))*SUM(AR$285,AR$317-AR$223) -AR$201</f>
        <v>44.16449415364648</v>
      </c>
      <c r="AS207" s="7">
        <f ca="1">IF(AS$6=OFFSET(Assumptions!$B$8,0,$C$1),AVERAGE(SUM(AP$207,AP$201)/SUM(AP$194,AP$201,AP$207),SUM(AQ$207,AQ$201)/SUM(AQ$194,AQ$201,AQ$207),SUM(AR$207,AR$201)/SUM(AR$194,AR$201,AR$207)),SUM(AR$207,AR$201)/SUM(AR$194,AR$201,AR$207))*SUM(AS$285,AS$317-AS$223) -AS$201</f>
        <v>45.851353007166281</v>
      </c>
      <c r="AT207" s="7">
        <f ca="1">IF(AT$6=OFFSET(Assumptions!$B$8,0,$C$1),AVERAGE(SUM(AQ$207,AQ$201)/SUM(AQ$194,AQ$201,AQ$207),SUM(AR$207,AR$201)/SUM(AR$194,AR$201,AR$207),SUM(AS$207,AS$201)/SUM(AS$194,AS$201,AS$207)),SUM(AS$207,AS$201)/SUM(AS$194,AS$201,AS$207))*SUM(AT$285,AT$317-AT$223) -AT$201</f>
        <v>47.589566879581298</v>
      </c>
      <c r="AU207" s="7">
        <f ca="1">IF(AU$6=OFFSET(Assumptions!$B$8,0,$C$1),AVERAGE(SUM(AR$207,AR$201)/SUM(AR$194,AR$201,AR$207),SUM(AS$207,AS$201)/SUM(AS$194,AS$201,AS$207),SUM(AT$207,AT$201)/SUM(AT$194,AT$201,AT$207)),SUM(AT$207,AT$201)/SUM(AT$194,AT$201,AT$207))*SUM(AU$285,AU$317-AU$223) -AU$201</f>
        <v>49.381509189520244</v>
      </c>
      <c r="AV207" s="7">
        <f ca="1">IF(AV$6=OFFSET(Assumptions!$B$8,0,$C$1),AVERAGE(SUM(AS$207,AS$201)/SUM(AS$194,AS$201,AS$207),SUM(AT$207,AT$201)/SUM(AT$194,AT$201,AT$207),SUM(AU$207,AU$201)/SUM(AU$194,AU$201,AU$207)),SUM(AU$207,AU$201)/SUM(AU$194,AU$201,AU$207))*SUM(AV$285,AV$317-AV$223) -AV$201</f>
        <v>51.233060876632514</v>
      </c>
      <c r="AW207" s="7">
        <f ca="1">IF(AW$6=OFFSET(Assumptions!$B$8,0,$C$1),AVERAGE(SUM(AT$207,AT$201)/SUM(AT$194,AT$201,AT$207),SUM(AU$207,AU$201)/SUM(AU$194,AU$201,AU$207),SUM(AV$207,AV$201)/SUM(AV$194,AV$201,AV$207)),SUM(AV$207,AV$201)/SUM(AV$194,AV$201,AV$207))*SUM(AW$285,AW$317-AW$223) -AW$201</f>
        <v>53.142905684621233</v>
      </c>
    </row>
    <row r="208" spans="1:49" x14ac:dyDescent="0.2">
      <c r="A208" s="1" t="s">
        <v>530</v>
      </c>
      <c r="B208" s="4" t="str">
        <f t="shared" si="165"/>
        <v>From Fiscal</v>
      </c>
      <c r="D208" s="18">
        <f>Fiscal!D$251</f>
        <v>-28.195</v>
      </c>
      <c r="E208" s="19">
        <f>Fiscal!E$251</f>
        <v>-28.988</v>
      </c>
      <c r="F208" s="19">
        <f>Fiscal!F$251</f>
        <v>-30.004999999999999</v>
      </c>
      <c r="G208" s="19">
        <f>Fiscal!G$251</f>
        <v>-30.263999999999999</v>
      </c>
      <c r="H208" s="19">
        <f>Fiscal!H$251</f>
        <v>-30.381</v>
      </c>
      <c r="I208" s="19">
        <f>Fiscal!I$251</f>
        <v>-30.538</v>
      </c>
      <c r="J208" s="7">
        <f ca="1">IF(J$6=OFFSET(Assumptions!$B$8,0,$C$1),AVERAGE(G$208/SUM(G$195,G$208),H$208/SUM(H$195,H$208),I$208/SUM(I$195,I$208)),I$208/SUM(I$195,I$208))*SUM(J$182,J$241,J$259,J$286,J$318)</f>
        <v>-33.145893799145192</v>
      </c>
      <c r="K208" s="7">
        <f ca="1">IF(K$6=OFFSET(Assumptions!$B$8,0,$C$1),AVERAGE(H$208/SUM(H$195,H$208),I$208/SUM(I$195,I$208),J$208/SUM(J$195,J$208)),J$208/SUM(J$195,J$208))*SUM(K$182,K$241,K$259,K$286,K$318)</f>
        <v>-34.642134934108178</v>
      </c>
      <c r="L208" s="7">
        <f ca="1">IF(L$6=OFFSET(Assumptions!$B$8,0,$C$1),AVERAGE(I$208/SUM(I$195,I$208),J$208/SUM(J$195,J$208),K$208/SUM(K$195,K$208)),K$208/SUM(K$195,K$208))*SUM(L$182,L$241,L$259,L$286,L$318)</f>
        <v>-36.146788270530671</v>
      </c>
      <c r="M208" s="7">
        <f ca="1">IF(M$6=OFFSET(Assumptions!$B$8,0,$C$1),AVERAGE(J$208/SUM(J$195,J$208),K$208/SUM(K$195,K$208),L$208/SUM(L$195,L$208)),L$208/SUM(L$195,L$208))*SUM(M$182,M$241,M$259,M$286,M$318)</f>
        <v>-37.717013786225394</v>
      </c>
      <c r="N208" s="7">
        <f ca="1">IF(N$6=OFFSET(Assumptions!$B$8,0,$C$1),AVERAGE(K$208/SUM(K$195,K$208),L$208/SUM(L$195,L$208),M$208/SUM(M$195,M$208)),M$208/SUM(M$195,M$208))*SUM(N$182,N$241,N$259,N$286,N$318)</f>
        <v>-39.344659449336419</v>
      </c>
      <c r="O208" s="7">
        <f ca="1">IF(O$6=OFFSET(Assumptions!$B$8,0,$C$1),AVERAGE(L$208/SUM(L$195,L$208),M$208/SUM(M$195,M$208),N$208/SUM(N$195,N$208)),N$208/SUM(N$195,N$208))*SUM(O$182,O$241,O$259,O$286,O$318)</f>
        <v>-41.026666727906075</v>
      </c>
      <c r="P208" s="7">
        <f ca="1">IF(P$6=OFFSET(Assumptions!$B$8,0,$C$1),AVERAGE(M$208/SUM(M$195,M$208),N$208/SUM(N$195,N$208),O$208/SUM(O$195,O$208)),O$208/SUM(O$195,O$208))*SUM(P$182,P$241,P$259,P$286,P$318)</f>
        <v>-42.757390407323236</v>
      </c>
      <c r="Q208" s="7">
        <f ca="1">IF(Q$6=OFFSET(Assumptions!$B$8,0,$C$1),AVERAGE(N$208/SUM(N$195,N$208),O$208/SUM(O$195,O$208),P$208/SUM(P$195,P$208)),P$208/SUM(P$195,P$208))*SUM(Q$182,Q$241,Q$259,Q$286,Q$318)</f>
        <v>-44.540478761073139</v>
      </c>
      <c r="R208" s="7">
        <f ca="1">IF(R$6=OFFSET(Assumptions!$B$8,0,$C$1),AVERAGE(O$208/SUM(O$195,O$208),P$208/SUM(P$195,P$208),Q$208/SUM(Q$195,Q$208)),Q$208/SUM(Q$195,Q$208))*SUM(R$182,R$241,R$259,R$286,R$318)</f>
        <v>-46.374553815379393</v>
      </c>
      <c r="S208" s="7">
        <f ca="1">IF(S$6=OFFSET(Assumptions!$B$8,0,$C$1),AVERAGE(P$208/SUM(P$195,P$208),Q$208/SUM(Q$195,Q$208),R$208/SUM(R$195,R$208)),R$208/SUM(R$195,R$208))*SUM(S$182,S$241,S$259,S$286,S$318)</f>
        <v>-48.265534366291455</v>
      </c>
      <c r="T208" s="7">
        <f ca="1">IF(T$6=OFFSET(Assumptions!$B$8,0,$C$1),AVERAGE(Q$208/SUM(Q$195,Q$208),R$208/SUM(R$195,R$208),S$208/SUM(S$195,S$208)),S$208/SUM(S$195,S$208))*SUM(T$182,T$241,T$259,T$286,T$318)</f>
        <v>-50.214053409796179</v>
      </c>
      <c r="U208" s="7">
        <f ca="1">IF(U$6=OFFSET(Assumptions!$B$8,0,$C$1),AVERAGE(R$208/SUM(R$195,R$208),S$208/SUM(S$195,S$208),T$208/SUM(T$195,T$208)),T$208/SUM(T$195,T$208))*SUM(U$182,U$241,U$259,U$286,U$318)</f>
        <v>-52.227029400442298</v>
      </c>
      <c r="V208" s="7">
        <f ca="1">IF(V$6=OFFSET(Assumptions!$B$8,0,$C$1),AVERAGE(S$208/SUM(S$195,S$208),T$208/SUM(T$195,T$208),U$208/SUM(U$195,U$208)),U$208/SUM(U$195,U$208))*SUM(V$182,V$241,V$259,V$286,V$318)</f>
        <v>-54.309358949499035</v>
      </c>
      <c r="W208" s="7">
        <f ca="1">IF(W$6=OFFSET(Assumptions!$B$8,0,$C$1),AVERAGE(T$208/SUM(T$195,T$208),U$208/SUM(U$195,U$208),V$208/SUM(V$195,V$208)),V$208/SUM(V$195,V$208))*SUM(W$182,W$241,W$259,W$286,W$318)</f>
        <v>-56.466990079071024</v>
      </c>
      <c r="X208" s="7">
        <f ca="1">IF(X$6=OFFSET(Assumptions!$B$8,0,$C$1),AVERAGE(U$208/SUM(U$195,U$208),V$208/SUM(V$195,V$208),W$208/SUM(W$195,W$208)),W$208/SUM(W$195,W$208))*SUM(X$182,X$241,X$259,X$286,X$318)</f>
        <v>-58.706648763658066</v>
      </c>
      <c r="Y208" s="7">
        <f ca="1">IF(Y$6=OFFSET(Assumptions!$B$8,0,$C$1),AVERAGE(V$208/SUM(V$195,V$208),W$208/SUM(W$195,W$208),X$208/SUM(X$195,X$208)),X$208/SUM(X$195,X$208))*SUM(Y$182,Y$241,Y$259,Y$286,Y$318)</f>
        <v>-61.028154903498653</v>
      </c>
      <c r="Z208" s="7">
        <f ca="1">IF(Z$6=OFFSET(Assumptions!$B$8,0,$C$1),AVERAGE(W$208/SUM(W$195,W$208),X$208/SUM(X$195,X$208),Y$208/SUM(Y$195,Y$208)),Y$208/SUM(Y$195,Y$208))*SUM(Z$182,Z$241,Z$259,Z$286,Z$318)</f>
        <v>-63.443079955669639</v>
      </c>
      <c r="AA208" s="7">
        <f ca="1">IF(AA$6=OFFSET(Assumptions!$B$8,0,$C$1),AVERAGE(X$208/SUM(X$195,X$208),Y$208/SUM(Y$195,Y$208),Z$208/SUM(Z$195,Z$208)),Z$208/SUM(Z$195,Z$208))*SUM(AA$182,AA$241,AA$259,AA$286,AA$318)</f>
        <v>-65.955268486889622</v>
      </c>
      <c r="AB208" s="7">
        <f ca="1">IF(AB$6=OFFSET(Assumptions!$B$8,0,$C$1),AVERAGE(Y$208/SUM(Y$195,Y$208),Z$208/SUM(Z$195,Z$208),AA$208/SUM(AA$195,AA$208)),AA$208/SUM(AA$195,AA$208))*SUM(AB$182,AB$241,AB$259,AB$286,AB$318)</f>
        <v>-68.572192003672555</v>
      </c>
      <c r="AC208" s="7">
        <f ca="1">IF(AC$6=OFFSET(Assumptions!$B$8,0,$C$1),AVERAGE(Z$208/SUM(Z$195,Z$208),AA$208/SUM(AA$195,AA$208),AB$208/SUM(AB$195,AB$208)),AB$208/SUM(AB$195,AB$208))*SUM(AC$182,AC$241,AC$259,AC$286,AC$318)</f>
        <v>-71.303649556071036</v>
      </c>
      <c r="AD208" s="7">
        <f ca="1">IF(AD$6=OFFSET(Assumptions!$B$8,0,$C$1),AVERAGE(AA$208/SUM(AA$195,AA$208),AB$208/SUM(AB$195,AB$208),AC$208/SUM(AC$195,AC$208)),AC$208/SUM(AC$195,AC$208))*SUM(AD$182,AD$241,AD$259,AD$286,AD$318)</f>
        <v>-74.152458595184186</v>
      </c>
      <c r="AE208" s="7">
        <f ca="1">IF(AE$6=OFFSET(Assumptions!$B$8,0,$C$1),AVERAGE(AB$208/SUM(AB$195,AB$208),AC$208/SUM(AC$195,AC$208),AD$208/SUM(AD$195,AD$208)),AD$208/SUM(AD$195,AD$208))*SUM(AE$182,AE$241,AE$259,AE$286,AE$318)</f>
        <v>-77.116029844627178</v>
      </c>
      <c r="AF208" s="7">
        <f ca="1">IF(AF$6=OFFSET(Assumptions!$B$8,0,$C$1),AVERAGE(AC$208/SUM(AC$195,AC$208),AD$208/SUM(AD$195,AD$208),AE$208/SUM(AE$195,AE$208)),AE$208/SUM(AE$195,AE$208))*SUM(AF$182,AF$241,AF$259,AF$286,AF$318)</f>
        <v>-80.202496346404658</v>
      </c>
      <c r="AG208" s="7">
        <f ca="1">IF(AG$6=OFFSET(Assumptions!$B$8,0,$C$1),AVERAGE(AD$208/SUM(AD$195,AD$208),AE$208/SUM(AE$195,AE$208),AF$208/SUM(AF$195,AF$208)),AF$208/SUM(AF$195,AF$208))*SUM(AG$182,AG$241,AG$259,AG$286,AG$318)</f>
        <v>-83.413536911374052</v>
      </c>
      <c r="AH208" s="7">
        <f ca="1">IF(AH$6=OFFSET(Assumptions!$B$8,0,$C$1),AVERAGE(AE$208/SUM(AE$195,AE$208),AF$208/SUM(AF$195,AF$208),AG$208/SUM(AG$195,AG$208)),AG$208/SUM(AG$195,AG$208))*SUM(AH$182,AH$241,AH$259,AH$286,AH$318)</f>
        <v>-86.754314723650907</v>
      </c>
      <c r="AI208" s="7">
        <f ca="1">IF(AI$6=OFFSET(Assumptions!$B$8,0,$C$1),AVERAGE(AF$208/SUM(AF$195,AF$208),AG$208/SUM(AG$195,AG$208),AH$208/SUM(AH$195,AH$208)),AH$208/SUM(AH$195,AH$208))*SUM(AI$182,AI$241,AI$259,AI$286,AI$318)</f>
        <v>-90.218982583552489</v>
      </c>
      <c r="AJ208" s="7">
        <f ca="1">IF(AJ$6=OFFSET(Assumptions!$B$8,0,$C$1),AVERAGE(AG$208/SUM(AG$195,AG$208),AH$208/SUM(AH$195,AH$208),AI$208/SUM(AI$195,AI$208)),AI$208/SUM(AI$195,AI$208))*SUM(AJ$182,AJ$241,AJ$259,AJ$286,AJ$318)</f>
        <v>-93.818575934296376</v>
      </c>
      <c r="AK208" s="7">
        <f ca="1">IF(AK$6=OFFSET(Assumptions!$B$8,0,$C$1),AVERAGE(AH$208/SUM(AH$195,AH$208),AI$208/SUM(AI$195,AI$208),AJ$208/SUM(AJ$195,AJ$208)),AJ$208/SUM(AJ$195,AJ$208))*SUM(AK$182,AK$241,AK$259,AK$286,AK$318)</f>
        <v>-97.550157840222923</v>
      </c>
      <c r="AL208" s="7">
        <f ca="1">IF(AL$6=OFFSET(Assumptions!$B$8,0,$C$1),AVERAGE(AI$208/SUM(AI$195,AI$208),AJ$208/SUM(AJ$195,AJ$208),AK$208/SUM(AK$195,AK$208)),AK$208/SUM(AK$195,AK$208))*SUM(AL$182,AL$241,AL$259,AL$286,AL$318)</f>
        <v>-101.41081201726624</v>
      </c>
      <c r="AM208" s="7">
        <f ca="1">IF(AM$6=OFFSET(Assumptions!$B$8,0,$C$1),AVERAGE(AJ$208/SUM(AJ$195,AJ$208),AK$208/SUM(AK$195,AK$208),AL$208/SUM(AL$195,AL$208)),AL$208/SUM(AL$195,AL$208))*SUM(AM$182,AM$241,AM$259,AM$286,AM$318)</f>
        <v>-105.40575710046997</v>
      </c>
      <c r="AN208" s="7">
        <f ca="1">IF(AN$6=OFFSET(Assumptions!$B$8,0,$C$1),AVERAGE(AK$208/SUM(AK$195,AK$208),AL$208/SUM(AL$195,AL$208),AM$208/SUM(AM$195,AM$208)),AM$208/SUM(AM$195,AM$208))*SUM(AN$182,AN$241,AN$259,AN$286,AN$318)</f>
        <v>-109.54052434590103</v>
      </c>
      <c r="AO208" s="7">
        <f ca="1">IF(AO$6=OFFSET(Assumptions!$B$8,0,$C$1),AVERAGE(AL$208/SUM(AL$195,AL$208),AM$208/SUM(AM$195,AM$208),AN$208/SUM(AN$195,AN$208)),AN$208/SUM(AN$195,AN$208))*SUM(AO$182,AO$241,AO$259,AO$286,AO$318)</f>
        <v>-113.79899364954527</v>
      </c>
      <c r="AP208" s="7">
        <f ca="1">IF(AP$6=OFFSET(Assumptions!$B$8,0,$C$1),AVERAGE(AM$208/SUM(AM$195,AM$208),AN$208/SUM(AN$195,AN$208),AO$208/SUM(AO$195,AO$208)),AO$208/SUM(AO$195,AO$208))*SUM(AP$182,AP$241,AP$259,AP$286,AP$318)</f>
        <v>-118.19912339452584</v>
      </c>
      <c r="AQ208" s="7">
        <f ca="1">IF(AQ$6=OFFSET(Assumptions!$B$8,0,$C$1),AVERAGE(AN$208/SUM(AN$195,AN$208),AO$208/SUM(AO$195,AO$208),AP$208/SUM(AP$195,AP$208)),AP$208/SUM(AP$195,AP$208))*SUM(AQ$182,AQ$241,AQ$259,AQ$286,AQ$318)</f>
        <v>-122.72865178666065</v>
      </c>
      <c r="AR208" s="7">
        <f ca="1">IF(AR$6=OFFSET(Assumptions!$B$8,0,$C$1),AVERAGE(AO$208/SUM(AO$195,AO$208),AP$208/SUM(AP$195,AP$208),AQ$208/SUM(AQ$195,AQ$208)),AQ$208/SUM(AQ$195,AQ$208))*SUM(AR$182,AR$241,AR$259,AR$286,AR$318)</f>
        <v>-127.39267366864718</v>
      </c>
      <c r="AS208" s="7">
        <f ca="1">IF(AS$6=OFFSET(Assumptions!$B$8,0,$C$1),AVERAGE(AP$208/SUM(AP$195,AP$208),AQ$208/SUM(AQ$195,AQ$208),AR$208/SUM(AR$195,AR$208)),AR$208/SUM(AR$195,AR$208))*SUM(AS$182,AS$241,AS$259,AS$286,AS$318)</f>
        <v>-132.20201654750247</v>
      </c>
      <c r="AT208" s="7">
        <f ca="1">IF(AT$6=OFFSET(Assumptions!$B$8,0,$C$1),AVERAGE(AQ$208/SUM(AQ$195,AQ$208),AR$208/SUM(AR$195,AR$208),AS$208/SUM(AS$195,AS$208)),AS$208/SUM(AS$195,AS$208))*SUM(AT$182,AT$241,AT$259,AT$286,AT$318)</f>
        <v>-137.16187293259213</v>
      </c>
      <c r="AU208" s="7">
        <f ca="1">IF(AU$6=OFFSET(Assumptions!$B$8,0,$C$1),AVERAGE(AR$208/SUM(AR$195,AR$208),AS$208/SUM(AS$195,AS$208),AT$208/SUM(AT$195,AT$208)),AT$208/SUM(AT$195,AT$208))*SUM(AU$182,AU$241,AU$259,AU$286,AU$318)</f>
        <v>-142.27799252503982</v>
      </c>
      <c r="AV208" s="7">
        <f ca="1">IF(AV$6=OFFSET(Assumptions!$B$8,0,$C$1),AVERAGE(AS$208/SUM(AS$195,AS$208),AT$208/SUM(AT$195,AT$208),AU$208/SUM(AU$195,AU$208)),AU$208/SUM(AU$195,AU$208))*SUM(AV$182,AV$241,AV$259,AV$286,AV$318)</f>
        <v>-147.56607641264921</v>
      </c>
      <c r="AW208" s="7">
        <f ca="1">IF(AW$6=OFFSET(Assumptions!$B$8,0,$C$1),AVERAGE(AT$208/SUM(AT$195,AT$208),AU$208/SUM(AU$195,AU$208),AV$208/SUM(AV$195,AV$208)),AV$208/SUM(AV$195,AV$208))*SUM(AW$182,AW$241,AW$259,AW$286,AW$318)</f>
        <v>-153.02321383224458</v>
      </c>
    </row>
    <row r="209" spans="1:49" ht="15" x14ac:dyDescent="0.25">
      <c r="A209" s="2" t="s">
        <v>533</v>
      </c>
      <c r="D209" s="40">
        <f t="shared" ref="D209" si="166">SUM(D$205:D$208)</f>
        <v>35.910000000000004</v>
      </c>
      <c r="E209" s="39">
        <f t="shared" ref="E209:AW209" ca="1" si="167">SUM(E$205:E$208)</f>
        <v>36.734999999999999</v>
      </c>
      <c r="F209" s="39">
        <f t="shared" ca="1" si="167"/>
        <v>38.199000000000012</v>
      </c>
      <c r="G209" s="39">
        <f t="shared" ca="1" si="167"/>
        <v>39.738</v>
      </c>
      <c r="H209" s="39">
        <f t="shared" ca="1" si="167"/>
        <v>41.204000000000008</v>
      </c>
      <c r="I209" s="39">
        <f t="shared" ca="1" si="167"/>
        <v>42.847000000000008</v>
      </c>
      <c r="J209" s="43">
        <f t="shared" ca="1" si="167"/>
        <v>45.459374083667235</v>
      </c>
      <c r="K209" s="43">
        <f t="shared" ca="1" si="167"/>
        <v>48.530734532383313</v>
      </c>
      <c r="L209" s="43">
        <f t="shared" ca="1" si="167"/>
        <v>51.377369606631127</v>
      </c>
      <c r="M209" s="43">
        <f t="shared" ca="1" si="167"/>
        <v>54.091757051528887</v>
      </c>
      <c r="N209" s="43">
        <f t="shared" ca="1" si="167"/>
        <v>56.708174599967478</v>
      </c>
      <c r="O209" s="43">
        <f t="shared" ca="1" si="167"/>
        <v>59.640629940698489</v>
      </c>
      <c r="P209" s="43">
        <f t="shared" ca="1" si="167"/>
        <v>62.700219914504352</v>
      </c>
      <c r="Q209" s="43">
        <f t="shared" ca="1" si="167"/>
        <v>65.834037947244838</v>
      </c>
      <c r="R209" s="43">
        <f t="shared" ca="1" si="167"/>
        <v>69.100389038075264</v>
      </c>
      <c r="S209" s="43">
        <f t="shared" ca="1" si="167"/>
        <v>72.501176438578511</v>
      </c>
      <c r="T209" s="43">
        <f t="shared" ca="1" si="167"/>
        <v>76.056518591007247</v>
      </c>
      <c r="U209" s="43">
        <f t="shared" ca="1" si="167"/>
        <v>79.796217354218498</v>
      </c>
      <c r="V209" s="43">
        <f t="shared" ca="1" si="167"/>
        <v>83.684085589983965</v>
      </c>
      <c r="W209" s="43">
        <f t="shared" ca="1" si="167"/>
        <v>87.738556405989641</v>
      </c>
      <c r="X209" s="43">
        <f t="shared" ca="1" si="167"/>
        <v>91.965994880033563</v>
      </c>
      <c r="Y209" s="43">
        <f t="shared" ca="1" si="167"/>
        <v>96.37559426012956</v>
      </c>
      <c r="Z209" s="43">
        <f t="shared" ca="1" si="167"/>
        <v>100.97242046310654</v>
      </c>
      <c r="AA209" s="43">
        <f t="shared" ca="1" si="167"/>
        <v>105.76090428183642</v>
      </c>
      <c r="AB209" s="43">
        <f t="shared" ca="1" si="167"/>
        <v>110.75890840741964</v>
      </c>
      <c r="AC209" s="43">
        <f t="shared" ca="1" si="167"/>
        <v>115.9700616891096</v>
      </c>
      <c r="AD209" s="43">
        <f t="shared" ca="1" si="167"/>
        <v>121.38720585346192</v>
      </c>
      <c r="AE209" s="43">
        <f t="shared" ca="1" si="167"/>
        <v>127.02978312119706</v>
      </c>
      <c r="AF209" s="43">
        <f t="shared" ca="1" si="167"/>
        <v>132.89574201235354</v>
      </c>
      <c r="AG209" s="43">
        <f t="shared" ca="1" si="167"/>
        <v>139.01195552634115</v>
      </c>
      <c r="AH209" s="43">
        <f t="shared" ca="1" si="167"/>
        <v>145.39497559413178</v>
      </c>
      <c r="AI209" s="43">
        <f t="shared" ca="1" si="167"/>
        <v>152.03554059894026</v>
      </c>
      <c r="AJ209" s="43">
        <f t="shared" ca="1" si="167"/>
        <v>158.93685904774435</v>
      </c>
      <c r="AK209" s="43">
        <f t="shared" ca="1" si="167"/>
        <v>166.12800891678864</v>
      </c>
      <c r="AL209" s="43">
        <f t="shared" ca="1" si="167"/>
        <v>173.61688062567148</v>
      </c>
      <c r="AM209" s="43">
        <f t="shared" ca="1" si="167"/>
        <v>181.41737736221094</v>
      </c>
      <c r="AN209" s="43">
        <f t="shared" ca="1" si="167"/>
        <v>189.57762013116127</v>
      </c>
      <c r="AO209" s="43">
        <f t="shared" ca="1" si="167"/>
        <v>198.10572017045735</v>
      </c>
      <c r="AP209" s="43">
        <f t="shared" ca="1" si="167"/>
        <v>207.03239525098417</v>
      </c>
      <c r="AQ209" s="43">
        <f t="shared" ca="1" si="167"/>
        <v>216.37388043734126</v>
      </c>
      <c r="AR209" s="43">
        <f t="shared" ca="1" si="167"/>
        <v>226.14671648527664</v>
      </c>
      <c r="AS209" s="43">
        <f t="shared" ca="1" si="167"/>
        <v>236.36011556320057</v>
      </c>
      <c r="AT209" s="43">
        <f t="shared" ca="1" si="167"/>
        <v>247.00559162709828</v>
      </c>
      <c r="AU209" s="43">
        <f t="shared" ca="1" si="167"/>
        <v>258.11502721874035</v>
      </c>
      <c r="AV209" s="43">
        <f t="shared" ca="1" si="167"/>
        <v>269.70094534698819</v>
      </c>
      <c r="AW209" s="43">
        <f t="shared" ca="1" si="167"/>
        <v>281.78903149148846</v>
      </c>
    </row>
    <row r="210" spans="1:49" ht="15" x14ac:dyDescent="0.25">
      <c r="A210" s="2"/>
      <c r="D210" s="55"/>
      <c r="E210" s="56"/>
      <c r="F210" s="56"/>
      <c r="G210" s="56"/>
      <c r="H210" s="56"/>
      <c r="I210" s="56"/>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row>
    <row r="211" spans="1:49" x14ac:dyDescent="0.2">
      <c r="A211" s="22" t="s">
        <v>534</v>
      </c>
    </row>
    <row r="212" spans="1:49" x14ac:dyDescent="0.2">
      <c r="A212" s="1" t="s">
        <v>324</v>
      </c>
      <c r="B212" s="4" t="str">
        <f t="shared" ref="B212:B215" si="168">$B$43</f>
        <v>From Fiscal</v>
      </c>
      <c r="D212" s="18">
        <f>Fiscal!D$159</f>
        <v>3.7829999999999999</v>
      </c>
      <c r="E212" s="19">
        <f>Fiscal!E$159</f>
        <v>3.6469999999999998</v>
      </c>
      <c r="F212" s="19">
        <f>Fiscal!F$159</f>
        <v>3.6819999999999999</v>
      </c>
      <c r="G212" s="19">
        <f>Fiscal!G$159</f>
        <v>3.7810000000000001</v>
      </c>
      <c r="H212" s="19">
        <f>Fiscal!H$159</f>
        <v>3.738</v>
      </c>
      <c r="I212" s="19">
        <f>Fiscal!I$159</f>
        <v>3.7429999999999999</v>
      </c>
      <c r="J212" s="7">
        <f t="shared" ref="J212:AW212" ca="1" si="169">(I$75+(J$334-I$334-SUM(J$472-J$364,J$473,J$474+J$363-(J$338-I$338)-J$365+(J$446-I$446),J$475)+SUM(J$476,J$477,I$478,J$229,J$231)-SUM(J$486,J$493-I$493)+I$212-I$478)/2)*J$217</f>
        <v>3.9477016731896262</v>
      </c>
      <c r="K212" s="7">
        <f t="shared" ca="1" si="169"/>
        <v>4.3057814476308094</v>
      </c>
      <c r="L212" s="7">
        <f t="shared" ca="1" si="169"/>
        <v>4.7412013320141968</v>
      </c>
      <c r="M212" s="7">
        <f t="shared" ca="1" si="169"/>
        <v>5.2682883401384002</v>
      </c>
      <c r="N212" s="7">
        <f t="shared" ca="1" si="169"/>
        <v>5.8874054404000287</v>
      </c>
      <c r="O212" s="7">
        <f t="shared" ca="1" si="169"/>
        <v>6.6121130305820799</v>
      </c>
      <c r="P212" s="7">
        <f t="shared" ca="1" si="169"/>
        <v>7.4585384635208918</v>
      </c>
      <c r="Q212" s="7">
        <f t="shared" ca="1" si="169"/>
        <v>8.1607834442444762</v>
      </c>
      <c r="R212" s="7">
        <f t="shared" ca="1" si="169"/>
        <v>8.9467382561047533</v>
      </c>
      <c r="S212" s="7">
        <f t="shared" ca="1" si="169"/>
        <v>9.8340493115316185</v>
      </c>
      <c r="T212" s="7">
        <f t="shared" ca="1" si="169"/>
        <v>10.833554260681455</v>
      </c>
      <c r="U212" s="7">
        <f t="shared" ca="1" si="169"/>
        <v>11.95789458259679</v>
      </c>
      <c r="V212" s="7">
        <f t="shared" ca="1" si="169"/>
        <v>13.22030315665463</v>
      </c>
      <c r="W212" s="7">
        <f t="shared" ca="1" si="169"/>
        <v>14.628679176285466</v>
      </c>
      <c r="X212" s="7">
        <f t="shared" ca="1" si="169"/>
        <v>16.188706776836302</v>
      </c>
      <c r="Y212" s="7">
        <f t="shared" ca="1" si="169"/>
        <v>17.910900261948068</v>
      </c>
      <c r="Z212" s="7">
        <f t="shared" ca="1" si="169"/>
        <v>19.809071089640028</v>
      </c>
      <c r="AA212" s="7">
        <f t="shared" ca="1" si="169"/>
        <v>21.898133060644188</v>
      </c>
      <c r="AB212" s="7">
        <f t="shared" ca="1" si="169"/>
        <v>24.192963216776342</v>
      </c>
      <c r="AC212" s="7">
        <f t="shared" ca="1" si="169"/>
        <v>26.708687304454443</v>
      </c>
      <c r="AD212" s="7">
        <f t="shared" ca="1" si="169"/>
        <v>29.460701414471544</v>
      </c>
      <c r="AE212" s="7">
        <f t="shared" ca="1" si="169"/>
        <v>32.465381579349639</v>
      </c>
      <c r="AF212" s="7">
        <f t="shared" ca="1" si="169"/>
        <v>35.740664832857867</v>
      </c>
      <c r="AG212" s="7">
        <f t="shared" ca="1" si="169"/>
        <v>39.30520441066642</v>
      </c>
      <c r="AH212" s="7">
        <f t="shared" ca="1" si="169"/>
        <v>43.179325864109394</v>
      </c>
      <c r="AI212" s="7">
        <f t="shared" ca="1" si="169"/>
        <v>47.384903912308232</v>
      </c>
      <c r="AJ212" s="7">
        <f t="shared" ca="1" si="169"/>
        <v>51.945415498581561</v>
      </c>
      <c r="AK212" s="7">
        <f t="shared" ca="1" si="169"/>
        <v>56.887344946574729</v>
      </c>
      <c r="AL212" s="7">
        <f t="shared" ca="1" si="169"/>
        <v>62.238543210874589</v>
      </c>
      <c r="AM212" s="7">
        <f t="shared" ca="1" si="169"/>
        <v>68.02894279982722</v>
      </c>
      <c r="AN212" s="7">
        <f t="shared" ca="1" si="169"/>
        <v>74.291449429377835</v>
      </c>
      <c r="AO212" s="7">
        <f t="shared" ca="1" si="169"/>
        <v>81.063538638335146</v>
      </c>
      <c r="AP212" s="7">
        <f t="shared" ca="1" si="169"/>
        <v>88.385902722504738</v>
      </c>
      <c r="AQ212" s="7">
        <f t="shared" ca="1" si="169"/>
        <v>96.303372492827677</v>
      </c>
      <c r="AR212" s="7">
        <f t="shared" ca="1" si="169"/>
        <v>104.86350754573337</v>
      </c>
      <c r="AS212" s="7">
        <f t="shared" ca="1" si="169"/>
        <v>114.11875772500565</v>
      </c>
      <c r="AT212" s="7">
        <f t="shared" ca="1" si="169"/>
        <v>124.12304568419606</v>
      </c>
      <c r="AU212" s="7">
        <f t="shared" ca="1" si="169"/>
        <v>134.9316001021744</v>
      </c>
      <c r="AV212" s="7">
        <f t="shared" ca="1" si="169"/>
        <v>146.60486953750893</v>
      </c>
      <c r="AW212" s="7">
        <f t="shared" ca="1" si="169"/>
        <v>159.20803239406141</v>
      </c>
    </row>
    <row r="213" spans="1:49" x14ac:dyDescent="0.2">
      <c r="A213" s="1" t="s">
        <v>295</v>
      </c>
      <c r="B213" s="4" t="str">
        <f t="shared" si="168"/>
        <v>From Fiscal</v>
      </c>
      <c r="D213" s="18">
        <f>Fiscal!D$254</f>
        <v>0.221</v>
      </c>
      <c r="E213" s="19">
        <f>Fiscal!E$254</f>
        <v>0.17599999999999999</v>
      </c>
      <c r="F213" s="19">
        <f>Fiscal!F$254</f>
        <v>0.20899999999999999</v>
      </c>
      <c r="G213" s="19">
        <f>Fiscal!G$254</f>
        <v>0.20399999999999999</v>
      </c>
      <c r="H213" s="19">
        <f>Fiscal!H$254</f>
        <v>0.20699999999999999</v>
      </c>
      <c r="I213" s="19">
        <f>Fiscal!I$254</f>
        <v>0.20699999999999999</v>
      </c>
      <c r="J213" s="7">
        <f ca="1">IF(J$6=OFFSET(Assumptions!$B$8,0,$C$1),AVERAGE(G$213/SUM(G$213:G$215),H$213/SUM(H$213:H$215),I$213/SUM(I$213:I$215)),I$213/SUM(I$213:I$215))*((I$74+(J$335-I$335-SUM(J$91,J$104,J$105-J$107)+SUM(J$92,J$93,I$94,J$229,J$231)+I$216-I$94)/2)*J$218-J$212)</f>
        <v>0.21977781250895664</v>
      </c>
      <c r="K213" s="7">
        <f ca="1">IF(K$6=OFFSET(Assumptions!$B$8,0,$C$1),AVERAGE(H$213/SUM(H$213:H$215),I$213/SUM(I$213:I$215),J$213/SUM(J$213:J$215)),J$213/SUM(J$213:J$215))*((J$74+(K$335-J$335-SUM(K$91,K$104,K$105-K$107)+SUM(K$92,K$93,J$94,K$229,K$231)+J$216-J$94)/2)*K$218-K$212)</f>
        <v>0.21061756921104605</v>
      </c>
      <c r="L213" s="7">
        <f ca="1">IF(L$6=OFFSET(Assumptions!$B$8,0,$C$1),AVERAGE(I$213/SUM(I$213:I$215),J$213/SUM(J$213:J$215),K$213/SUM(K$213:K$215)),K$213/SUM(K$213:K$215))*((K$74+(L$335-K$335-SUM(L$91,L$104,L$105-L$107)+SUM(L$92,L$93,K$94,L$229,L$231)+K$216-K$94)/2)*L$218-L$212)</f>
        <v>0.20604857260259971</v>
      </c>
      <c r="M213" s="7">
        <f ca="1">IF(M$6=OFFSET(Assumptions!$B$8,0,$C$1),AVERAGE(J$213/SUM(J$213:J$215),K$213/SUM(K$213:K$215),L$213/SUM(L$213:L$215)),L$213/SUM(L$213:L$215))*((L$74+(M$335-L$335-SUM(M$91,M$104,M$105-M$107)+SUM(M$92,M$93,L$94,M$229,M$231)+L$216-L$94)/2)*M$218-M$212)</f>
        <v>0.20062795077150014</v>
      </c>
      <c r="N213" s="7">
        <f ca="1">IF(N$6=OFFSET(Assumptions!$B$8,0,$C$1),AVERAGE(K$213/SUM(K$213:K$215),L$213/SUM(L$213:L$215),M$213/SUM(M$213:M$215)),M$213/SUM(M$213:M$215))*((M$74+(N$335-M$335-SUM(N$91,N$104,N$105-N$107)+SUM(N$92,N$93,M$94,N$229,N$231)+M$216-M$94)/2)*N$218-N$212)</f>
        <v>0.19432301158258933</v>
      </c>
      <c r="O213" s="7">
        <f ca="1">IF(O$6=OFFSET(Assumptions!$B$8,0,$C$1),AVERAGE(L$213/SUM(L$213:L$215),M$213/SUM(M$213:M$215),N$213/SUM(N$213:N$215)),N$213/SUM(N$213:N$215))*((N$74+(O$335-N$335-SUM(O$91,O$104,O$105-O$107)+SUM(O$92,O$93,N$94,O$229,O$231)+N$216-N$94)/2)*O$218-O$212)</f>
        <v>0.187450505470492</v>
      </c>
      <c r="P213" s="7">
        <f ca="1">IF(P$6=OFFSET(Assumptions!$B$8,0,$C$1),AVERAGE(M$213/SUM(M$213:M$215),N$213/SUM(N$213:N$215),O$213/SUM(O$213:O$215)),O$213/SUM(O$213:O$215))*((O$74+(P$335-O$335-SUM(P$91,P$104,P$105-P$107)+SUM(P$92,P$93,O$94,P$229,P$231)+O$216-O$94)/2)*P$218-P$212)</f>
        <v>0.17958699909501941</v>
      </c>
      <c r="Q213" s="7">
        <f ca="1">IF(Q$6=OFFSET(Assumptions!$B$8,0,$C$1),AVERAGE(N$213/SUM(N$213:N$215),O$213/SUM(O$213:O$215),P$213/SUM(P$213:P$215)),P$213/SUM(P$213:P$215))*((P$74+(Q$335-P$335-SUM(Q$91,Q$104,Q$105-Q$107)+SUM(Q$92,Q$93,P$94,Q$229,Q$231)+P$216-P$94)/2)*Q$218-Q$212)</f>
        <v>0.17231764766533092</v>
      </c>
      <c r="R213" s="7">
        <f ca="1">IF(R$6=OFFSET(Assumptions!$B$8,0,$C$1),AVERAGE(O$213/SUM(O$213:O$215),P$213/SUM(P$213:P$215),Q$213/SUM(Q$213:Q$215)),Q$213/SUM(Q$213:Q$215))*((Q$74+(R$335-Q$335-SUM(R$91,R$104,R$105-R$107)+SUM(R$92,R$93,Q$94,R$229,R$231)+Q$216-Q$94)/2)*R$218-R$212)</f>
        <v>0.16501346471809719</v>
      </c>
      <c r="S213" s="7">
        <f ca="1">IF(S$6=OFFSET(Assumptions!$B$8,0,$C$1),AVERAGE(P$213/SUM(P$213:P$215),Q$213/SUM(Q$213:Q$215),R$213/SUM(R$213:R$215)),R$213/SUM(R$213:R$215))*((R$74+(S$335-R$335-SUM(S$91,S$104,S$105-S$107)+SUM(S$92,S$93,R$94,S$229,S$231)+R$216-R$94)/2)*S$218-S$212)</f>
        <v>0.1574724218974321</v>
      </c>
      <c r="T213" s="7">
        <f ca="1">IF(T$6=OFFSET(Assumptions!$B$8,0,$C$1),AVERAGE(Q$213/SUM(Q$213:Q$215),R$213/SUM(R$213:R$215),S$213/SUM(S$213:S$215)),S$213/SUM(S$213:S$215))*((S$74+(T$335-S$335-SUM(T$91,T$104,T$105-T$107)+SUM(T$92,T$93,S$94,T$229,T$231)+S$216-S$94)/2)*T$218-T$212)</f>
        <v>0.14948369172513523</v>
      </c>
      <c r="U213" s="7">
        <f ca="1">IF(U$6=OFFSET(Assumptions!$B$8,0,$C$1),AVERAGE(R$213/SUM(R$213:R$215),S$213/SUM(S$213:S$215),T$213/SUM(T$213:T$215)),T$213/SUM(T$213:T$215))*((T$74+(U$335-T$335-SUM(U$91,U$104,U$105-U$107)+SUM(U$92,U$93,T$94,U$229,U$231)+T$216-T$94)/2)*U$218-U$212)</f>
        <v>0.14098574354818488</v>
      </c>
      <c r="V213" s="7">
        <f ca="1">IF(V$6=OFFSET(Assumptions!$B$8,0,$C$1),AVERAGE(S$213/SUM(S$213:S$215),T$213/SUM(T$213:T$215),U$213/SUM(U$213:U$215)),U$213/SUM(U$213:U$215))*((U$74+(V$335-U$335-SUM(V$91,V$104,V$105-V$107)+SUM(V$92,V$93,U$94,V$229,V$231)+U$216-U$94)/2)*V$218-V$212)</f>
        <v>0.13190352645243406</v>
      </c>
      <c r="W213" s="7">
        <f ca="1">IF(W$6=OFFSET(Assumptions!$B$8,0,$C$1),AVERAGE(T$213/SUM(T$213:T$215),U$213/SUM(U$213:U$215),V$213/SUM(V$213:V$215)),V$213/SUM(V$213:V$215))*((V$74+(W$335-V$335-SUM(W$91,W$104,W$105-W$107)+SUM(W$92,W$93,V$94,W$229,W$231)+V$216-V$94)/2)*W$218-W$212)</f>
        <v>0.12220055591954851</v>
      </c>
      <c r="X213" s="7">
        <f ca="1">IF(X$6=OFFSET(Assumptions!$B$8,0,$C$1),AVERAGE(U$213/SUM(U$213:U$215),V$213/SUM(V$213:V$215),W$213/SUM(W$213:W$215)),W$213/SUM(W$213:W$215))*((W$74+(X$335-W$335-SUM(X$91,X$104,X$105-X$107)+SUM(X$92,X$93,W$94,X$229,X$231)+W$216-W$94)/2)*X$218-X$212)</f>
        <v>0.1117131991944766</v>
      </c>
      <c r="Y213" s="7">
        <f ca="1">IF(Y$6=OFFSET(Assumptions!$B$8,0,$C$1),AVERAGE(V$213/SUM(V$213:V$215),W$213/SUM(W$213:W$215),X$213/SUM(X$213:X$215)),X$213/SUM(X$213:X$215))*((X$74+(Y$335-X$335-SUM(Y$91,Y$104,Y$105-Y$107)+SUM(Y$92,Y$93,X$94,Y$229,Y$231)+X$216-X$94)/2)*Y$218-Y$212)</f>
        <v>0.10022951844626247</v>
      </c>
      <c r="Z213" s="7">
        <f ca="1">IF(Z$6=OFFSET(Assumptions!$B$8,0,$C$1),AVERAGE(W$213/SUM(W$213:W$215),X$213/SUM(X$213:X$215),Y$213/SUM(Y$213:Y$215)),Y$213/SUM(Y$213:Y$215))*((Y$74+(Z$335-Y$335-SUM(Z$91,Z$104,Z$105-Z$107)+SUM(Z$92,Z$93,Y$94,Z$229,Z$231)+Y$216-Y$94)/2)*Z$218-Z$212)</f>
        <v>8.7559615138134941E-2</v>
      </c>
      <c r="AA213" s="7">
        <f ca="1">IF(AA$6=OFFSET(Assumptions!$B$8,0,$C$1),AVERAGE(X$213/SUM(X$213:X$215),Y$213/SUM(Y$213:Y$215),Z$213/SUM(Z$213:Z$215)),Z$213/SUM(Z$213:Z$215))*((Z$74+(AA$335-Z$335-SUM(AA$91,AA$104,AA$105-AA$107)+SUM(AA$92,AA$93,Z$94,AA$229,AA$231)+Z$216-Z$94)/2)*AA$218-AA$212)</f>
        <v>7.3461227832569809E-2</v>
      </c>
      <c r="AB213" s="7">
        <f ca="1">IF(AB$6=OFFSET(Assumptions!$B$8,0,$C$1),AVERAGE(Y$213/SUM(Y$213:Y$215),Z$213/SUM(Z$213:Z$215),AA$213/SUM(AA$213:AA$215)),AA$213/SUM(AA$213:AA$215))*((AA$74+(AB$335-AA$335-SUM(AB$91,AB$104,AB$105-AB$107)+SUM(AB$92,AB$93,AA$94,AB$229,AB$231)+AA$216-AA$94)/2)*AB$218-AB$212)</f>
        <v>5.7825418896082496E-2</v>
      </c>
      <c r="AC213" s="7">
        <f ca="1">IF(AC$6=OFFSET(Assumptions!$B$8,0,$C$1),AVERAGE(Z$213/SUM(Z$213:Z$215),AA$213/SUM(AA$213:AA$215),AB$213/SUM(AB$213:AB$215)),AB$213/SUM(AB$213:AB$215))*((AB$74+(AC$335-AB$335-SUM(AC$91,AC$104,AC$105-AC$107)+SUM(AC$92,AC$93,AB$94,AC$229,AC$231)+AB$216-AB$94)/2)*AC$218-AC$212)</f>
        <v>4.0400115233732693E-2</v>
      </c>
      <c r="AD213" s="7">
        <f ca="1">IF(AD$6=OFFSET(Assumptions!$B$8,0,$C$1),AVERAGE(AA$213/SUM(AA$213:AA$215),AB$213/SUM(AB$213:AB$215),AC$213/SUM(AC$213:AC$215)),AC$213/SUM(AC$213:AC$215))*((AC$74+(AD$335-AC$335-SUM(AD$91,AD$104,AD$105-AD$107)+SUM(AD$92,AD$93,AC$94,AD$229,AD$231)+AC$216-AC$94)/2)*AD$218-AD$212)</f>
        <v>2.0613538088383201E-2</v>
      </c>
      <c r="AE213" s="7">
        <f ca="1">IF(AE$6=OFFSET(Assumptions!$B$8,0,$C$1),AVERAGE(AB$213/SUM(AB$213:AB$215),AC$213/SUM(AC$213:AC$215),AD$213/SUM(AD$213:AD$215)),AD$213/SUM(AD$213:AD$215))*((AD$74+(AE$335-AD$335-SUM(AE$91,AE$104,AE$105-AE$107)+SUM(AE$92,AE$93,AD$94,AE$229,AE$231)+AD$216-AD$94)/2)*AE$218-AE$212)</f>
        <v>-1.9843491677155149E-3</v>
      </c>
      <c r="AF213" s="7">
        <f ca="1">IF(AF$6=OFFSET(Assumptions!$B$8,0,$C$1),AVERAGE(AC$213/SUM(AC$213:AC$215),AD$213/SUM(AD$213:AD$215),AE$213/SUM(AE$213:AE$215)),AE$213/SUM(AE$213:AE$215))*((AE$74+(AF$335-AE$335-SUM(AF$91,AF$104,AF$105-AF$107)+SUM(AF$92,AF$93,AE$94,AF$229,AF$231)+AE$216-AE$94)/2)*AF$218-AF$212)</f>
        <v>-2.7398907935020415E-2</v>
      </c>
      <c r="AG213" s="7">
        <f ca="1">IF(AG$6=OFFSET(Assumptions!$B$8,0,$C$1),AVERAGE(AD$213/SUM(AD$213:AD$215),AE$213/SUM(AE$213:AE$215),AF$213/SUM(AF$213:AF$215)),AF$213/SUM(AF$213:AF$215))*((AF$74+(AG$335-AF$335-SUM(AG$91,AG$104,AG$105-AG$107)+SUM(AG$92,AG$93,AF$94,AG$229,AG$231)+AF$216-AF$94)/2)*AG$218-AG$212)</f>
        <v>-5.5543654200076981E-2</v>
      </c>
      <c r="AH213" s="7">
        <f ca="1">IF(AH$6=OFFSET(Assumptions!$B$8,0,$C$1),AVERAGE(AE$213/SUM(AE$213:AE$215),AF$213/SUM(AF$213:AF$215),AG$213/SUM(AG$213:AG$215)),AG$213/SUM(AG$213:AG$215))*((AG$74+(AH$335-AG$335-SUM(AH$91,AH$104,AH$105-AH$107)+SUM(AH$92,AH$93,AG$94,AH$229,AH$231)+AG$216-AG$94)/2)*AH$218-AH$212)</f>
        <v>-8.6568013473582353E-2</v>
      </c>
      <c r="AI213" s="7">
        <f ca="1">IF(AI$6=OFFSET(Assumptions!$B$8,0,$C$1),AVERAGE(AF$213/SUM(AF$213:AF$215),AG$213/SUM(AG$213:AG$215),AH$213/SUM(AH$213:AH$215)),AH$213/SUM(AH$213:AH$215))*((AH$74+(AI$335-AH$335-SUM(AI$91,AI$104,AI$105-AI$107)+SUM(AI$92,AI$93,AH$94,AI$229,AI$231)+AH$216-AH$94)/2)*AI$218-AI$212)</f>
        <v>-0.12067933967763513</v>
      </c>
      <c r="AJ213" s="7">
        <f ca="1">IF(AJ$6=OFFSET(Assumptions!$B$8,0,$C$1),AVERAGE(AG$213/SUM(AG$213:AG$215),AH$213/SUM(AH$213:AH$215),AI$213/SUM(AI$213:AI$215)),AI$213/SUM(AI$213:AI$215))*((AI$74+(AJ$335-AI$335-SUM(AJ$91,AJ$104,AJ$105-AJ$107)+SUM(AJ$92,AJ$93,AI$94,AJ$229,AJ$231)+AI$216-AI$94)/2)*AJ$218-AJ$212)</f>
        <v>-0.1580642937347228</v>
      </c>
      <c r="AK213" s="7">
        <f ca="1">IF(AK$6=OFFSET(Assumptions!$B$8,0,$C$1),AVERAGE(AH$213/SUM(AH$213:AH$215),AI$213/SUM(AI$213:AI$215),AJ$213/SUM(AJ$213:AJ$215)),AJ$213/SUM(AJ$213:AJ$215))*((AJ$74+(AK$335-AJ$335-SUM(AK$91,AK$104,AK$105-AK$107)+SUM(AK$92,AK$93,AJ$94,AK$229,AK$231)+AJ$216-AJ$94)/2)*AK$218-AK$212)</f>
        <v>-0.19905746623251899</v>
      </c>
      <c r="AL213" s="7">
        <f ca="1">IF(AL$6=OFFSET(Assumptions!$B$8,0,$C$1),AVERAGE(AI$213/SUM(AI$213:AI$215),AJ$213/SUM(AJ$213:AJ$215),AK$213/SUM(AK$213:AK$215)),AK$213/SUM(AK$213:AK$215))*((AK$74+(AL$335-AK$335-SUM(AL$91,AL$104,AL$105-AL$107)+SUM(AL$92,AL$93,AK$94,AL$229,AL$231)+AK$216-AK$94)/2)*AL$218-AL$212)</f>
        <v>-0.24391882523042255</v>
      </c>
      <c r="AM213" s="7">
        <f ca="1">IF(AM$6=OFFSET(Assumptions!$B$8,0,$C$1),AVERAGE(AJ$213/SUM(AJ$213:AJ$215),AK$213/SUM(AK$213:AK$215),AL$213/SUM(AL$213:AL$215)),AL$213/SUM(AL$213:AL$215))*((AL$74+(AM$335-AL$335-SUM(AM$91,AM$104,AM$105-AM$107)+SUM(AM$92,AM$93,AL$94,AM$229,AM$231)+AL$216-AL$94)/2)*AM$218-AM$212)</f>
        <v>-0.29290773075111293</v>
      </c>
      <c r="AN213" s="7">
        <f ca="1">IF(AN$6=OFFSET(Assumptions!$B$8,0,$C$1),AVERAGE(AK$213/SUM(AK$213:AK$215),AL$213/SUM(AL$213:AL$215),AM$213/SUM(AM$213:AM$215)),AM$213/SUM(AM$213:AM$215))*((AM$74+(AN$335-AM$335-SUM(AN$91,AN$104,AN$105-AN$107)+SUM(AN$92,AN$93,AM$94,AN$229,AN$231)+AM$216-AM$94)/2)*AN$218-AN$212)</f>
        <v>-0.34633760287088744</v>
      </c>
      <c r="AO213" s="7">
        <f ca="1">IF(AO$6=OFFSET(Assumptions!$B$8,0,$C$1),AVERAGE(AL$213/SUM(AL$213:AL$215),AM$213/SUM(AM$213:AM$215),AN$213/SUM(AN$213:AN$215)),AN$213/SUM(AN$213:AN$215))*((AN$74+(AO$335-AN$335-SUM(AO$91,AO$104,AO$105-AO$107)+SUM(AO$92,AO$93,AN$94,AO$229,AO$231)+AN$216-AN$94)/2)*AO$218-AO$212)</f>
        <v>-0.40456426587075306</v>
      </c>
      <c r="AP213" s="7">
        <f ca="1">IF(AP$6=OFFSET(Assumptions!$B$8,0,$C$1),AVERAGE(AM$213/SUM(AM$213:AM$215),AN$213/SUM(AN$213:AN$215),AO$213/SUM(AO$213:AO$215)),AO$213/SUM(AO$213:AO$215))*((AO$74+(AP$335-AO$335-SUM(AP$91,AP$104,AP$105-AP$107)+SUM(AP$92,AP$93,AO$94,AP$229,AP$231)+AO$216-AO$94)/2)*AP$218-AP$212)</f>
        <v>-0.46778640008367212</v>
      </c>
      <c r="AQ213" s="7">
        <f ca="1">IF(AQ$6=OFFSET(Assumptions!$B$8,0,$C$1),AVERAGE(AN$213/SUM(AN$213:AN$215),AO$213/SUM(AO$213:AO$215),AP$213/SUM(AP$213:AP$215)),AP$213/SUM(AP$213:AP$215))*((AP$74+(AQ$335-AP$335-SUM(AQ$91,AQ$104,AQ$105-AQ$107)+SUM(AQ$92,AQ$93,AP$94,AQ$229,AQ$231)+AP$216-AP$94)/2)*AQ$218-AQ$212)</f>
        <v>-0.53652768780453464</v>
      </c>
      <c r="AR213" s="7">
        <f ca="1">IF(AR$6=OFFSET(Assumptions!$B$8,0,$C$1),AVERAGE(AO$213/SUM(AO$213:AO$215),AP$213/SUM(AP$213:AP$215),AQ$213/SUM(AQ$213:AQ$215)),AQ$213/SUM(AQ$213:AQ$215))*((AQ$74+(AR$335-AQ$335-SUM(AR$91,AR$104,AR$105-AR$107)+SUM(AR$92,AR$93,AQ$94,AR$229,AR$231)+AQ$216-AQ$94)/2)*AR$218-AR$212)</f>
        <v>-0.61110735322253595</v>
      </c>
      <c r="AS213" s="7">
        <f ca="1">IF(AS$6=OFFSET(Assumptions!$B$8,0,$C$1),AVERAGE(AP$213/SUM(AP$213:AP$215),AQ$213/SUM(AQ$213:AQ$215),AR$213/SUM(AR$213:AR$215)),AR$213/SUM(AR$213:AR$215))*((AR$74+(AS$335-AR$335-SUM(AS$91,AS$104,AS$105-AS$107)+SUM(AS$92,AS$93,AR$94,AS$229,AS$231)+AR$216-AR$94)/2)*AS$218-AS$212)</f>
        <v>-0.69207887512763311</v>
      </c>
      <c r="AT213" s="7">
        <f ca="1">IF(AT$6=OFFSET(Assumptions!$B$8,0,$C$1),AVERAGE(AQ$213/SUM(AQ$213:AQ$215),AR$213/SUM(AR$213:AR$215),AS$213/SUM(AS$213:AS$215)),AS$213/SUM(AS$213:AS$215))*((AS$74+(AT$335-AS$335-SUM(AT$91,AT$104,AT$105-AT$107)+SUM(AT$92,AT$93,AS$94,AT$229,AT$231)+AS$216-AS$94)/2)*AT$218-AT$212)</f>
        <v>-0.78078356574283569</v>
      </c>
      <c r="AU213" s="7">
        <f ca="1">IF(AU$6=OFFSET(Assumptions!$B$8,0,$C$1),AVERAGE(AR$213/SUM(AR$213:AR$215),AS$213/SUM(AS$213:AS$215),AT$213/SUM(AT$213:AT$215)),AT$213/SUM(AT$213:AT$215))*((AT$74+(AU$335-AT$335-SUM(AU$91,AU$104,AU$105-AU$107)+SUM(AU$92,AU$93,AT$94,AU$229,AU$231)+AT$216-AT$94)/2)*AU$218-AU$212)</f>
        <v>-0.87803147608335663</v>
      </c>
      <c r="AV213" s="7">
        <f ca="1">IF(AV$6=OFFSET(Assumptions!$B$8,0,$C$1),AVERAGE(AS$213/SUM(AS$213:AS$215),AT$213/SUM(AT$213:AT$215),AU$213/SUM(AU$213:AU$215)),AU$213/SUM(AU$213:AU$215))*((AU$74+(AV$335-AU$335-SUM(AV$91,AV$104,AV$105-AV$107)+SUM(AV$92,AV$93,AU$94,AV$229,AV$231)+AU$216-AU$94)/2)*AV$218-AV$212)</f>
        <v>-0.98411852791363208</v>
      </c>
      <c r="AW213" s="7">
        <f ca="1">IF(AW$6=OFFSET(Assumptions!$B$8,0,$C$1),AVERAGE(AT$213/SUM(AT$213:AT$215),AU$213/SUM(AU$213:AU$215),AV$213/SUM(AV$213:AV$215)),AV$213/SUM(AV$213:AV$215))*((AV$74+(AW$335-AV$335-SUM(AW$91,AW$104,AW$105-AW$107)+SUM(AW$92,AW$93,AV$94,AW$229,AW$231)+AV$216-AV$94)/2)*AW$218-AW$212)</f>
        <v>-1.0997813920241688</v>
      </c>
    </row>
    <row r="214" spans="1:49" x14ac:dyDescent="0.2">
      <c r="A214" s="1" t="s">
        <v>529</v>
      </c>
      <c r="B214" s="4" t="str">
        <f t="shared" si="168"/>
        <v>From Fiscal</v>
      </c>
      <c r="D214" s="18">
        <f>Fiscal!D$255</f>
        <v>1.28</v>
      </c>
      <c r="E214" s="19">
        <f>Fiscal!E$255</f>
        <v>1.246</v>
      </c>
      <c r="F214" s="19">
        <f>Fiscal!F$255</f>
        <v>1.276</v>
      </c>
      <c r="G214" s="19">
        <f>Fiscal!G$255</f>
        <v>1.381</v>
      </c>
      <c r="H214" s="19">
        <f>Fiscal!H$255</f>
        <v>1.42</v>
      </c>
      <c r="I214" s="19">
        <f>Fiscal!I$255</f>
        <v>1.5049999999999999</v>
      </c>
      <c r="J214" s="7">
        <f ca="1">IF(J$6=OFFSET(Assumptions!$B$8,0,$C$1),AVERAGE(G$214/SUM(G$213:G$215),H$214/SUM(H$213:H$215),I$214/SUM(I$213:I$215)),I$214/SUM(I$213:I$215))*((I$74+(J$335-I$335-SUM(J$91,J$104,J$105-J$107)+SUM(J$92,J$93,I$94,J$229,J$231)+I$216-I$94)/2)*J$218-J$212)</f>
        <v>1.5297755453819073</v>
      </c>
      <c r="K214" s="7">
        <f ca="1">IF(K$6=OFFSET(Assumptions!$B$8,0,$C$1),AVERAGE(H$214/SUM(H$213:H$215),I$214/SUM(I$213:I$215),J$214/SUM(J$213:J$215)),J$214/SUM(J$213:J$215))*((J$74+(K$335-J$335-SUM(K$91,K$104,K$105-K$107)+SUM(K$92,K$93,J$94,K$229,K$231)+J$216-J$94)/2)*K$218-K$212)</f>
        <v>1.466015168358767</v>
      </c>
      <c r="L214" s="7">
        <f ca="1">IF(L$6=OFFSET(Assumptions!$B$8,0,$C$1),AVERAGE(I$214/SUM(I$213:I$215),J$214/SUM(J$213:J$215),K$214/SUM(K$213:K$215)),K$214/SUM(K$213:K$215))*((K$74+(L$335-K$335-SUM(L$91,L$104,L$105-L$107)+SUM(L$92,L$93,K$94,L$229,L$231)+K$216-K$94)/2)*L$218-L$212)</f>
        <v>1.4342124163032144</v>
      </c>
      <c r="M214" s="7">
        <f ca="1">IF(M$6=OFFSET(Assumptions!$B$8,0,$C$1),AVERAGE(J$214/SUM(J$213:J$215),K$214/SUM(K$213:K$215),L$214/SUM(L$213:L$215)),L$214/SUM(L$213:L$215))*((L$74+(M$335-L$335-SUM(M$91,M$104,M$105-M$107)+SUM(M$92,M$93,L$94,M$229,M$231)+L$216-L$94)/2)*M$218-M$212)</f>
        <v>1.396481880070666</v>
      </c>
      <c r="N214" s="7">
        <f ca="1">IF(N$6=OFFSET(Assumptions!$B$8,0,$C$1),AVERAGE(K$214/SUM(K$213:K$215),L$214/SUM(L$213:L$215),M$214/SUM(M$213:M$215)),M$214/SUM(M$213:M$215))*((M$74+(N$335-M$335-SUM(N$91,N$104,N$105-N$107)+SUM(N$92,N$93,M$94,N$229,N$231)+M$216-M$94)/2)*N$218-N$212)</f>
        <v>1.352596004257234</v>
      </c>
      <c r="O214" s="7">
        <f ca="1">IF(O$6=OFFSET(Assumptions!$B$8,0,$C$1),AVERAGE(L$214/SUM(L$213:L$215),M$214/SUM(M$213:M$215),N$214/SUM(N$213:N$215)),N$214/SUM(N$213:N$215))*((N$74+(O$335-N$335-SUM(O$91,O$104,O$105-O$107)+SUM(O$92,O$93,N$94,O$229,O$231)+N$216-N$94)/2)*O$218-O$212)</f>
        <v>1.3047595476752225</v>
      </c>
      <c r="P214" s="7">
        <f ca="1">IF(P$6=OFFSET(Assumptions!$B$8,0,$C$1),AVERAGE(M$214/SUM(M$213:M$215),N$214/SUM(N$213:N$215),O$214/SUM(O$213:O$215)),O$214/SUM(O$213:O$215))*((O$74+(P$335-O$335-SUM(P$91,P$104,P$105-P$107)+SUM(P$92,P$93,O$94,P$229,P$231)+O$216-O$94)/2)*P$218-P$212)</f>
        <v>1.2500251792836796</v>
      </c>
      <c r="Q214" s="7">
        <f ca="1">IF(Q$6=OFFSET(Assumptions!$B$8,0,$C$1),AVERAGE(N$214/SUM(N$213:N$215),O$214/SUM(O$213:O$215),P$214/SUM(P$213:P$215)),P$214/SUM(P$213:P$215))*((P$74+(Q$335-P$335-SUM(Q$91,Q$104,Q$105-Q$107)+SUM(Q$92,Q$93,P$94,Q$229,Q$231)+P$216-P$94)/2)*Q$218-Q$212)</f>
        <v>1.1994264590535777</v>
      </c>
      <c r="R214" s="7">
        <f ca="1">IF(R$6=OFFSET(Assumptions!$B$8,0,$C$1),AVERAGE(O$214/SUM(O$213:O$215),P$214/SUM(P$213:P$215),Q$214/SUM(Q$213:Q$215)),Q$214/SUM(Q$213:Q$215))*((Q$74+(R$335-Q$335-SUM(R$91,R$104,R$105-R$107)+SUM(R$92,R$93,Q$94,R$229,R$231)+Q$216-Q$94)/2)*R$218-R$212)</f>
        <v>1.1485852921308779</v>
      </c>
      <c r="S214" s="7">
        <f ca="1">IF(S$6=OFFSET(Assumptions!$B$8,0,$C$1),AVERAGE(P$214/SUM(P$213:P$215),Q$214/SUM(Q$213:Q$215),R$214/SUM(R$213:R$215)),R$214/SUM(R$213:R$215))*((R$74+(S$335-R$335-SUM(S$91,S$104,S$105-S$107)+SUM(S$92,S$93,R$94,S$229,S$231)+R$216-R$94)/2)*S$218-S$212)</f>
        <v>1.0960954490387274</v>
      </c>
      <c r="T214" s="7">
        <f ca="1">IF(T$6=OFFSET(Assumptions!$B$8,0,$C$1),AVERAGE(Q$214/SUM(Q$213:Q$215),R$214/SUM(R$213:R$215),S$214/SUM(S$213:S$215)),S$214/SUM(S$213:S$215))*((S$74+(T$335-S$335-SUM(T$91,T$104,T$105-T$107)+SUM(T$92,T$93,S$94,T$229,T$231)+S$216-S$94)/2)*T$218-T$212)</f>
        <v>1.0404894535257077</v>
      </c>
      <c r="U214" s="7">
        <f ca="1">IF(U$6=OFFSET(Assumptions!$B$8,0,$C$1),AVERAGE(R$214/SUM(R$213:R$215),S$214/SUM(S$213:S$215),T$214/SUM(T$213:T$215)),T$214/SUM(T$213:T$215))*((T$74+(U$335-T$335-SUM(U$91,U$104,U$105-U$107)+SUM(U$92,U$93,T$94,U$229,U$231)+T$216-T$94)/2)*U$218-U$212)</f>
        <v>0.98133901809905788</v>
      </c>
      <c r="V214" s="7">
        <f ca="1">IF(V$6=OFFSET(Assumptions!$B$8,0,$C$1),AVERAGE(S$214/SUM(S$213:S$215),T$214/SUM(T$213:T$215),U$214/SUM(U$213:U$215)),U$214/SUM(U$213:U$215))*((U$74+(V$335-U$335-SUM(V$91,V$104,V$105-V$107)+SUM(V$92,V$93,U$94,V$229,V$231)+U$216-U$94)/2)*V$218-V$212)</f>
        <v>0.91812174674523128</v>
      </c>
      <c r="W214" s="7">
        <f ca="1">IF(W$6=OFFSET(Assumptions!$B$8,0,$C$1),AVERAGE(T$214/SUM(T$213:T$215),U$214/SUM(U$213:U$215),V$214/SUM(V$213:V$215)),V$214/SUM(V$213:V$215))*((V$74+(W$335-V$335-SUM(W$91,W$104,W$105-W$107)+SUM(W$92,W$93,V$94,W$229,W$231)+V$216-V$94)/2)*W$218-W$212)</f>
        <v>0.85058368696877118</v>
      </c>
      <c r="X214" s="7">
        <f ca="1">IF(X$6=OFFSET(Assumptions!$B$8,0,$C$1),AVERAGE(U$214/SUM(U$213:U$215),V$214/SUM(V$213:V$215),W$214/SUM(W$213:W$215)),W$214/SUM(W$213:W$215))*((W$74+(X$335-W$335-SUM(X$91,X$104,X$105-X$107)+SUM(X$92,X$93,W$94,X$229,X$231)+W$216-W$94)/2)*X$218-X$212)</f>
        <v>0.77758586398307883</v>
      </c>
      <c r="Y214" s="7">
        <f ca="1">IF(Y$6=OFFSET(Assumptions!$B$8,0,$C$1),AVERAGE(V$214/SUM(V$213:V$215),W$214/SUM(W$213:W$215),X$214/SUM(X$213:X$215)),X$214/SUM(X$213:X$215))*((X$74+(Y$335-X$335-SUM(Y$91,Y$104,Y$105-Y$107)+SUM(Y$92,Y$93,X$94,Y$229,Y$231)+X$216-X$94)/2)*Y$218-Y$212)</f>
        <v>0.69765307286534461</v>
      </c>
      <c r="Z214" s="7">
        <f ca="1">IF(Z$6=OFFSET(Assumptions!$B$8,0,$C$1),AVERAGE(W$214/SUM(W$213:W$215),X$214/SUM(X$213:X$215),Y$214/SUM(Y$213:Y$215)),Y$214/SUM(Y$213:Y$215))*((Y$74+(Z$335-Y$335-SUM(Z$91,Z$104,Z$105-Z$107)+SUM(Z$92,Z$93,Y$94,Z$229,Z$231)+Y$216-Y$94)/2)*Z$218-Z$212)</f>
        <v>0.60946351441145397</v>
      </c>
      <c r="AA214" s="7">
        <f ca="1">IF(AA$6=OFFSET(Assumptions!$B$8,0,$C$1),AVERAGE(X$214/SUM(X$213:X$215),Y$214/SUM(Y$213:Y$215),Z$214/SUM(Z$213:Z$215)),Z$214/SUM(Z$213:Z$215))*((Z$74+(AA$335-Z$335-SUM(AA$91,AA$104,AA$105-AA$107)+SUM(AA$92,AA$93,Z$94,AA$229,AA$231)+Z$216-Z$94)/2)*AA$218-AA$212)</f>
        <v>0.51133091456815849</v>
      </c>
      <c r="AB214" s="7">
        <f ca="1">IF(AB$6=OFFSET(Assumptions!$B$8,0,$C$1),AVERAGE(Y$214/SUM(Y$213:Y$215),Z$214/SUM(Z$213:Z$215),AA$214/SUM(AA$213:AA$215)),AA$214/SUM(AA$213:AA$215))*((AA$74+(AB$335-AA$335-SUM(AB$91,AB$104,AB$105-AB$107)+SUM(AB$92,AB$93,AA$94,AB$229,AB$231)+AA$216-AA$94)/2)*AB$218-AB$212)</f>
        <v>0.40249700694917445</v>
      </c>
      <c r="AC214" s="7">
        <f ca="1">IF(AC$6=OFFSET(Assumptions!$B$8,0,$C$1),AVERAGE(Z$214/SUM(Z$213:Z$215),AA$214/SUM(AA$213:AA$215),AB$214/SUM(AB$213:AB$215)),AB$214/SUM(AB$213:AB$215))*((AB$74+(AC$335-AB$335-SUM(AC$91,AC$104,AC$105-AC$107)+SUM(AC$92,AC$93,AB$94,AC$229,AC$231)+AB$216-AB$94)/2)*AC$218-AC$212)</f>
        <v>0.28120722292045147</v>
      </c>
      <c r="AD214" s="7">
        <f ca="1">IF(AD$6=OFFSET(Assumptions!$B$8,0,$C$1),AVERAGE(AA$214/SUM(AA$213:AA$215),AB$214/SUM(AB$213:AB$215),AC$214/SUM(AC$213:AC$215)),AC$214/SUM(AC$213:AC$215))*((AC$74+(AD$335-AC$335-SUM(AD$91,AD$104,AD$105-AD$107)+SUM(AD$92,AD$93,AC$94,AD$229,AD$231)+AC$216-AC$94)/2)*AD$218-AD$212)</f>
        <v>0.14348166501166731</v>
      </c>
      <c r="AE214" s="7">
        <f ca="1">IF(AE$6=OFFSET(Assumptions!$B$8,0,$C$1),AVERAGE(AB$214/SUM(AB$213:AB$215),AC$214/SUM(AC$213:AC$215),AD$214/SUM(AD$213:AD$215)),AD$214/SUM(AD$213:AD$215))*((AD$74+(AE$335-AD$335-SUM(AE$91,AE$104,AE$105-AE$107)+SUM(AE$92,AE$93,AD$94,AE$229,AE$231)+AD$216-AD$94)/2)*AE$218-AE$212)</f>
        <v>-1.38121714636068E-2</v>
      </c>
      <c r="AF214" s="7">
        <f ca="1">IF(AF$6=OFFSET(Assumptions!$B$8,0,$C$1),AVERAGE(AC$214/SUM(AC$213:AC$215),AD$214/SUM(AD$213:AD$215),AE$214/SUM(AE$213:AE$215)),AE$214/SUM(AE$213:AE$215))*((AE$74+(AF$335-AE$335-SUM(AF$91,AF$104,AF$105-AF$107)+SUM(AF$92,AF$93,AE$94,AF$229,AF$231)+AE$216-AE$94)/2)*AF$218-AF$212)</f>
        <v>-0.19071160482797325</v>
      </c>
      <c r="AG214" s="7">
        <f ca="1">IF(AG$6=OFFSET(Assumptions!$B$8,0,$C$1),AVERAGE(AD$214/SUM(AD$213:AD$215),AE$214/SUM(AE$213:AE$215),AF$214/SUM(AF$213:AF$215)),AF$214/SUM(AF$213:AF$215))*((AF$74+(AG$335-AF$335-SUM(AG$91,AG$104,AG$105-AG$107)+SUM(AG$92,AG$93,AF$94,AG$229,AG$231)+AF$216-AF$94)/2)*AG$218-AG$212)</f>
        <v>-0.38661465835166631</v>
      </c>
      <c r="AH214" s="7">
        <f ca="1">IF(AH$6=OFFSET(Assumptions!$B$8,0,$C$1),AVERAGE(AE$214/SUM(AE$213:AE$215),AF$214/SUM(AF$213:AF$215),AG$214/SUM(AG$213:AG$215)),AG$214/SUM(AG$213:AG$215))*((AG$74+(AH$335-AG$335-SUM(AH$91,AH$104,AH$105-AH$107)+SUM(AH$92,AH$93,AG$94,AH$229,AH$231)+AG$216-AG$94)/2)*AH$218-AH$212)</f>
        <v>-0.60256141651596817</v>
      </c>
      <c r="AI214" s="7">
        <f ca="1">IF(AI$6=OFFSET(Assumptions!$B$8,0,$C$1),AVERAGE(AF$214/SUM(AF$213:AF$215),AG$214/SUM(AG$213:AG$215),AH$214/SUM(AH$213:AH$215)),AH$214/SUM(AH$213:AH$215))*((AH$74+(AI$335-AH$335-SUM(AI$91,AI$104,AI$105-AI$107)+SUM(AI$92,AI$93,AH$94,AI$229,AI$231)+AH$216-AH$94)/2)*AI$218-AI$212)</f>
        <v>-0.83999517769410537</v>
      </c>
      <c r="AJ214" s="7">
        <f ca="1">IF(AJ$6=OFFSET(Assumptions!$B$8,0,$C$1),AVERAGE(AG$214/SUM(AG$213:AG$215),AH$214/SUM(AH$213:AH$215),AI$214/SUM(AI$213:AI$215)),AI$214/SUM(AI$213:AI$215))*((AI$74+(AJ$335-AI$335-SUM(AJ$91,AJ$104,AJ$105-AJ$107)+SUM(AJ$92,AJ$93,AI$94,AJ$229,AJ$231)+AI$216-AI$94)/2)*AJ$218-AJ$212)</f>
        <v>-1.1002152054979957</v>
      </c>
      <c r="AK214" s="7">
        <f ca="1">IF(AK$6=OFFSET(Assumptions!$B$8,0,$C$1),AVERAGE(AH$214/SUM(AH$213:AH$215),AI$214/SUM(AI$213:AI$215),AJ$214/SUM(AJ$213:AJ$215)),AJ$214/SUM(AJ$213:AJ$215))*((AJ$74+(AK$335-AJ$335-SUM(AK$91,AK$104,AK$105-AK$107)+SUM(AK$92,AK$93,AJ$94,AK$229,AK$231)+AJ$216-AJ$94)/2)*AK$218-AK$212)</f>
        <v>-1.3855504361059314</v>
      </c>
      <c r="AL214" s="7">
        <f ca="1">IF(AL$6=OFFSET(Assumptions!$B$8,0,$C$1),AVERAGE(AI$214/SUM(AI$213:AI$215),AJ$214/SUM(AJ$213:AJ$215),AK$214/SUM(AK$213:AK$215)),AK$214/SUM(AK$213:AK$215))*((AK$74+(AL$335-AK$335-SUM(AL$91,AL$104,AL$105-AL$107)+SUM(AL$92,AL$93,AK$94,AL$229,AL$231)+AK$216-AK$94)/2)*AL$218-AL$212)</f>
        <v>-1.6978103914860712</v>
      </c>
      <c r="AM214" s="7">
        <f ca="1">IF(AM$6=OFFSET(Assumptions!$B$8,0,$C$1),AVERAGE(AJ$214/SUM(AJ$213:AJ$215),AK$214/SUM(AK$213:AK$215),AL$214/SUM(AL$213:AL$215)),AL$214/SUM(AL$213:AL$215))*((AL$74+(AM$335-AL$335-SUM(AM$91,AM$104,AM$105-AM$107)+SUM(AM$92,AM$93,AL$94,AM$229,AM$231)+AL$216-AL$94)/2)*AM$218-AM$212)</f>
        <v>-2.0388003613335632</v>
      </c>
      <c r="AN214" s="7">
        <f ca="1">IF(AN$6=OFFSET(Assumptions!$B$8,0,$C$1),AVERAGE(AK$214/SUM(AK$213:AK$215),AL$214/SUM(AL$213:AL$215),AM$214/SUM(AM$213:AM$215)),AM$214/SUM(AM$213:AM$215))*((AM$74+(AN$335-AM$335-SUM(AN$91,AN$104,AN$105-AN$107)+SUM(AN$92,AN$93,AM$94,AN$229,AN$231)+AM$216-AM$94)/2)*AN$218-AN$212)</f>
        <v>-2.4107019233185008</v>
      </c>
      <c r="AO214" s="7">
        <f ca="1">IF(AO$6=OFFSET(Assumptions!$B$8,0,$C$1),AVERAGE(AL$214/SUM(AL$213:AL$215),AM$214/SUM(AM$213:AM$215),AN$214/SUM(AN$213:AN$215)),AN$214/SUM(AN$213:AN$215))*((AN$74+(AO$335-AN$335-SUM(AO$91,AO$104,AO$105-AO$107)+SUM(AO$92,AO$93,AN$94,AO$229,AO$231)+AN$216-AN$94)/2)*AO$218-AO$212)</f>
        <v>-2.8159918119088605</v>
      </c>
      <c r="AP214" s="7">
        <f ca="1">IF(AP$6=OFFSET(Assumptions!$B$8,0,$C$1),AVERAGE(AM$214/SUM(AM$213:AM$215),AN$214/SUM(AN$213:AN$215),AO$214/SUM(AO$213:AO$215)),AO$214/SUM(AO$213:AO$215))*((AO$74+(AP$335-AO$335-SUM(AP$91,AP$104,AP$105-AP$107)+SUM(AP$92,AP$93,AO$94,AP$229,AP$231)+AO$216-AO$94)/2)*AP$218-AP$212)</f>
        <v>-3.2560529524838899</v>
      </c>
      <c r="AQ214" s="7">
        <f ca="1">IF(AQ$6=OFFSET(Assumptions!$B$8,0,$C$1),AVERAGE(AN$214/SUM(AN$213:AN$215),AO$214/SUM(AO$213:AO$215),AP$214/SUM(AP$213:AP$215)),AP$214/SUM(AP$213:AP$215))*((AP$74+(AQ$335-AP$335-SUM(AQ$91,AQ$104,AQ$105-AQ$107)+SUM(AQ$92,AQ$93,AP$94,AQ$229,AQ$231)+AP$216-AP$94)/2)*AQ$218-AQ$212)</f>
        <v>-3.7345304644445281</v>
      </c>
      <c r="AR214" s="7">
        <f ca="1">IF(AR$6=OFFSET(Assumptions!$B$8,0,$C$1),AVERAGE(AO$214/SUM(AO$213:AO$215),AP$214/SUM(AP$213:AP$215),AQ$214/SUM(AQ$213:AQ$215)),AQ$214/SUM(AQ$213:AQ$215))*((AQ$74+(AR$335-AQ$335-SUM(AR$91,AR$104,AR$105-AR$107)+SUM(AR$92,AR$93,AQ$94,AR$229,AR$231)+AQ$216-AQ$94)/2)*AR$218-AR$212)</f>
        <v>-4.2536463253077521</v>
      </c>
      <c r="AS214" s="7">
        <f ca="1">IF(AS$6=OFFSET(Assumptions!$B$8,0,$C$1),AVERAGE(AP$214/SUM(AP$213:AP$215),AQ$214/SUM(AQ$213:AQ$215),AR$214/SUM(AR$213:AR$215)),AR$214/SUM(AR$213:AR$215))*((AR$74+(AS$335-AR$335-SUM(AS$91,AS$104,AS$105-AS$107)+SUM(AS$92,AS$93,AR$94,AS$229,AS$231)+AR$216-AR$94)/2)*AS$218-AS$212)</f>
        <v>-4.8172530546163586</v>
      </c>
      <c r="AT214" s="7">
        <f ca="1">IF(AT$6=OFFSET(Assumptions!$B$8,0,$C$1),AVERAGE(AQ$214/SUM(AQ$213:AQ$215),AR$214/SUM(AR$213:AR$215),AS$214/SUM(AS$213:AS$215)),AS$214/SUM(AS$213:AS$215))*((AS$74+(AT$335-AS$335-SUM(AT$91,AT$104,AT$105-AT$107)+SUM(AT$92,AT$93,AS$94,AT$229,AT$231)+AS$216-AS$94)/2)*AT$218-AT$212)</f>
        <v>-5.4346869298319236</v>
      </c>
      <c r="AU214" s="7">
        <f ca="1">IF(AU$6=OFFSET(Assumptions!$B$8,0,$C$1),AVERAGE(AR$214/SUM(AR$213:AR$215),AS$214/SUM(AS$213:AS$215),AT$214/SUM(AT$213:AT$215)),AT$214/SUM(AT$213:AT$215))*((AT$74+(AU$335-AT$335-SUM(AU$91,AU$104,AU$105-AU$107)+SUM(AU$92,AU$93,AT$94,AU$229,AU$231)+AT$216-AT$94)/2)*AU$218-AU$212)</f>
        <v>-6.1115863555751782</v>
      </c>
      <c r="AV214" s="7">
        <f ca="1">IF(AV$6=OFFSET(Assumptions!$B$8,0,$C$1),AVERAGE(AS$214/SUM(AS$213:AS$215),AT$214/SUM(AT$213:AT$215),AU$214/SUM(AU$213:AU$215)),AU$214/SUM(AU$213:AU$215))*((AU$74+(AV$335-AU$335-SUM(AV$91,AV$104,AV$105-AV$107)+SUM(AV$92,AV$93,AU$94,AV$229,AV$231)+AU$216-AU$94)/2)*AV$218-AV$212)</f>
        <v>-6.8500111115546041</v>
      </c>
      <c r="AW214" s="7">
        <f ca="1">IF(AW$6=OFFSET(Assumptions!$B$8,0,$C$1),AVERAGE(AT$214/SUM(AT$213:AT$215),AU$214/SUM(AU$213:AU$215),AV$214/SUM(AV$213:AV$215)),AV$214/SUM(AV$213:AV$215))*((AV$74+(AW$335-AV$335-SUM(AW$91,AW$104,AW$105-AW$107)+SUM(AW$92,AW$93,AV$94,AW$229,AW$231)+AV$216-AV$94)/2)*AW$218-AW$212)</f>
        <v>-7.6550888353030784</v>
      </c>
    </row>
    <row r="215" spans="1:49" x14ac:dyDescent="0.2">
      <c r="A215" s="1" t="s">
        <v>530</v>
      </c>
      <c r="B215" s="4" t="str">
        <f t="shared" si="168"/>
        <v>From Fiscal</v>
      </c>
      <c r="D215" s="18">
        <f>Fiscal!D$256</f>
        <v>-0.72099999999999997</v>
      </c>
      <c r="E215" s="19">
        <f>Fiscal!E$256</f>
        <v>-0.59699999999999998</v>
      </c>
      <c r="F215" s="19">
        <f>Fiscal!F$256</f>
        <v>-0.60099999999999998</v>
      </c>
      <c r="G215" s="19">
        <f>Fiscal!G$256</f>
        <v>-0.55400000000000005</v>
      </c>
      <c r="H215" s="19">
        <f>Fiscal!H$256</f>
        <v>-0.55900000000000005</v>
      </c>
      <c r="I215" s="19">
        <f>Fiscal!I$256</f>
        <v>-0.59199999999999997</v>
      </c>
      <c r="J215" s="7">
        <f ca="1">IF(J$6=OFFSET(Assumptions!$B$8,0,$C$1),AVERAGE(G$215/SUM(G$213:G$215),H$215/SUM(H$213:H$215),I$215/SUM(I$213:I$215)),I$215/SUM(I$213:I$215))*((I$74+(J$335-I$335-SUM(J$91,J$104,J$105-J$107)+SUM(J$92,J$93,I$94,J$229,J$231)+I$216-I$94)/2)*J$218-J$212)</f>
        <v>-0.60588551075223218</v>
      </c>
      <c r="K215" s="7">
        <f ca="1">IF(K$6=OFFSET(Assumptions!$B$8,0,$C$1),AVERAGE(H$215/SUM(H$213:H$215),I$215/SUM(I$213:I$215),J$215/SUM(J$213:J$215)),J$215/SUM(J$213:J$215))*((J$74+(K$335-J$335-SUM(K$91,K$104,K$105-K$107)+SUM(K$92,K$93,J$94,K$229,K$231)+J$216-J$94)/2)*K$218-K$212)</f>
        <v>-0.58063246711779759</v>
      </c>
      <c r="L215" s="7">
        <f ca="1">IF(L$6=OFFSET(Assumptions!$B$8,0,$C$1),AVERAGE(I$215/SUM(I$213:I$215),J$215/SUM(J$213:J$215),K$215/SUM(K$213:K$215)),K$215/SUM(K$213:K$215))*((K$74+(L$335-K$335-SUM(L$91,L$104,L$105-L$107)+SUM(L$92,L$93,K$94,L$229,L$231)+K$216-K$94)/2)*L$218-L$212)</f>
        <v>-0.56803661491537882</v>
      </c>
      <c r="M215" s="7">
        <f ca="1">IF(M$6=OFFSET(Assumptions!$B$8,0,$C$1),AVERAGE(J$215/SUM(J$213:J$215),K$215/SUM(K$213:K$215),L$215/SUM(L$213:L$215)),L$215/SUM(L$213:L$215))*((L$74+(M$335-L$335-SUM(M$91,M$104,M$105-M$107)+SUM(M$92,M$93,L$94,M$229,M$231)+L$216-L$94)/2)*M$218-M$212)</f>
        <v>-0.5530929944050208</v>
      </c>
      <c r="N215" s="7">
        <f ca="1">IF(N$6=OFFSET(Assumptions!$B$8,0,$C$1),AVERAGE(K$215/SUM(K$213:K$215),L$215/SUM(L$213:L$215),M$215/SUM(M$213:M$215)),M$215/SUM(M$213:M$215))*((M$74+(N$335-M$335-SUM(N$91,N$104,N$105-N$107)+SUM(N$92,N$93,M$94,N$229,N$231)+M$216-M$94)/2)*N$218-N$212)</f>
        <v>-0.53571147960548071</v>
      </c>
      <c r="O215" s="7">
        <f ca="1">IF(O$6=OFFSET(Assumptions!$B$8,0,$C$1),AVERAGE(L$215/SUM(L$213:L$215),M$215/SUM(M$213:M$215),N$215/SUM(N$213:N$215)),N$215/SUM(N$213:N$215))*((N$74+(O$335-N$335-SUM(O$91,O$104,O$105-O$107)+SUM(O$92,O$93,N$94,O$229,O$231)+N$216-N$94)/2)*O$218-O$212)</f>
        <v>-0.51676529105104585</v>
      </c>
      <c r="P215" s="7">
        <f ca="1">IF(P$6=OFFSET(Assumptions!$B$8,0,$C$1),AVERAGE(M$215/SUM(M$213:M$215),N$215/SUM(N$213:N$215),O$215/SUM(O$213:O$215)),O$215/SUM(O$213:O$215))*((O$74+(P$335-O$335-SUM(P$91,P$104,P$105-P$107)+SUM(P$92,P$93,O$94,P$229,P$231)+O$216-O$94)/2)*P$218-P$212)</f>
        <v>-0.49508710378447413</v>
      </c>
      <c r="Q215" s="7">
        <f ca="1">IF(Q$6=OFFSET(Assumptions!$B$8,0,$C$1),AVERAGE(N$215/SUM(N$213:N$215),O$215/SUM(O$213:O$215),P$215/SUM(P$213:P$215)),P$215/SUM(P$213:P$215))*((P$74+(Q$335-P$335-SUM(Q$91,Q$104,Q$105-Q$107)+SUM(Q$92,Q$93,P$94,Q$229,Q$231)+P$216-P$94)/2)*Q$218-Q$212)</f>
        <v>-0.47504688837995146</v>
      </c>
      <c r="R215" s="7">
        <f ca="1">IF(R$6=OFFSET(Assumptions!$B$8,0,$C$1),AVERAGE(O$215/SUM(O$213:O$215),P$215/SUM(P$213:P$215),Q$215/SUM(Q$213:Q$215)),Q$215/SUM(Q$213:Q$215))*((Q$74+(R$335-Q$335-SUM(R$91,R$104,R$105-R$107)+SUM(R$92,R$93,Q$94,R$229,R$231)+Q$216-Q$94)/2)*R$218-R$212)</f>
        <v>-0.4549106491249898</v>
      </c>
      <c r="S215" s="7">
        <f ca="1">IF(S$6=OFFSET(Assumptions!$B$8,0,$C$1),AVERAGE(P$215/SUM(P$213:P$215),Q$215/SUM(Q$213:Q$215),R$215/SUM(R$213:R$215)),R$215/SUM(R$213:R$215))*((R$74+(S$335-R$335-SUM(S$91,S$104,S$105-S$107)+SUM(S$92,S$93,R$94,S$229,S$231)+R$216-R$94)/2)*S$218-S$212)</f>
        <v>-0.43412143237538314</v>
      </c>
      <c r="T215" s="7">
        <f ca="1">IF(T$6=OFFSET(Assumptions!$B$8,0,$C$1),AVERAGE(Q$215/SUM(Q$213:Q$215),R$215/SUM(R$213:R$215),S$215/SUM(S$213:S$215)),S$215/SUM(S$213:S$215))*((S$74+(T$335-S$335-SUM(T$91,T$104,T$105-T$107)+SUM(T$92,T$93,S$94,T$229,T$231)+S$216-S$94)/2)*T$218-T$212)</f>
        <v>-0.412098026984966</v>
      </c>
      <c r="U215" s="7">
        <f ca="1">IF(U$6=OFFSET(Assumptions!$B$8,0,$C$1),AVERAGE(R$215/SUM(R$213:R$215),S$215/SUM(S$213:S$215),T$215/SUM(T$213:T$215)),T$215/SUM(T$213:T$215))*((T$74+(U$335-T$335-SUM(U$91,U$104,U$105-U$107)+SUM(U$92,U$93,T$94,U$229,U$231)+T$216-T$94)/2)*U$218-U$212)</f>
        <v>-0.38867080467913057</v>
      </c>
      <c r="V215" s="7">
        <f ca="1">IF(V$6=OFFSET(Assumptions!$B$8,0,$C$1),AVERAGE(S$215/SUM(S$213:S$215),T$215/SUM(T$213:T$215),U$215/SUM(U$213:U$215)),U$215/SUM(U$213:U$215))*((U$74+(V$335-U$335-SUM(V$91,V$104,V$105-V$107)+SUM(V$92,V$93,U$94,V$229,V$231)+U$216-U$94)/2)*V$218-V$212)</f>
        <v>-0.36363286440207282</v>
      </c>
      <c r="W215" s="7">
        <f ca="1">IF(W$6=OFFSET(Assumptions!$B$8,0,$C$1),AVERAGE(T$215/SUM(T$213:T$215),U$215/SUM(U$213:U$215),V$215/SUM(V$213:V$215)),V$215/SUM(V$213:V$215))*((V$74+(W$335-V$335-SUM(W$91,W$104,W$105-W$107)+SUM(W$92,W$93,V$94,W$229,W$231)+V$216-V$94)/2)*W$218-W$212)</f>
        <v>-0.33688362529545629</v>
      </c>
      <c r="X215" s="7">
        <f ca="1">IF(X$6=OFFSET(Assumptions!$B$8,0,$C$1),AVERAGE(U$215/SUM(U$213:U$215),V$215/SUM(V$213:V$215),W$215/SUM(W$213:W$215)),W$215/SUM(W$213:W$215))*((W$74+(X$335-W$335-SUM(X$91,X$104,X$105-X$107)+SUM(X$92,X$93,W$94,X$229,X$231)+W$216-W$94)/2)*X$218-X$212)</f>
        <v>-0.30797198306336288</v>
      </c>
      <c r="Y215" s="7">
        <f ca="1">IF(Y$6=OFFSET(Assumptions!$B$8,0,$C$1),AVERAGE(V$215/SUM(V$213:V$215),W$215/SUM(W$213:W$215),X$215/SUM(X$213:X$215)),X$215/SUM(X$213:X$215))*((X$74+(Y$335-X$335-SUM(Y$91,Y$104,Y$105-Y$107)+SUM(Y$92,Y$93,X$94,Y$229,Y$231)+X$216-X$94)/2)*Y$218-Y$212)</f>
        <v>-0.27631366552885861</v>
      </c>
      <c r="Z215" s="7">
        <f ca="1">IF(Z$6=OFFSET(Assumptions!$B$8,0,$C$1),AVERAGE(W$215/SUM(W$213:W$215),X$215/SUM(X$213:X$215),Y$215/SUM(Y$213:Y$215)),Y$215/SUM(Y$213:Y$215))*((Y$74+(Z$335-Y$335-SUM(Z$91,Z$104,Z$105-Z$107)+SUM(Z$92,Z$93,Y$94,Z$229,Z$231)+Y$216-Y$94)/2)*Z$218-Z$212)</f>
        <v>-0.24138515864551063</v>
      </c>
      <c r="AA215" s="7">
        <f ca="1">IF(AA$6=OFFSET(Assumptions!$B$8,0,$C$1),AVERAGE(X$215/SUM(X$213:X$215),Y$215/SUM(Y$213:Y$215),Z$215/SUM(Z$213:Z$215)),Z$215/SUM(Z$213:Z$215))*((Z$74+(AA$335-Z$335-SUM(AA$91,AA$104,AA$105-AA$107)+SUM(AA$92,AA$93,Z$94,AA$229,AA$231)+Z$216-Z$94)/2)*AA$218-AA$212)</f>
        <v>-0.20251859383671311</v>
      </c>
      <c r="AB215" s="7">
        <f ca="1">IF(AB$6=OFFSET(Assumptions!$B$8,0,$C$1),AVERAGE(Y$215/SUM(Y$213:Y$215),Z$215/SUM(Z$213:Z$215),AA$215/SUM(AA$213:AA$215)),AA$215/SUM(AA$213:AA$215))*((AA$74+(AB$335-AA$335-SUM(AB$91,AB$104,AB$105-AB$107)+SUM(AB$92,AB$93,AA$94,AB$229,AB$231)+AA$216-AA$94)/2)*AB$218-AB$212)</f>
        <v>-0.1594136508246797</v>
      </c>
      <c r="AC215" s="7">
        <f ca="1">IF(AC$6=OFFSET(Assumptions!$B$8,0,$C$1),AVERAGE(Z$215/SUM(Z$213:Z$215),AA$215/SUM(AA$213:AA$215),AB$215/SUM(AB$213:AB$215)),AB$215/SUM(AB$213:AB$215))*((AB$74+(AC$335-AB$335-SUM(AC$91,AC$104,AC$105-AC$107)+SUM(AC$92,AC$93,AB$94,AC$229,AC$231)+AB$216-AB$94)/2)*AC$218-AC$212)</f>
        <v>-0.1113754121646908</v>
      </c>
      <c r="AD215" s="7">
        <f ca="1">IF(AD$6=OFFSET(Assumptions!$B$8,0,$C$1),AVERAGE(AA$215/SUM(AA$213:AA$215),AB$215/SUM(AB$213:AB$215),AC$215/SUM(AC$213:AC$215)),AC$215/SUM(AC$213:AC$215))*((AC$74+(AD$335-AC$335-SUM(AD$91,AD$104,AD$105-AD$107)+SUM(AD$92,AD$93,AC$94,AD$229,AD$231)+AC$216-AC$94)/2)*AD$218-AD$212)</f>
        <v>-5.6827592878974847E-2</v>
      </c>
      <c r="AE215" s="7">
        <f ca="1">IF(AE$6=OFFSET(Assumptions!$B$8,0,$C$1),AVERAGE(AB$215/SUM(AB$213:AB$215),AC$215/SUM(AC$213:AC$215),AD$215/SUM(AD$213:AD$215)),AD$215/SUM(AD$213:AD$215))*((AD$74+(AE$335-AD$335-SUM(AE$91,AE$104,AE$105-AE$107)+SUM(AE$92,AE$93,AD$94,AE$229,AE$231)+AD$216-AD$94)/2)*AE$218-AE$212)</f>
        <v>5.4704721794566272E-3</v>
      </c>
      <c r="AF215" s="7">
        <f ca="1">IF(AF$6=OFFSET(Assumptions!$B$8,0,$C$1),AVERAGE(AC$215/SUM(AC$213:AC$215),AD$215/SUM(AD$213:AD$215),AE$215/SUM(AE$213:AE$215)),AE$215/SUM(AE$213:AE$215))*((AE$74+(AF$335-AE$335-SUM(AF$91,AF$104,AF$105-AF$107)+SUM(AF$92,AF$93,AE$94,AF$229,AF$231)+AE$216-AE$94)/2)*AF$218-AF$212)</f>
        <v>7.5533563369080806E-2</v>
      </c>
      <c r="AG215" s="7">
        <f ca="1">IF(AG$6=OFFSET(Assumptions!$B$8,0,$C$1),AVERAGE(AD$215/SUM(AD$213:AD$215),AE$215/SUM(AE$213:AE$215),AF$215/SUM(AF$213:AF$215)),AF$215/SUM(AF$213:AF$215))*((AF$74+(AG$335-AF$335-SUM(AG$91,AG$104,AG$105-AG$107)+SUM(AG$92,AG$93,AF$94,AG$229,AG$231)+AF$216-AF$94)/2)*AG$218-AG$212)</f>
        <v>0.15312326075994384</v>
      </c>
      <c r="AH215" s="7">
        <f ca="1">IF(AH$6=OFFSET(Assumptions!$B$8,0,$C$1),AVERAGE(AE$215/SUM(AE$213:AE$215),AF$215/SUM(AF$213:AF$215),AG$215/SUM(AG$213:AG$215)),AG$215/SUM(AG$213:AG$215))*((AG$74+(AH$335-AG$335-SUM(AH$91,AH$104,AH$105-AH$107)+SUM(AH$92,AH$93,AG$94,AH$229,AH$231)+AG$216-AG$94)/2)*AH$218-AH$212)</f>
        <v>0.23865150198503346</v>
      </c>
      <c r="AI215" s="7">
        <f ca="1">IF(AI$6=OFFSET(Assumptions!$B$8,0,$C$1),AVERAGE(AF$215/SUM(AF$213:AF$215),AG$215/SUM(AG$213:AG$215),AH$215/SUM(AH$213:AH$215)),AH$215/SUM(AH$213:AH$215))*((AH$74+(AI$335-AH$335-SUM(AI$91,AI$104,AI$105-AI$107)+SUM(AI$92,AI$93,AH$94,AI$229,AI$231)+AH$216-AH$94)/2)*AI$218-AI$212)</f>
        <v>0.33268992225885546</v>
      </c>
      <c r="AJ215" s="7">
        <f ca="1">IF(AJ$6=OFFSET(Assumptions!$B$8,0,$C$1),AVERAGE(AG$215/SUM(AG$213:AG$215),AH$215/SUM(AH$213:AH$215),AI$215/SUM(AI$213:AI$215)),AI$215/SUM(AI$213:AI$215))*((AI$74+(AJ$335-AI$335-SUM(AJ$91,AJ$104,AJ$105-AJ$107)+SUM(AJ$92,AJ$93,AI$94,AJ$229,AJ$231)+AI$216-AI$94)/2)*AJ$218-AJ$212)</f>
        <v>0.4357531101427744</v>
      </c>
      <c r="AK215" s="7">
        <f ca="1">IF(AK$6=OFFSET(Assumptions!$B$8,0,$C$1),AVERAGE(AH$215/SUM(AH$213:AH$215),AI$215/SUM(AI$213:AI$215),AJ$215/SUM(AJ$213:AJ$215)),AJ$215/SUM(AJ$213:AJ$215))*((AJ$74+(AK$335-AJ$335-SUM(AK$91,AK$104,AK$105-AK$107)+SUM(AK$92,AK$93,AJ$94,AK$229,AK$231)+AJ$216-AJ$94)/2)*AK$218-AK$212)</f>
        <v>0.54876346807037191</v>
      </c>
      <c r="AL215" s="7">
        <f ca="1">IF(AL$6=OFFSET(Assumptions!$B$8,0,$C$1),AVERAGE(AI$215/SUM(AI$213:AI$215),AJ$215/SUM(AJ$213:AJ$215),AK$215/SUM(AK$213:AK$215)),AK$215/SUM(AK$213:AK$215))*((AK$74+(AL$335-AK$335-SUM(AL$91,AL$104,AL$105-AL$107)+SUM(AL$92,AL$93,AK$94,AL$229,AL$231)+AK$216-AK$94)/2)*AL$218-AL$212)</f>
        <v>0.67243767839756929</v>
      </c>
      <c r="AM215" s="7">
        <f ca="1">IF(AM$6=OFFSET(Assumptions!$B$8,0,$C$1),AVERAGE(AJ$215/SUM(AJ$213:AJ$215),AK$215/SUM(AK$213:AK$215),AL$215/SUM(AL$213:AL$215)),AL$215/SUM(AL$213:AL$215))*((AL$74+(AM$335-AL$335-SUM(AM$91,AM$104,AM$105-AM$107)+SUM(AM$92,AM$93,AL$94,AM$229,AM$231)+AL$216-AL$94)/2)*AM$218-AM$212)</f>
        <v>0.80749074723902348</v>
      </c>
      <c r="AN215" s="7">
        <f ca="1">IF(AN$6=OFFSET(Assumptions!$B$8,0,$C$1),AVERAGE(AK$215/SUM(AK$213:AK$215),AL$215/SUM(AL$213:AL$215),AM$215/SUM(AM$213:AM$215)),AM$215/SUM(AM$213:AM$215))*((AM$74+(AN$335-AM$335-SUM(AN$91,AN$104,AN$105-AN$107)+SUM(AN$92,AN$93,AM$94,AN$229,AN$231)+AM$216-AM$94)/2)*AN$218-AN$212)</f>
        <v>0.95478671396631443</v>
      </c>
      <c r="AO215" s="7">
        <f ca="1">IF(AO$6=OFFSET(Assumptions!$B$8,0,$C$1),AVERAGE(AL$215/SUM(AL$213:AL$215),AM$215/SUM(AM$213:AM$215),AN$215/SUM(AN$213:AN$215)),AN$215/SUM(AN$213:AN$215))*((AN$74+(AO$335-AN$335-SUM(AO$91,AO$104,AO$105-AO$107)+SUM(AO$92,AO$93,AN$94,AO$229,AO$231)+AN$216-AN$94)/2)*AO$218-AO$212)</f>
        <v>1.1153065182556303</v>
      </c>
      <c r="AP215" s="7">
        <f ca="1">IF(AP$6=OFFSET(Assumptions!$B$8,0,$C$1),AVERAGE(AM$215/SUM(AM$213:AM$215),AN$215/SUM(AN$213:AN$215),AO$215/SUM(AO$213:AO$215)),AO$215/SUM(AO$213:AO$215))*((AO$74+(AP$335-AO$335-SUM(AP$91,AP$104,AP$105-AP$107)+SUM(AP$92,AP$93,AO$94,AP$229,AP$231)+AO$216-AO$94)/2)*AP$218-AP$212)</f>
        <v>1.2895978838905466</v>
      </c>
      <c r="AQ215" s="7">
        <f ca="1">IF(AQ$6=OFFSET(Assumptions!$B$8,0,$C$1),AVERAGE(AN$215/SUM(AN$213:AN$215),AO$215/SUM(AO$213:AO$215),AP$215/SUM(AP$213:AP$215)),AP$215/SUM(AP$213:AP$215))*((AP$74+(AQ$335-AP$335-SUM(AQ$91,AQ$104,AQ$105-AQ$107)+SUM(AQ$92,AQ$93,AP$94,AQ$229,AQ$231)+AP$216-AP$94)/2)*AQ$218-AQ$212)</f>
        <v>1.4791045030758823</v>
      </c>
      <c r="AR215" s="7">
        <f ca="1">IF(AR$6=OFFSET(Assumptions!$B$8,0,$C$1),AVERAGE(AO$215/SUM(AO$213:AO$215),AP$215/SUM(AP$213:AP$215),AQ$215/SUM(AQ$213:AQ$215)),AQ$215/SUM(AQ$213:AQ$215))*((AQ$74+(AR$335-AQ$335-SUM(AR$91,AR$104,AR$105-AR$107)+SUM(AR$92,AR$93,AQ$94,AR$229,AR$231)+AQ$216-AQ$94)/2)*AR$218-AR$212)</f>
        <v>1.6847064160154555</v>
      </c>
      <c r="AS215" s="7">
        <f ca="1">IF(AS$6=OFFSET(Assumptions!$B$8,0,$C$1),AVERAGE(AP$215/SUM(AP$213:AP$215),AQ$215/SUM(AQ$213:AQ$215),AR$215/SUM(AR$213:AR$215)),AR$215/SUM(AR$213:AR$215))*((AR$74+(AS$335-AR$335-SUM(AS$91,AS$104,AS$105-AS$107)+SUM(AS$92,AS$93,AR$94,AS$229,AS$231)+AR$216-AR$94)/2)*AS$218-AS$212)</f>
        <v>1.9079294581678841</v>
      </c>
      <c r="AT215" s="7">
        <f ca="1">IF(AT$6=OFFSET(Assumptions!$B$8,0,$C$1),AVERAGE(AQ$215/SUM(AQ$213:AQ$215),AR$215/SUM(AR$213:AR$215),AS$215/SUM(AS$213:AS$215)),AS$215/SUM(AS$213:AS$215))*((AS$74+(AT$335-AS$335-SUM(AT$91,AT$104,AT$105-AT$107)+SUM(AT$92,AT$93,AS$94,AT$229,AT$231)+AS$216-AS$94)/2)*AT$218-AT$212)</f>
        <v>2.1524713715028367</v>
      </c>
      <c r="AU215" s="7">
        <f ca="1">IF(AU$6=OFFSET(Assumptions!$B$8,0,$C$1),AVERAGE(AR$215/SUM(AR$213:AR$215),AS$215/SUM(AS$213:AS$215),AT$215/SUM(AT$213:AT$215)),AT$215/SUM(AT$213:AT$215))*((AT$74+(AU$335-AT$335-SUM(AU$91,AU$104,AU$105-AU$107)+SUM(AU$92,AU$93,AT$94,AU$229,AU$231)+AT$216-AT$94)/2)*AU$218-AU$212)</f>
        <v>2.4205653121678101</v>
      </c>
      <c r="AV215" s="7">
        <f ca="1">IF(AV$6=OFFSET(Assumptions!$B$8,0,$C$1),AVERAGE(AS$215/SUM(AS$213:AS$215),AT$215/SUM(AT$213:AT$215),AU$215/SUM(AU$213:AU$215)),AU$215/SUM(AU$213:AU$215))*((AU$74+(AV$335-AU$335-SUM(AV$91,AV$104,AV$105-AV$107)+SUM(AV$92,AV$93,AU$94,AV$229,AV$231)+AU$216-AU$94)/2)*AV$218-AV$212)</f>
        <v>2.7130270800260439</v>
      </c>
      <c r="AW215" s="7">
        <f ca="1">IF(AW$6=OFFSET(Assumptions!$B$8,0,$C$1),AVERAGE(AT$215/SUM(AT$213:AT$215),AU$215/SUM(AU$213:AU$215),AV$215/SUM(AV$213:AV$215)),AV$215/SUM(AV$213:AV$215))*((AV$74+(AW$335-AV$335-SUM(AW$91,AW$104,AW$105-AW$107)+SUM(AW$92,AW$93,AV$94,AW$229,AW$231)+AV$216-AV$94)/2)*AW$218-AW$212)</f>
        <v>3.0318875359413684</v>
      </c>
    </row>
    <row r="216" spans="1:49" ht="15" x14ac:dyDescent="0.25">
      <c r="A216" s="2" t="s">
        <v>535</v>
      </c>
      <c r="D216" s="40">
        <f t="shared" ref="D216:I216" si="170">SUM(D$212:D$215)</f>
        <v>4.5629999999999997</v>
      </c>
      <c r="E216" s="39">
        <f t="shared" si="170"/>
        <v>4.4719999999999995</v>
      </c>
      <c r="F216" s="39">
        <f t="shared" si="170"/>
        <v>4.5659999999999998</v>
      </c>
      <c r="G216" s="39">
        <f t="shared" si="170"/>
        <v>4.8120000000000003</v>
      </c>
      <c r="H216" s="39">
        <f t="shared" si="170"/>
        <v>4.806</v>
      </c>
      <c r="I216" s="39">
        <f t="shared" si="170"/>
        <v>4.8630000000000004</v>
      </c>
      <c r="J216" s="43">
        <f t="shared" ref="J216:AW216" ca="1" si="171">SUM(J$212:J$215)</f>
        <v>5.0913695203282581</v>
      </c>
      <c r="K216" s="43">
        <f t="shared" ca="1" si="171"/>
        <v>5.4017817180828258</v>
      </c>
      <c r="L216" s="43">
        <f t="shared" ca="1" si="171"/>
        <v>5.813425706004633</v>
      </c>
      <c r="M216" s="43">
        <f t="shared" ca="1" si="171"/>
        <v>6.3123051765755456</v>
      </c>
      <c r="N216" s="43">
        <f t="shared" ca="1" si="171"/>
        <v>6.8986129766343707</v>
      </c>
      <c r="O216" s="43">
        <f t="shared" ca="1" si="171"/>
        <v>7.5875577926767495</v>
      </c>
      <c r="P216" s="43">
        <f t="shared" ca="1" si="171"/>
        <v>8.3930635381151166</v>
      </c>
      <c r="Q216" s="43">
        <f t="shared" ca="1" si="171"/>
        <v>9.0574806625834334</v>
      </c>
      <c r="R216" s="43">
        <f t="shared" ca="1" si="171"/>
        <v>9.8054263638287384</v>
      </c>
      <c r="S216" s="43">
        <f t="shared" ca="1" si="171"/>
        <v>10.653495750092397</v>
      </c>
      <c r="T216" s="43">
        <f t="shared" ca="1" si="171"/>
        <v>11.611429378947333</v>
      </c>
      <c r="U216" s="43">
        <f t="shared" ca="1" si="171"/>
        <v>12.691548539564904</v>
      </c>
      <c r="V216" s="43">
        <f t="shared" ca="1" si="171"/>
        <v>13.906695565450224</v>
      </c>
      <c r="W216" s="43">
        <f t="shared" ca="1" si="171"/>
        <v>15.26457979387833</v>
      </c>
      <c r="X216" s="43">
        <f t="shared" ca="1" si="171"/>
        <v>16.770033856950491</v>
      </c>
      <c r="Y216" s="43">
        <f t="shared" ca="1" si="171"/>
        <v>18.432469187730817</v>
      </c>
      <c r="Z216" s="43">
        <f t="shared" ca="1" si="171"/>
        <v>20.26470906054411</v>
      </c>
      <c r="AA216" s="43">
        <f t="shared" ca="1" si="171"/>
        <v>22.280406609208203</v>
      </c>
      <c r="AB216" s="43">
        <f t="shared" ca="1" si="171"/>
        <v>24.493871991796922</v>
      </c>
      <c r="AC216" s="43">
        <f t="shared" ca="1" si="171"/>
        <v>26.918919230443937</v>
      </c>
      <c r="AD216" s="43">
        <f t="shared" ca="1" si="171"/>
        <v>29.567969024692619</v>
      </c>
      <c r="AE216" s="43">
        <f t="shared" ca="1" si="171"/>
        <v>32.455055530897774</v>
      </c>
      <c r="AF216" s="43">
        <f t="shared" ca="1" si="171"/>
        <v>35.598087883463947</v>
      </c>
      <c r="AG216" s="43">
        <f t="shared" ca="1" si="171"/>
        <v>39.016169358874613</v>
      </c>
      <c r="AH216" s="43">
        <f t="shared" ca="1" si="171"/>
        <v>42.728847936104877</v>
      </c>
      <c r="AI216" s="43">
        <f t="shared" ca="1" si="171"/>
        <v>46.756919317195347</v>
      </c>
      <c r="AJ216" s="43">
        <f t="shared" ca="1" si="171"/>
        <v>51.122889109491616</v>
      </c>
      <c r="AK216" s="43">
        <f t="shared" ca="1" si="171"/>
        <v>55.85150051230665</v>
      </c>
      <c r="AL216" s="43">
        <f t="shared" ca="1" si="171"/>
        <v>60.969251672555664</v>
      </c>
      <c r="AM216" s="43">
        <f t="shared" ca="1" si="171"/>
        <v>66.504725454981582</v>
      </c>
      <c r="AN216" s="43">
        <f t="shared" ca="1" si="171"/>
        <v>72.489196617154761</v>
      </c>
      <c r="AO216" s="43">
        <f t="shared" ca="1" si="171"/>
        <v>78.958289078811177</v>
      </c>
      <c r="AP216" s="43">
        <f t="shared" ca="1" si="171"/>
        <v>85.951661253827737</v>
      </c>
      <c r="AQ216" s="43">
        <f t="shared" ca="1" si="171"/>
        <v>93.511418843654496</v>
      </c>
      <c r="AR216" s="43">
        <f t="shared" ca="1" si="171"/>
        <v>101.68346028321854</v>
      </c>
      <c r="AS216" s="43">
        <f t="shared" ca="1" si="171"/>
        <v>110.51735525342954</v>
      </c>
      <c r="AT216" s="43">
        <f t="shared" ca="1" si="171"/>
        <v>120.06004656012414</v>
      </c>
      <c r="AU216" s="43">
        <f t="shared" ca="1" si="171"/>
        <v>130.36254758268367</v>
      </c>
      <c r="AV216" s="43">
        <f t="shared" ca="1" si="171"/>
        <v>141.48376697806674</v>
      </c>
      <c r="AW216" s="43">
        <f t="shared" ca="1" si="171"/>
        <v>153.48504970267552</v>
      </c>
    </row>
    <row r="217" spans="1:49" x14ac:dyDescent="0.2">
      <c r="A217" s="4" t="s">
        <v>536</v>
      </c>
      <c r="D217" s="59"/>
      <c r="E217" s="60">
        <f>E$212/AVERAGE(D$75,E$75)</f>
        <v>3.8124807259080379E-2</v>
      </c>
      <c r="F217" s="60">
        <f>F$212/AVERAGE(E$75,F$75)</f>
        <v>3.7101601152749367E-2</v>
      </c>
      <c r="G217" s="60">
        <f>G$212/AVERAGE(F$75,G$75)</f>
        <v>3.7612721276902648E-2</v>
      </c>
      <c r="H217" s="60">
        <f>H$212/AVERAGE(G$75,H$75)</f>
        <v>3.9034068659443942E-2</v>
      </c>
      <c r="I217" s="60">
        <f>I$212/AVERAGE(H$75,I$75)</f>
        <v>4.0292369962108165E-2</v>
      </c>
      <c r="J217" s="9">
        <f ca="1">I$217 +IF(J$6=OFFSET(Assumptions!$B$8,0,$C$1),ABS(OFFSET(Assumptions!$B$17,0,$C$1)-I$217)/OFFSET(Assumptions!$B$25,0,$C$1),MIN(ABS(I$217-H$217),ABS(OFFSET(Assumptions!$B$17,0,$C$1)-I$217)))*SIGN(OFFSET(Assumptions!$B$17,0,$C$1)-I$217)</f>
        <v>4.2107745681807002E-2</v>
      </c>
      <c r="K217" s="9">
        <f ca="1">J$217 +IF(K$6=OFFSET(Assumptions!$B$8,0,$C$1),ABS(OFFSET(Assumptions!$B$17,0,$C$1)-J$217)/OFFSET(Assumptions!$B$25,0,$C$1),MIN(ABS(J$217-I$217),ABS(OFFSET(Assumptions!$B$17,0,$C$1)-J$217)))*SIGN(OFFSET(Assumptions!$B$17,0,$C$1)-J$217)</f>
        <v>4.3923121401505838E-2</v>
      </c>
      <c r="L217" s="9">
        <f ca="1">K$217 +IF(L$6=OFFSET(Assumptions!$B$8,0,$C$1),ABS(OFFSET(Assumptions!$B$17,0,$C$1)-K$217)/OFFSET(Assumptions!$B$25,0,$C$1),MIN(ABS(K$217-J$217),ABS(OFFSET(Assumptions!$B$17,0,$C$1)-K$217)))*SIGN(OFFSET(Assumptions!$B$17,0,$C$1)-K$217)</f>
        <v>4.5738497121204674E-2</v>
      </c>
      <c r="M217" s="9">
        <f ca="1">L$217 +IF(M$6=OFFSET(Assumptions!$B$8,0,$C$1),ABS(OFFSET(Assumptions!$B$17,0,$C$1)-L$217)/OFFSET(Assumptions!$B$25,0,$C$1),MIN(ABS(L$217-K$217),ABS(OFFSET(Assumptions!$B$17,0,$C$1)-L$217)))*SIGN(OFFSET(Assumptions!$B$17,0,$C$1)-L$217)</f>
        <v>4.7553872840903511E-2</v>
      </c>
      <c r="N217" s="9">
        <f ca="1">M$217 +IF(N$6=OFFSET(Assumptions!$B$8,0,$C$1),ABS(OFFSET(Assumptions!$B$17,0,$C$1)-M$217)/OFFSET(Assumptions!$B$25,0,$C$1),MIN(ABS(M$217-L$217),ABS(OFFSET(Assumptions!$B$17,0,$C$1)-M$217)))*SIGN(OFFSET(Assumptions!$B$17,0,$C$1)-M$217)</f>
        <v>4.9369248560602347E-2</v>
      </c>
      <c r="O217" s="9">
        <f ca="1">N$217 +IF(O$6=OFFSET(Assumptions!$B$8,0,$C$1),ABS(OFFSET(Assumptions!$B$17,0,$C$1)-N$217)/OFFSET(Assumptions!$B$25,0,$C$1),MIN(ABS(N$217-M$217),ABS(OFFSET(Assumptions!$B$17,0,$C$1)-N$217)))*SIGN(OFFSET(Assumptions!$B$17,0,$C$1)-N$217)</f>
        <v>5.1184624280301183E-2</v>
      </c>
      <c r="P217" s="9">
        <f ca="1">O$217 +IF(P$6=OFFSET(Assumptions!$B$8,0,$C$1),ABS(OFFSET(Assumptions!$B$17,0,$C$1)-O$217)/OFFSET(Assumptions!$B$25,0,$C$1),MIN(ABS(O$217-N$217),ABS(OFFSET(Assumptions!$B$17,0,$C$1)-O$217)))*SIGN(OFFSET(Assumptions!$B$17,0,$C$1)-O$217)</f>
        <v>5.2999999999999999E-2</v>
      </c>
      <c r="Q217" s="9">
        <f ca="1">P$217 +IF(Q$6=OFFSET(Assumptions!$B$8,0,$C$1),ABS(OFFSET(Assumptions!$B$17,0,$C$1)-P$217)/OFFSET(Assumptions!$B$25,0,$C$1),MIN(ABS(P$217-O$217),ABS(OFFSET(Assumptions!$B$17,0,$C$1)-P$217)))*SIGN(OFFSET(Assumptions!$B$17,0,$C$1)-P$217)</f>
        <v>5.2999999999999999E-2</v>
      </c>
      <c r="R217" s="9">
        <f ca="1">Q$217 +IF(R$6=OFFSET(Assumptions!$B$8,0,$C$1),ABS(OFFSET(Assumptions!$B$17,0,$C$1)-Q$217)/OFFSET(Assumptions!$B$25,0,$C$1),MIN(ABS(Q$217-P$217),ABS(OFFSET(Assumptions!$B$17,0,$C$1)-Q$217)))*SIGN(OFFSET(Assumptions!$B$17,0,$C$1)-Q$217)</f>
        <v>5.2999999999999999E-2</v>
      </c>
      <c r="S217" s="9">
        <f ca="1">R$217 +IF(S$6=OFFSET(Assumptions!$B$8,0,$C$1),ABS(OFFSET(Assumptions!$B$17,0,$C$1)-R$217)/OFFSET(Assumptions!$B$25,0,$C$1),MIN(ABS(R$217-Q$217),ABS(OFFSET(Assumptions!$B$17,0,$C$1)-R$217)))*SIGN(OFFSET(Assumptions!$B$17,0,$C$1)-R$217)</f>
        <v>5.2999999999999999E-2</v>
      </c>
      <c r="T217" s="9">
        <f ca="1">S$217 +IF(T$6=OFFSET(Assumptions!$B$8,0,$C$1),ABS(OFFSET(Assumptions!$B$17,0,$C$1)-S$217)/OFFSET(Assumptions!$B$25,0,$C$1),MIN(ABS(S$217-R$217),ABS(OFFSET(Assumptions!$B$17,0,$C$1)-S$217)))*SIGN(OFFSET(Assumptions!$B$17,0,$C$1)-S$217)</f>
        <v>5.2999999999999999E-2</v>
      </c>
      <c r="U217" s="9">
        <f ca="1">T$217 +IF(U$6=OFFSET(Assumptions!$B$8,0,$C$1),ABS(OFFSET(Assumptions!$B$17,0,$C$1)-T$217)/OFFSET(Assumptions!$B$25,0,$C$1),MIN(ABS(T$217-S$217),ABS(OFFSET(Assumptions!$B$17,0,$C$1)-T$217)))*SIGN(OFFSET(Assumptions!$B$17,0,$C$1)-T$217)</f>
        <v>5.2999999999999999E-2</v>
      </c>
      <c r="V217" s="9">
        <f ca="1">U$217 +IF(V$6=OFFSET(Assumptions!$B$8,0,$C$1),ABS(OFFSET(Assumptions!$B$17,0,$C$1)-U$217)/OFFSET(Assumptions!$B$25,0,$C$1),MIN(ABS(U$217-T$217),ABS(OFFSET(Assumptions!$B$17,0,$C$1)-U$217)))*SIGN(OFFSET(Assumptions!$B$17,0,$C$1)-U$217)</f>
        <v>5.2999999999999999E-2</v>
      </c>
      <c r="W217" s="9">
        <f ca="1">V$217 +IF(W$6=OFFSET(Assumptions!$B$8,0,$C$1),ABS(OFFSET(Assumptions!$B$17,0,$C$1)-V$217)/OFFSET(Assumptions!$B$25,0,$C$1),MIN(ABS(V$217-U$217),ABS(OFFSET(Assumptions!$B$17,0,$C$1)-V$217)))*SIGN(OFFSET(Assumptions!$B$17,0,$C$1)-V$217)</f>
        <v>5.2999999999999999E-2</v>
      </c>
      <c r="X217" s="9">
        <f ca="1">W$217 +IF(X$6=OFFSET(Assumptions!$B$8,0,$C$1),ABS(OFFSET(Assumptions!$B$17,0,$C$1)-W$217)/OFFSET(Assumptions!$B$25,0,$C$1),MIN(ABS(W$217-V$217),ABS(OFFSET(Assumptions!$B$17,0,$C$1)-W$217)))*SIGN(OFFSET(Assumptions!$B$17,0,$C$1)-W$217)</f>
        <v>5.2999999999999999E-2</v>
      </c>
      <c r="Y217" s="9">
        <f ca="1">X$217 +IF(Y$6=OFFSET(Assumptions!$B$8,0,$C$1),ABS(OFFSET(Assumptions!$B$17,0,$C$1)-X$217)/OFFSET(Assumptions!$B$25,0,$C$1),MIN(ABS(X$217-W$217),ABS(OFFSET(Assumptions!$B$17,0,$C$1)-X$217)))*SIGN(OFFSET(Assumptions!$B$17,0,$C$1)-X$217)</f>
        <v>5.2999999999999999E-2</v>
      </c>
      <c r="Z217" s="9">
        <f ca="1">Y$217 +IF(Z$6=OFFSET(Assumptions!$B$8,0,$C$1),ABS(OFFSET(Assumptions!$B$17,0,$C$1)-Y$217)/OFFSET(Assumptions!$B$25,0,$C$1),MIN(ABS(Y$217-X$217),ABS(OFFSET(Assumptions!$B$17,0,$C$1)-Y$217)))*SIGN(OFFSET(Assumptions!$B$17,0,$C$1)-Y$217)</f>
        <v>5.2999999999999999E-2</v>
      </c>
      <c r="AA217" s="9">
        <f ca="1">Z$217 +IF(AA$6=OFFSET(Assumptions!$B$8,0,$C$1),ABS(OFFSET(Assumptions!$B$17,0,$C$1)-Z$217)/OFFSET(Assumptions!$B$25,0,$C$1),MIN(ABS(Z$217-Y$217),ABS(OFFSET(Assumptions!$B$17,0,$C$1)-Z$217)))*SIGN(OFFSET(Assumptions!$B$17,0,$C$1)-Z$217)</f>
        <v>5.2999999999999999E-2</v>
      </c>
      <c r="AB217" s="9">
        <f ca="1">AA$217 +IF(AB$6=OFFSET(Assumptions!$B$8,0,$C$1),ABS(OFFSET(Assumptions!$B$17,0,$C$1)-AA$217)/OFFSET(Assumptions!$B$25,0,$C$1),MIN(ABS(AA$217-Z$217),ABS(OFFSET(Assumptions!$B$17,0,$C$1)-AA$217)))*SIGN(OFFSET(Assumptions!$B$17,0,$C$1)-AA$217)</f>
        <v>5.2999999999999999E-2</v>
      </c>
      <c r="AC217" s="9">
        <f ca="1">AB$217 +IF(AC$6=OFFSET(Assumptions!$B$8,0,$C$1),ABS(OFFSET(Assumptions!$B$17,0,$C$1)-AB$217)/OFFSET(Assumptions!$B$25,0,$C$1),MIN(ABS(AB$217-AA$217),ABS(OFFSET(Assumptions!$B$17,0,$C$1)-AB$217)))*SIGN(OFFSET(Assumptions!$B$17,0,$C$1)-AB$217)</f>
        <v>5.2999999999999999E-2</v>
      </c>
      <c r="AD217" s="9">
        <f ca="1">AC$217 +IF(AD$6=OFFSET(Assumptions!$B$8,0,$C$1),ABS(OFFSET(Assumptions!$B$17,0,$C$1)-AC$217)/OFFSET(Assumptions!$B$25,0,$C$1),MIN(ABS(AC$217-AB$217),ABS(OFFSET(Assumptions!$B$17,0,$C$1)-AC$217)))*SIGN(OFFSET(Assumptions!$B$17,0,$C$1)-AC$217)</f>
        <v>5.2999999999999999E-2</v>
      </c>
      <c r="AE217" s="9">
        <f ca="1">AD$217 +IF(AE$6=OFFSET(Assumptions!$B$8,0,$C$1),ABS(OFFSET(Assumptions!$B$17,0,$C$1)-AD$217)/OFFSET(Assumptions!$B$25,0,$C$1),MIN(ABS(AD$217-AC$217),ABS(OFFSET(Assumptions!$B$17,0,$C$1)-AD$217)))*SIGN(OFFSET(Assumptions!$B$17,0,$C$1)-AD$217)</f>
        <v>5.2999999999999999E-2</v>
      </c>
      <c r="AF217" s="9">
        <f ca="1">AE$217 +IF(AF$6=OFFSET(Assumptions!$B$8,0,$C$1),ABS(OFFSET(Assumptions!$B$17,0,$C$1)-AE$217)/OFFSET(Assumptions!$B$25,0,$C$1),MIN(ABS(AE$217-AD$217),ABS(OFFSET(Assumptions!$B$17,0,$C$1)-AE$217)))*SIGN(OFFSET(Assumptions!$B$17,0,$C$1)-AE$217)</f>
        <v>5.2999999999999999E-2</v>
      </c>
      <c r="AG217" s="9">
        <f ca="1">AF$217 +IF(AG$6=OFFSET(Assumptions!$B$8,0,$C$1),ABS(OFFSET(Assumptions!$B$17,0,$C$1)-AF$217)/OFFSET(Assumptions!$B$25,0,$C$1),MIN(ABS(AF$217-AE$217),ABS(OFFSET(Assumptions!$B$17,0,$C$1)-AF$217)))*SIGN(OFFSET(Assumptions!$B$17,0,$C$1)-AF$217)</f>
        <v>5.2999999999999999E-2</v>
      </c>
      <c r="AH217" s="9">
        <f ca="1">AG$217 +IF(AH$6=OFFSET(Assumptions!$B$8,0,$C$1),ABS(OFFSET(Assumptions!$B$17,0,$C$1)-AG$217)/OFFSET(Assumptions!$B$25,0,$C$1),MIN(ABS(AG$217-AF$217),ABS(OFFSET(Assumptions!$B$17,0,$C$1)-AG$217)))*SIGN(OFFSET(Assumptions!$B$17,0,$C$1)-AG$217)</f>
        <v>5.2999999999999999E-2</v>
      </c>
      <c r="AI217" s="9">
        <f ca="1">AH$217 +IF(AI$6=OFFSET(Assumptions!$B$8,0,$C$1),ABS(OFFSET(Assumptions!$B$17,0,$C$1)-AH$217)/OFFSET(Assumptions!$B$25,0,$C$1),MIN(ABS(AH$217-AG$217),ABS(OFFSET(Assumptions!$B$17,0,$C$1)-AH$217)))*SIGN(OFFSET(Assumptions!$B$17,0,$C$1)-AH$217)</f>
        <v>5.2999999999999999E-2</v>
      </c>
      <c r="AJ217" s="9">
        <f ca="1">AI$217 +IF(AJ$6=OFFSET(Assumptions!$B$8,0,$C$1),ABS(OFFSET(Assumptions!$B$17,0,$C$1)-AI$217)/OFFSET(Assumptions!$B$25,0,$C$1),MIN(ABS(AI$217-AH$217),ABS(OFFSET(Assumptions!$B$17,0,$C$1)-AI$217)))*SIGN(OFFSET(Assumptions!$B$17,0,$C$1)-AI$217)</f>
        <v>5.2999999999999999E-2</v>
      </c>
      <c r="AK217" s="9">
        <f ca="1">AJ$217 +IF(AK$6=OFFSET(Assumptions!$B$8,0,$C$1),ABS(OFFSET(Assumptions!$B$17,0,$C$1)-AJ$217)/OFFSET(Assumptions!$B$25,0,$C$1),MIN(ABS(AJ$217-AI$217),ABS(OFFSET(Assumptions!$B$17,0,$C$1)-AJ$217)))*SIGN(OFFSET(Assumptions!$B$17,0,$C$1)-AJ$217)</f>
        <v>5.2999999999999999E-2</v>
      </c>
      <c r="AL217" s="9">
        <f ca="1">AK$217 +IF(AL$6=OFFSET(Assumptions!$B$8,0,$C$1),ABS(OFFSET(Assumptions!$B$17,0,$C$1)-AK$217)/OFFSET(Assumptions!$B$25,0,$C$1),MIN(ABS(AK$217-AJ$217),ABS(OFFSET(Assumptions!$B$17,0,$C$1)-AK$217)))*SIGN(OFFSET(Assumptions!$B$17,0,$C$1)-AK$217)</f>
        <v>5.2999999999999999E-2</v>
      </c>
      <c r="AM217" s="9">
        <f ca="1">AL$217 +IF(AM$6=OFFSET(Assumptions!$B$8,0,$C$1),ABS(OFFSET(Assumptions!$B$17,0,$C$1)-AL$217)/OFFSET(Assumptions!$B$25,0,$C$1),MIN(ABS(AL$217-AK$217),ABS(OFFSET(Assumptions!$B$17,0,$C$1)-AL$217)))*SIGN(OFFSET(Assumptions!$B$17,0,$C$1)-AL$217)</f>
        <v>5.2999999999999999E-2</v>
      </c>
      <c r="AN217" s="9">
        <f ca="1">AM$217 +IF(AN$6=OFFSET(Assumptions!$B$8,0,$C$1),ABS(OFFSET(Assumptions!$B$17,0,$C$1)-AM$217)/OFFSET(Assumptions!$B$25,0,$C$1),MIN(ABS(AM$217-AL$217),ABS(OFFSET(Assumptions!$B$17,0,$C$1)-AM$217)))*SIGN(OFFSET(Assumptions!$B$17,0,$C$1)-AM$217)</f>
        <v>5.2999999999999999E-2</v>
      </c>
      <c r="AO217" s="9">
        <f ca="1">AN$217 +IF(AO$6=OFFSET(Assumptions!$B$8,0,$C$1),ABS(OFFSET(Assumptions!$B$17,0,$C$1)-AN$217)/OFFSET(Assumptions!$B$25,0,$C$1),MIN(ABS(AN$217-AM$217),ABS(OFFSET(Assumptions!$B$17,0,$C$1)-AN$217)))*SIGN(OFFSET(Assumptions!$B$17,0,$C$1)-AN$217)</f>
        <v>5.2999999999999999E-2</v>
      </c>
      <c r="AP217" s="9">
        <f ca="1">AO$217 +IF(AP$6=OFFSET(Assumptions!$B$8,0,$C$1),ABS(OFFSET(Assumptions!$B$17,0,$C$1)-AO$217)/OFFSET(Assumptions!$B$25,0,$C$1),MIN(ABS(AO$217-AN$217),ABS(OFFSET(Assumptions!$B$17,0,$C$1)-AO$217)))*SIGN(OFFSET(Assumptions!$B$17,0,$C$1)-AO$217)</f>
        <v>5.2999999999999999E-2</v>
      </c>
      <c r="AQ217" s="9">
        <f ca="1">AP$217 +IF(AQ$6=OFFSET(Assumptions!$B$8,0,$C$1),ABS(OFFSET(Assumptions!$B$17,0,$C$1)-AP$217)/OFFSET(Assumptions!$B$25,0,$C$1),MIN(ABS(AP$217-AO$217),ABS(OFFSET(Assumptions!$B$17,0,$C$1)-AP$217)))*SIGN(OFFSET(Assumptions!$B$17,0,$C$1)-AP$217)</f>
        <v>5.2999999999999999E-2</v>
      </c>
      <c r="AR217" s="9">
        <f ca="1">AQ$217 +IF(AR$6=OFFSET(Assumptions!$B$8,0,$C$1),ABS(OFFSET(Assumptions!$B$17,0,$C$1)-AQ$217)/OFFSET(Assumptions!$B$25,0,$C$1),MIN(ABS(AQ$217-AP$217),ABS(OFFSET(Assumptions!$B$17,0,$C$1)-AQ$217)))*SIGN(OFFSET(Assumptions!$B$17,0,$C$1)-AQ$217)</f>
        <v>5.2999999999999999E-2</v>
      </c>
      <c r="AS217" s="9">
        <f ca="1">AR$217 +IF(AS$6=OFFSET(Assumptions!$B$8,0,$C$1),ABS(OFFSET(Assumptions!$B$17,0,$C$1)-AR$217)/OFFSET(Assumptions!$B$25,0,$C$1),MIN(ABS(AR$217-AQ$217),ABS(OFFSET(Assumptions!$B$17,0,$C$1)-AR$217)))*SIGN(OFFSET(Assumptions!$B$17,0,$C$1)-AR$217)</f>
        <v>5.2999999999999999E-2</v>
      </c>
      <c r="AT217" s="9">
        <f ca="1">AS$217 +IF(AT$6=OFFSET(Assumptions!$B$8,0,$C$1),ABS(OFFSET(Assumptions!$B$17,0,$C$1)-AS$217)/OFFSET(Assumptions!$B$25,0,$C$1),MIN(ABS(AS$217-AR$217),ABS(OFFSET(Assumptions!$B$17,0,$C$1)-AS$217)))*SIGN(OFFSET(Assumptions!$B$17,0,$C$1)-AS$217)</f>
        <v>5.2999999999999999E-2</v>
      </c>
      <c r="AU217" s="9">
        <f ca="1">AT$217 +IF(AU$6=OFFSET(Assumptions!$B$8,0,$C$1),ABS(OFFSET(Assumptions!$B$17,0,$C$1)-AT$217)/OFFSET(Assumptions!$B$25,0,$C$1),MIN(ABS(AT$217-AS$217),ABS(OFFSET(Assumptions!$B$17,0,$C$1)-AT$217)))*SIGN(OFFSET(Assumptions!$B$17,0,$C$1)-AT$217)</f>
        <v>5.2999999999999999E-2</v>
      </c>
      <c r="AV217" s="9">
        <f ca="1">AU$217 +IF(AV$6=OFFSET(Assumptions!$B$8,0,$C$1),ABS(OFFSET(Assumptions!$B$17,0,$C$1)-AU$217)/OFFSET(Assumptions!$B$25,0,$C$1),MIN(ABS(AU$217-AT$217),ABS(OFFSET(Assumptions!$B$17,0,$C$1)-AU$217)))*SIGN(OFFSET(Assumptions!$B$17,0,$C$1)-AU$217)</f>
        <v>5.2999999999999999E-2</v>
      </c>
      <c r="AW217" s="9">
        <f ca="1">AV$217 +IF(AW$6=OFFSET(Assumptions!$B$8,0,$C$1),ABS(OFFSET(Assumptions!$B$17,0,$C$1)-AV$217)/OFFSET(Assumptions!$B$25,0,$C$1),MIN(ABS(AV$217-AU$217),ABS(OFFSET(Assumptions!$B$17,0,$C$1)-AV$217)))*SIGN(OFFSET(Assumptions!$B$17,0,$C$1)-AV$217)</f>
        <v>5.2999999999999999E-2</v>
      </c>
    </row>
    <row r="218" spans="1:49" x14ac:dyDescent="0.2">
      <c r="A218" s="4" t="s">
        <v>537</v>
      </c>
      <c r="D218" s="59"/>
      <c r="E218" s="60">
        <f>E$216/AVERAGE(D$74,E$74)</f>
        <v>3.9647323229412779E-2</v>
      </c>
      <c r="F218" s="60">
        <f>F$216/AVERAGE(E$74,F$74)</f>
        <v>3.8908085400094584E-2</v>
      </c>
      <c r="G218" s="60">
        <f>G$216/AVERAGE(F$74,G$74)</f>
        <v>4.0022456490549564E-2</v>
      </c>
      <c r="H218" s="60">
        <f>H$216/AVERAGE(G$74,H$74)</f>
        <v>4.1096241823079228E-2</v>
      </c>
      <c r="I218" s="60">
        <f>I$216/AVERAGE(H$74,I$74)</f>
        <v>4.2099522127571162E-2</v>
      </c>
      <c r="J218" s="9">
        <f ca="1">I$218 +IF(J$6=OFFSET(Assumptions!$B$8,0,$C$1),ABS(OFFSET(Assumptions!$B$17,0,$C$1)-I$218)/OFFSET(Assumptions!$B$25,0,$C$1),MIN(ABS(I$218-H$218),ABS(OFFSET(Assumptions!$B$17,0,$C$1)-I$218)))*SIGN(OFFSET(Assumptions!$B$17,0,$C$1)-I$218)</f>
        <v>4.3656733252203851E-2</v>
      </c>
      <c r="K218" s="9">
        <f ca="1">J$218 +IF(K$6=OFFSET(Assumptions!$B$8,0,$C$1),ABS(OFFSET(Assumptions!$B$17,0,$C$1)-J$218)/OFFSET(Assumptions!$B$25,0,$C$1),MIN(ABS(J$218-I$218),ABS(OFFSET(Assumptions!$B$17,0,$C$1)-J$218)))*SIGN(OFFSET(Assumptions!$B$17,0,$C$1)-J$218)</f>
        <v>4.521394437683654E-2</v>
      </c>
      <c r="L218" s="9">
        <f ca="1">K$218 +IF(L$6=OFFSET(Assumptions!$B$8,0,$C$1),ABS(OFFSET(Assumptions!$B$17,0,$C$1)-K$218)/OFFSET(Assumptions!$B$25,0,$C$1),MIN(ABS(K$218-J$218),ABS(OFFSET(Assumptions!$B$17,0,$C$1)-K$218)))*SIGN(OFFSET(Assumptions!$B$17,0,$C$1)-K$218)</f>
        <v>4.6771155501469229E-2</v>
      </c>
      <c r="M218" s="9">
        <f ca="1">L$218 +IF(M$6=OFFSET(Assumptions!$B$8,0,$C$1),ABS(OFFSET(Assumptions!$B$17,0,$C$1)-L$218)/OFFSET(Assumptions!$B$25,0,$C$1),MIN(ABS(L$218-K$218),ABS(OFFSET(Assumptions!$B$17,0,$C$1)-L$218)))*SIGN(OFFSET(Assumptions!$B$17,0,$C$1)-L$218)</f>
        <v>4.8328366626101918E-2</v>
      </c>
      <c r="N218" s="9">
        <f ca="1">M$218 +IF(N$6=OFFSET(Assumptions!$B$8,0,$C$1),ABS(OFFSET(Assumptions!$B$17,0,$C$1)-M$218)/OFFSET(Assumptions!$B$25,0,$C$1),MIN(ABS(M$218-L$218),ABS(OFFSET(Assumptions!$B$17,0,$C$1)-M$218)))*SIGN(OFFSET(Assumptions!$B$17,0,$C$1)-M$218)</f>
        <v>4.9885577750734607E-2</v>
      </c>
      <c r="O218" s="9">
        <f ca="1">N$218 +IF(O$6=OFFSET(Assumptions!$B$8,0,$C$1),ABS(OFFSET(Assumptions!$B$17,0,$C$1)-N$218)/OFFSET(Assumptions!$B$25,0,$C$1),MIN(ABS(N$218-M$218),ABS(OFFSET(Assumptions!$B$17,0,$C$1)-N$218)))*SIGN(OFFSET(Assumptions!$B$17,0,$C$1)-N$218)</f>
        <v>5.1442788875367296E-2</v>
      </c>
      <c r="P218" s="9">
        <f ca="1">O$218 +IF(P$6=OFFSET(Assumptions!$B$8,0,$C$1),ABS(OFFSET(Assumptions!$B$17,0,$C$1)-O$218)/OFFSET(Assumptions!$B$25,0,$C$1),MIN(ABS(O$218-N$218),ABS(OFFSET(Assumptions!$B$17,0,$C$1)-O$218)))*SIGN(OFFSET(Assumptions!$B$17,0,$C$1)-O$218)</f>
        <v>5.2999999999999985E-2</v>
      </c>
      <c r="Q218" s="9">
        <f ca="1">P$218 +IF(Q$6=OFFSET(Assumptions!$B$8,0,$C$1),ABS(OFFSET(Assumptions!$B$17,0,$C$1)-P$218)/OFFSET(Assumptions!$B$25,0,$C$1),MIN(ABS(P$218-O$218),ABS(OFFSET(Assumptions!$B$17,0,$C$1)-P$218)))*SIGN(OFFSET(Assumptions!$B$17,0,$C$1)-P$218)</f>
        <v>5.2999999999999999E-2</v>
      </c>
      <c r="R218" s="9">
        <f ca="1">Q$218 +IF(R$6=OFFSET(Assumptions!$B$8,0,$C$1),ABS(OFFSET(Assumptions!$B$17,0,$C$1)-Q$218)/OFFSET(Assumptions!$B$25,0,$C$1),MIN(ABS(Q$218-P$218),ABS(OFFSET(Assumptions!$B$17,0,$C$1)-Q$218)))*SIGN(OFFSET(Assumptions!$B$17,0,$C$1)-Q$218)</f>
        <v>5.2999999999999999E-2</v>
      </c>
      <c r="S218" s="9">
        <f ca="1">R$218 +IF(S$6=OFFSET(Assumptions!$B$8,0,$C$1),ABS(OFFSET(Assumptions!$B$17,0,$C$1)-R$218)/OFFSET(Assumptions!$B$25,0,$C$1),MIN(ABS(R$218-Q$218),ABS(OFFSET(Assumptions!$B$17,0,$C$1)-R$218)))*SIGN(OFFSET(Assumptions!$B$17,0,$C$1)-R$218)</f>
        <v>5.2999999999999999E-2</v>
      </c>
      <c r="T218" s="9">
        <f ca="1">S$218 +IF(T$6=OFFSET(Assumptions!$B$8,0,$C$1),ABS(OFFSET(Assumptions!$B$17,0,$C$1)-S$218)/OFFSET(Assumptions!$B$25,0,$C$1),MIN(ABS(S$218-R$218),ABS(OFFSET(Assumptions!$B$17,0,$C$1)-S$218)))*SIGN(OFFSET(Assumptions!$B$17,0,$C$1)-S$218)</f>
        <v>5.2999999999999999E-2</v>
      </c>
      <c r="U218" s="9">
        <f ca="1">T$218 +IF(U$6=OFFSET(Assumptions!$B$8,0,$C$1),ABS(OFFSET(Assumptions!$B$17,0,$C$1)-T$218)/OFFSET(Assumptions!$B$25,0,$C$1),MIN(ABS(T$218-S$218),ABS(OFFSET(Assumptions!$B$17,0,$C$1)-T$218)))*SIGN(OFFSET(Assumptions!$B$17,0,$C$1)-T$218)</f>
        <v>5.2999999999999999E-2</v>
      </c>
      <c r="V218" s="9">
        <f ca="1">U$218 +IF(V$6=OFFSET(Assumptions!$B$8,0,$C$1),ABS(OFFSET(Assumptions!$B$17,0,$C$1)-U$218)/OFFSET(Assumptions!$B$25,0,$C$1),MIN(ABS(U$218-T$218),ABS(OFFSET(Assumptions!$B$17,0,$C$1)-U$218)))*SIGN(OFFSET(Assumptions!$B$17,0,$C$1)-U$218)</f>
        <v>5.2999999999999999E-2</v>
      </c>
      <c r="W218" s="9">
        <f ca="1">V$218 +IF(W$6=OFFSET(Assumptions!$B$8,0,$C$1),ABS(OFFSET(Assumptions!$B$17,0,$C$1)-V$218)/OFFSET(Assumptions!$B$25,0,$C$1),MIN(ABS(V$218-U$218),ABS(OFFSET(Assumptions!$B$17,0,$C$1)-V$218)))*SIGN(OFFSET(Assumptions!$B$17,0,$C$1)-V$218)</f>
        <v>5.2999999999999999E-2</v>
      </c>
      <c r="X218" s="9">
        <f ca="1">W$218 +IF(X$6=OFFSET(Assumptions!$B$8,0,$C$1),ABS(OFFSET(Assumptions!$B$17,0,$C$1)-W$218)/OFFSET(Assumptions!$B$25,0,$C$1),MIN(ABS(W$218-V$218),ABS(OFFSET(Assumptions!$B$17,0,$C$1)-W$218)))*SIGN(OFFSET(Assumptions!$B$17,0,$C$1)-W$218)</f>
        <v>5.2999999999999999E-2</v>
      </c>
      <c r="Y218" s="9">
        <f ca="1">X$218 +IF(Y$6=OFFSET(Assumptions!$B$8,0,$C$1),ABS(OFFSET(Assumptions!$B$17,0,$C$1)-X$218)/OFFSET(Assumptions!$B$25,0,$C$1),MIN(ABS(X$218-W$218),ABS(OFFSET(Assumptions!$B$17,0,$C$1)-X$218)))*SIGN(OFFSET(Assumptions!$B$17,0,$C$1)-X$218)</f>
        <v>5.2999999999999999E-2</v>
      </c>
      <c r="Z218" s="9">
        <f ca="1">Y$218 +IF(Z$6=OFFSET(Assumptions!$B$8,0,$C$1),ABS(OFFSET(Assumptions!$B$17,0,$C$1)-Y$218)/OFFSET(Assumptions!$B$25,0,$C$1),MIN(ABS(Y$218-X$218),ABS(OFFSET(Assumptions!$B$17,0,$C$1)-Y$218)))*SIGN(OFFSET(Assumptions!$B$17,0,$C$1)-Y$218)</f>
        <v>5.2999999999999999E-2</v>
      </c>
      <c r="AA218" s="9">
        <f ca="1">Z$218 +IF(AA$6=OFFSET(Assumptions!$B$8,0,$C$1),ABS(OFFSET(Assumptions!$B$17,0,$C$1)-Z$218)/OFFSET(Assumptions!$B$25,0,$C$1),MIN(ABS(Z$218-Y$218),ABS(OFFSET(Assumptions!$B$17,0,$C$1)-Z$218)))*SIGN(OFFSET(Assumptions!$B$17,0,$C$1)-Z$218)</f>
        <v>5.2999999999999999E-2</v>
      </c>
      <c r="AB218" s="9">
        <f ca="1">AA$218 +IF(AB$6=OFFSET(Assumptions!$B$8,0,$C$1),ABS(OFFSET(Assumptions!$B$17,0,$C$1)-AA$218)/OFFSET(Assumptions!$B$25,0,$C$1),MIN(ABS(AA$218-Z$218),ABS(OFFSET(Assumptions!$B$17,0,$C$1)-AA$218)))*SIGN(OFFSET(Assumptions!$B$17,0,$C$1)-AA$218)</f>
        <v>5.2999999999999999E-2</v>
      </c>
      <c r="AC218" s="9">
        <f ca="1">AB$218 +IF(AC$6=OFFSET(Assumptions!$B$8,0,$C$1),ABS(OFFSET(Assumptions!$B$17,0,$C$1)-AB$218)/OFFSET(Assumptions!$B$25,0,$C$1),MIN(ABS(AB$218-AA$218),ABS(OFFSET(Assumptions!$B$17,0,$C$1)-AB$218)))*SIGN(OFFSET(Assumptions!$B$17,0,$C$1)-AB$218)</f>
        <v>5.2999999999999999E-2</v>
      </c>
      <c r="AD218" s="9">
        <f ca="1">AC$218 +IF(AD$6=OFFSET(Assumptions!$B$8,0,$C$1),ABS(OFFSET(Assumptions!$B$17,0,$C$1)-AC$218)/OFFSET(Assumptions!$B$25,0,$C$1),MIN(ABS(AC$218-AB$218),ABS(OFFSET(Assumptions!$B$17,0,$C$1)-AC$218)))*SIGN(OFFSET(Assumptions!$B$17,0,$C$1)-AC$218)</f>
        <v>5.2999999999999999E-2</v>
      </c>
      <c r="AE218" s="9">
        <f ca="1">AD$218 +IF(AE$6=OFFSET(Assumptions!$B$8,0,$C$1),ABS(OFFSET(Assumptions!$B$17,0,$C$1)-AD$218)/OFFSET(Assumptions!$B$25,0,$C$1),MIN(ABS(AD$218-AC$218),ABS(OFFSET(Assumptions!$B$17,0,$C$1)-AD$218)))*SIGN(OFFSET(Assumptions!$B$17,0,$C$1)-AD$218)</f>
        <v>5.2999999999999999E-2</v>
      </c>
      <c r="AF218" s="9">
        <f ca="1">AE$218 +IF(AF$6=OFFSET(Assumptions!$B$8,0,$C$1),ABS(OFFSET(Assumptions!$B$17,0,$C$1)-AE$218)/OFFSET(Assumptions!$B$25,0,$C$1),MIN(ABS(AE$218-AD$218),ABS(OFFSET(Assumptions!$B$17,0,$C$1)-AE$218)))*SIGN(OFFSET(Assumptions!$B$17,0,$C$1)-AE$218)</f>
        <v>5.2999999999999999E-2</v>
      </c>
      <c r="AG218" s="9">
        <f ca="1">AF$218 +IF(AG$6=OFFSET(Assumptions!$B$8,0,$C$1),ABS(OFFSET(Assumptions!$B$17,0,$C$1)-AF$218)/OFFSET(Assumptions!$B$25,0,$C$1),MIN(ABS(AF$218-AE$218),ABS(OFFSET(Assumptions!$B$17,0,$C$1)-AF$218)))*SIGN(OFFSET(Assumptions!$B$17,0,$C$1)-AF$218)</f>
        <v>5.2999999999999999E-2</v>
      </c>
      <c r="AH218" s="9">
        <f ca="1">AG$218 +IF(AH$6=OFFSET(Assumptions!$B$8,0,$C$1),ABS(OFFSET(Assumptions!$B$17,0,$C$1)-AG$218)/OFFSET(Assumptions!$B$25,0,$C$1),MIN(ABS(AG$218-AF$218),ABS(OFFSET(Assumptions!$B$17,0,$C$1)-AG$218)))*SIGN(OFFSET(Assumptions!$B$17,0,$C$1)-AG$218)</f>
        <v>5.2999999999999999E-2</v>
      </c>
      <c r="AI218" s="9">
        <f ca="1">AH$218 +IF(AI$6=OFFSET(Assumptions!$B$8,0,$C$1),ABS(OFFSET(Assumptions!$B$17,0,$C$1)-AH$218)/OFFSET(Assumptions!$B$25,0,$C$1),MIN(ABS(AH$218-AG$218),ABS(OFFSET(Assumptions!$B$17,0,$C$1)-AH$218)))*SIGN(OFFSET(Assumptions!$B$17,0,$C$1)-AH$218)</f>
        <v>5.2999999999999999E-2</v>
      </c>
      <c r="AJ218" s="9">
        <f ca="1">AI$218 +IF(AJ$6=OFFSET(Assumptions!$B$8,0,$C$1),ABS(OFFSET(Assumptions!$B$17,0,$C$1)-AI$218)/OFFSET(Assumptions!$B$25,0,$C$1),MIN(ABS(AI$218-AH$218),ABS(OFFSET(Assumptions!$B$17,0,$C$1)-AI$218)))*SIGN(OFFSET(Assumptions!$B$17,0,$C$1)-AI$218)</f>
        <v>5.2999999999999999E-2</v>
      </c>
      <c r="AK218" s="9">
        <f ca="1">AJ$218 +IF(AK$6=OFFSET(Assumptions!$B$8,0,$C$1),ABS(OFFSET(Assumptions!$B$17,0,$C$1)-AJ$218)/OFFSET(Assumptions!$B$25,0,$C$1),MIN(ABS(AJ$218-AI$218),ABS(OFFSET(Assumptions!$B$17,0,$C$1)-AJ$218)))*SIGN(OFFSET(Assumptions!$B$17,0,$C$1)-AJ$218)</f>
        <v>5.2999999999999999E-2</v>
      </c>
      <c r="AL218" s="9">
        <f ca="1">AK$218 +IF(AL$6=OFFSET(Assumptions!$B$8,0,$C$1),ABS(OFFSET(Assumptions!$B$17,0,$C$1)-AK$218)/OFFSET(Assumptions!$B$25,0,$C$1),MIN(ABS(AK$218-AJ$218),ABS(OFFSET(Assumptions!$B$17,0,$C$1)-AK$218)))*SIGN(OFFSET(Assumptions!$B$17,0,$C$1)-AK$218)</f>
        <v>5.2999999999999999E-2</v>
      </c>
      <c r="AM218" s="9">
        <f ca="1">AL$218 +IF(AM$6=OFFSET(Assumptions!$B$8,0,$C$1),ABS(OFFSET(Assumptions!$B$17,0,$C$1)-AL$218)/OFFSET(Assumptions!$B$25,0,$C$1),MIN(ABS(AL$218-AK$218),ABS(OFFSET(Assumptions!$B$17,0,$C$1)-AL$218)))*SIGN(OFFSET(Assumptions!$B$17,0,$C$1)-AL$218)</f>
        <v>5.2999999999999999E-2</v>
      </c>
      <c r="AN218" s="9">
        <f ca="1">AM$218 +IF(AN$6=OFFSET(Assumptions!$B$8,0,$C$1),ABS(OFFSET(Assumptions!$B$17,0,$C$1)-AM$218)/OFFSET(Assumptions!$B$25,0,$C$1),MIN(ABS(AM$218-AL$218),ABS(OFFSET(Assumptions!$B$17,0,$C$1)-AM$218)))*SIGN(OFFSET(Assumptions!$B$17,0,$C$1)-AM$218)</f>
        <v>5.2999999999999999E-2</v>
      </c>
      <c r="AO218" s="9">
        <f ca="1">AN$218 +IF(AO$6=OFFSET(Assumptions!$B$8,0,$C$1),ABS(OFFSET(Assumptions!$B$17,0,$C$1)-AN$218)/OFFSET(Assumptions!$B$25,0,$C$1),MIN(ABS(AN$218-AM$218),ABS(OFFSET(Assumptions!$B$17,0,$C$1)-AN$218)))*SIGN(OFFSET(Assumptions!$B$17,0,$C$1)-AN$218)</f>
        <v>5.2999999999999999E-2</v>
      </c>
      <c r="AP218" s="9">
        <f ca="1">AO$218 +IF(AP$6=OFFSET(Assumptions!$B$8,0,$C$1),ABS(OFFSET(Assumptions!$B$17,0,$C$1)-AO$218)/OFFSET(Assumptions!$B$25,0,$C$1),MIN(ABS(AO$218-AN$218),ABS(OFFSET(Assumptions!$B$17,0,$C$1)-AO$218)))*SIGN(OFFSET(Assumptions!$B$17,0,$C$1)-AO$218)</f>
        <v>5.2999999999999999E-2</v>
      </c>
      <c r="AQ218" s="9">
        <f ca="1">AP$218 +IF(AQ$6=OFFSET(Assumptions!$B$8,0,$C$1),ABS(OFFSET(Assumptions!$B$17,0,$C$1)-AP$218)/OFFSET(Assumptions!$B$25,0,$C$1),MIN(ABS(AP$218-AO$218),ABS(OFFSET(Assumptions!$B$17,0,$C$1)-AP$218)))*SIGN(OFFSET(Assumptions!$B$17,0,$C$1)-AP$218)</f>
        <v>5.2999999999999999E-2</v>
      </c>
      <c r="AR218" s="9">
        <f ca="1">AQ$218 +IF(AR$6=OFFSET(Assumptions!$B$8,0,$C$1),ABS(OFFSET(Assumptions!$B$17,0,$C$1)-AQ$218)/OFFSET(Assumptions!$B$25,0,$C$1),MIN(ABS(AQ$218-AP$218),ABS(OFFSET(Assumptions!$B$17,0,$C$1)-AQ$218)))*SIGN(OFFSET(Assumptions!$B$17,0,$C$1)-AQ$218)</f>
        <v>5.2999999999999999E-2</v>
      </c>
      <c r="AS218" s="9">
        <f ca="1">AR$218 +IF(AS$6=OFFSET(Assumptions!$B$8,0,$C$1),ABS(OFFSET(Assumptions!$B$17,0,$C$1)-AR$218)/OFFSET(Assumptions!$B$25,0,$C$1),MIN(ABS(AR$218-AQ$218),ABS(OFFSET(Assumptions!$B$17,0,$C$1)-AR$218)))*SIGN(OFFSET(Assumptions!$B$17,0,$C$1)-AR$218)</f>
        <v>5.2999999999999999E-2</v>
      </c>
      <c r="AT218" s="9">
        <f ca="1">AS$218 +IF(AT$6=OFFSET(Assumptions!$B$8,0,$C$1),ABS(OFFSET(Assumptions!$B$17,0,$C$1)-AS$218)/OFFSET(Assumptions!$B$25,0,$C$1),MIN(ABS(AS$218-AR$218),ABS(OFFSET(Assumptions!$B$17,0,$C$1)-AS$218)))*SIGN(OFFSET(Assumptions!$B$17,0,$C$1)-AS$218)</f>
        <v>5.2999999999999999E-2</v>
      </c>
      <c r="AU218" s="9">
        <f ca="1">AT$218 +IF(AU$6=OFFSET(Assumptions!$B$8,0,$C$1),ABS(OFFSET(Assumptions!$B$17,0,$C$1)-AT$218)/OFFSET(Assumptions!$B$25,0,$C$1),MIN(ABS(AT$218-AS$218),ABS(OFFSET(Assumptions!$B$17,0,$C$1)-AT$218)))*SIGN(OFFSET(Assumptions!$B$17,0,$C$1)-AT$218)</f>
        <v>5.2999999999999999E-2</v>
      </c>
      <c r="AV218" s="9">
        <f ca="1">AU$218 +IF(AV$6=OFFSET(Assumptions!$B$8,0,$C$1),ABS(OFFSET(Assumptions!$B$17,0,$C$1)-AU$218)/OFFSET(Assumptions!$B$25,0,$C$1),MIN(ABS(AU$218-AT$218),ABS(OFFSET(Assumptions!$B$17,0,$C$1)-AU$218)))*SIGN(OFFSET(Assumptions!$B$17,0,$C$1)-AU$218)</f>
        <v>5.2999999999999999E-2</v>
      </c>
      <c r="AW218" s="9">
        <f ca="1">AV$218 +IF(AW$6=OFFSET(Assumptions!$B$8,0,$C$1),ABS(OFFSET(Assumptions!$B$17,0,$C$1)-AV$218)/OFFSET(Assumptions!$B$25,0,$C$1),MIN(ABS(AV$218-AU$218),ABS(OFFSET(Assumptions!$B$17,0,$C$1)-AV$218)))*SIGN(OFFSET(Assumptions!$B$17,0,$C$1)-AV$218)</f>
        <v>5.2999999999999999E-2</v>
      </c>
    </row>
    <row r="219" spans="1:49" x14ac:dyDescent="0.2">
      <c r="A219" s="4"/>
    </row>
    <row r="220" spans="1:49" x14ac:dyDescent="0.2">
      <c r="A220" s="22" t="s">
        <v>163</v>
      </c>
    </row>
    <row r="221" spans="1:49" x14ac:dyDescent="0.2">
      <c r="A221" s="1" t="s">
        <v>324</v>
      </c>
      <c r="B221" s="4" t="str">
        <f t="shared" ref="B221:B236" si="172">$B$43</f>
        <v>From Fiscal</v>
      </c>
      <c r="D221" s="18">
        <f>Fiscal!D$160</f>
        <v>6.0000000000000001E-3</v>
      </c>
      <c r="E221" s="19">
        <f>Fiscal!E$160</f>
        <v>1E-3</v>
      </c>
      <c r="F221" s="19">
        <f>Fiscal!F$160</f>
        <v>1E-3</v>
      </c>
      <c r="G221" s="19">
        <f>Fiscal!G$160</f>
        <v>1E-3</v>
      </c>
      <c r="H221" s="19">
        <f>Fiscal!H$160</f>
        <v>5.0000000000000001E-3</v>
      </c>
      <c r="I221" s="19">
        <f>Fiscal!I$160</f>
        <v>1E-3</v>
      </c>
      <c r="J221" s="7">
        <f ca="1">IF(J$6=OFFSET(Assumptions!$B$8,0,$C$1),0,I$221)</f>
        <v>0</v>
      </c>
      <c r="K221" s="7">
        <f ca="1">IF(K$6=OFFSET(Assumptions!$B$8,0,$C$1),0,J$221)</f>
        <v>0</v>
      </c>
      <c r="L221" s="7">
        <f ca="1">IF(L$6=OFFSET(Assumptions!$B$8,0,$C$1),0,K$221)</f>
        <v>0</v>
      </c>
      <c r="M221" s="7">
        <f ca="1">IF(M$6=OFFSET(Assumptions!$B$8,0,$C$1),0,L$221)</f>
        <v>0</v>
      </c>
      <c r="N221" s="7">
        <f ca="1">IF(N$6=OFFSET(Assumptions!$B$8,0,$C$1),0,M$221)</f>
        <v>0</v>
      </c>
      <c r="O221" s="7">
        <f ca="1">IF(O$6=OFFSET(Assumptions!$B$8,0,$C$1),0,N$221)</f>
        <v>0</v>
      </c>
      <c r="P221" s="7">
        <f ca="1">IF(P$6=OFFSET(Assumptions!$B$8,0,$C$1),0,O$221)</f>
        <v>0</v>
      </c>
      <c r="Q221" s="7">
        <f ca="1">IF(Q$6=OFFSET(Assumptions!$B$8,0,$C$1),0,P$221)</f>
        <v>0</v>
      </c>
      <c r="R221" s="7">
        <f ca="1">IF(R$6=OFFSET(Assumptions!$B$8,0,$C$1),0,Q$221)</f>
        <v>0</v>
      </c>
      <c r="S221" s="7">
        <f ca="1">IF(S$6=OFFSET(Assumptions!$B$8,0,$C$1),0,R$221)</f>
        <v>0</v>
      </c>
      <c r="T221" s="7">
        <f ca="1">IF(T$6=OFFSET(Assumptions!$B$8,0,$C$1),0,S$221)</f>
        <v>0</v>
      </c>
      <c r="U221" s="7">
        <f ca="1">IF(U$6=OFFSET(Assumptions!$B$8,0,$C$1),0,T$221)</f>
        <v>0</v>
      </c>
      <c r="V221" s="7">
        <f ca="1">IF(V$6=OFFSET(Assumptions!$B$8,0,$C$1),0,U$221)</f>
        <v>0</v>
      </c>
      <c r="W221" s="7">
        <f ca="1">IF(W$6=OFFSET(Assumptions!$B$8,0,$C$1),0,V$221)</f>
        <v>0</v>
      </c>
      <c r="X221" s="7">
        <f ca="1">IF(X$6=OFFSET(Assumptions!$B$8,0,$C$1),0,W$221)</f>
        <v>0</v>
      </c>
      <c r="Y221" s="7">
        <f ca="1">IF(Y$6=OFFSET(Assumptions!$B$8,0,$C$1),0,X$221)</f>
        <v>0</v>
      </c>
      <c r="Z221" s="7">
        <f ca="1">IF(Z$6=OFFSET(Assumptions!$B$8,0,$C$1),0,Y$221)</f>
        <v>0</v>
      </c>
      <c r="AA221" s="7">
        <f ca="1">IF(AA$6=OFFSET(Assumptions!$B$8,0,$C$1),0,Z$221)</f>
        <v>0</v>
      </c>
      <c r="AB221" s="7">
        <f ca="1">IF(AB$6=OFFSET(Assumptions!$B$8,0,$C$1),0,AA$221)</f>
        <v>0</v>
      </c>
      <c r="AC221" s="7">
        <f ca="1">IF(AC$6=OFFSET(Assumptions!$B$8,0,$C$1),0,AB$221)</f>
        <v>0</v>
      </c>
      <c r="AD221" s="7">
        <f ca="1">IF(AD$6=OFFSET(Assumptions!$B$8,0,$C$1),0,AC$221)</f>
        <v>0</v>
      </c>
      <c r="AE221" s="7">
        <f ca="1">IF(AE$6=OFFSET(Assumptions!$B$8,0,$C$1),0,AD$221)</f>
        <v>0</v>
      </c>
      <c r="AF221" s="7">
        <f ca="1">IF(AF$6=OFFSET(Assumptions!$B$8,0,$C$1),0,AE$221)</f>
        <v>0</v>
      </c>
      <c r="AG221" s="7">
        <f ca="1">IF(AG$6=OFFSET(Assumptions!$B$8,0,$C$1),0,AF$221)</f>
        <v>0</v>
      </c>
      <c r="AH221" s="7">
        <f ca="1">IF(AH$6=OFFSET(Assumptions!$B$8,0,$C$1),0,AG$221)</f>
        <v>0</v>
      </c>
      <c r="AI221" s="7">
        <f ca="1">IF(AI$6=OFFSET(Assumptions!$B$8,0,$C$1),0,AH$221)</f>
        <v>0</v>
      </c>
      <c r="AJ221" s="7">
        <f ca="1">IF(AJ$6=OFFSET(Assumptions!$B$8,0,$C$1),0,AI$221)</f>
        <v>0</v>
      </c>
      <c r="AK221" s="7">
        <f ca="1">IF(AK$6=OFFSET(Assumptions!$B$8,0,$C$1),0,AJ$221)</f>
        <v>0</v>
      </c>
      <c r="AL221" s="7">
        <f ca="1">IF(AL$6=OFFSET(Assumptions!$B$8,0,$C$1),0,AK$221)</f>
        <v>0</v>
      </c>
      <c r="AM221" s="7">
        <f ca="1">IF(AM$6=OFFSET(Assumptions!$B$8,0,$C$1),0,AL$221)</f>
        <v>0</v>
      </c>
      <c r="AN221" s="7">
        <f ca="1">IF(AN$6=OFFSET(Assumptions!$B$8,0,$C$1),0,AM$221)</f>
        <v>0</v>
      </c>
      <c r="AO221" s="7">
        <f ca="1">IF(AO$6=OFFSET(Assumptions!$B$8,0,$C$1),0,AN$221)</f>
        <v>0</v>
      </c>
      <c r="AP221" s="7">
        <f ca="1">IF(AP$6=OFFSET(Assumptions!$B$8,0,$C$1),0,AO$221)</f>
        <v>0</v>
      </c>
      <c r="AQ221" s="7">
        <f ca="1">IF(AQ$6=OFFSET(Assumptions!$B$8,0,$C$1),0,AP$221)</f>
        <v>0</v>
      </c>
      <c r="AR221" s="7">
        <f ca="1">IF(AR$6=OFFSET(Assumptions!$B$8,0,$C$1),0,AQ$221)</f>
        <v>0</v>
      </c>
      <c r="AS221" s="7">
        <f ca="1">IF(AS$6=OFFSET(Assumptions!$B$8,0,$C$1),0,AR$221)</f>
        <v>0</v>
      </c>
      <c r="AT221" s="7">
        <f ca="1">IF(AT$6=OFFSET(Assumptions!$B$8,0,$C$1),0,AS$221)</f>
        <v>0</v>
      </c>
      <c r="AU221" s="7">
        <f ca="1">IF(AU$6=OFFSET(Assumptions!$B$8,0,$C$1),0,AT$221)</f>
        <v>0</v>
      </c>
      <c r="AV221" s="7">
        <f ca="1">IF(AV$6=OFFSET(Assumptions!$B$8,0,$C$1),0,AU$221)</f>
        <v>0</v>
      </c>
      <c r="AW221" s="7">
        <f ca="1">IF(AW$6=OFFSET(Assumptions!$B$8,0,$C$1),0,AV$221)</f>
        <v>0</v>
      </c>
    </row>
    <row r="222" spans="1:49" x14ac:dyDescent="0.2">
      <c r="A222" s="1" t="s">
        <v>295</v>
      </c>
      <c r="B222" s="4" t="str">
        <f t="shared" si="172"/>
        <v>From Fiscal</v>
      </c>
      <c r="D222" s="18">
        <f>Fiscal!D$189</f>
        <v>4.085</v>
      </c>
      <c r="E222" s="19">
        <f>Fiscal!E$189</f>
        <v>4.327</v>
      </c>
      <c r="F222" s="19">
        <f>Fiscal!F$189</f>
        <v>4.2309999999999999</v>
      </c>
      <c r="G222" s="19">
        <f>Fiscal!G$189</f>
        <v>4.4029999999999996</v>
      </c>
      <c r="H222" s="19">
        <f>Fiscal!H$189</f>
        <v>4.8090000000000002</v>
      </c>
      <c r="I222" s="19">
        <f>Fiscal!I$189</f>
        <v>5.09</v>
      </c>
      <c r="J222" s="7">
        <f ca="1">IF(J$6=OFFSET(Assumptions!$B$8,0,$C$1),AVERAGE(G$222/SUM(G$225:G$226),H$222/SUM(H$225:H$226),I$222/SUM(I$225:I$226)),I$222/SUM(I$225:I$226))*SUM(J$225:J$226)</f>
        <v>5.2856679548955237</v>
      </c>
      <c r="K222" s="7">
        <f ca="1">IF(K$6=OFFSET(Assumptions!$B$8,0,$C$1),AVERAGE(H$222/SUM(H$225:H$226),I$222/SUM(I$225:I$226),J$222/SUM(J$225:J$226)),J$222/SUM(J$225:J$226))*SUM(K$225:K$226)</f>
        <v>5.5314367389589414</v>
      </c>
      <c r="L222" s="7">
        <f ca="1">IF(L$6=OFFSET(Assumptions!$B$8,0,$C$1),AVERAGE(I$222/SUM(I$225:I$226),J$222/SUM(J$225:J$226),K$222/SUM(K$225:K$226)),K$222/SUM(K$225:K$226))*SUM(L$225:L$226)</f>
        <v>5.7829932530956771</v>
      </c>
      <c r="M222" s="7">
        <f ca="1">IF(M$6=OFFSET(Assumptions!$B$8,0,$C$1),AVERAGE(J$222/SUM(J$225:J$226),K$222/SUM(K$225:K$226),L$222/SUM(L$225:L$226)),L$222/SUM(L$225:L$226))*SUM(M$225:M$226)</f>
        <v>6.058642840850351</v>
      </c>
      <c r="N222" s="7">
        <f ca="1">IF(N$6=OFFSET(Assumptions!$B$8,0,$C$1),AVERAGE(K$222/SUM(K$225:K$226),L$222/SUM(L$225:L$226),M$222/SUM(M$225:M$226)),M$222/SUM(M$225:M$226))*SUM(N$225:N$226)</f>
        <v>6.3122240928741151</v>
      </c>
      <c r="O222" s="7">
        <f ca="1">IF(O$6=OFFSET(Assumptions!$B$8,0,$C$1),AVERAGE(L$222/SUM(L$225:L$226),M$222/SUM(M$225:M$226),N$222/SUM(N$225:N$226)),N$222/SUM(N$225:N$226))*SUM(O$225:O$226)</f>
        <v>6.5774545932833801</v>
      </c>
      <c r="P222" s="7">
        <f ca="1">IF(P$6=OFFSET(Assumptions!$B$8,0,$C$1),AVERAGE(M$222/SUM(M$225:M$226),N$222/SUM(N$225:N$226),O$222/SUM(O$225:O$226)),O$222/SUM(O$225:O$226))*SUM(P$225:P$226)</f>
        <v>6.8370841776950435</v>
      </c>
      <c r="Q222" s="7">
        <f ca="1">IF(Q$6=OFFSET(Assumptions!$B$8,0,$C$1),AVERAGE(N$222/SUM(N$225:N$226),O$222/SUM(O$225:O$226),P$222/SUM(P$225:P$226)),P$222/SUM(P$225:P$226))*SUM(Q$225:Q$226)</f>
        <v>7.1045795133326557</v>
      </c>
      <c r="R222" s="7">
        <f ca="1">IF(R$6=OFFSET(Assumptions!$B$8,0,$C$1),AVERAGE(O$222/SUM(O$225:O$226),P$222/SUM(P$225:P$226),Q$222/SUM(Q$225:Q$226)),Q$222/SUM(Q$225:Q$226))*SUM(R$225:R$226)</f>
        <v>7.3802616879368124</v>
      </c>
      <c r="S222" s="7">
        <f ca="1">IF(S$6=OFFSET(Assumptions!$B$8,0,$C$1),AVERAGE(P$222/SUM(P$225:P$226),Q$222/SUM(Q$225:Q$226),R$222/SUM(R$225:R$226)),R$222/SUM(R$225:R$226))*SUM(S$225:S$226)</f>
        <v>7.6645080384223609</v>
      </c>
      <c r="T222" s="7">
        <f ca="1">IF(T$6=OFFSET(Assumptions!$B$8,0,$C$1),AVERAGE(Q$222/SUM(Q$225:Q$226),R$222/SUM(R$225:R$226),S$222/SUM(S$225:S$226)),S$222/SUM(S$225:S$226))*SUM(T$225:T$226)</f>
        <v>7.9576813801722555</v>
      </c>
      <c r="U222" s="7">
        <f ca="1">IF(U$6=OFFSET(Assumptions!$B$8,0,$C$1),AVERAGE(R$222/SUM(R$225:R$226),S$222/SUM(S$225:S$226),T$222/SUM(T$225:T$226)),T$222/SUM(T$225:T$226))*SUM(U$225:U$226)</f>
        <v>8.2601972570226341</v>
      </c>
      <c r="V222" s="7">
        <f ca="1">IF(V$6=OFFSET(Assumptions!$B$8,0,$C$1),AVERAGE(S$222/SUM(S$225:S$226),T$222/SUM(T$225:T$226),U$222/SUM(U$225:U$226)),U$222/SUM(U$225:U$226))*SUM(V$225:V$226)</f>
        <v>8.5724762318072862</v>
      </c>
      <c r="W222" s="7">
        <f ca="1">IF(W$6=OFFSET(Assumptions!$B$8,0,$C$1),AVERAGE(T$222/SUM(T$225:T$226),U$222/SUM(U$225:U$226),V$222/SUM(V$225:V$226)),V$222/SUM(V$225:V$226))*SUM(W$225:W$226)</f>
        <v>8.8949626275971951</v>
      </c>
      <c r="X222" s="7">
        <f ca="1">IF(X$6=OFFSET(Assumptions!$B$8,0,$C$1),AVERAGE(U$222/SUM(U$225:U$226),V$222/SUM(V$225:V$226),W$222/SUM(W$225:W$226)),W$222/SUM(W$225:W$226))*SUM(X$225:X$226)</f>
        <v>9.2281238051951142</v>
      </c>
      <c r="Y222" s="7">
        <f ca="1">IF(Y$6=OFFSET(Assumptions!$B$8,0,$C$1),AVERAGE(V$222/SUM(V$225:V$226),W$222/SUM(W$225:W$226),X$222/SUM(X$225:X$226)),X$222/SUM(X$225:X$226))*SUM(Y$225:Y$226)</f>
        <v>9.5724051588278272</v>
      </c>
      <c r="Z222" s="7">
        <f ca="1">IF(Z$6=OFFSET(Assumptions!$B$8,0,$C$1),AVERAGE(W$222/SUM(W$225:W$226),X$222/SUM(X$225:X$226),Y$222/SUM(Y$225:Y$226)),Y$222/SUM(Y$225:Y$226))*SUM(Z$225:Z$226)</f>
        <v>9.9283420262893181</v>
      </c>
      <c r="AA222" s="7">
        <f ca="1">IF(AA$6=OFFSET(Assumptions!$B$8,0,$C$1),AVERAGE(X$222/SUM(X$225:X$226),Y$222/SUM(Y$225:Y$226),Z$222/SUM(Z$225:Z$226)),Z$222/SUM(Z$225:Z$226))*SUM(AA$225:AA$226)</f>
        <v>10.296444999996009</v>
      </c>
      <c r="AB222" s="7">
        <f ca="1">IF(AB$6=OFFSET(Assumptions!$B$8,0,$C$1),AVERAGE(Y$222/SUM(Y$225:Y$226),Z$222/SUM(Z$225:Z$226),AA$222/SUM(AA$225:AA$226)),AA$222/SUM(AA$225:AA$226))*SUM(AB$225:AB$226)</f>
        <v>10.677267871280552</v>
      </c>
      <c r="AC222" s="7">
        <f ca="1">IF(AC$6=OFFSET(Assumptions!$B$8,0,$C$1),AVERAGE(Z$222/SUM(Z$225:Z$226),AA$222/SUM(AA$225:AA$226),AB$222/SUM(AB$225:AB$226)),AB$222/SUM(AB$225:AB$226))*SUM(AC$225:AC$226)</f>
        <v>11.071401052556149</v>
      </c>
      <c r="AD222" s="7">
        <f ca="1">IF(AD$6=OFFSET(Assumptions!$B$8,0,$C$1),AVERAGE(AA$222/SUM(AA$225:AA$226),AB$222/SUM(AB$225:AB$226),AC$222/SUM(AC$225:AC$226)),AC$222/SUM(AC$225:AC$226))*SUM(AD$225:AD$226)</f>
        <v>11.479418091040113</v>
      </c>
      <c r="AE222" s="7">
        <f ca="1">IF(AE$6=OFFSET(Assumptions!$B$8,0,$C$1),AVERAGE(AB$222/SUM(AB$225:AB$226),AC$222/SUM(AC$225:AC$226),AD$222/SUM(AD$225:AD$226)),AD$222/SUM(AD$225:AD$226))*SUM(AE$225:AE$226)</f>
        <v>11.901885534498035</v>
      </c>
      <c r="AF222" s="7">
        <f ca="1">IF(AF$6=OFFSET(Assumptions!$B$8,0,$C$1),AVERAGE(AC$222/SUM(AC$225:AC$226),AD$222/SUM(AD$225:AD$226),AE$222/SUM(AE$225:AE$226)),AE$222/SUM(AE$225:AE$226))*SUM(AF$225:AF$226)</f>
        <v>12.339459458280443</v>
      </c>
      <c r="AG222" s="7">
        <f ca="1">IF(AG$6=OFFSET(Assumptions!$B$8,0,$C$1),AVERAGE(AD$222/SUM(AD$225:AD$226),AE$222/SUM(AE$225:AE$226),AF$222/SUM(AF$225:AF$226)),AF$222/SUM(AF$225:AF$226))*SUM(AG$225:AG$226)</f>
        <v>12.792785567825444</v>
      </c>
      <c r="AH222" s="7">
        <f ca="1">IF(AH$6=OFFSET(Assumptions!$B$8,0,$C$1),AVERAGE(AE$222/SUM(AE$225:AE$226),AF$222/SUM(AF$225:AF$226),AG$222/SUM(AG$225:AG$226)),AG$222/SUM(AG$225:AG$226))*SUM(AH$225:AH$226)</f>
        <v>13.262558363799297</v>
      </c>
      <c r="AI222" s="7">
        <f ca="1">IF(AI$6=OFFSET(Assumptions!$B$8,0,$C$1),AVERAGE(AF$222/SUM(AF$225:AF$226),AG$222/SUM(AG$225:AG$226),AH$222/SUM(AH$225:AH$226)),AH$222/SUM(AH$225:AH$226))*SUM(AI$225:AI$226)</f>
        <v>13.749438106295729</v>
      </c>
      <c r="AJ222" s="7">
        <f ca="1">IF(AJ$6=OFFSET(Assumptions!$B$8,0,$C$1),AVERAGE(AG$222/SUM(AG$225:AG$226),AH$222/SUM(AH$225:AH$226),AI$222/SUM(AI$225:AI$226)),AI$222/SUM(AI$225:AI$226))*SUM(AJ$225:AJ$226)</f>
        <v>14.254215713942635</v>
      </c>
      <c r="AK222" s="7">
        <f ca="1">IF(AK$6=OFFSET(Assumptions!$B$8,0,$C$1),AVERAGE(AH$222/SUM(AH$225:AH$226),AI$222/SUM(AI$225:AI$226),AJ$222/SUM(AJ$225:AJ$226)),AJ$222/SUM(AJ$225:AJ$226))*SUM(AK$225:AK$226)</f>
        <v>14.77763266681742</v>
      </c>
      <c r="AL222" s="7">
        <f ca="1">IF(AL$6=OFFSET(Assumptions!$B$8,0,$C$1),AVERAGE(AI$222/SUM(AI$225:AI$226),AJ$222/SUM(AJ$225:AJ$226),AK$222/SUM(AK$225:AK$226)),AK$222/SUM(AK$225:AK$226))*SUM(AL$225:AL$226)</f>
        <v>15.320465009947359</v>
      </c>
      <c r="AM222" s="7">
        <f ca="1">IF(AM$6=OFFSET(Assumptions!$B$8,0,$C$1),AVERAGE(AJ$222/SUM(AJ$225:AJ$226),AK$222/SUM(AK$225:AK$226),AL$222/SUM(AL$225:AL$226)),AL$222/SUM(AL$225:AL$226))*SUM(AM$225:AM$226)</f>
        <v>15.883572971064046</v>
      </c>
      <c r="AN222" s="7">
        <f ca="1">IF(AN$6=OFFSET(Assumptions!$B$8,0,$C$1),AVERAGE(AK$222/SUM(AK$225:AK$226),AL$222/SUM(AL$225:AL$226),AM$222/SUM(AM$225:AM$226)),AM$222/SUM(AM$225:AM$226))*SUM(AN$225:AN$226)</f>
        <v>16.467856148261923</v>
      </c>
      <c r="AO222" s="7">
        <f ca="1">IF(AO$6=OFFSET(Assumptions!$B$8,0,$C$1),AVERAGE(AL$222/SUM(AL$225:AL$226),AM$222/SUM(AM$225:AM$226),AN$222/SUM(AN$225:AN$226)),AN$222/SUM(AN$225:AN$226))*SUM(AO$225:AO$226)</f>
        <v>17.074125777463333</v>
      </c>
      <c r="AP222" s="7">
        <f ca="1">IF(AP$6=OFFSET(Assumptions!$B$8,0,$C$1),AVERAGE(AM$222/SUM(AM$225:AM$226),AN$222/SUM(AN$225:AN$226),AO$222/SUM(AO$225:AO$226)),AO$222/SUM(AO$225:AO$226))*SUM(AP$225:AP$226)</f>
        <v>17.703435689664932</v>
      </c>
      <c r="AQ222" s="7">
        <f ca="1">IF(AQ$6=OFFSET(Assumptions!$B$8,0,$C$1),AVERAGE(AN$222/SUM(AN$225:AN$226),AO$222/SUM(AO$225:AO$226),AP$222/SUM(AP$225:AP$226)),AP$222/SUM(AP$225:AP$226))*SUM(AQ$225:AQ$226)</f>
        <v>18.356704478123596</v>
      </c>
      <c r="AR222" s="7">
        <f ca="1">IF(AR$6=OFFSET(Assumptions!$B$8,0,$C$1),AVERAGE(AO$222/SUM(AO$225:AO$226),AP$222/SUM(AP$225:AP$226),AQ$222/SUM(AQ$225:AQ$226)),AQ$222/SUM(AQ$225:AQ$226))*SUM(AR$225:AR$226)</f>
        <v>19.034998378514469</v>
      </c>
      <c r="AS222" s="7">
        <f ca="1">IF(AS$6=OFFSET(Assumptions!$B$8,0,$C$1),AVERAGE(AP$222/SUM(AP$225:AP$226),AQ$222/SUM(AQ$225:AQ$226),AR$222/SUM(AR$225:AR$226)),AR$222/SUM(AR$225:AR$226))*SUM(AS$225:AS$226)</f>
        <v>19.739464701411123</v>
      </c>
      <c r="AT222" s="7">
        <f ca="1">IF(AT$6=OFFSET(Assumptions!$B$8,0,$C$1),AVERAGE(AQ$222/SUM(AQ$225:AQ$226),AR$222/SUM(AR$225:AR$226),AS$222/SUM(AS$225:AS$226)),AS$222/SUM(AS$225:AS$226))*SUM(AT$225:AT$226)</f>
        <v>20.467905535820055</v>
      </c>
      <c r="AU222" s="7">
        <f ca="1">IF(AU$6=OFFSET(Assumptions!$B$8,0,$C$1),AVERAGE(AR$222/SUM(AR$225:AR$226),AS$222/SUM(AS$225:AS$226),AT$222/SUM(AT$225:AT$226)),AT$222/SUM(AT$225:AT$226))*SUM(AU$225:AU$226)</f>
        <v>21.223048501059335</v>
      </c>
      <c r="AV222" s="7">
        <f ca="1">IF(AV$6=OFFSET(Assumptions!$B$8,0,$C$1),AVERAGE(AS$222/SUM(AS$225:AS$226),AT$222/SUM(AT$225:AT$226),AU$222/SUM(AU$225:AU$226)),AU$222/SUM(AU$225:AU$226))*SUM(AV$225:AV$226)</f>
        <v>22.005937010315002</v>
      </c>
      <c r="AW222" s="7">
        <f ca="1">IF(AW$6=OFFSET(Assumptions!$B$8,0,$C$1),AVERAGE(AT$222/SUM(AT$225:AT$226),AU$222/SUM(AU$225:AU$226),AV$222/SUM(AV$225:AV$226)),AV$222/SUM(AV$225:AV$226))*SUM(AW$225:AW$226)</f>
        <v>22.817539120632699</v>
      </c>
    </row>
    <row r="223" spans="1:49" x14ac:dyDescent="0.2">
      <c r="A223" s="1" t="s">
        <v>529</v>
      </c>
      <c r="B223" s="4" t="str">
        <f t="shared" si="172"/>
        <v>From Fiscal</v>
      </c>
      <c r="D223" s="18">
        <f>SUM(Fiscal!D$190:D$191)</f>
        <v>1.9E-2</v>
      </c>
      <c r="E223" s="19">
        <f>SUM(Fiscal!E$190:E$191)</f>
        <v>7.0000000000000001E-3</v>
      </c>
      <c r="F223" s="19">
        <f>SUM(Fiscal!F$190:F$191)</f>
        <v>7.0000000000000001E-3</v>
      </c>
      <c r="G223" s="19">
        <f>SUM(Fiscal!G$190:G$191)</f>
        <v>8.0000000000000002E-3</v>
      </c>
      <c r="H223" s="19">
        <f>SUM(Fiscal!H$190:H$191)</f>
        <v>4.0000000000000001E-3</v>
      </c>
      <c r="I223" s="19">
        <f>SUM(Fiscal!I$190:I$191)</f>
        <v>7.0000000000000001E-3</v>
      </c>
      <c r="J223" s="7">
        <f ca="1">SUM(J$225:J226)-J$222</f>
        <v>9.6677456912068749E-3</v>
      </c>
      <c r="K223" s="7">
        <f ca="1">SUM(K$225:K226)-K$222</f>
        <v>1.011726884011388E-2</v>
      </c>
      <c r="L223" s="7">
        <f ca="1">SUM(L$225:L226)-L$222</f>
        <v>1.0577378030927953E-2</v>
      </c>
      <c r="M223" s="7">
        <f ca="1">SUM(M$225:M226)-M$222</f>
        <v>1.1081554633968871E-2</v>
      </c>
      <c r="N223" s="7">
        <f ca="1">SUM(N$225:N226)-N$222</f>
        <v>1.1545367169592424E-2</v>
      </c>
      <c r="O223" s="7">
        <f ca="1">SUM(O$225:O226)-O$222</f>
        <v>1.2030486751335445E-2</v>
      </c>
      <c r="P223" s="7">
        <f ca="1">SUM(P$225:P226)-P$222</f>
        <v>1.2505361983269125E-2</v>
      </c>
      <c r="Q223" s="7">
        <f ca="1">SUM(Q$225:Q226)-Q$222</f>
        <v>1.2994624059622595E-2</v>
      </c>
      <c r="R223" s="7">
        <f ca="1">SUM(R$225:R226)-R$222</f>
        <v>1.3498860265607426E-2</v>
      </c>
      <c r="S223" s="7">
        <f ca="1">SUM(S$225:S226)-S$222</f>
        <v>1.4018760768930605E-2</v>
      </c>
      <c r="T223" s="7">
        <f ca="1">SUM(T$225:T226)-T$222</f>
        <v>1.4554989176705391E-2</v>
      </c>
      <c r="U223" s="7">
        <f ca="1">SUM(U$225:U226)-U$222</f>
        <v>1.5108305538969802E-2</v>
      </c>
      <c r="V223" s="7">
        <f ca="1">SUM(V$225:V226)-V$222</f>
        <v>1.5679479085754622E-2</v>
      </c>
      <c r="W223" s="7">
        <f ca="1">SUM(W$225:W226)-W$222</f>
        <v>1.6269322505729988E-2</v>
      </c>
      <c r="X223" s="7">
        <f ca="1">SUM(X$225:X226)-X$222</f>
        <v>1.6878690624704262E-2</v>
      </c>
      <c r="Y223" s="7">
        <f ca="1">SUM(Y$225:Y226)-Y$222</f>
        <v>1.7508398090543054E-2</v>
      </c>
      <c r="Z223" s="7">
        <f ca="1">SUM(Z$225:Z226)-Z$222</f>
        <v>1.8159424062304197E-2</v>
      </c>
      <c r="AA223" s="7">
        <f ca="1">SUM(AA$225:AA226)-AA$222</f>
        <v>1.883270243853552E-2</v>
      </c>
      <c r="AB223" s="7">
        <f ca="1">SUM(AB$225:AB226)-AB$222</f>
        <v>1.9529246130721489E-2</v>
      </c>
      <c r="AC223" s="7">
        <f ca="1">SUM(AC$225:AC226)-AC$222</f>
        <v>2.0250135032096495E-2</v>
      </c>
      <c r="AD223" s="7">
        <f ca="1">SUM(AD$225:AD226)-AD$222</f>
        <v>2.0996418188625299E-2</v>
      </c>
      <c r="AE223" s="7">
        <f ca="1">SUM(AE$225:AE226)-AE$222</f>
        <v>2.1769131843932144E-2</v>
      </c>
      <c r="AF223" s="7">
        <f ca="1">SUM(AF$225:AF226)-AF$222</f>
        <v>2.2569475991980781E-2</v>
      </c>
      <c r="AG223" s="7">
        <f ca="1">SUM(AG$225:AG226)-AG$222</f>
        <v>2.3398631659658164E-2</v>
      </c>
      <c r="AH223" s="7">
        <f ca="1">SUM(AH$225:AH226)-AH$222</f>
        <v>2.4257869122715547E-2</v>
      </c>
      <c r="AI223" s="7">
        <f ca="1">SUM(AI$225:AI226)-AI$222</f>
        <v>2.5148396029216258E-2</v>
      </c>
      <c r="AJ223" s="7">
        <f ca="1">SUM(AJ$225:AJ226)-AJ$222</f>
        <v>2.6071659008083614E-2</v>
      </c>
      <c r="AK223" s="7">
        <f ca="1">SUM(AK$225:AK226)-AK$222</f>
        <v>2.7029014262716089E-2</v>
      </c>
      <c r="AL223" s="7">
        <f ca="1">SUM(AL$225:AL226)-AL$222</f>
        <v>2.8021881217492606E-2</v>
      </c>
      <c r="AM223" s="7">
        <f ca="1">SUM(AM$225:AM226)-AM$222</f>
        <v>2.9051833271088512E-2</v>
      </c>
      <c r="AN223" s="7">
        <f ca="1">SUM(AN$225:AN226)-AN$222</f>
        <v>3.0120515832500416E-2</v>
      </c>
      <c r="AO223" s="7">
        <f ca="1">SUM(AO$225:AO226)-AO$222</f>
        <v>3.1229412691978098E-2</v>
      </c>
      <c r="AP223" s="7">
        <f ca="1">SUM(AP$225:AP226)-AP$222</f>
        <v>3.2380451358054785E-2</v>
      </c>
      <c r="AQ223" s="7">
        <f ca="1">SUM(AQ$225:AQ226)-AQ$222</f>
        <v>3.3575311982808387E-2</v>
      </c>
      <c r="AR223" s="7">
        <f ca="1">SUM(AR$225:AR226)-AR$222</f>
        <v>3.4815944763533224E-2</v>
      </c>
      <c r="AS223" s="7">
        <f ca="1">SUM(AS$225:AS226)-AS$222</f>
        <v>3.610444818749059E-2</v>
      </c>
      <c r="AT223" s="7">
        <f ca="1">SUM(AT$225:AT226)-AT$222</f>
        <v>3.7436802167771788E-2</v>
      </c>
      <c r="AU223" s="7">
        <f ca="1">SUM(AU$225:AU226)-AU$222</f>
        <v>3.8817995653765536E-2</v>
      </c>
      <c r="AV223" s="7">
        <f ca="1">SUM(AV$225:AV226)-AV$222</f>
        <v>4.0249937099321897E-2</v>
      </c>
      <c r="AW223" s="7">
        <f ca="1">SUM(AW$225:AW226)-AW$222</f>
        <v>4.1734397128205813E-2</v>
      </c>
    </row>
    <row r="224" spans="1:49" ht="15" x14ac:dyDescent="0.25">
      <c r="A224" s="2" t="s">
        <v>538</v>
      </c>
      <c r="D224" s="40">
        <f t="shared" ref="D224:I224" si="173">SUM(D$221:D$223)</f>
        <v>4.1100000000000003</v>
      </c>
      <c r="E224" s="39">
        <f t="shared" si="173"/>
        <v>4.335</v>
      </c>
      <c r="F224" s="39">
        <f t="shared" si="173"/>
        <v>4.2389999999999999</v>
      </c>
      <c r="G224" s="39">
        <f t="shared" si="173"/>
        <v>4.4119999999999999</v>
      </c>
      <c r="H224" s="39">
        <f t="shared" si="173"/>
        <v>4.8179999999999996</v>
      </c>
      <c r="I224" s="39">
        <f t="shared" si="173"/>
        <v>5.0979999999999999</v>
      </c>
      <c r="J224" s="43">
        <f t="shared" ref="J224:AW224" ca="1" si="174">SUM(J$221:J$223)</f>
        <v>5.2953357005867305</v>
      </c>
      <c r="K224" s="43">
        <f t="shared" ca="1" si="174"/>
        <v>5.5415540077990553</v>
      </c>
      <c r="L224" s="43">
        <f t="shared" ca="1" si="174"/>
        <v>5.7935706311266051</v>
      </c>
      <c r="M224" s="43">
        <f t="shared" ca="1" si="174"/>
        <v>6.0697243954843199</v>
      </c>
      <c r="N224" s="43">
        <f t="shared" ca="1" si="174"/>
        <v>6.3237694600437075</v>
      </c>
      <c r="O224" s="43">
        <f t="shared" ca="1" si="174"/>
        <v>6.5894850800347156</v>
      </c>
      <c r="P224" s="43">
        <f t="shared" ca="1" si="174"/>
        <v>6.8495895396783126</v>
      </c>
      <c r="Q224" s="43">
        <f t="shared" ca="1" si="174"/>
        <v>7.1175741373922783</v>
      </c>
      <c r="R224" s="43">
        <f t="shared" ca="1" si="174"/>
        <v>7.3937605482024198</v>
      </c>
      <c r="S224" s="43">
        <f t="shared" ca="1" si="174"/>
        <v>7.6785267991912916</v>
      </c>
      <c r="T224" s="43">
        <f t="shared" ca="1" si="174"/>
        <v>7.9722363693489608</v>
      </c>
      <c r="U224" s="43">
        <f t="shared" ca="1" si="174"/>
        <v>8.2753055625616039</v>
      </c>
      <c r="V224" s="43">
        <f t="shared" ca="1" si="174"/>
        <v>8.5881557108930409</v>
      </c>
      <c r="W224" s="43">
        <f t="shared" ca="1" si="174"/>
        <v>8.9112319501029251</v>
      </c>
      <c r="X224" s="43">
        <f t="shared" ca="1" si="174"/>
        <v>9.2450024958198185</v>
      </c>
      <c r="Y224" s="43">
        <f t="shared" ca="1" si="174"/>
        <v>9.5899135569183702</v>
      </c>
      <c r="Z224" s="43">
        <f t="shared" ca="1" si="174"/>
        <v>9.9465014503516223</v>
      </c>
      <c r="AA224" s="43">
        <f t="shared" ca="1" si="174"/>
        <v>10.315277702434544</v>
      </c>
      <c r="AB224" s="43">
        <f t="shared" ca="1" si="174"/>
        <v>10.696797117411274</v>
      </c>
      <c r="AC224" s="43">
        <f t="shared" ca="1" si="174"/>
        <v>11.091651187588246</v>
      </c>
      <c r="AD224" s="43">
        <f t="shared" ca="1" si="174"/>
        <v>11.500414509228738</v>
      </c>
      <c r="AE224" s="43">
        <f t="shared" ca="1" si="174"/>
        <v>11.923654666341967</v>
      </c>
      <c r="AF224" s="43">
        <f t="shared" ca="1" si="174"/>
        <v>12.362028934272423</v>
      </c>
      <c r="AG224" s="43">
        <f t="shared" ca="1" si="174"/>
        <v>12.816184199485102</v>
      </c>
      <c r="AH224" s="43">
        <f t="shared" ca="1" si="174"/>
        <v>13.286816232922012</v>
      </c>
      <c r="AI224" s="43">
        <f t="shared" ca="1" si="174"/>
        <v>13.774586502324945</v>
      </c>
      <c r="AJ224" s="43">
        <f t="shared" ca="1" si="174"/>
        <v>14.280287372950719</v>
      </c>
      <c r="AK224" s="43">
        <f t="shared" ca="1" si="174"/>
        <v>14.804661681080136</v>
      </c>
      <c r="AL224" s="43">
        <f t="shared" ca="1" si="174"/>
        <v>15.348486891164852</v>
      </c>
      <c r="AM224" s="43">
        <f t="shared" ca="1" si="174"/>
        <v>15.912624804335135</v>
      </c>
      <c r="AN224" s="43">
        <f t="shared" ca="1" si="174"/>
        <v>16.497976664094423</v>
      </c>
      <c r="AO224" s="43">
        <f t="shared" ca="1" si="174"/>
        <v>17.105355190155311</v>
      </c>
      <c r="AP224" s="43">
        <f t="shared" ca="1" si="174"/>
        <v>17.735816141022987</v>
      </c>
      <c r="AQ224" s="43">
        <f t="shared" ca="1" si="174"/>
        <v>18.390279790106405</v>
      </c>
      <c r="AR224" s="43">
        <f t="shared" ca="1" si="174"/>
        <v>19.069814323278003</v>
      </c>
      <c r="AS224" s="43">
        <f t="shared" ca="1" si="174"/>
        <v>19.775569149598613</v>
      </c>
      <c r="AT224" s="43">
        <f t="shared" ca="1" si="174"/>
        <v>20.505342337987827</v>
      </c>
      <c r="AU224" s="43">
        <f t="shared" ca="1" si="174"/>
        <v>21.2618664967131</v>
      </c>
      <c r="AV224" s="43">
        <f t="shared" ca="1" si="174"/>
        <v>22.046186947414323</v>
      </c>
      <c r="AW224" s="43">
        <f t="shared" ca="1" si="174"/>
        <v>22.859273517760904</v>
      </c>
    </row>
    <row r="225" spans="1:49" x14ac:dyDescent="0.2">
      <c r="A225" s="1" t="s">
        <v>539</v>
      </c>
      <c r="B225" s="4" t="str">
        <f t="shared" si="172"/>
        <v>From Fiscal</v>
      </c>
      <c r="D225" s="18">
        <f>Fiscal!D$259</f>
        <v>4.1040000000000001</v>
      </c>
      <c r="E225" s="19">
        <f>Fiscal!E$259</f>
        <v>4.0789999999999997</v>
      </c>
      <c r="F225" s="19">
        <f>Fiscal!F$259</f>
        <v>4.2510000000000003</v>
      </c>
      <c r="G225" s="19">
        <f>Fiscal!G$259</f>
        <v>4.2880000000000003</v>
      </c>
      <c r="H225" s="19">
        <f>Fiscal!H$259</f>
        <v>4.62</v>
      </c>
      <c r="I225" s="19">
        <f>Fiscal!I$259</f>
        <v>4.8840000000000003</v>
      </c>
      <c r="J225" s="7">
        <f>I$225*Exogenous!Q$25/Exogenous!P$25</f>
        <v>5.1023053977074149</v>
      </c>
      <c r="K225" s="7">
        <f>J$225*Exogenous!R$25/Exogenous!Q$25</f>
        <v>5.3404569304695508</v>
      </c>
      <c r="L225" s="7">
        <f>K$225*Exogenous!S$25/Exogenous!R$25</f>
        <v>5.5837569425981037</v>
      </c>
      <c r="M225" s="7">
        <f>L$225*Exogenous!T$25/Exogenous!S$25</f>
        <v>5.8508454015378888</v>
      </c>
      <c r="N225" s="7">
        <f>M$225*Exogenous!U$25/Exogenous!T$25</f>
        <v>6.0954507674260503</v>
      </c>
      <c r="O225" s="7">
        <f>N$225*Exogenous!V$25/Exogenous!U$25</f>
        <v>6.3514202083273261</v>
      </c>
      <c r="P225" s="7">
        <f>O$225*Exogenous!W$25/Exogenous!V$25</f>
        <v>6.6014571661268437</v>
      </c>
      <c r="Q225" s="7">
        <f>P$225*Exogenous!X$25/Exogenous!W$25</f>
        <v>6.8590638139929565</v>
      </c>
      <c r="R225" s="7">
        <f>Q$225*Exogenous!Y$25/Exogenous!X$25</f>
        <v>7.1245695296475304</v>
      </c>
      <c r="S225" s="7">
        <f>R$225*Exogenous!Z$25/Exogenous!Y$25</f>
        <v>7.3983183973594437</v>
      </c>
      <c r="T225" s="7">
        <f>S$225*Exogenous!AA$25/Exogenous!Z$25</f>
        <v>7.6806698784520941</v>
      </c>
      <c r="U225" s="7">
        <f>T$225*Exogenous!AB$25/Exogenous!AA$25</f>
        <v>7.9719995129294006</v>
      </c>
      <c r="V225" s="7">
        <f>U$225*Exogenous!AC$25/Exogenous!AB$25</f>
        <v>8.2726996536873898</v>
      </c>
      <c r="W225" s="7">
        <f>V$225*Exogenous!AD$25/Exogenous!AC$25</f>
        <v>8.5831802348490918</v>
      </c>
      <c r="X225" s="7">
        <f>W$225*Exogenous!AE$25/Exogenous!AD$25</f>
        <v>8.9038695758336583</v>
      </c>
      <c r="Y225" s="7">
        <f>X$225*Exogenous!AF$25/Exogenous!AE$25</f>
        <v>9.2352152228479909</v>
      </c>
      <c r="Z225" s="7">
        <f>Y$225*Exogenous!AG$25/Exogenous!AF$25</f>
        <v>9.5776848295701225</v>
      </c>
      <c r="AA225" s="7">
        <f>Z$225*Exogenous!AH$25/Exogenous!AG$25</f>
        <v>9.9317670788784369</v>
      </c>
      <c r="AB225" s="7">
        <f>AA$225*Exogenous!AI$25/Exogenous!AH$25</f>
        <v>10.297972647569726</v>
      </c>
      <c r="AC225" s="7">
        <f>AB$225*Exogenous!AJ$25/Exogenous!AI$25</f>
        <v>10.676835216102576</v>
      </c>
      <c r="AD225" s="7">
        <f>AC$225*Exogenous!AK$25/Exogenous!AJ$25</f>
        <v>11.068912525500263</v>
      </c>
      <c r="AE225" s="7">
        <f>AD$225*Exogenous!AL$25/Exogenous!AK$25</f>
        <v>11.474787483650232</v>
      </c>
      <c r="AF225" s="7">
        <f>AE$225*Exogenous!AM$25/Exogenous!AL$25</f>
        <v>11.895069323344483</v>
      </c>
      <c r="AG225" s="7">
        <f>AF$225*Exogenous!AN$25/Exogenous!AM$25</f>
        <v>12.330394814518684</v>
      </c>
      <c r="AH225" s="7">
        <f>AG$225*Exogenous!AO$25/Exogenous!AN$25</f>
        <v>12.781429533265646</v>
      </c>
      <c r="AI225" s="7">
        <f>AH$225*Exogenous!AP$25/Exogenous!AO$25</f>
        <v>13.248869190323294</v>
      </c>
      <c r="AJ225" s="7">
        <f>AI$225*Exogenous!AQ$25/Exogenous!AP$25</f>
        <v>13.73344102186771</v>
      </c>
      <c r="AK225" s="7">
        <f>AJ$225*Exogenous!AR$25/Exogenous!AQ$25</f>
        <v>14.235905245578095</v>
      </c>
      <c r="AL225" s="7">
        <f>AK$225*Exogenous!AS$25/Exogenous!AR$25</f>
        <v>14.757056585084062</v>
      </c>
      <c r="AM225" s="7">
        <f>AL$225*Exogenous!AT$25/Exogenous!AS$25</f>
        <v>15.297725866056069</v>
      </c>
      <c r="AN225" s="7">
        <f>AM$225*Exogenous!AU$25/Exogenous!AT$25</f>
        <v>15.858781687357439</v>
      </c>
      <c r="AO225" s="7">
        <f>AN$225*Exogenous!AV$25/Exogenous!AU$25</f>
        <v>16.441132170841833</v>
      </c>
      <c r="AP225" s="7">
        <f>AO$225*Exogenous!AW$25/Exogenous!AV$25</f>
        <v>17.045726793553815</v>
      </c>
      <c r="AQ225" s="7">
        <f>AP$225*Exogenous!AX$25/Exogenous!AW$25</f>
        <v>17.673558306272206</v>
      </c>
      <c r="AR225" s="7">
        <f>AQ$225*Exogenous!AY$25/Exogenous!AX$25</f>
        <v>18.325664742526666</v>
      </c>
      <c r="AS225" s="7">
        <f>AR$225*Exogenous!AZ$25/Exogenous!AY$25</f>
        <v>19.003131522419061</v>
      </c>
      <c r="AT225" s="7">
        <f>AS$225*Exogenous!BA$25/Exogenous!AZ$25</f>
        <v>19.70373412213242</v>
      </c>
      <c r="AU225" s="7">
        <f>AT$225*Exogenous!BB$25/Exogenous!BA$25</f>
        <v>20.43016635956344</v>
      </c>
      <c r="AV225" s="7">
        <f>AU$225*Exogenous!BC$25/Exogenous!BB$25</f>
        <v>21.183380515198799</v>
      </c>
      <c r="AW225" s="7">
        <f>AV$225*Exogenous!BD$25/Exogenous!BC$25</f>
        <v>21.964363977958957</v>
      </c>
    </row>
    <row r="226" spans="1:49" x14ac:dyDescent="0.2">
      <c r="A226" s="1" t="s">
        <v>540</v>
      </c>
      <c r="B226" s="4" t="str">
        <f t="shared" si="172"/>
        <v>From Fiscal</v>
      </c>
      <c r="D226" s="18">
        <f>SUM(Fiscal!D$260:D$261)</f>
        <v>6.0000000000000053E-3</v>
      </c>
      <c r="E226" s="19">
        <f>SUM(Fiscal!E$260:E$261)</f>
        <v>0.25600000000000001</v>
      </c>
      <c r="F226" s="19">
        <f>SUM(Fiscal!F$260:F$261)</f>
        <v>-1.1999999999999997E-2</v>
      </c>
      <c r="G226" s="19">
        <f>SUM(Fiscal!G$260:G$261)</f>
        <v>0.12399999999999999</v>
      </c>
      <c r="H226" s="19">
        <f>SUM(Fiscal!H$260:H$261)</f>
        <v>0.19800000000000001</v>
      </c>
      <c r="I226" s="19">
        <f>SUM(Fiscal!I$260:I$261)</f>
        <v>0.214</v>
      </c>
      <c r="J226" s="7">
        <f ca="1">IF(J$6=OFFSET(Assumptions!$B$8,0,$C$1),AVERAGE(G$226/G$14,H$226/H$14,I$226/I$14),I$226/I$14) *J$14</f>
        <v>0.19303030287931575</v>
      </c>
      <c r="K226" s="7">
        <f ca="1">IF(K$6=OFFSET(Assumptions!$B$8,0,$C$1),AVERAGE(H$226/H$14,I$226/I$14,J$226/J$14),J$226/J$14) *K$14</f>
        <v>0.20109707732950469</v>
      </c>
      <c r="L226" s="7">
        <f ca="1">IF(L$6=OFFSET(Assumptions!$B$8,0,$C$1),AVERAGE(I$226/I$14,J$226/J$14,K$226/K$14),K$226/K$14) *L$14</f>
        <v>0.20981368852850157</v>
      </c>
      <c r="M226" s="7">
        <f ca="1">IF(M$6=OFFSET(Assumptions!$B$8,0,$C$1),AVERAGE(J$226/J$14,K$226/K$14,L$226/L$14),L$226/L$14) *M$14</f>
        <v>0.21887899394643087</v>
      </c>
      <c r="N226" s="7">
        <f ca="1">IF(N$6=OFFSET(Assumptions!$B$8,0,$C$1),AVERAGE(K$226/K$14,L$226/L$14,M$226/M$14),M$226/M$14) *N$14</f>
        <v>0.22831869261765722</v>
      </c>
      <c r="O226" s="7">
        <f ca="1">IF(O$6=OFFSET(Assumptions!$B$8,0,$C$1),AVERAGE(L$226/L$14,M$226/M$14,N$226/N$14),N$226/N$14) *O$14</f>
        <v>0.2380648717073891</v>
      </c>
      <c r="P226" s="7">
        <f ca="1">IF(P$6=OFFSET(Assumptions!$B$8,0,$C$1),AVERAGE(M$226/M$14,N$226/N$14,O$226/O$14),O$226/O$14) *P$14</f>
        <v>0.24813237355146844</v>
      </c>
      <c r="Q226" s="7">
        <f ca="1">IF(Q$6=OFFSET(Assumptions!$B$8,0,$C$1),AVERAGE(N$226/N$14,O$226/O$14,P$226/P$14),P$226/P$14) *Q$14</f>
        <v>0.25851032339932134</v>
      </c>
      <c r="R226" s="7">
        <f ca="1">IF(R$6=OFFSET(Assumptions!$B$8,0,$C$1),AVERAGE(O$226/O$14,P$226/P$14,Q$226/Q$14),Q$226/Q$14) *R$14</f>
        <v>0.26919101855488914</v>
      </c>
      <c r="S226" s="7">
        <f ca="1">IF(S$6=OFFSET(Assumptions!$B$8,0,$C$1),AVERAGE(P$226/P$14,Q$226/Q$14,R$226/R$14),R$226/R$14) *S$14</f>
        <v>0.28020840183184803</v>
      </c>
      <c r="T226" s="7">
        <f ca="1">IF(T$6=OFFSET(Assumptions!$B$8,0,$C$1),AVERAGE(Q$226/Q$14,R$226/R$14,S$226/S$14),S$226/S$14) *T$14</f>
        <v>0.29156649089686648</v>
      </c>
      <c r="U226" s="7">
        <f ca="1">IF(U$6=OFFSET(Assumptions!$B$8,0,$C$1),AVERAGE(R$226/R$14,S$226/S$14,T$226/T$14),T$226/T$14) *U$14</f>
        <v>0.30330604963220342</v>
      </c>
      <c r="V226" s="7">
        <f ca="1">IF(V$6=OFFSET(Assumptions!$B$8,0,$C$1),AVERAGE(S$226/S$14,T$226/T$14,U$226/U$14),U$226/U$14) *V$14</f>
        <v>0.31545605720565056</v>
      </c>
      <c r="W226" s="7">
        <f ca="1">IF(W$6=OFFSET(Assumptions!$B$8,0,$C$1),AVERAGE(T$226/T$14,U$226/U$14,V$226/V$14),V$226/V$14) *W$14</f>
        <v>0.32805171525383403</v>
      </c>
      <c r="X226" s="7">
        <f ca="1">IF(X$6=OFFSET(Assumptions!$B$8,0,$C$1),AVERAGE(U$226/U$14,V$226/V$14,W$226/W$14),W$226/W$14) *X$14</f>
        <v>0.34113291998616102</v>
      </c>
      <c r="Y226" s="7">
        <f ca="1">IF(Y$6=OFFSET(Assumptions!$B$8,0,$C$1),AVERAGE(V$226/V$14,W$226/W$14,X$226/X$14),X$226/X$14) *Y$14</f>
        <v>0.35469833407037865</v>
      </c>
      <c r="Z226" s="7">
        <f ca="1">IF(Z$6=OFFSET(Assumptions!$B$8,0,$C$1),AVERAGE(W$226/W$14,X$226/X$14,Y$226/Y$14),Y$226/Y$14) *Z$14</f>
        <v>0.36881662078149924</v>
      </c>
      <c r="AA226" s="7">
        <f ca="1">IF(AA$6=OFFSET(Assumptions!$B$8,0,$C$1),AVERAGE(X$226/X$14,Y$226/Y$14,Z$226/Z$14),Z$226/Z$14) *AA$14</f>
        <v>0.38351062355610827</v>
      </c>
      <c r="AB226" s="7">
        <f ca="1">IF(AB$6=OFFSET(Assumptions!$B$8,0,$C$1),AVERAGE(Y$226/Y$14,Z$226/Z$14,AA$226/AA$14),AA$226/AA$14) *AB$14</f>
        <v>0.39882446984154746</v>
      </c>
      <c r="AC226" s="7">
        <f ca="1">IF(AC$6=OFFSET(Assumptions!$B$8,0,$C$1),AVERAGE(Z$226/Z$14,AA$226/AA$14,AB$226/AB$14),AB$226/AB$14) *AC$14</f>
        <v>0.41481597148566995</v>
      </c>
      <c r="AD226" s="7">
        <f ca="1">IF(AD$6=OFFSET(Assumptions!$B$8,0,$C$1),AVERAGE(AA$226/AA$14,AB$226/AB$14,AC$226/AC$14),AC$226/AC$14) *AD$14</f>
        <v>0.43150198372847504</v>
      </c>
      <c r="AE226" s="7">
        <f ca="1">IF(AE$6=OFFSET(Assumptions!$B$8,0,$C$1),AVERAGE(AB$226/AB$14,AC$226/AC$14,AD$226/AD$14),AD$226/AD$14) *AE$14</f>
        <v>0.44886718269173592</v>
      </c>
      <c r="AF226" s="7">
        <f ca="1">IF(AF$6=OFFSET(Assumptions!$B$8,0,$C$1),AVERAGE(AC$226/AC$14,AD$226/AD$14,AE$226/AE$14),AE$226/AE$14) *AF$14</f>
        <v>0.46695961092794108</v>
      </c>
      <c r="AG226" s="7">
        <f ca="1">IF(AG$6=OFFSET(Assumptions!$B$8,0,$C$1),AVERAGE(AD$226/AD$14,AE$226/AE$14,AF$226/AF$14),AF$226/AF$14) *AG$14</f>
        <v>0.48578938496641788</v>
      </c>
      <c r="AH226" s="7">
        <f ca="1">IF(AH$6=OFFSET(Assumptions!$B$8,0,$C$1),AVERAGE(AE$226/AE$14,AF$226/AF$14,AG$226/AG$14),AG$226/AG$14) *AH$14</f>
        <v>0.50538669965636551</v>
      </c>
      <c r="AI226" s="7">
        <f ca="1">IF(AI$6=OFFSET(Assumptions!$B$8,0,$C$1),AVERAGE(AF$226/AF$14,AG$226/AG$14,AH$226/AH$14),AH$226/AH$14) *AI$14</f>
        <v>0.52571731200165128</v>
      </c>
      <c r="AJ226" s="7">
        <f ca="1">IF(AJ$6=OFFSET(Assumptions!$B$8,0,$C$1),AVERAGE(AG$226/AG$14,AH$226/AH$14,AI$226/AI$14),AI$226/AI$14) *AJ$14</f>
        <v>0.54684635108300916</v>
      </c>
      <c r="AK226" s="7">
        <f ca="1">IF(AK$6=OFFSET(Assumptions!$B$8,0,$C$1),AVERAGE(AH$226/AH$14,AI$226/AI$14,AJ$226/AJ$14),AJ$226/AJ$14) *AK$14</f>
        <v>0.5687564355020408</v>
      </c>
      <c r="AL226" s="7">
        <f ca="1">IF(AL$6=OFFSET(Assumptions!$B$8,0,$C$1),AVERAGE(AI$226/AI$14,AJ$226/AJ$14,AK$226/AK$14),AK$226/AK$14) *AL$14</f>
        <v>0.59143030608079028</v>
      </c>
      <c r="AM226" s="7">
        <f ca="1">IF(AM$6=OFFSET(Assumptions!$B$8,0,$C$1),AVERAGE(AJ$226/AJ$14,AK$226/AK$14,AL$226/AL$14),AL$226/AL$14) *AM$14</f>
        <v>0.61489893827906583</v>
      </c>
      <c r="AN226" s="7">
        <f ca="1">IF(AN$6=OFFSET(Assumptions!$B$8,0,$C$1),AVERAGE(AK$226/AK$14,AL$226/AL$14,AM$226/AM$14),AM$226/AM$14) *AN$14</f>
        <v>0.639194976736983</v>
      </c>
      <c r="AO226" s="7">
        <f ca="1">IF(AO$6=OFFSET(Assumptions!$B$8,0,$C$1),AVERAGE(AL$226/AL$14,AM$226/AM$14,AN$226/AN$14),AN$226/AN$14) *AO$14</f>
        <v>0.66422301931347716</v>
      </c>
      <c r="AP226" s="7">
        <f ca="1">IF(AP$6=OFFSET(Assumptions!$B$8,0,$C$1),AVERAGE(AM$226/AM$14,AN$226/AN$14,AO$226/AO$14),AO$226/AO$14) *AP$14</f>
        <v>0.69008934746917139</v>
      </c>
      <c r="AQ226" s="7">
        <f ca="1">IF(AQ$6=OFFSET(Assumptions!$B$8,0,$C$1),AVERAGE(AN$226/AN$14,AO$226/AO$14,AP$226/AP$14),AP$226/AP$14) *AQ$14</f>
        <v>0.71672148383420042</v>
      </c>
      <c r="AR226" s="7">
        <f ca="1">IF(AR$6=OFFSET(Assumptions!$B$8,0,$C$1),AVERAGE(AO$226/AO$14,AP$226/AP$14,AQ$226/AQ$14),AQ$226/AQ$14) *AR$14</f>
        <v>0.74414958075133553</v>
      </c>
      <c r="AS226" s="7">
        <f ca="1">IF(AS$6=OFFSET(Assumptions!$B$8,0,$C$1),AVERAGE(AP$226/AP$14,AQ$226/AQ$14,AR$226/AR$14),AR$226/AR$14) *AS$14</f>
        <v>0.77243762717955133</v>
      </c>
      <c r="AT226" s="7">
        <f ca="1">IF(AT$6=OFFSET(Assumptions!$B$8,0,$C$1),AVERAGE(AQ$226/AQ$14,AR$226/AR$14,AS$226/AS$14),AS$226/AS$14) *AT$14</f>
        <v>0.80160821585540487</v>
      </c>
      <c r="AU226" s="7">
        <f ca="1">IF(AU$6=OFFSET(Assumptions!$B$8,0,$C$1),AVERAGE(AR$226/AR$14,AS$226/AS$14,AT$226/AT$14),AT$226/AT$14) *AU$14</f>
        <v>0.83170013714965851</v>
      </c>
      <c r="AV226" s="7">
        <f ca="1">IF(AV$6=OFFSET(Assumptions!$B$8,0,$C$1),AVERAGE(AS$226/AS$14,AT$226/AT$14,AU$226/AU$14),AU$226/AU$14) *AV$14</f>
        <v>0.86280643221552344</v>
      </c>
      <c r="AW226" s="7">
        <f ca="1">IF(AW$6=OFFSET(Assumptions!$B$8,0,$C$1),AVERAGE(AT$226/AT$14,AU$226/AU$14,AV$226/AV$14),AV$226/AV$14) *AW$14</f>
        <v>0.89490953980194554</v>
      </c>
    </row>
    <row r="227" spans="1:49" x14ac:dyDescent="0.2">
      <c r="B227" s="4"/>
      <c r="D227" s="18"/>
      <c r="E227" s="19"/>
      <c r="F227" s="19"/>
      <c r="G227" s="19"/>
      <c r="H227" s="19"/>
      <c r="I227" s="19"/>
      <c r="J227" s="7"/>
      <c r="K227" s="7"/>
      <c r="L227" s="7"/>
      <c r="M227" s="7"/>
      <c r="N227" s="7"/>
      <c r="O227" s="7"/>
      <c r="P227" s="7"/>
      <c r="Q227" s="7"/>
      <c r="R227" s="7"/>
      <c r="S227" s="7"/>
    </row>
    <row r="228" spans="1:49" x14ac:dyDescent="0.2">
      <c r="A228" s="22" t="s">
        <v>620</v>
      </c>
    </row>
    <row r="229" spans="1:49" ht="15" x14ac:dyDescent="0.25">
      <c r="A229" s="2" t="s">
        <v>541</v>
      </c>
      <c r="B229" s="4" t="str">
        <f t="shared" si="172"/>
        <v>From Fiscal</v>
      </c>
      <c r="C229" s="69">
        <f ca="1">OFFSET(Assumptions!$B$9,0,$C$1)</f>
        <v>0</v>
      </c>
      <c r="D229" s="47">
        <f>Fiscal!D$21</f>
        <v>0</v>
      </c>
      <c r="E229" s="44">
        <f ca="1">IF(OR(OFFSET(Assumptions!$B$72,0,$C$1)="BU",OFFSET(Assumptions!$B$113,0,$C$1)="SND"),0,Fiscal!E$21)</f>
        <v>0</v>
      </c>
      <c r="F229" s="44">
        <f ca="1">IF(OR(OFFSET(Assumptions!$B$72,0,$C$1)="BU",OFFSET(Assumptions!$B$113,0,$C$1)="SND"),0,Fiscal!F$21)</f>
        <v>0</v>
      </c>
      <c r="G229" s="44">
        <f ca="1">IF(OR(OFFSET(Assumptions!$B$72,0,$C$1)="BU",OFFSET(Assumptions!$B$113,0,$C$1)="SND"),0,Fiscal!G$21)</f>
        <v>0</v>
      </c>
      <c r="H229" s="44">
        <f ca="1">IF(OR(OFFSET(Assumptions!$B$72,0,$C$1)="BU",OFFSET(Assumptions!$B$113,0,$C$1)="SND"),0,Fiscal!H$21)</f>
        <v>0</v>
      </c>
      <c r="I229" s="44">
        <f ca="1">IF(OR(OFFSET(Assumptions!$B$72,0,$C$1)="BU",OFFSET(Assumptions!$B$113,0,$C$1)="SND"),0,Fiscal!I$21)</f>
        <v>0</v>
      </c>
      <c r="J229" s="8">
        <f ca="1">IF(OR(OFFSET(Assumptions!$B$72,0,$C$1)="BU",OFFSET(Assumptions!$B$113,0,$C$1)="SND"),0,I$229+IF(J$6=OFFSET(Assumptions!$B$8,0,$C$1),OFFSET(Assumptions!$B$52,0,$C$1),(I$229-H$229)*(1+OFFSET(Assumptions!$B$53,0,$C$1))))</f>
        <v>0</v>
      </c>
      <c r="K229" s="8">
        <f ca="1">IF(OR(OFFSET(Assumptions!$B$72,0,$C$1)="BU",OFFSET(Assumptions!$B$113,0,$C$1)="SND"),0,J$229+IF(K$6=OFFSET(Assumptions!$B$8,0,$C$1),OFFSET(Assumptions!$B$52,0,$C$1),(J$229-I$229)*(1+OFFSET(Assumptions!$B$53,0,$C$1))))</f>
        <v>0</v>
      </c>
      <c r="L229" s="8">
        <f ca="1">IF(OR(OFFSET(Assumptions!$B$72,0,$C$1)="BU",OFFSET(Assumptions!$B$113,0,$C$1)="SND"),0,K$229+IF(L$6=OFFSET(Assumptions!$B$8,0,$C$1),OFFSET(Assumptions!$B$52,0,$C$1),(K$229-J$229)*(1+OFFSET(Assumptions!$B$53,0,$C$1))))</f>
        <v>0</v>
      </c>
      <c r="M229" s="8">
        <f ca="1">IF(OR(OFFSET(Assumptions!$B$72,0,$C$1)="BU",OFFSET(Assumptions!$B$113,0,$C$1)="SND"),0,L$229+IF(M$6=OFFSET(Assumptions!$B$8,0,$C$1),OFFSET(Assumptions!$B$52,0,$C$1),(L$229-K$229)*(1+OFFSET(Assumptions!$B$53,0,$C$1))))</f>
        <v>0</v>
      </c>
      <c r="N229" s="8">
        <f ca="1">IF(OR(OFFSET(Assumptions!$B$72,0,$C$1)="BU",OFFSET(Assumptions!$B$113,0,$C$1)="SND"),0,M$229+IF(N$6=OFFSET(Assumptions!$B$8,0,$C$1),OFFSET(Assumptions!$B$52,0,$C$1),(M$229-L$229)*(1+OFFSET(Assumptions!$B$53,0,$C$1))))</f>
        <v>0</v>
      </c>
      <c r="O229" s="8">
        <f ca="1">IF(OR(OFFSET(Assumptions!$B$72,0,$C$1)="BU",OFFSET(Assumptions!$B$113,0,$C$1)="SND"),0,N$229+IF(O$6=OFFSET(Assumptions!$B$8,0,$C$1),OFFSET(Assumptions!$B$52,0,$C$1),(N$229-M$229)*(1+OFFSET(Assumptions!$B$53,0,$C$1))))</f>
        <v>0</v>
      </c>
      <c r="P229" s="8">
        <f ca="1">IF(OR(OFFSET(Assumptions!$B$72,0,$C$1)="BU",OFFSET(Assumptions!$B$113,0,$C$1)="SND"),0,O$229+IF(P$6=OFFSET(Assumptions!$B$8,0,$C$1),OFFSET(Assumptions!$B$52,0,$C$1),(O$229-N$229)*(1+OFFSET(Assumptions!$B$53,0,$C$1))))</f>
        <v>0</v>
      </c>
      <c r="Q229" s="8">
        <f ca="1">IF(OR(OFFSET(Assumptions!$B$72,0,$C$1)="BU",OFFSET(Assumptions!$B$113,0,$C$1)="SND"),0,P$229+IF(Q$6=OFFSET(Assumptions!$B$8,0,$C$1),OFFSET(Assumptions!$B$52,0,$C$1),(P$229-O$229)*(1+OFFSET(Assumptions!$B$53,0,$C$1))))</f>
        <v>0</v>
      </c>
      <c r="R229" s="8">
        <f ca="1">IF(OR(OFFSET(Assumptions!$B$72,0,$C$1)="BU",OFFSET(Assumptions!$B$113,0,$C$1)="SND"),0,Q$229+IF(R$6=OFFSET(Assumptions!$B$8,0,$C$1),OFFSET(Assumptions!$B$52,0,$C$1),(Q$229-P$229)*(1+OFFSET(Assumptions!$B$53,0,$C$1))))</f>
        <v>0</v>
      </c>
      <c r="S229" s="8">
        <f ca="1">IF(OR(OFFSET(Assumptions!$B$72,0,$C$1)="BU",OFFSET(Assumptions!$B$113,0,$C$1)="SND"),0,R$229+IF(S$6=OFFSET(Assumptions!$B$8,0,$C$1),OFFSET(Assumptions!$B$52,0,$C$1),(R$229-Q$229)*(1+OFFSET(Assumptions!$B$53,0,$C$1))))</f>
        <v>0</v>
      </c>
      <c r="T229" s="8">
        <f ca="1">IF(OR(OFFSET(Assumptions!$B$72,0,$C$1)="BU",OFFSET(Assumptions!$B$113,0,$C$1)="SND"),0,S$229+IF(T$6=OFFSET(Assumptions!$B$8,0,$C$1),OFFSET(Assumptions!$B$52,0,$C$1),(S$229-R$229)*(1+OFFSET(Assumptions!$B$53,0,$C$1))))</f>
        <v>0</v>
      </c>
      <c r="U229" s="8">
        <f ca="1">IF(OR(OFFSET(Assumptions!$B$72,0,$C$1)="BU",OFFSET(Assumptions!$B$113,0,$C$1)="SND"),0,T$229+IF(U$6=OFFSET(Assumptions!$B$8,0,$C$1),OFFSET(Assumptions!$B$52,0,$C$1),(T$229-S$229)*(1+OFFSET(Assumptions!$B$53,0,$C$1))))</f>
        <v>0</v>
      </c>
      <c r="V229" s="8">
        <f ca="1">IF(OR(OFFSET(Assumptions!$B$72,0,$C$1)="BU",OFFSET(Assumptions!$B$113,0,$C$1)="SND"),0,U$229+IF(V$6=OFFSET(Assumptions!$B$8,0,$C$1),OFFSET(Assumptions!$B$52,0,$C$1),(U$229-T$229)*(1+OFFSET(Assumptions!$B$53,0,$C$1))))</f>
        <v>0</v>
      </c>
      <c r="W229" s="8">
        <f ca="1">IF(OR(OFFSET(Assumptions!$B$72,0,$C$1)="BU",OFFSET(Assumptions!$B$113,0,$C$1)="SND"),0,V$229+IF(W$6=OFFSET(Assumptions!$B$8,0,$C$1),OFFSET(Assumptions!$B$52,0,$C$1),(V$229-U$229)*(1+OFFSET(Assumptions!$B$53,0,$C$1))))</f>
        <v>0</v>
      </c>
      <c r="X229" s="8">
        <f ca="1">IF(OR(OFFSET(Assumptions!$B$72,0,$C$1)="BU",OFFSET(Assumptions!$B$113,0,$C$1)="SND"),0,W$229+IF(X$6=OFFSET(Assumptions!$B$8,0,$C$1),OFFSET(Assumptions!$B$52,0,$C$1),(W$229-V$229)*(1+OFFSET(Assumptions!$B$53,0,$C$1))))</f>
        <v>0</v>
      </c>
      <c r="Y229" s="8">
        <f ca="1">IF(OR(OFFSET(Assumptions!$B$72,0,$C$1)="BU",OFFSET(Assumptions!$B$113,0,$C$1)="SND"),0,X$229+IF(Y$6=OFFSET(Assumptions!$B$8,0,$C$1),OFFSET(Assumptions!$B$52,0,$C$1),(X$229-W$229)*(1+OFFSET(Assumptions!$B$53,0,$C$1))))</f>
        <v>0</v>
      </c>
      <c r="Z229" s="8">
        <f ca="1">IF(OR(OFFSET(Assumptions!$B$72,0,$C$1)="BU",OFFSET(Assumptions!$B$113,0,$C$1)="SND"),0,Y$229+IF(Z$6=OFFSET(Assumptions!$B$8,0,$C$1),OFFSET(Assumptions!$B$52,0,$C$1),(Y$229-X$229)*(1+OFFSET(Assumptions!$B$53,0,$C$1))))</f>
        <v>0</v>
      </c>
      <c r="AA229" s="8">
        <f ca="1">IF(OR(OFFSET(Assumptions!$B$72,0,$C$1)="BU",OFFSET(Assumptions!$B$113,0,$C$1)="SND"),0,Z$229+IF(AA$6=OFFSET(Assumptions!$B$8,0,$C$1),OFFSET(Assumptions!$B$52,0,$C$1),(Z$229-Y$229)*(1+OFFSET(Assumptions!$B$53,0,$C$1))))</f>
        <v>0</v>
      </c>
      <c r="AB229" s="8">
        <f ca="1">IF(OR(OFFSET(Assumptions!$B$72,0,$C$1)="BU",OFFSET(Assumptions!$B$113,0,$C$1)="SND"),0,AA$229+IF(AB$6=OFFSET(Assumptions!$B$8,0,$C$1),OFFSET(Assumptions!$B$52,0,$C$1),(AA$229-Z$229)*(1+OFFSET(Assumptions!$B$53,0,$C$1))))</f>
        <v>0</v>
      </c>
      <c r="AC229" s="8">
        <f ca="1">IF(OR(OFFSET(Assumptions!$B$72,0,$C$1)="BU",OFFSET(Assumptions!$B$113,0,$C$1)="SND"),0,AB$229+IF(AC$6=OFFSET(Assumptions!$B$8,0,$C$1),OFFSET(Assumptions!$B$52,0,$C$1),(AB$229-AA$229)*(1+OFFSET(Assumptions!$B$53,0,$C$1))))</f>
        <v>0</v>
      </c>
      <c r="AD229" s="8">
        <f ca="1">IF(OR(OFFSET(Assumptions!$B$72,0,$C$1)="BU",OFFSET(Assumptions!$B$113,0,$C$1)="SND"),0,AC$229+IF(AD$6=OFFSET(Assumptions!$B$8,0,$C$1),OFFSET(Assumptions!$B$52,0,$C$1),(AC$229-AB$229)*(1+OFFSET(Assumptions!$B$53,0,$C$1))))</f>
        <v>0</v>
      </c>
      <c r="AE229" s="8">
        <f ca="1">IF(OR(OFFSET(Assumptions!$B$72,0,$C$1)="BU",OFFSET(Assumptions!$B$113,0,$C$1)="SND"),0,AD$229+IF(AE$6=OFFSET(Assumptions!$B$8,0,$C$1),OFFSET(Assumptions!$B$52,0,$C$1),(AD$229-AC$229)*(1+OFFSET(Assumptions!$B$53,0,$C$1))))</f>
        <v>0</v>
      </c>
      <c r="AF229" s="8">
        <f ca="1">IF(OR(OFFSET(Assumptions!$B$72,0,$C$1)="BU",OFFSET(Assumptions!$B$113,0,$C$1)="SND"),0,AE$229+IF(AF$6=OFFSET(Assumptions!$B$8,0,$C$1),OFFSET(Assumptions!$B$52,0,$C$1),(AE$229-AD$229)*(1+OFFSET(Assumptions!$B$53,0,$C$1))))</f>
        <v>0</v>
      </c>
      <c r="AG229" s="8">
        <f ca="1">IF(OR(OFFSET(Assumptions!$B$72,0,$C$1)="BU",OFFSET(Assumptions!$B$113,0,$C$1)="SND"),0,AF$229+IF(AG$6=OFFSET(Assumptions!$B$8,0,$C$1),OFFSET(Assumptions!$B$52,0,$C$1),(AF$229-AE$229)*(1+OFFSET(Assumptions!$B$53,0,$C$1))))</f>
        <v>0</v>
      </c>
      <c r="AH229" s="8">
        <f ca="1">IF(OR(OFFSET(Assumptions!$B$72,0,$C$1)="BU",OFFSET(Assumptions!$B$113,0,$C$1)="SND"),0,AG$229+IF(AH$6=OFFSET(Assumptions!$B$8,0,$C$1),OFFSET(Assumptions!$B$52,0,$C$1),(AG$229-AF$229)*(1+OFFSET(Assumptions!$B$53,0,$C$1))))</f>
        <v>0</v>
      </c>
      <c r="AI229" s="8">
        <f ca="1">IF(OR(OFFSET(Assumptions!$B$72,0,$C$1)="BU",OFFSET(Assumptions!$B$113,0,$C$1)="SND"),0,AH$229+IF(AI$6=OFFSET(Assumptions!$B$8,0,$C$1),OFFSET(Assumptions!$B$52,0,$C$1),(AH$229-AG$229)*(1+OFFSET(Assumptions!$B$53,0,$C$1))))</f>
        <v>0</v>
      </c>
      <c r="AJ229" s="8">
        <f ca="1">IF(OR(OFFSET(Assumptions!$B$72,0,$C$1)="BU",OFFSET(Assumptions!$B$113,0,$C$1)="SND"),0,AI$229+IF(AJ$6=OFFSET(Assumptions!$B$8,0,$C$1),OFFSET(Assumptions!$B$52,0,$C$1),(AI$229-AH$229)*(1+OFFSET(Assumptions!$B$53,0,$C$1))))</f>
        <v>0</v>
      </c>
      <c r="AK229" s="8">
        <f ca="1">IF(OR(OFFSET(Assumptions!$B$72,0,$C$1)="BU",OFFSET(Assumptions!$B$113,0,$C$1)="SND"),0,AJ$229+IF(AK$6=OFFSET(Assumptions!$B$8,0,$C$1),OFFSET(Assumptions!$B$52,0,$C$1),(AJ$229-AI$229)*(1+OFFSET(Assumptions!$B$53,0,$C$1))))</f>
        <v>0</v>
      </c>
      <c r="AL229" s="8">
        <f ca="1">IF(OR(OFFSET(Assumptions!$B$72,0,$C$1)="BU",OFFSET(Assumptions!$B$113,0,$C$1)="SND"),0,AK$229+IF(AL$6=OFFSET(Assumptions!$B$8,0,$C$1),OFFSET(Assumptions!$B$52,0,$C$1),(AK$229-AJ$229)*(1+OFFSET(Assumptions!$B$53,0,$C$1))))</f>
        <v>0</v>
      </c>
      <c r="AM229" s="8">
        <f ca="1">IF(OR(OFFSET(Assumptions!$B$72,0,$C$1)="BU",OFFSET(Assumptions!$B$113,0,$C$1)="SND"),0,AL$229+IF(AM$6=OFFSET(Assumptions!$B$8,0,$C$1),OFFSET(Assumptions!$B$52,0,$C$1),(AL$229-AK$229)*(1+OFFSET(Assumptions!$B$53,0,$C$1))))</f>
        <v>0</v>
      </c>
      <c r="AN229" s="8">
        <f ca="1">IF(OR(OFFSET(Assumptions!$B$72,0,$C$1)="BU",OFFSET(Assumptions!$B$113,0,$C$1)="SND"),0,AM$229+IF(AN$6=OFFSET(Assumptions!$B$8,0,$C$1),OFFSET(Assumptions!$B$52,0,$C$1),(AM$229-AL$229)*(1+OFFSET(Assumptions!$B$53,0,$C$1))))</f>
        <v>0</v>
      </c>
      <c r="AO229" s="8">
        <f ca="1">IF(OR(OFFSET(Assumptions!$B$72,0,$C$1)="BU",OFFSET(Assumptions!$B$113,0,$C$1)="SND"),0,AN$229+IF(AO$6=OFFSET(Assumptions!$B$8,0,$C$1),OFFSET(Assumptions!$B$52,0,$C$1),(AN$229-AM$229)*(1+OFFSET(Assumptions!$B$53,0,$C$1))))</f>
        <v>0</v>
      </c>
      <c r="AP229" s="8">
        <f ca="1">IF(OR(OFFSET(Assumptions!$B$72,0,$C$1)="BU",OFFSET(Assumptions!$B$113,0,$C$1)="SND"),0,AO$229+IF(AP$6=OFFSET(Assumptions!$B$8,0,$C$1),OFFSET(Assumptions!$B$52,0,$C$1),(AO$229-AN$229)*(1+OFFSET(Assumptions!$B$53,0,$C$1))))</f>
        <v>0</v>
      </c>
      <c r="AQ229" s="8">
        <f ca="1">IF(OR(OFFSET(Assumptions!$B$72,0,$C$1)="BU",OFFSET(Assumptions!$B$113,0,$C$1)="SND"),0,AP$229+IF(AQ$6=OFFSET(Assumptions!$B$8,0,$C$1),OFFSET(Assumptions!$B$52,0,$C$1),(AP$229-AO$229)*(1+OFFSET(Assumptions!$B$53,0,$C$1))))</f>
        <v>0</v>
      </c>
      <c r="AR229" s="8">
        <f ca="1">IF(OR(OFFSET(Assumptions!$B$72,0,$C$1)="BU",OFFSET(Assumptions!$B$113,0,$C$1)="SND"),0,AQ$229+IF(AR$6=OFFSET(Assumptions!$B$8,0,$C$1),OFFSET(Assumptions!$B$52,0,$C$1),(AQ$229-AP$229)*(1+OFFSET(Assumptions!$B$53,0,$C$1))))</f>
        <v>0</v>
      </c>
      <c r="AS229" s="8">
        <f ca="1">IF(OR(OFFSET(Assumptions!$B$72,0,$C$1)="BU",OFFSET(Assumptions!$B$113,0,$C$1)="SND"),0,AR$229+IF(AS$6=OFFSET(Assumptions!$B$8,0,$C$1),OFFSET(Assumptions!$B$52,0,$C$1),(AR$229-AQ$229)*(1+OFFSET(Assumptions!$B$53,0,$C$1))))</f>
        <v>0</v>
      </c>
      <c r="AT229" s="8">
        <f ca="1">IF(OR(OFFSET(Assumptions!$B$72,0,$C$1)="BU",OFFSET(Assumptions!$B$113,0,$C$1)="SND"),0,AS$229+IF(AT$6=OFFSET(Assumptions!$B$8,0,$C$1),OFFSET(Assumptions!$B$52,0,$C$1),(AS$229-AR$229)*(1+OFFSET(Assumptions!$B$53,0,$C$1))))</f>
        <v>0</v>
      </c>
      <c r="AU229" s="8">
        <f ca="1">IF(OR(OFFSET(Assumptions!$B$72,0,$C$1)="BU",OFFSET(Assumptions!$B$113,0,$C$1)="SND"),0,AT$229+IF(AU$6=OFFSET(Assumptions!$B$8,0,$C$1),OFFSET(Assumptions!$B$52,0,$C$1),(AT$229-AS$229)*(1+OFFSET(Assumptions!$B$53,0,$C$1))))</f>
        <v>0</v>
      </c>
      <c r="AV229" s="8">
        <f ca="1">IF(OR(OFFSET(Assumptions!$B$72,0,$C$1)="BU",OFFSET(Assumptions!$B$113,0,$C$1)="SND"),0,AU$229+IF(AV$6=OFFSET(Assumptions!$B$8,0,$C$1),OFFSET(Assumptions!$B$52,0,$C$1),(AU$229-AT$229)*(1+OFFSET(Assumptions!$B$53,0,$C$1))))</f>
        <v>0</v>
      </c>
      <c r="AW229" s="8">
        <f ca="1">IF(OR(OFFSET(Assumptions!$B$72,0,$C$1)="BU",OFFSET(Assumptions!$B$113,0,$C$1)="SND"),0,AV$229+IF(AW$6=OFFSET(Assumptions!$B$8,0,$C$1),OFFSET(Assumptions!$B$52,0,$C$1),(AV$229-AU$229)*(1+OFFSET(Assumptions!$B$53,0,$C$1))))</f>
        <v>0</v>
      </c>
    </row>
    <row r="230" spans="1:49" x14ac:dyDescent="0.2">
      <c r="A230" s="1" t="s">
        <v>542</v>
      </c>
      <c r="D230" s="18">
        <f t="shared" ref="D230:AW230" ca="1" si="175">D$229-C$229</f>
        <v>0</v>
      </c>
      <c r="E230" s="19">
        <f t="shared" ca="1" si="175"/>
        <v>0</v>
      </c>
      <c r="F230" s="19">
        <f t="shared" ca="1" si="175"/>
        <v>0</v>
      </c>
      <c r="G230" s="19">
        <f t="shared" ca="1" si="175"/>
        <v>0</v>
      </c>
      <c r="H230" s="19">
        <f t="shared" ca="1" si="175"/>
        <v>0</v>
      </c>
      <c r="I230" s="19">
        <f t="shared" ca="1" si="175"/>
        <v>0</v>
      </c>
      <c r="J230" s="7">
        <f t="shared" ca="1" si="175"/>
        <v>0</v>
      </c>
      <c r="K230" s="7">
        <f t="shared" ca="1" si="175"/>
        <v>0</v>
      </c>
      <c r="L230" s="7">
        <f t="shared" ca="1" si="175"/>
        <v>0</v>
      </c>
      <c r="M230" s="7">
        <f t="shared" ca="1" si="175"/>
        <v>0</v>
      </c>
      <c r="N230" s="7">
        <f t="shared" ca="1" si="175"/>
        <v>0</v>
      </c>
      <c r="O230" s="7">
        <f t="shared" ca="1" si="175"/>
        <v>0</v>
      </c>
      <c r="P230" s="7">
        <f t="shared" ca="1" si="175"/>
        <v>0</v>
      </c>
      <c r="Q230" s="7">
        <f t="shared" ca="1" si="175"/>
        <v>0</v>
      </c>
      <c r="R230" s="7">
        <f t="shared" ca="1" si="175"/>
        <v>0</v>
      </c>
      <c r="S230" s="7">
        <f t="shared" ca="1" si="175"/>
        <v>0</v>
      </c>
      <c r="T230" s="7">
        <f t="shared" ca="1" si="175"/>
        <v>0</v>
      </c>
      <c r="U230" s="7">
        <f t="shared" ca="1" si="175"/>
        <v>0</v>
      </c>
      <c r="V230" s="7">
        <f t="shared" ca="1" si="175"/>
        <v>0</v>
      </c>
      <c r="W230" s="7">
        <f t="shared" ca="1" si="175"/>
        <v>0</v>
      </c>
      <c r="X230" s="7">
        <f t="shared" ca="1" si="175"/>
        <v>0</v>
      </c>
      <c r="Y230" s="7">
        <f t="shared" ca="1" si="175"/>
        <v>0</v>
      </c>
      <c r="Z230" s="7">
        <f t="shared" ca="1" si="175"/>
        <v>0</v>
      </c>
      <c r="AA230" s="7">
        <f t="shared" ca="1" si="175"/>
        <v>0</v>
      </c>
      <c r="AB230" s="7">
        <f t="shared" ca="1" si="175"/>
        <v>0</v>
      </c>
      <c r="AC230" s="7">
        <f t="shared" ca="1" si="175"/>
        <v>0</v>
      </c>
      <c r="AD230" s="7">
        <f t="shared" ca="1" si="175"/>
        <v>0</v>
      </c>
      <c r="AE230" s="7">
        <f t="shared" ca="1" si="175"/>
        <v>0</v>
      </c>
      <c r="AF230" s="7">
        <f t="shared" ca="1" si="175"/>
        <v>0</v>
      </c>
      <c r="AG230" s="7">
        <f t="shared" ca="1" si="175"/>
        <v>0</v>
      </c>
      <c r="AH230" s="7">
        <f t="shared" ca="1" si="175"/>
        <v>0</v>
      </c>
      <c r="AI230" s="7">
        <f t="shared" ca="1" si="175"/>
        <v>0</v>
      </c>
      <c r="AJ230" s="7">
        <f t="shared" ca="1" si="175"/>
        <v>0</v>
      </c>
      <c r="AK230" s="7">
        <f t="shared" ca="1" si="175"/>
        <v>0</v>
      </c>
      <c r="AL230" s="7">
        <f t="shared" ca="1" si="175"/>
        <v>0</v>
      </c>
      <c r="AM230" s="7">
        <f t="shared" ca="1" si="175"/>
        <v>0</v>
      </c>
      <c r="AN230" s="7">
        <f t="shared" ca="1" si="175"/>
        <v>0</v>
      </c>
      <c r="AO230" s="7">
        <f t="shared" ca="1" si="175"/>
        <v>0</v>
      </c>
      <c r="AP230" s="7">
        <f t="shared" ca="1" si="175"/>
        <v>0</v>
      </c>
      <c r="AQ230" s="7">
        <f t="shared" ca="1" si="175"/>
        <v>0</v>
      </c>
      <c r="AR230" s="7">
        <f t="shared" ca="1" si="175"/>
        <v>0</v>
      </c>
      <c r="AS230" s="7">
        <f t="shared" ca="1" si="175"/>
        <v>0</v>
      </c>
      <c r="AT230" s="7">
        <f t="shared" ca="1" si="175"/>
        <v>0</v>
      </c>
      <c r="AU230" s="7">
        <f t="shared" ca="1" si="175"/>
        <v>0</v>
      </c>
      <c r="AV230" s="7">
        <f t="shared" ca="1" si="175"/>
        <v>0</v>
      </c>
      <c r="AW230" s="7">
        <f t="shared" ca="1" si="175"/>
        <v>0</v>
      </c>
    </row>
    <row r="231" spans="1:49" x14ac:dyDescent="0.2">
      <c r="A231" s="1" t="s">
        <v>165</v>
      </c>
      <c r="B231" s="4" t="str">
        <f t="shared" si="172"/>
        <v>From Fiscal</v>
      </c>
      <c r="D231" s="18">
        <f>Fiscal!D$22</f>
        <v>0</v>
      </c>
      <c r="E231" s="19">
        <f ca="1">IF(OR(OFFSET(Assumptions!$B$72,0,$C$1)="BU",OFFSET(Assumptions!$B$113,0,$C$1)="SND"),0,Fiscal!E$22)</f>
        <v>0</v>
      </c>
      <c r="F231" s="19">
        <f ca="1">IF(OR(OFFSET(Assumptions!$B$72,0,$C$1)="BU",OFFSET(Assumptions!$B$113,0,$C$1)="SND"),0,Fiscal!F$22)</f>
        <v>0</v>
      </c>
      <c r="G231" s="19">
        <f ca="1">IF(OR(OFFSET(Assumptions!$B$72,0,$C$1)="BU",OFFSET(Assumptions!$B$113,0,$C$1)="SND"),0,Fiscal!G$22)</f>
        <v>0</v>
      </c>
      <c r="H231" s="19">
        <f ca="1">IF(OR(OFFSET(Assumptions!$B$72,0,$C$1)="BU",OFFSET(Assumptions!$B$113,0,$C$1)="SND"),0,Fiscal!H$22)</f>
        <v>0</v>
      </c>
      <c r="I231" s="19">
        <f ca="1">IF(OR(OFFSET(Assumptions!$B$72,0,$C$1)="BU",OFFSET(Assumptions!$B$113,0,$C$1)="SND"),0,Fiscal!I$22)</f>
        <v>0</v>
      </c>
      <c r="J231" s="7">
        <f ca="1">I$231*(1+OFFSET(Assumptions!$B$53,0,$C$1))</f>
        <v>0</v>
      </c>
      <c r="K231" s="7">
        <f ca="1">J$231*(1+OFFSET(Assumptions!$B$53,0,$C$1))</f>
        <v>0</v>
      </c>
      <c r="L231" s="7">
        <f ca="1">K$231*(1+OFFSET(Assumptions!$B$53,0,$C$1))</f>
        <v>0</v>
      </c>
      <c r="M231" s="7">
        <f ca="1">L$231*(1+OFFSET(Assumptions!$B$53,0,$C$1))</f>
        <v>0</v>
      </c>
      <c r="N231" s="7">
        <f ca="1">M$231*(1+OFFSET(Assumptions!$B$53,0,$C$1))</f>
        <v>0</v>
      </c>
      <c r="O231" s="7">
        <f ca="1">N$231*(1+OFFSET(Assumptions!$B$53,0,$C$1))</f>
        <v>0</v>
      </c>
      <c r="P231" s="7">
        <f ca="1">O$231*(1+OFFSET(Assumptions!$B$53,0,$C$1))</f>
        <v>0</v>
      </c>
      <c r="Q231" s="7">
        <f ca="1">P$231*(1+OFFSET(Assumptions!$B$53,0,$C$1))</f>
        <v>0</v>
      </c>
      <c r="R231" s="7">
        <f ca="1">Q$231*(1+OFFSET(Assumptions!$B$53,0,$C$1))</f>
        <v>0</v>
      </c>
      <c r="S231" s="7">
        <f ca="1">R$231*(1+OFFSET(Assumptions!$B$53,0,$C$1))</f>
        <v>0</v>
      </c>
      <c r="T231" s="7">
        <f ca="1">S$231*(1+OFFSET(Assumptions!$B$53,0,$C$1))</f>
        <v>0</v>
      </c>
      <c r="U231" s="7">
        <f ca="1">T$231*(1+OFFSET(Assumptions!$B$53,0,$C$1))</f>
        <v>0</v>
      </c>
      <c r="V231" s="7">
        <f ca="1">U$231*(1+OFFSET(Assumptions!$B$53,0,$C$1))</f>
        <v>0</v>
      </c>
      <c r="W231" s="7">
        <f ca="1">V$231*(1+OFFSET(Assumptions!$B$53,0,$C$1))</f>
        <v>0</v>
      </c>
      <c r="X231" s="7">
        <f ca="1">W$231*(1+OFFSET(Assumptions!$B$53,0,$C$1))</f>
        <v>0</v>
      </c>
      <c r="Y231" s="7">
        <f ca="1">X$231*(1+OFFSET(Assumptions!$B$53,0,$C$1))</f>
        <v>0</v>
      </c>
      <c r="Z231" s="7">
        <f ca="1">Y$231*(1+OFFSET(Assumptions!$B$53,0,$C$1))</f>
        <v>0</v>
      </c>
      <c r="AA231" s="7">
        <f ca="1">Z$231*(1+OFFSET(Assumptions!$B$53,0,$C$1))</f>
        <v>0</v>
      </c>
      <c r="AB231" s="7">
        <f ca="1">AA$231*(1+OFFSET(Assumptions!$B$53,0,$C$1))</f>
        <v>0</v>
      </c>
      <c r="AC231" s="7">
        <f ca="1">AB$231*(1+OFFSET(Assumptions!$B$53,0,$C$1))</f>
        <v>0</v>
      </c>
      <c r="AD231" s="7">
        <f ca="1">AC$231*(1+OFFSET(Assumptions!$B$53,0,$C$1))</f>
        <v>0</v>
      </c>
      <c r="AE231" s="7">
        <f ca="1">AD$231*(1+OFFSET(Assumptions!$B$53,0,$C$1))</f>
        <v>0</v>
      </c>
      <c r="AF231" s="7">
        <f ca="1">AE$231*(1+OFFSET(Assumptions!$B$53,0,$C$1))</f>
        <v>0</v>
      </c>
      <c r="AG231" s="7">
        <f ca="1">AF$231*(1+OFFSET(Assumptions!$B$53,0,$C$1))</f>
        <v>0</v>
      </c>
      <c r="AH231" s="7">
        <f ca="1">AG$231*(1+OFFSET(Assumptions!$B$53,0,$C$1))</f>
        <v>0</v>
      </c>
      <c r="AI231" s="7">
        <f ca="1">AH$231*(1+OFFSET(Assumptions!$B$53,0,$C$1))</f>
        <v>0</v>
      </c>
      <c r="AJ231" s="7">
        <f ca="1">AI$231*(1+OFFSET(Assumptions!$B$53,0,$C$1))</f>
        <v>0</v>
      </c>
      <c r="AK231" s="7">
        <f ca="1">AJ$231*(1+OFFSET(Assumptions!$B$53,0,$C$1))</f>
        <v>0</v>
      </c>
      <c r="AL231" s="7">
        <f ca="1">AK$231*(1+OFFSET(Assumptions!$B$53,0,$C$1))</f>
        <v>0</v>
      </c>
      <c r="AM231" s="7">
        <f ca="1">AL$231*(1+OFFSET(Assumptions!$B$53,0,$C$1))</f>
        <v>0</v>
      </c>
      <c r="AN231" s="7">
        <f ca="1">AM$231*(1+OFFSET(Assumptions!$B$53,0,$C$1))</f>
        <v>0</v>
      </c>
      <c r="AO231" s="7">
        <f ca="1">AN$231*(1+OFFSET(Assumptions!$B$53,0,$C$1))</f>
        <v>0</v>
      </c>
      <c r="AP231" s="7">
        <f ca="1">AO$231*(1+OFFSET(Assumptions!$B$53,0,$C$1))</f>
        <v>0</v>
      </c>
      <c r="AQ231" s="7">
        <f ca="1">AP$231*(1+OFFSET(Assumptions!$B$53,0,$C$1))</f>
        <v>0</v>
      </c>
      <c r="AR231" s="7">
        <f ca="1">AQ$231*(1+OFFSET(Assumptions!$B$53,0,$C$1))</f>
        <v>0</v>
      </c>
      <c r="AS231" s="7">
        <f ca="1">AR$231*(1+OFFSET(Assumptions!$B$53,0,$C$1))</f>
        <v>0</v>
      </c>
      <c r="AT231" s="7">
        <f ca="1">AS$231*(1+OFFSET(Assumptions!$B$53,0,$C$1))</f>
        <v>0</v>
      </c>
      <c r="AU231" s="7">
        <f ca="1">AT$231*(1+OFFSET(Assumptions!$B$53,0,$C$1))</f>
        <v>0</v>
      </c>
      <c r="AV231" s="7">
        <f ca="1">AU$231*(1+OFFSET(Assumptions!$B$53,0,$C$1))</f>
        <v>0</v>
      </c>
      <c r="AW231" s="7">
        <f ca="1">AV$231*(1+OFFSET(Assumptions!$B$53,0,$C$1))</f>
        <v>0</v>
      </c>
    </row>
    <row r="232" spans="1:49" ht="15" x14ac:dyDescent="0.25">
      <c r="A232" s="1" t="s">
        <v>931</v>
      </c>
      <c r="B232" s="4" t="str">
        <f t="shared" si="172"/>
        <v>From Fiscal</v>
      </c>
      <c r="D232" s="78">
        <f>(Fiscal!D$21-Fiscal!C$21)/D$14</f>
        <v>0</v>
      </c>
      <c r="E232" s="77">
        <f>(Fiscal!E$21-Fiscal!D$21)/E$14</f>
        <v>7.9959700311043227E-6</v>
      </c>
      <c r="F232" s="77">
        <f>(Fiscal!F$21-Fiscal!E$21)/F$14</f>
        <v>2.0524057899447548E-3</v>
      </c>
      <c r="G232" s="77">
        <f>(Fiscal!G$21-Fiscal!F$21)/G$14</f>
        <v>4.7986609068116862E-3</v>
      </c>
      <c r="H232" s="77">
        <f>(Fiscal!H$21-Fiscal!G$21)/H$14</f>
        <v>5.3400777181343475E-3</v>
      </c>
      <c r="I232" s="77">
        <f>(Fiscal!I$21-Fiscal!H$21)/I$14</f>
        <v>4.9934824024867146E-3</v>
      </c>
      <c r="J232" s="80">
        <f ca="1">IF(I$82/I$14-OFFSET(Assumptions!$B$114,0,$C$1)&gt;OFFSET(Assumptions!$B$118,0,$C$1),OFFSET(Assumptions!$B$115,0,$C$1),IF(I$82/I$14-OFFSET(Assumptions!$B$114,0,$C$1)&lt;-OFFSET(Assumptions!$B$118,0,$C$1),OFFSET(Assumptions!$B$117,0,$C$1),OFFSET(Assumptions!$B$116,0,$C$1)))</f>
        <v>5.0000000000000001E-3</v>
      </c>
      <c r="K232" s="80">
        <f ca="1">IF(J$82/J$14-OFFSET(Assumptions!$B$114,0,$C$1)&gt;OFFSET(Assumptions!$B$118,0,$C$1),OFFSET(Assumptions!$B$115,0,$C$1),IF(J$82/J$14-OFFSET(Assumptions!$B$114,0,$C$1)&lt;-OFFSET(Assumptions!$B$118,0,$C$1),OFFSET(Assumptions!$B$117,0,$C$1),OFFSET(Assumptions!$B$116,0,$C$1)))</f>
        <v>5.0000000000000001E-3</v>
      </c>
      <c r="L232" s="80">
        <f ca="1">IF(K$82/K$14-OFFSET(Assumptions!$B$114,0,$C$1)&gt;OFFSET(Assumptions!$B$118,0,$C$1),OFFSET(Assumptions!$B$115,0,$C$1),IF(K$82/K$14-OFFSET(Assumptions!$B$114,0,$C$1)&lt;-OFFSET(Assumptions!$B$118,0,$C$1),OFFSET(Assumptions!$B$117,0,$C$1),OFFSET(Assumptions!$B$116,0,$C$1)))</f>
        <v>5.0000000000000001E-3</v>
      </c>
      <c r="M232" s="80">
        <f ca="1">IF(L$82/L$14-OFFSET(Assumptions!$B$114,0,$C$1)&gt;OFFSET(Assumptions!$B$118,0,$C$1),OFFSET(Assumptions!$B$115,0,$C$1),IF(L$82/L$14-OFFSET(Assumptions!$B$114,0,$C$1)&lt;-OFFSET(Assumptions!$B$118,0,$C$1),OFFSET(Assumptions!$B$117,0,$C$1),OFFSET(Assumptions!$B$116,0,$C$1)))</f>
        <v>5.0000000000000001E-3</v>
      </c>
      <c r="N232" s="80">
        <f ca="1">IF(M$82/M$14-OFFSET(Assumptions!$B$114,0,$C$1)&gt;OFFSET(Assumptions!$B$118,0,$C$1),OFFSET(Assumptions!$B$115,0,$C$1),IF(M$82/M$14-OFFSET(Assumptions!$B$114,0,$C$1)&lt;-OFFSET(Assumptions!$B$118,0,$C$1),OFFSET(Assumptions!$B$117,0,$C$1),OFFSET(Assumptions!$B$116,0,$C$1)))</f>
        <v>5.0000000000000001E-3</v>
      </c>
      <c r="O232" s="80">
        <f ca="1">IF(N$82/N$14-OFFSET(Assumptions!$B$114,0,$C$1)&gt;OFFSET(Assumptions!$B$118,0,$C$1),OFFSET(Assumptions!$B$115,0,$C$1),IF(N$82/N$14-OFFSET(Assumptions!$B$114,0,$C$1)&lt;-OFFSET(Assumptions!$B$118,0,$C$1),OFFSET(Assumptions!$B$117,0,$C$1),OFFSET(Assumptions!$B$116,0,$C$1)))</f>
        <v>5.0000000000000001E-3</v>
      </c>
      <c r="P232" s="80">
        <f ca="1">IF(O$82/O$14-OFFSET(Assumptions!$B$114,0,$C$1)&gt;OFFSET(Assumptions!$B$118,0,$C$1),OFFSET(Assumptions!$B$115,0,$C$1),IF(O$82/O$14-OFFSET(Assumptions!$B$114,0,$C$1)&lt;-OFFSET(Assumptions!$B$118,0,$C$1),OFFSET(Assumptions!$B$117,0,$C$1),OFFSET(Assumptions!$B$116,0,$C$1)))</f>
        <v>5.0000000000000001E-3</v>
      </c>
      <c r="Q232" s="80">
        <f ca="1">IF(P$82/P$14-OFFSET(Assumptions!$B$114,0,$C$1)&gt;OFFSET(Assumptions!$B$118,0,$C$1),OFFSET(Assumptions!$B$115,0,$C$1),IF(P$82/P$14-OFFSET(Assumptions!$B$114,0,$C$1)&lt;-OFFSET(Assumptions!$B$118,0,$C$1),OFFSET(Assumptions!$B$117,0,$C$1),OFFSET(Assumptions!$B$116,0,$C$1)))</f>
        <v>5.0000000000000001E-3</v>
      </c>
      <c r="R232" s="80">
        <f ca="1">IF(Q$82/Q$14-OFFSET(Assumptions!$B$114,0,$C$1)&gt;OFFSET(Assumptions!$B$118,0,$C$1),OFFSET(Assumptions!$B$115,0,$C$1),IF(Q$82/Q$14-OFFSET(Assumptions!$B$114,0,$C$1)&lt;-OFFSET(Assumptions!$B$118,0,$C$1),OFFSET(Assumptions!$B$117,0,$C$1),OFFSET(Assumptions!$B$116,0,$C$1)))</f>
        <v>5.0000000000000001E-3</v>
      </c>
      <c r="S232" s="80">
        <f ca="1">IF(R$82/R$14-OFFSET(Assumptions!$B$114,0,$C$1)&gt;OFFSET(Assumptions!$B$118,0,$C$1),OFFSET(Assumptions!$B$115,0,$C$1),IF(R$82/R$14-OFFSET(Assumptions!$B$114,0,$C$1)&lt;-OFFSET(Assumptions!$B$118,0,$C$1),OFFSET(Assumptions!$B$117,0,$C$1),OFFSET(Assumptions!$B$116,0,$C$1)))</f>
        <v>5.0000000000000001E-3</v>
      </c>
      <c r="T232" s="80">
        <f ca="1">IF(S$82/S$14-OFFSET(Assumptions!$B$114,0,$C$1)&gt;OFFSET(Assumptions!$B$118,0,$C$1),OFFSET(Assumptions!$B$115,0,$C$1),IF(S$82/S$14-OFFSET(Assumptions!$B$114,0,$C$1)&lt;-OFFSET(Assumptions!$B$118,0,$C$1),OFFSET(Assumptions!$B$117,0,$C$1),OFFSET(Assumptions!$B$116,0,$C$1)))</f>
        <v>5.0000000000000001E-3</v>
      </c>
      <c r="U232" s="80">
        <f ca="1">IF(T$82/T$14-OFFSET(Assumptions!$B$114,0,$C$1)&gt;OFFSET(Assumptions!$B$118,0,$C$1),OFFSET(Assumptions!$B$115,0,$C$1),IF(T$82/T$14-OFFSET(Assumptions!$B$114,0,$C$1)&lt;-OFFSET(Assumptions!$B$118,0,$C$1),OFFSET(Assumptions!$B$117,0,$C$1),OFFSET(Assumptions!$B$116,0,$C$1)))</f>
        <v>5.0000000000000001E-3</v>
      </c>
      <c r="V232" s="80">
        <f ca="1">IF(U$82/U$14-OFFSET(Assumptions!$B$114,0,$C$1)&gt;OFFSET(Assumptions!$B$118,0,$C$1),OFFSET(Assumptions!$B$115,0,$C$1),IF(U$82/U$14-OFFSET(Assumptions!$B$114,0,$C$1)&lt;-OFFSET(Assumptions!$B$118,0,$C$1),OFFSET(Assumptions!$B$117,0,$C$1),OFFSET(Assumptions!$B$116,0,$C$1)))</f>
        <v>5.0000000000000001E-3</v>
      </c>
      <c r="W232" s="80">
        <f ca="1">IF(V$82/V$14-OFFSET(Assumptions!$B$114,0,$C$1)&gt;OFFSET(Assumptions!$B$118,0,$C$1),OFFSET(Assumptions!$B$115,0,$C$1),IF(V$82/V$14-OFFSET(Assumptions!$B$114,0,$C$1)&lt;-OFFSET(Assumptions!$B$118,0,$C$1),OFFSET(Assumptions!$B$117,0,$C$1),OFFSET(Assumptions!$B$116,0,$C$1)))</f>
        <v>5.0000000000000001E-3</v>
      </c>
      <c r="X232" s="80">
        <f ca="1">IF(W$82/W$14-OFFSET(Assumptions!$B$114,0,$C$1)&gt;OFFSET(Assumptions!$B$118,0,$C$1),OFFSET(Assumptions!$B$115,0,$C$1),IF(W$82/W$14-OFFSET(Assumptions!$B$114,0,$C$1)&lt;-OFFSET(Assumptions!$B$118,0,$C$1),OFFSET(Assumptions!$B$117,0,$C$1),OFFSET(Assumptions!$B$116,0,$C$1)))</f>
        <v>5.0000000000000001E-3</v>
      </c>
      <c r="Y232" s="80">
        <f ca="1">IF(X$82/X$14-OFFSET(Assumptions!$B$114,0,$C$1)&gt;OFFSET(Assumptions!$B$118,0,$C$1),OFFSET(Assumptions!$B$115,0,$C$1),IF(X$82/X$14-OFFSET(Assumptions!$B$114,0,$C$1)&lt;-OFFSET(Assumptions!$B$118,0,$C$1),OFFSET(Assumptions!$B$117,0,$C$1),OFFSET(Assumptions!$B$116,0,$C$1)))</f>
        <v>5.0000000000000001E-3</v>
      </c>
      <c r="Z232" s="80">
        <f ca="1">IF(Y$82/Y$14-OFFSET(Assumptions!$B$114,0,$C$1)&gt;OFFSET(Assumptions!$B$118,0,$C$1),OFFSET(Assumptions!$B$115,0,$C$1),IF(Y$82/Y$14-OFFSET(Assumptions!$B$114,0,$C$1)&lt;-OFFSET(Assumptions!$B$118,0,$C$1),OFFSET(Assumptions!$B$117,0,$C$1),OFFSET(Assumptions!$B$116,0,$C$1)))</f>
        <v>5.0000000000000001E-3</v>
      </c>
      <c r="AA232" s="80">
        <f ca="1">IF(Z$82/Z$14-OFFSET(Assumptions!$B$114,0,$C$1)&gt;OFFSET(Assumptions!$B$118,0,$C$1),OFFSET(Assumptions!$B$115,0,$C$1),IF(Z$82/Z$14-OFFSET(Assumptions!$B$114,0,$C$1)&lt;-OFFSET(Assumptions!$B$118,0,$C$1),OFFSET(Assumptions!$B$117,0,$C$1),OFFSET(Assumptions!$B$116,0,$C$1)))</f>
        <v>5.0000000000000001E-3</v>
      </c>
      <c r="AB232" s="80">
        <f ca="1">IF(AA$82/AA$14-OFFSET(Assumptions!$B$114,0,$C$1)&gt;OFFSET(Assumptions!$B$118,0,$C$1),OFFSET(Assumptions!$B$115,0,$C$1),IF(AA$82/AA$14-OFFSET(Assumptions!$B$114,0,$C$1)&lt;-OFFSET(Assumptions!$B$118,0,$C$1),OFFSET(Assumptions!$B$117,0,$C$1),OFFSET(Assumptions!$B$116,0,$C$1)))</f>
        <v>5.0000000000000001E-3</v>
      </c>
      <c r="AC232" s="80">
        <f ca="1">IF(AB$82/AB$14-OFFSET(Assumptions!$B$114,0,$C$1)&gt;OFFSET(Assumptions!$B$118,0,$C$1),OFFSET(Assumptions!$B$115,0,$C$1),IF(AB$82/AB$14-OFFSET(Assumptions!$B$114,0,$C$1)&lt;-OFFSET(Assumptions!$B$118,0,$C$1),OFFSET(Assumptions!$B$117,0,$C$1),OFFSET(Assumptions!$B$116,0,$C$1)))</f>
        <v>5.0000000000000001E-3</v>
      </c>
      <c r="AD232" s="80">
        <f ca="1">IF(AC$82/AC$14-OFFSET(Assumptions!$B$114,0,$C$1)&gt;OFFSET(Assumptions!$B$118,0,$C$1),OFFSET(Assumptions!$B$115,0,$C$1),IF(AC$82/AC$14-OFFSET(Assumptions!$B$114,0,$C$1)&lt;-OFFSET(Assumptions!$B$118,0,$C$1),OFFSET(Assumptions!$B$117,0,$C$1),OFFSET(Assumptions!$B$116,0,$C$1)))</f>
        <v>5.0000000000000001E-3</v>
      </c>
      <c r="AE232" s="80">
        <f ca="1">IF(AD$82/AD$14-OFFSET(Assumptions!$B$114,0,$C$1)&gt;OFFSET(Assumptions!$B$118,0,$C$1),OFFSET(Assumptions!$B$115,0,$C$1),IF(AD$82/AD$14-OFFSET(Assumptions!$B$114,0,$C$1)&lt;-OFFSET(Assumptions!$B$118,0,$C$1),OFFSET(Assumptions!$B$117,0,$C$1),OFFSET(Assumptions!$B$116,0,$C$1)))</f>
        <v>5.0000000000000001E-3</v>
      </c>
      <c r="AF232" s="80">
        <f ca="1">IF(AE$82/AE$14-OFFSET(Assumptions!$B$114,0,$C$1)&gt;OFFSET(Assumptions!$B$118,0,$C$1),OFFSET(Assumptions!$B$115,0,$C$1),IF(AE$82/AE$14-OFFSET(Assumptions!$B$114,0,$C$1)&lt;-OFFSET(Assumptions!$B$118,0,$C$1),OFFSET(Assumptions!$B$117,0,$C$1),OFFSET(Assumptions!$B$116,0,$C$1)))</f>
        <v>5.0000000000000001E-3</v>
      </c>
      <c r="AG232" s="80">
        <f ca="1">IF(AF$82/AF$14-OFFSET(Assumptions!$B$114,0,$C$1)&gt;OFFSET(Assumptions!$B$118,0,$C$1),OFFSET(Assumptions!$B$115,0,$C$1),IF(AF$82/AF$14-OFFSET(Assumptions!$B$114,0,$C$1)&lt;-OFFSET(Assumptions!$B$118,0,$C$1),OFFSET(Assumptions!$B$117,0,$C$1),OFFSET(Assumptions!$B$116,0,$C$1)))</f>
        <v>5.0000000000000001E-3</v>
      </c>
      <c r="AH232" s="80">
        <f ca="1">IF(AG$82/AG$14-OFFSET(Assumptions!$B$114,0,$C$1)&gt;OFFSET(Assumptions!$B$118,0,$C$1),OFFSET(Assumptions!$B$115,0,$C$1),IF(AG$82/AG$14-OFFSET(Assumptions!$B$114,0,$C$1)&lt;-OFFSET(Assumptions!$B$118,0,$C$1),OFFSET(Assumptions!$B$117,0,$C$1),OFFSET(Assumptions!$B$116,0,$C$1)))</f>
        <v>5.0000000000000001E-3</v>
      </c>
      <c r="AI232" s="80">
        <f ca="1">IF(AH$82/AH$14-OFFSET(Assumptions!$B$114,0,$C$1)&gt;OFFSET(Assumptions!$B$118,0,$C$1),OFFSET(Assumptions!$B$115,0,$C$1),IF(AH$82/AH$14-OFFSET(Assumptions!$B$114,0,$C$1)&lt;-OFFSET(Assumptions!$B$118,0,$C$1),OFFSET(Assumptions!$B$117,0,$C$1),OFFSET(Assumptions!$B$116,0,$C$1)))</f>
        <v>5.0000000000000001E-3</v>
      </c>
      <c r="AJ232" s="80">
        <f ca="1">IF(AI$82/AI$14-OFFSET(Assumptions!$B$114,0,$C$1)&gt;OFFSET(Assumptions!$B$118,0,$C$1),OFFSET(Assumptions!$B$115,0,$C$1),IF(AI$82/AI$14-OFFSET(Assumptions!$B$114,0,$C$1)&lt;-OFFSET(Assumptions!$B$118,0,$C$1),OFFSET(Assumptions!$B$117,0,$C$1),OFFSET(Assumptions!$B$116,0,$C$1)))</f>
        <v>5.0000000000000001E-3</v>
      </c>
      <c r="AK232" s="80">
        <f ca="1">IF(AJ$82/AJ$14-OFFSET(Assumptions!$B$114,0,$C$1)&gt;OFFSET(Assumptions!$B$118,0,$C$1),OFFSET(Assumptions!$B$115,0,$C$1),IF(AJ$82/AJ$14-OFFSET(Assumptions!$B$114,0,$C$1)&lt;-OFFSET(Assumptions!$B$118,0,$C$1),OFFSET(Assumptions!$B$117,0,$C$1),OFFSET(Assumptions!$B$116,0,$C$1)))</f>
        <v>5.0000000000000001E-3</v>
      </c>
      <c r="AL232" s="80">
        <f ca="1">IF(AK$82/AK$14-OFFSET(Assumptions!$B$114,0,$C$1)&gt;OFFSET(Assumptions!$B$118,0,$C$1),OFFSET(Assumptions!$B$115,0,$C$1),IF(AK$82/AK$14-OFFSET(Assumptions!$B$114,0,$C$1)&lt;-OFFSET(Assumptions!$B$118,0,$C$1),OFFSET(Assumptions!$B$117,0,$C$1),OFFSET(Assumptions!$B$116,0,$C$1)))</f>
        <v>5.0000000000000001E-3</v>
      </c>
      <c r="AM232" s="80">
        <f ca="1">IF(AL$82/AL$14-OFFSET(Assumptions!$B$114,0,$C$1)&gt;OFFSET(Assumptions!$B$118,0,$C$1),OFFSET(Assumptions!$B$115,0,$C$1),IF(AL$82/AL$14-OFFSET(Assumptions!$B$114,0,$C$1)&lt;-OFFSET(Assumptions!$B$118,0,$C$1),OFFSET(Assumptions!$B$117,0,$C$1),OFFSET(Assumptions!$B$116,0,$C$1)))</f>
        <v>5.0000000000000001E-3</v>
      </c>
      <c r="AN232" s="80">
        <f ca="1">IF(AM$82/AM$14-OFFSET(Assumptions!$B$114,0,$C$1)&gt;OFFSET(Assumptions!$B$118,0,$C$1),OFFSET(Assumptions!$B$115,0,$C$1),IF(AM$82/AM$14-OFFSET(Assumptions!$B$114,0,$C$1)&lt;-OFFSET(Assumptions!$B$118,0,$C$1),OFFSET(Assumptions!$B$117,0,$C$1),OFFSET(Assumptions!$B$116,0,$C$1)))</f>
        <v>5.0000000000000001E-3</v>
      </c>
      <c r="AO232" s="80">
        <f ca="1">IF(AN$82/AN$14-OFFSET(Assumptions!$B$114,0,$C$1)&gt;OFFSET(Assumptions!$B$118,0,$C$1),OFFSET(Assumptions!$B$115,0,$C$1),IF(AN$82/AN$14-OFFSET(Assumptions!$B$114,0,$C$1)&lt;-OFFSET(Assumptions!$B$118,0,$C$1),OFFSET(Assumptions!$B$117,0,$C$1),OFFSET(Assumptions!$B$116,0,$C$1)))</f>
        <v>5.0000000000000001E-3</v>
      </c>
      <c r="AP232" s="80">
        <f ca="1">IF(AO$82/AO$14-OFFSET(Assumptions!$B$114,0,$C$1)&gt;OFFSET(Assumptions!$B$118,0,$C$1),OFFSET(Assumptions!$B$115,0,$C$1),IF(AO$82/AO$14-OFFSET(Assumptions!$B$114,0,$C$1)&lt;-OFFSET(Assumptions!$B$118,0,$C$1),OFFSET(Assumptions!$B$117,0,$C$1),OFFSET(Assumptions!$B$116,0,$C$1)))</f>
        <v>5.0000000000000001E-3</v>
      </c>
      <c r="AQ232" s="80">
        <f ca="1">IF(AP$82/AP$14-OFFSET(Assumptions!$B$114,0,$C$1)&gt;OFFSET(Assumptions!$B$118,0,$C$1),OFFSET(Assumptions!$B$115,0,$C$1),IF(AP$82/AP$14-OFFSET(Assumptions!$B$114,0,$C$1)&lt;-OFFSET(Assumptions!$B$118,0,$C$1),OFFSET(Assumptions!$B$117,0,$C$1),OFFSET(Assumptions!$B$116,0,$C$1)))</f>
        <v>5.0000000000000001E-3</v>
      </c>
      <c r="AR232" s="80">
        <f ca="1">IF(AQ$82/AQ$14-OFFSET(Assumptions!$B$114,0,$C$1)&gt;OFFSET(Assumptions!$B$118,0,$C$1),OFFSET(Assumptions!$B$115,0,$C$1),IF(AQ$82/AQ$14-OFFSET(Assumptions!$B$114,0,$C$1)&lt;-OFFSET(Assumptions!$B$118,0,$C$1),OFFSET(Assumptions!$B$117,0,$C$1),OFFSET(Assumptions!$B$116,0,$C$1)))</f>
        <v>5.0000000000000001E-3</v>
      </c>
      <c r="AS232" s="80">
        <f ca="1">IF(AR$82/AR$14-OFFSET(Assumptions!$B$114,0,$C$1)&gt;OFFSET(Assumptions!$B$118,0,$C$1),OFFSET(Assumptions!$B$115,0,$C$1),IF(AR$82/AR$14-OFFSET(Assumptions!$B$114,0,$C$1)&lt;-OFFSET(Assumptions!$B$118,0,$C$1),OFFSET(Assumptions!$B$117,0,$C$1),OFFSET(Assumptions!$B$116,0,$C$1)))</f>
        <v>5.0000000000000001E-3</v>
      </c>
      <c r="AT232" s="80">
        <f ca="1">IF(AS$82/AS$14-OFFSET(Assumptions!$B$114,0,$C$1)&gt;OFFSET(Assumptions!$B$118,0,$C$1),OFFSET(Assumptions!$B$115,0,$C$1),IF(AS$82/AS$14-OFFSET(Assumptions!$B$114,0,$C$1)&lt;-OFFSET(Assumptions!$B$118,0,$C$1),OFFSET(Assumptions!$B$117,0,$C$1),OFFSET(Assumptions!$B$116,0,$C$1)))</f>
        <v>5.0000000000000001E-3</v>
      </c>
      <c r="AU232" s="80">
        <f ca="1">IF(AT$82/AT$14-OFFSET(Assumptions!$B$114,0,$C$1)&gt;OFFSET(Assumptions!$B$118,0,$C$1),OFFSET(Assumptions!$B$115,0,$C$1),IF(AT$82/AT$14-OFFSET(Assumptions!$B$114,0,$C$1)&lt;-OFFSET(Assumptions!$B$118,0,$C$1),OFFSET(Assumptions!$B$117,0,$C$1),OFFSET(Assumptions!$B$116,0,$C$1)))</f>
        <v>5.0000000000000001E-3</v>
      </c>
      <c r="AV232" s="80">
        <f ca="1">IF(AU$82/AU$14-OFFSET(Assumptions!$B$114,0,$C$1)&gt;OFFSET(Assumptions!$B$118,0,$C$1),OFFSET(Assumptions!$B$115,0,$C$1),IF(AU$82/AU$14-OFFSET(Assumptions!$B$114,0,$C$1)&lt;-OFFSET(Assumptions!$B$118,0,$C$1),OFFSET(Assumptions!$B$117,0,$C$1),OFFSET(Assumptions!$B$116,0,$C$1)))</f>
        <v>5.0000000000000001E-3</v>
      </c>
      <c r="AW232" s="80">
        <f ca="1">IF(AV$82/AV$14-OFFSET(Assumptions!$B$114,0,$C$1)&gt;OFFSET(Assumptions!$B$118,0,$C$1),OFFSET(Assumptions!$B$115,0,$C$1),IF(AV$82/AV$14-OFFSET(Assumptions!$B$114,0,$C$1)&lt;-OFFSET(Assumptions!$B$118,0,$C$1),OFFSET(Assumptions!$B$117,0,$C$1),OFFSET(Assumptions!$B$116,0,$C$1)))</f>
        <v>5.0000000000000001E-3</v>
      </c>
    </row>
    <row r="233" spans="1:49" x14ac:dyDescent="0.2">
      <c r="B233" s="4"/>
      <c r="D233" s="18"/>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row>
    <row r="234" spans="1:49" x14ac:dyDescent="0.2">
      <c r="A234" s="22" t="s">
        <v>621</v>
      </c>
    </row>
    <row r="235" spans="1:49" ht="15" x14ac:dyDescent="0.25">
      <c r="A235" s="2" t="s">
        <v>622</v>
      </c>
      <c r="B235" s="4" t="str">
        <f t="shared" si="172"/>
        <v>From Fiscal</v>
      </c>
      <c r="D235" s="47">
        <f>Fiscal!D$54</f>
        <v>0.35799999999999998</v>
      </c>
      <c r="E235" s="44">
        <f>Fiscal!E$54</f>
        <v>0.27200000000000002</v>
      </c>
      <c r="F235" s="44">
        <f>Fiscal!F$54</f>
        <v>0.21199999999999999</v>
      </c>
      <c r="G235" s="44">
        <f>Fiscal!G$54</f>
        <v>0.22</v>
      </c>
      <c r="H235" s="44">
        <f>Fiscal!H$54</f>
        <v>0.23200000000000001</v>
      </c>
      <c r="I235" s="44">
        <f>Fiscal!I$54</f>
        <v>0.24299999999999999</v>
      </c>
      <c r="J235" s="8">
        <f>I$235*Exogenous!Q$32/Exogenous!P$32</f>
        <v>0.23637272727272726</v>
      </c>
      <c r="K235" s="8">
        <f>J$235*Exogenous!R$32/Exogenous!Q$32</f>
        <v>0.22808863636363633</v>
      </c>
      <c r="L235" s="8">
        <f>K$235*Exogenous!S$32/Exogenous!R$32</f>
        <v>0.22422272727272727</v>
      </c>
      <c r="M235" s="8">
        <f>L$235*Exogenous!T$32/Exogenous!S$32</f>
        <v>0.22587954545454542</v>
      </c>
      <c r="N235" s="8">
        <f>M$235*Exogenous!U$32/Exogenous!T$32</f>
        <v>0.22698409090909089</v>
      </c>
      <c r="O235" s="8">
        <f>N$235*Exogenous!V$32/Exogenous!U$32</f>
        <v>0.22808863636363635</v>
      </c>
      <c r="P235" s="8">
        <f>O$235*Exogenous!W$32/Exogenous!V$32</f>
        <v>0.22864090909090909</v>
      </c>
      <c r="Q235" s="8">
        <f>P$235*Exogenous!X$32/Exogenous!W$32</f>
        <v>0.22587954545454544</v>
      </c>
      <c r="R235" s="8">
        <f>Q$235*Exogenous!Y$32/Exogenous!X$32</f>
        <v>0.21704318181818183</v>
      </c>
      <c r="S235" s="8">
        <f>R$235*Exogenous!Z$32/Exogenous!Y$32</f>
        <v>0.20875909090909089</v>
      </c>
      <c r="T235" s="8">
        <f>S$235*Exogenous!AA$32/Exogenous!Z$32</f>
        <v>0.19937045454545452</v>
      </c>
      <c r="U235" s="8">
        <f>T$235*Exogenous!AB$32/Exogenous!AA$32</f>
        <v>0.18998181818181817</v>
      </c>
      <c r="V235" s="8">
        <f>U$235*Exogenous!AC$32/Exogenous!AB$32</f>
        <v>0.18059318181818182</v>
      </c>
      <c r="W235" s="8">
        <f>V$235*Exogenous!AD$32/Exogenous!AC$32</f>
        <v>0.17120454545454544</v>
      </c>
      <c r="X235" s="8">
        <f>W$235*Exogenous!AE$32/Exogenous!AD$32</f>
        <v>0.16126363636363633</v>
      </c>
      <c r="Y235" s="8">
        <f>X$235*Exogenous!AF$32/Exogenous!AE$32</f>
        <v>0.15242727272727272</v>
      </c>
      <c r="Z235" s="8">
        <f>Y$235*Exogenous!AG$32/Exogenous!AF$32</f>
        <v>0.14359090909090907</v>
      </c>
      <c r="AA235" s="8">
        <f>Z$235*Exogenous!AH$32/Exogenous!AG$32</f>
        <v>0.1342022727272727</v>
      </c>
      <c r="AB235" s="8">
        <f>AA$235*Exogenous!AI$32/Exogenous!AH$32</f>
        <v>0.12481363636363633</v>
      </c>
      <c r="AC235" s="8">
        <f>AB$235*Exogenous!AJ$32/Exogenous!AI$32</f>
        <v>0.11652954545454543</v>
      </c>
      <c r="AD235" s="8">
        <f>AC$235*Exogenous!AK$32/Exogenous!AJ$32</f>
        <v>0.10824545454545453</v>
      </c>
      <c r="AE235" s="8">
        <f>AD$235*Exogenous!AL$32/Exogenous!AK$32</f>
        <v>9.9961363636363626E-2</v>
      </c>
      <c r="AF235" s="8">
        <f>AE$235*Exogenous!AM$32/Exogenous!AL$32</f>
        <v>9.2229545454545453E-2</v>
      </c>
      <c r="AG235" s="8">
        <f>AF$235*Exogenous!AN$32/Exogenous!AM$32</f>
        <v>8.3945454545454545E-2</v>
      </c>
      <c r="AH235" s="8">
        <f>AG$235*Exogenous!AO$32/Exogenous!AN$32</f>
        <v>7.7318181818181828E-2</v>
      </c>
      <c r="AI235" s="8">
        <f>AH$235*Exogenous!AP$32/Exogenous!AO$32</f>
        <v>7.0138636363636361E-2</v>
      </c>
      <c r="AJ235" s="8">
        <f>AI$235*Exogenous!AQ$32/Exogenous!AP$32</f>
        <v>6.351136363636363E-2</v>
      </c>
      <c r="AK235" s="8">
        <f>AJ$235*Exogenous!AR$32/Exogenous!AQ$32</f>
        <v>5.7436363636363626E-2</v>
      </c>
      <c r="AL235" s="8">
        <f>AK$235*Exogenous!AS$32/Exogenous!AR$32</f>
        <v>5.1913636363636356E-2</v>
      </c>
      <c r="AM235" s="8">
        <f>AL$235*Exogenous!AT$32/Exogenous!AS$32</f>
        <v>4.6390909090909087E-2</v>
      </c>
      <c r="AN235" s="8">
        <f>AM$235*Exogenous!AU$32/Exogenous!AT$32</f>
        <v>4.1420454545454538E-2</v>
      </c>
      <c r="AO235" s="8">
        <f>AN$235*Exogenous!AV$32/Exogenous!AU$32</f>
        <v>3.7002272727272724E-2</v>
      </c>
      <c r="AP235" s="8">
        <f>AO$235*Exogenous!AW$32/Exogenous!AV$32</f>
        <v>3.313636363636363E-2</v>
      </c>
      <c r="AQ235" s="8">
        <f>AP$235*Exogenous!AX$32/Exogenous!AW$32</f>
        <v>2.927045454545454E-2</v>
      </c>
      <c r="AR235" s="8">
        <f>AQ$235*Exogenous!AY$32/Exogenous!AX$32</f>
        <v>2.540454545454545E-2</v>
      </c>
      <c r="AS235" s="8">
        <f>AR$235*Exogenous!AZ$32/Exogenous!AY$32</f>
        <v>2.2090909090909088E-2</v>
      </c>
      <c r="AT235" s="8">
        <f>AS$235*Exogenous!BA$32/Exogenous!AZ$32</f>
        <v>1.9329545454545453E-2</v>
      </c>
      <c r="AU235" s="8">
        <f>AT$235*Exogenous!BB$32/Exogenous!BA$32</f>
        <v>1.7120454545454543E-2</v>
      </c>
      <c r="AV235" s="8">
        <f>AU$235*Exogenous!BC$32/Exogenous!BB$32</f>
        <v>1.4359090909090906E-2</v>
      </c>
      <c r="AW235" s="8">
        <f>AV$235*Exogenous!BD$32/Exogenous!BC$32</f>
        <v>1.2702272727272727E-2</v>
      </c>
    </row>
    <row r="236" spans="1:49" ht="15" x14ac:dyDescent="0.25">
      <c r="A236" s="2" t="s">
        <v>623</v>
      </c>
      <c r="B236" s="4" t="str">
        <f t="shared" si="172"/>
        <v>From Fiscal</v>
      </c>
      <c r="D236" s="47">
        <f>Fiscal!D$37</f>
        <v>0.373</v>
      </c>
      <c r="E236" s="44">
        <f>Fiscal!E$37</f>
        <v>0.28999999999999998</v>
      </c>
      <c r="F236" s="44">
        <f>Fiscal!F$37</f>
        <v>0.23100000000000001</v>
      </c>
      <c r="G236" s="44">
        <f>Fiscal!G$37</f>
        <v>0.23899999999999999</v>
      </c>
      <c r="H236" s="44">
        <f>Fiscal!H$37</f>
        <v>0.251</v>
      </c>
      <c r="I236" s="44">
        <f>Fiscal!I$37</f>
        <v>0.26300000000000001</v>
      </c>
      <c r="J236" s="8">
        <f>I$236*Exogenous!Q$32/Exogenous!P$32</f>
        <v>0.25582727272727274</v>
      </c>
      <c r="K236" s="8">
        <f>J$236*Exogenous!R$32/Exogenous!Q$32</f>
        <v>0.24686136363636366</v>
      </c>
      <c r="L236" s="8">
        <f>K$236*Exogenous!S$32/Exogenous!R$32</f>
        <v>0.24267727272727277</v>
      </c>
      <c r="M236" s="8">
        <f>L$236*Exogenous!T$32/Exogenous!S$32</f>
        <v>0.24447045454545455</v>
      </c>
      <c r="N236" s="8">
        <f>M$236*Exogenous!U$32/Exogenous!T$32</f>
        <v>0.2456659090909091</v>
      </c>
      <c r="O236" s="8">
        <f>N$236*Exogenous!V$32/Exogenous!U$32</f>
        <v>0.24686136363636366</v>
      </c>
      <c r="P236" s="8">
        <f>O$236*Exogenous!W$32/Exogenous!V$32</f>
        <v>0.24745909090909091</v>
      </c>
      <c r="Q236" s="8">
        <f>P$236*Exogenous!X$32/Exogenous!W$32</f>
        <v>0.24447045454545455</v>
      </c>
      <c r="R236" s="8">
        <f>Q$236*Exogenous!Y$32/Exogenous!X$32</f>
        <v>0.23490681818181822</v>
      </c>
      <c r="S236" s="8">
        <f>R$236*Exogenous!Z$32/Exogenous!Y$32</f>
        <v>0.22594090909090914</v>
      </c>
      <c r="T236" s="8">
        <f>S$236*Exogenous!AA$32/Exogenous!Z$32</f>
        <v>0.21577954545454547</v>
      </c>
      <c r="U236" s="8">
        <f>T$236*Exogenous!AB$32/Exogenous!AA$32</f>
        <v>0.20561818181818184</v>
      </c>
      <c r="V236" s="8">
        <f>U$236*Exogenous!AC$32/Exogenous!AB$32</f>
        <v>0.19545681818181823</v>
      </c>
      <c r="W236" s="8">
        <f>V$236*Exogenous!AD$32/Exogenous!AC$32</f>
        <v>0.1852954545454546</v>
      </c>
      <c r="X236" s="8">
        <f>W$236*Exogenous!AE$32/Exogenous!AD$32</f>
        <v>0.17453636363636368</v>
      </c>
      <c r="Y236" s="8">
        <f>X$236*Exogenous!AF$32/Exogenous!AE$32</f>
        <v>0.16497272727272733</v>
      </c>
      <c r="Z236" s="8">
        <f>Y$236*Exogenous!AG$32/Exogenous!AF$32</f>
        <v>0.15540909090909094</v>
      </c>
      <c r="AA236" s="8">
        <f>Z$236*Exogenous!AH$32/Exogenous!AG$32</f>
        <v>0.14524772727272731</v>
      </c>
      <c r="AB236" s="8">
        <f>AA$236*Exogenous!AI$32/Exogenous!AH$32</f>
        <v>0.13508636363636367</v>
      </c>
      <c r="AC236" s="8">
        <f>AB$236*Exogenous!AJ$32/Exogenous!AI$32</f>
        <v>0.12612045454545456</v>
      </c>
      <c r="AD236" s="8">
        <f>AC$236*Exogenous!AK$32/Exogenous!AJ$32</f>
        <v>0.11715454545454548</v>
      </c>
      <c r="AE236" s="8">
        <f>AD$236*Exogenous!AL$32/Exogenous!AK$32</f>
        <v>0.10818863636363638</v>
      </c>
      <c r="AF236" s="8">
        <f>AE$236*Exogenous!AM$32/Exogenous!AL$32</f>
        <v>9.9820454545454573E-2</v>
      </c>
      <c r="AG236" s="8">
        <f>AF$236*Exogenous!AN$32/Exogenous!AM$32</f>
        <v>9.0854545454545466E-2</v>
      </c>
      <c r="AH236" s="8">
        <f>AG$236*Exogenous!AO$32/Exogenous!AN$32</f>
        <v>8.3681818181818204E-2</v>
      </c>
      <c r="AI236" s="8">
        <f>AH$236*Exogenous!AP$32/Exogenous!AO$32</f>
        <v>7.5911363636363652E-2</v>
      </c>
      <c r="AJ236" s="8">
        <f>AI$236*Exogenous!AQ$32/Exogenous!AP$32</f>
        <v>6.8738636363636377E-2</v>
      </c>
      <c r="AK236" s="8">
        <f>AJ$236*Exogenous!AR$32/Exogenous!AQ$32</f>
        <v>6.2163636363636372E-2</v>
      </c>
      <c r="AL236" s="8">
        <f>AK$236*Exogenous!AS$32/Exogenous!AR$32</f>
        <v>5.6186363636363645E-2</v>
      </c>
      <c r="AM236" s="8">
        <f>AL$236*Exogenous!AT$32/Exogenous!AS$32</f>
        <v>5.0209090909090918E-2</v>
      </c>
      <c r="AN236" s="8">
        <f>AM$236*Exogenous!AU$32/Exogenous!AT$32</f>
        <v>4.4829545454545455E-2</v>
      </c>
      <c r="AO236" s="8">
        <f>AN$236*Exogenous!AV$32/Exogenous!AU$32</f>
        <v>4.0047727272727277E-2</v>
      </c>
      <c r="AP236" s="8">
        <f>AO$236*Exogenous!AW$32/Exogenous!AV$32</f>
        <v>3.5863636363636361E-2</v>
      </c>
      <c r="AQ236" s="8">
        <f>AP$236*Exogenous!AX$32/Exogenous!AW$32</f>
        <v>3.1679545454545453E-2</v>
      </c>
      <c r="AR236" s="8">
        <f>AQ$236*Exogenous!AY$32/Exogenous!AX$32</f>
        <v>2.7495454545454545E-2</v>
      </c>
      <c r="AS236" s="8">
        <f>AR$236*Exogenous!AZ$32/Exogenous!AY$32</f>
        <v>2.3909090909090911E-2</v>
      </c>
      <c r="AT236" s="8">
        <f>AS$236*Exogenous!BA$32/Exogenous!AZ$32</f>
        <v>2.0920454545454548E-2</v>
      </c>
      <c r="AU236" s="8">
        <f>AT$236*Exogenous!BB$32/Exogenous!BA$32</f>
        <v>1.8529545454545455E-2</v>
      </c>
      <c r="AV236" s="8">
        <f>AU$236*Exogenous!BC$32/Exogenous!BB$32</f>
        <v>1.5540909090909091E-2</v>
      </c>
      <c r="AW236" s="8">
        <f>AV$236*Exogenous!BD$32/Exogenous!BC$32</f>
        <v>1.3747727272727274E-2</v>
      </c>
    </row>
    <row r="237" spans="1:49" ht="15" x14ac:dyDescent="0.25">
      <c r="A237" s="2"/>
      <c r="B237" s="4"/>
      <c r="D237" s="47"/>
      <c r="E237" s="44"/>
      <c r="F237" s="44"/>
      <c r="G237" s="44"/>
      <c r="H237" s="44"/>
      <c r="I237" s="44"/>
      <c r="J237" s="8"/>
      <c r="K237" s="8"/>
      <c r="L237" s="8"/>
      <c r="M237" s="8"/>
      <c r="N237" s="8"/>
      <c r="O237" s="8"/>
      <c r="P237" s="8"/>
      <c r="Q237" s="8"/>
      <c r="R237" s="8"/>
      <c r="S237" s="8"/>
    </row>
    <row r="238" spans="1:49" x14ac:dyDescent="0.2">
      <c r="A238" s="22" t="s">
        <v>544</v>
      </c>
    </row>
    <row r="239" spans="1:49" x14ac:dyDescent="0.2">
      <c r="A239" s="1" t="s">
        <v>324</v>
      </c>
      <c r="B239" s="4" t="str">
        <f t="shared" ref="B239:B241" si="176">$B$43</f>
        <v>From Fiscal</v>
      </c>
      <c r="D239" s="18">
        <f>Fiscal!D$55</f>
        <v>15.058</v>
      </c>
      <c r="E239" s="19">
        <f ca="1">Fiscal!E$55  +IF(OR(OFFSET(Assumptions!$B$72,0,$C$1)="BU",OFFSET(Assumptions!$B$113,0,$C$1)="SND"),Allocate!C$15,0)</f>
        <v>15.429</v>
      </c>
      <c r="F239" s="19">
        <f ca="1">Fiscal!F$55  +IF(OR(OFFSET(Assumptions!$B$72,0,$C$1)="BU",OFFSET(Assumptions!$B$113,0,$C$1)="SND"),Allocate!D$15,0)</f>
        <v>16.043999999999997</v>
      </c>
      <c r="G239" s="19">
        <f ca="1">Fiscal!G$55  +IF(OR(OFFSET(Assumptions!$B$72,0,$C$1)="BU",OFFSET(Assumptions!$B$113,0,$C$1)="SND"),Allocate!E$15,0)</f>
        <v>16.672000000000001</v>
      </c>
      <c r="H239" s="19">
        <f ca="1">Fiscal!H$55  +IF(OR(OFFSET(Assumptions!$B$72,0,$C$1)="BU",OFFSET(Assumptions!$B$113,0,$C$1)="SND"),Allocate!F$15,0)</f>
        <v>17.335000000000001</v>
      </c>
      <c r="I239" s="19">
        <f ca="1">Fiscal!I$55  +IF(OR(OFFSET(Assumptions!$B$72,0,$C$1)="BU",OFFSET(Assumptions!$B$113,0,$C$1)="SND"),Allocate!G$15,0)</f>
        <v>17.856999999999999</v>
      </c>
      <c r="J239" s="7">
        <f ca="1">IF(OFFSET(Assumptions!$B$72,0,$C$1)="BU",IF(J$6&lt;=OFFSET(Assumptions!$B$89,0,$C$1),J$14*(I$239/I$14+MIN(ABS(OFFSET(Assumptions!$B$91,0,$C$1)-I$239/I$14),OFFSET(Assumptions!$B$90,0,$C$1))*SIGN(OFFSET(Assumptions!$B$91,0,$C$1)-I$239/I$14)),I$239*(1+J$244/J$246+J$245/J$247)*(1+J$243)),I$239+IF(OFFSET(Assumptions!$B$113,0,$C$1)="SND",Allocate!$B$15*J$232*J$14,0))</f>
        <v>18.765341470587636</v>
      </c>
      <c r="K239" s="7">
        <f ca="1">IF(OFFSET(Assumptions!$B$72,0,$C$1)="BU",IF(K$6&lt;=OFFSET(Assumptions!$B$89,0,$C$1),K$14*(J$239/J$14+MIN(ABS(OFFSET(Assumptions!$B$91,0,$C$1)-J$239/J$14),OFFSET(Assumptions!$B$90,0,$C$1))*SIGN(OFFSET(Assumptions!$B$91,0,$C$1)-J$239/J$14)),J$239*(1+K$244/K$246+K$245/K$247)*(1+K$243)),J$239+IF(OFFSET(Assumptions!$B$113,0,$C$1)="SND",Allocate!$B$15*K$232*K$14,0))</f>
        <v>19.711962329074083</v>
      </c>
      <c r="L239" s="7">
        <f ca="1">IF(OFFSET(Assumptions!$B$72,0,$C$1)="BU",IF(L$6&lt;=OFFSET(Assumptions!$B$89,0,$C$1),L$14*(K$239/K$14+MIN(ABS(OFFSET(Assumptions!$B$91,0,$C$1)-K$239/K$14),OFFSET(Assumptions!$B$90,0,$C$1))*SIGN(OFFSET(Assumptions!$B$91,0,$C$1)-K$239/K$14)),K$239*(1+L$244/L$246+L$245/L$247)*(1+L$243)),K$239+IF(OFFSET(Assumptions!$B$113,0,$C$1)="SND",Allocate!$B$15*L$232*L$14,0))</f>
        <v>20.735836456059737</v>
      </c>
      <c r="M239" s="7">
        <f ca="1">IF(OFFSET(Assumptions!$B$72,0,$C$1)="BU",IF(M$6&lt;=OFFSET(Assumptions!$B$89,0,$C$1),M$14*(L$239/L$14+MIN(ABS(OFFSET(Assumptions!$B$91,0,$C$1)-L$239/L$14),OFFSET(Assumptions!$B$90,0,$C$1))*SIGN(OFFSET(Assumptions!$B$91,0,$C$1)-L$239/L$14)),L$239*(1+M$244/M$246+M$245/M$247)*(1+M$243)),L$239+IF(OFFSET(Assumptions!$B$113,0,$C$1)="SND",Allocate!$B$15*M$232*M$14,0))</f>
        <v>21.808533291164689</v>
      </c>
      <c r="N239" s="7">
        <f ca="1">IF(OFFSET(Assumptions!$B$72,0,$C$1)="BU",IF(N$6&lt;=OFFSET(Assumptions!$B$89,0,$C$1),N$14*(M$239/M$14+MIN(ABS(OFFSET(Assumptions!$B$91,0,$C$1)-M$239/M$14),OFFSET(Assumptions!$B$90,0,$C$1))*SIGN(OFFSET(Assumptions!$B$91,0,$C$1)-M$239/M$14)),M$239*(1+N$244/N$246+N$245/N$247)*(1+N$243)),M$239+IF(OFFSET(Assumptions!$B$113,0,$C$1)="SND",Allocate!$B$15*N$232*N$14,0))</f>
        <v>22.933479030343488</v>
      </c>
      <c r="O239" s="7">
        <f ca="1">IF(OFFSET(Assumptions!$B$72,0,$C$1)="BU",IF(O$6&lt;=OFFSET(Assumptions!$B$89,0,$C$1),O$14*(N$239/N$14+MIN(ABS(OFFSET(Assumptions!$B$91,0,$C$1)-N$239/N$14),OFFSET(Assumptions!$B$90,0,$C$1))*SIGN(OFFSET(Assumptions!$B$91,0,$C$1)-N$239/N$14)),N$239*(1+O$244/O$246+O$245/O$247)*(1+O$243)),N$239+IF(OFFSET(Assumptions!$B$113,0,$C$1)="SND",Allocate!$B$15*O$232*O$14,0))</f>
        <v>24.327802460534109</v>
      </c>
      <c r="P239" s="7">
        <f ca="1">IF(OFFSET(Assumptions!$B$72,0,$C$1)="BU",IF(P$6&lt;=OFFSET(Assumptions!$B$89,0,$C$1),P$14*(O$239/O$14+MIN(ABS(OFFSET(Assumptions!$B$91,0,$C$1)-O$239/O$14),OFFSET(Assumptions!$B$90,0,$C$1))*SIGN(OFFSET(Assumptions!$B$91,0,$C$1)-O$239/O$14)),O$239*(1+P$244/P$246+P$245/P$247)*(1+P$243)),O$239+IF(OFFSET(Assumptions!$B$113,0,$C$1)="SND",Allocate!$B$15*P$232*P$14,0))</f>
        <v>25.7954720010814</v>
      </c>
      <c r="Q239" s="7">
        <f ca="1">IF(OFFSET(Assumptions!$B$72,0,$C$1)="BU",IF(Q$6&lt;=OFFSET(Assumptions!$B$89,0,$C$1),Q$14*(P$239/P$14+MIN(ABS(OFFSET(Assumptions!$B$91,0,$C$1)-P$239/P$14),OFFSET(Assumptions!$B$90,0,$C$1))*SIGN(OFFSET(Assumptions!$B$91,0,$C$1)-P$239/P$14)),P$239*(1+Q$244/Q$246+Q$245/Q$247)*(1+Q$243)),P$239+IF(OFFSET(Assumptions!$B$113,0,$C$1)="SND",Allocate!$B$15*Q$232*Q$14,0))</f>
        <v>27.304110379467716</v>
      </c>
      <c r="R239" s="7">
        <f ca="1">IF(OFFSET(Assumptions!$B$72,0,$C$1)="BU",IF(R$6&lt;=OFFSET(Assumptions!$B$89,0,$C$1),R$14*(Q$239/Q$14+MIN(ABS(OFFSET(Assumptions!$B$91,0,$C$1)-Q$239/Q$14),OFFSET(Assumptions!$B$90,0,$C$1))*SIGN(OFFSET(Assumptions!$B$91,0,$C$1)-Q$239/Q$14)),Q$239*(1+R$244/R$246+R$245/R$247)*(1+R$243)),Q$239+IF(OFFSET(Assumptions!$B$113,0,$C$1)="SND",Allocate!$B$15*R$232*R$14,0))</f>
        <v>28.902545601676575</v>
      </c>
      <c r="S239" s="7">
        <f ca="1">IF(OFFSET(Assumptions!$B$72,0,$C$1)="BU",IF(S$6&lt;=OFFSET(Assumptions!$B$89,0,$C$1),S$14*(R$239/R$14+MIN(ABS(OFFSET(Assumptions!$B$91,0,$C$1)-R$239/R$14),OFFSET(Assumptions!$B$90,0,$C$1))*SIGN(OFFSET(Assumptions!$B$91,0,$C$1)-R$239/R$14)),R$239*(1+S$244/S$246+S$245/S$247)*(1+S$243)),R$239+IF(OFFSET(Assumptions!$B$113,0,$C$1)="SND",Allocate!$B$15*S$232*S$14,0))</f>
        <v>30.57219108771903</v>
      </c>
      <c r="T239" s="7">
        <f ca="1">IF(OFFSET(Assumptions!$B$72,0,$C$1)="BU",IF(T$6&lt;=OFFSET(Assumptions!$B$89,0,$C$1),T$14*(S$239/S$14+MIN(ABS(OFFSET(Assumptions!$B$91,0,$C$1)-S$239/S$14),OFFSET(Assumptions!$B$90,0,$C$1))*SIGN(OFFSET(Assumptions!$B$91,0,$C$1)-S$239/S$14)),S$239*(1+T$244/T$246+T$245/T$247)*(1+T$243)),S$239+IF(OFFSET(Assumptions!$B$113,0,$C$1)="SND",Allocate!$B$15*T$232*T$14,0))</f>
        <v>32.327576702360403</v>
      </c>
      <c r="U239" s="7">
        <f ca="1">IF(OFFSET(Assumptions!$B$72,0,$C$1)="BU",IF(U$6&lt;=OFFSET(Assumptions!$B$89,0,$C$1),U$14*(T$239/T$14+MIN(ABS(OFFSET(Assumptions!$B$91,0,$C$1)-T$239/T$14),OFFSET(Assumptions!$B$90,0,$C$1))*SIGN(OFFSET(Assumptions!$B$91,0,$C$1)-T$239/T$14)),T$239*(1+U$244/U$246+U$245/U$247)*(1+U$243)),T$239+IF(OFFSET(Assumptions!$B$113,0,$C$1)="SND",Allocate!$B$15*U$232*U$14,0))</f>
        <v>34.205878312398447</v>
      </c>
      <c r="V239" s="7">
        <f ca="1">IF(OFFSET(Assumptions!$B$72,0,$C$1)="BU",IF(V$6&lt;=OFFSET(Assumptions!$B$89,0,$C$1),V$14*(U$239/U$14+MIN(ABS(OFFSET(Assumptions!$B$91,0,$C$1)-U$239/U$14),OFFSET(Assumptions!$B$90,0,$C$1))*SIGN(OFFSET(Assumptions!$B$91,0,$C$1)-U$239/U$14)),U$239*(1+V$244/V$246+V$245/V$247)*(1+V$243)),U$239+IF(OFFSET(Assumptions!$B$113,0,$C$1)="SND",Allocate!$B$15*V$232*V$14,0))</f>
        <v>36.166033731075515</v>
      </c>
      <c r="W239" s="7">
        <f ca="1">IF(OFFSET(Assumptions!$B$72,0,$C$1)="BU",IF(W$6&lt;=OFFSET(Assumptions!$B$89,0,$C$1),W$14*(V$239/V$14+MIN(ABS(OFFSET(Assumptions!$B$91,0,$C$1)-V$239/V$14),OFFSET(Assumptions!$B$90,0,$C$1))*SIGN(OFFSET(Assumptions!$B$91,0,$C$1)-V$239/V$14)),V$239*(1+W$244/W$246+W$245/W$247)*(1+W$243)),V$239+IF(OFFSET(Assumptions!$B$113,0,$C$1)="SND",Allocate!$B$15*W$232*W$14,0))</f>
        <v>38.207309683273508</v>
      </c>
      <c r="X239" s="7">
        <f ca="1">IF(OFFSET(Assumptions!$B$72,0,$C$1)="BU",IF(X$6&lt;=OFFSET(Assumptions!$B$89,0,$C$1),X$14*(W$239/W$14+MIN(ABS(OFFSET(Assumptions!$B$91,0,$C$1)-W$239/W$14),OFFSET(Assumptions!$B$90,0,$C$1))*SIGN(OFFSET(Assumptions!$B$91,0,$C$1)-W$239/W$14)),W$239*(1+X$244/X$246+X$245/X$247)*(1+X$243)),W$239+IF(OFFSET(Assumptions!$B$113,0,$C$1)="SND",Allocate!$B$15*X$232*X$14,0))</f>
        <v>40.347010029781757</v>
      </c>
      <c r="Y239" s="7">
        <f ca="1">IF(OFFSET(Assumptions!$B$72,0,$C$1)="BU",IF(Y$6&lt;=OFFSET(Assumptions!$B$89,0,$C$1),Y$14*(X$239/X$14+MIN(ABS(OFFSET(Assumptions!$B$91,0,$C$1)-X$239/X$14),OFFSET(Assumptions!$B$90,0,$C$1))*SIGN(OFFSET(Assumptions!$B$91,0,$C$1)-X$239/X$14)),X$239*(1+Y$244/Y$246+Y$245/Y$247)*(1+Y$243)),X$239+IF(OFFSET(Assumptions!$B$113,0,$C$1)="SND",Allocate!$B$15*Y$232*Y$14,0))</f>
        <v>42.586538392853356</v>
      </c>
      <c r="Z239" s="7">
        <f ca="1">IF(OFFSET(Assumptions!$B$72,0,$C$1)="BU",IF(Z$6&lt;=OFFSET(Assumptions!$B$89,0,$C$1),Z$14*(Y$239/Y$14+MIN(ABS(OFFSET(Assumptions!$B$91,0,$C$1)-Y$239/Y$14),OFFSET(Assumptions!$B$90,0,$C$1))*SIGN(OFFSET(Assumptions!$B$91,0,$C$1)-Y$239/Y$14)),Y$239*(1+Z$244/Z$246+Z$245/Z$247)*(1+Z$243)),Y$239+IF(OFFSET(Assumptions!$B$113,0,$C$1)="SND",Allocate!$B$15*Z$232*Z$14,0))</f>
        <v>44.922870245611165</v>
      </c>
      <c r="AA239" s="7">
        <f ca="1">IF(OFFSET(Assumptions!$B$72,0,$C$1)="BU",IF(AA$6&lt;=OFFSET(Assumptions!$B$89,0,$C$1),AA$14*(Z$239/Z$14+MIN(ABS(OFFSET(Assumptions!$B$91,0,$C$1)-Z$239/Z$14),OFFSET(Assumptions!$B$90,0,$C$1))*SIGN(OFFSET(Assumptions!$B$91,0,$C$1)-Z$239/Z$14)),Z$239*(1+AA$244/AA$246+AA$245/AA$247)*(1+AA$243)),Z$239+IF(OFFSET(Assumptions!$B$113,0,$C$1)="SND",Allocate!$B$15*AA$232*AA$14,0))</f>
        <v>47.358832758500768</v>
      </c>
      <c r="AB239" s="7">
        <f ca="1">IF(OFFSET(Assumptions!$B$72,0,$C$1)="BU",IF(AB$6&lt;=OFFSET(Assumptions!$B$89,0,$C$1),AB$14*(AA$239/AA$14+MIN(ABS(OFFSET(Assumptions!$B$91,0,$C$1)-AA$239/AA$14),OFFSET(Assumptions!$B$90,0,$C$1))*SIGN(OFFSET(Assumptions!$B$91,0,$C$1)-AA$239/AA$14)),AA$239*(1+AB$244/AB$246+AB$245/AB$247)*(1+AB$243)),AA$239+IF(OFFSET(Assumptions!$B$113,0,$C$1)="SND",Allocate!$B$15*AB$232*AB$14,0))</f>
        <v>49.894323649703864</v>
      </c>
      <c r="AC239" s="7">
        <f ca="1">IF(OFFSET(Assumptions!$B$72,0,$C$1)="BU",IF(AC$6&lt;=OFFSET(Assumptions!$B$89,0,$C$1),AC$14*(AB$239/AB$14+MIN(ABS(OFFSET(Assumptions!$B$91,0,$C$1)-AB$239/AB$14),OFFSET(Assumptions!$B$90,0,$C$1))*SIGN(OFFSET(Assumptions!$B$91,0,$C$1)-AB$239/AB$14)),AB$239*(1+AC$244/AC$246+AC$245/AC$247)*(1+AC$243)),AB$239+IF(OFFSET(Assumptions!$B$113,0,$C$1)="SND",Allocate!$B$15*AC$232*AC$14,0))</f>
        <v>52.535529924941727</v>
      </c>
      <c r="AD239" s="7">
        <f ca="1">IF(OFFSET(Assumptions!$B$72,0,$C$1)="BU",IF(AD$6&lt;=OFFSET(Assumptions!$B$89,0,$C$1),AD$14*(AC$239/AC$14+MIN(ABS(OFFSET(Assumptions!$B$91,0,$C$1)-AC$239/AC$14),OFFSET(Assumptions!$B$90,0,$C$1))*SIGN(OFFSET(Assumptions!$B$91,0,$C$1)-AC$239/AC$14)),AC$239*(1+AD$244/AD$246+AD$245/AD$247)*(1+AD$243)),AC$239+IF(OFFSET(Assumptions!$B$113,0,$C$1)="SND",Allocate!$B$15*AD$232*AD$14,0))</f>
        <v>55.284551956396172</v>
      </c>
      <c r="AE239" s="7">
        <f ca="1">IF(OFFSET(Assumptions!$B$72,0,$C$1)="BU",IF(AE$6&lt;=OFFSET(Assumptions!$B$89,0,$C$1),AE$14*(AD$239/AD$14+MIN(ABS(OFFSET(Assumptions!$B$91,0,$C$1)-AD$239/AD$14),OFFSET(Assumptions!$B$90,0,$C$1))*SIGN(OFFSET(Assumptions!$B$91,0,$C$1)-AD$239/AD$14)),AD$239*(1+AE$244/AE$246+AE$245/AE$247)*(1+AE$243)),AD$239+IF(OFFSET(Assumptions!$B$113,0,$C$1)="SND",Allocate!$B$15*AE$232*AE$14,0))</f>
        <v>58.153488238061129</v>
      </c>
      <c r="AF239" s="7">
        <f ca="1">IF(OFFSET(Assumptions!$B$72,0,$C$1)="BU",IF(AF$6&lt;=OFFSET(Assumptions!$B$89,0,$C$1),AF$14*(AE$239/AE$14+MIN(ABS(OFFSET(Assumptions!$B$91,0,$C$1)-AE$239/AE$14),OFFSET(Assumptions!$B$90,0,$C$1))*SIGN(OFFSET(Assumptions!$B$91,0,$C$1)-AE$239/AE$14)),AE$239*(1+AF$244/AF$246+AF$245/AF$247)*(1+AF$243)),AE$239+IF(OFFSET(Assumptions!$B$113,0,$C$1)="SND",Allocate!$B$15*AF$232*AF$14,0))</f>
        <v>61.141599986302047</v>
      </c>
      <c r="AG239" s="7">
        <f ca="1">IF(OFFSET(Assumptions!$B$72,0,$C$1)="BU",IF(AG$6&lt;=OFFSET(Assumptions!$B$89,0,$C$1),AG$14*(AF$239/AF$14+MIN(ABS(OFFSET(Assumptions!$B$91,0,$C$1)-AF$239/AF$14),OFFSET(Assumptions!$B$90,0,$C$1))*SIGN(OFFSET(Assumptions!$B$91,0,$C$1)-AF$239/AF$14)),AF$239*(1+AG$244/AG$246+AG$245/AG$247)*(1+AG$243)),AF$239+IF(OFFSET(Assumptions!$B$113,0,$C$1)="SND",Allocate!$B$15*AG$232*AG$14,0))</f>
        <v>64.271864389737544</v>
      </c>
      <c r="AH239" s="7">
        <f ca="1">IF(OFFSET(Assumptions!$B$72,0,$C$1)="BU",IF(AH$6&lt;=OFFSET(Assumptions!$B$89,0,$C$1),AH$14*(AG$239/AG$14+MIN(ABS(OFFSET(Assumptions!$B$91,0,$C$1)-AG$239/AG$14),OFFSET(Assumptions!$B$90,0,$C$1))*SIGN(OFFSET(Assumptions!$B$91,0,$C$1)-AG$239/AG$14)),AG$239*(1+AH$244/AH$246+AH$245/AH$247)*(1+AH$243)),AG$239+IF(OFFSET(Assumptions!$B$113,0,$C$1)="SND",Allocate!$B$15*AH$232*AH$14,0))</f>
        <v>67.544860870573558</v>
      </c>
      <c r="AI239" s="7">
        <f ca="1">IF(OFFSET(Assumptions!$B$72,0,$C$1)="BU",IF(AI$6&lt;=OFFSET(Assumptions!$B$89,0,$C$1),AI$14*(AH$239/AH$14+MIN(ABS(OFFSET(Assumptions!$B$91,0,$C$1)-AH$239/AH$14),OFFSET(Assumptions!$B$90,0,$C$1))*SIGN(OFFSET(Assumptions!$B$91,0,$C$1)-AH$239/AH$14)),AH$239*(1+AI$244/AI$246+AI$245/AI$247)*(1+AI$243)),AH$239+IF(OFFSET(Assumptions!$B$113,0,$C$1)="SND",Allocate!$B$15*AI$232*AI$14,0))</f>
        <v>70.966796180889688</v>
      </c>
      <c r="AJ239" s="7">
        <f ca="1">IF(OFFSET(Assumptions!$B$72,0,$C$1)="BU",IF(AJ$6&lt;=OFFSET(Assumptions!$B$89,0,$C$1),AJ$14*(AI$239/AI$14+MIN(ABS(OFFSET(Assumptions!$B$91,0,$C$1)-AI$239/AI$14),OFFSET(Assumptions!$B$90,0,$C$1))*SIGN(OFFSET(Assumptions!$B$91,0,$C$1)-AI$239/AI$14)),AI$239*(1+AJ$244/AJ$246+AJ$245/AJ$247)*(1+AJ$243)),AI$239+IF(OFFSET(Assumptions!$B$113,0,$C$1)="SND",Allocate!$B$15*AJ$232*AJ$14,0))</f>
        <v>74.537595668180757</v>
      </c>
      <c r="AK239" s="7">
        <f ca="1">IF(OFFSET(Assumptions!$B$72,0,$C$1)="BU",IF(AK$6&lt;=OFFSET(Assumptions!$B$89,0,$C$1),AK$14*(AJ$239/AJ$14+MIN(ABS(OFFSET(Assumptions!$B$91,0,$C$1)-AJ$239/AJ$14),OFFSET(Assumptions!$B$90,0,$C$1))*SIGN(OFFSET(Assumptions!$B$91,0,$C$1)-AJ$239/AJ$14)),AJ$239*(1+AK$244/AK$246+AK$245/AK$247)*(1+AK$243)),AJ$239+IF(OFFSET(Assumptions!$B$113,0,$C$1)="SND",Allocate!$B$15*AK$232*AK$14,0))</f>
        <v>78.282838404946531</v>
      </c>
      <c r="AL239" s="7">
        <f ca="1">IF(OFFSET(Assumptions!$B$72,0,$C$1)="BU",IF(AL$6&lt;=OFFSET(Assumptions!$B$89,0,$C$1),AL$14*(AK$239/AK$14+MIN(ABS(OFFSET(Assumptions!$B$91,0,$C$1)-AK$239/AK$14),OFFSET(Assumptions!$B$90,0,$C$1))*SIGN(OFFSET(Assumptions!$B$91,0,$C$1)-AK$239/AK$14)),AK$239*(1+AL$244/AL$246+AL$245/AL$247)*(1+AL$243)),AK$239+IF(OFFSET(Assumptions!$B$113,0,$C$1)="SND",Allocate!$B$15*AL$232*AL$14,0))</f>
        <v>82.197064186514609</v>
      </c>
      <c r="AM239" s="7">
        <f ca="1">IF(OFFSET(Assumptions!$B$72,0,$C$1)="BU",IF(AM$6&lt;=OFFSET(Assumptions!$B$89,0,$C$1),AM$14*(AL$239/AL$14+MIN(ABS(OFFSET(Assumptions!$B$91,0,$C$1)-AL$239/AL$14),OFFSET(Assumptions!$B$90,0,$C$1))*SIGN(OFFSET(Assumptions!$B$91,0,$C$1)-AL$239/AL$14)),AL$239*(1+AM$244/AM$246+AM$245/AM$247)*(1+AM$243)),AL$239+IF(OFFSET(Assumptions!$B$113,0,$C$1)="SND",Allocate!$B$15*AM$232*AM$14,0))</f>
        <v>86.291119029124332</v>
      </c>
      <c r="AN239" s="7">
        <f ca="1">IF(OFFSET(Assumptions!$B$72,0,$C$1)="BU",IF(AN$6&lt;=OFFSET(Assumptions!$B$89,0,$C$1),AN$14*(AM$239/AM$14+MIN(ABS(OFFSET(Assumptions!$B$91,0,$C$1)-AM$239/AM$14),OFFSET(Assumptions!$B$90,0,$C$1))*SIGN(OFFSET(Assumptions!$B$91,0,$C$1)-AM$239/AM$14)),AM$239*(1+AN$244/AN$246+AN$245/AN$247)*(1+AN$243)),AM$239+IF(OFFSET(Assumptions!$B$113,0,$C$1)="SND",Allocate!$B$15*AN$232*AN$14,0))</f>
        <v>90.59177619803485</v>
      </c>
      <c r="AO239" s="7">
        <f ca="1">IF(OFFSET(Assumptions!$B$72,0,$C$1)="BU",IF(AO$6&lt;=OFFSET(Assumptions!$B$89,0,$C$1),AO$14*(AN$239/AN$14+MIN(ABS(OFFSET(Assumptions!$B$91,0,$C$1)-AN$239/AN$14),OFFSET(Assumptions!$B$90,0,$C$1))*SIGN(OFFSET(Assumptions!$B$91,0,$C$1)-AN$239/AN$14)),AN$239*(1+AO$244/AO$246+AO$245/AO$247)*(1+AO$243)),AN$239+IF(OFFSET(Assumptions!$B$113,0,$C$1)="SND",Allocate!$B$15*AO$232*AO$14,0))</f>
        <v>95.116365100019024</v>
      </c>
      <c r="AP239" s="7">
        <f ca="1">IF(OFFSET(Assumptions!$B$72,0,$C$1)="BU",IF(AP$6&lt;=OFFSET(Assumptions!$B$89,0,$C$1),AP$14*(AO$239/AO$14+MIN(ABS(OFFSET(Assumptions!$B$91,0,$C$1)-AO$239/AO$14),OFFSET(Assumptions!$B$90,0,$C$1))*SIGN(OFFSET(Assumptions!$B$91,0,$C$1)-AO$239/AO$14)),AO$239*(1+AP$244/AP$246+AP$245/AP$247)*(1+AP$243)),AO$239+IF(OFFSET(Assumptions!$B$113,0,$C$1)="SND",Allocate!$B$15*AP$232*AP$14,0))</f>
        <v>99.88702086998785</v>
      </c>
      <c r="AQ239" s="7">
        <f ca="1">IF(OFFSET(Assumptions!$B$72,0,$C$1)="BU",IF(AQ$6&lt;=OFFSET(Assumptions!$B$89,0,$C$1),AQ$14*(AP$239/AP$14+MIN(ABS(OFFSET(Assumptions!$B$91,0,$C$1)-AP$239/AP$14),OFFSET(Assumptions!$B$90,0,$C$1))*SIGN(OFFSET(Assumptions!$B$91,0,$C$1)-AP$239/AP$14)),AP$239*(1+AQ$244/AQ$246+AQ$245/AQ$247)*(1+AQ$243)),AP$239+IF(OFFSET(Assumptions!$B$113,0,$C$1)="SND",Allocate!$B$15*AQ$232*AQ$14,0))</f>
        <v>104.908478626491</v>
      </c>
      <c r="AR239" s="7">
        <f ca="1">IF(OFFSET(Assumptions!$B$72,0,$C$1)="BU",IF(AR$6&lt;=OFFSET(Assumptions!$B$89,0,$C$1),AR$14*(AQ$239/AQ$14+MIN(ABS(OFFSET(Assumptions!$B$91,0,$C$1)-AQ$239/AQ$14),OFFSET(Assumptions!$B$90,0,$C$1))*SIGN(OFFSET(Assumptions!$B$91,0,$C$1)-AQ$239/AQ$14)),AQ$239*(1+AR$244/AR$246+AR$245/AR$247)*(1+AR$243)),AQ$239+IF(OFFSET(Assumptions!$B$113,0,$C$1)="SND",Allocate!$B$15*AR$232*AR$14,0))</f>
        <v>110.20352775038839</v>
      </c>
      <c r="AS239" s="7">
        <f ca="1">IF(OFFSET(Assumptions!$B$72,0,$C$1)="BU",IF(AS$6&lt;=OFFSET(Assumptions!$B$89,0,$C$1),AS$14*(AR$239/AR$14+MIN(ABS(OFFSET(Assumptions!$B$91,0,$C$1)-AR$239/AR$14),OFFSET(Assumptions!$B$90,0,$C$1))*SIGN(OFFSET(Assumptions!$B$91,0,$C$1)-AR$239/AR$14)),AR$239*(1+AS$244/AS$246+AS$245/AS$247)*(1+AS$243)),AR$239+IF(OFFSET(Assumptions!$B$113,0,$C$1)="SND",Allocate!$B$15*AS$232*AS$14,0))</f>
        <v>115.77328161179729</v>
      </c>
      <c r="AT239" s="7">
        <f ca="1">IF(OFFSET(Assumptions!$B$72,0,$C$1)="BU",IF(AT$6&lt;=OFFSET(Assumptions!$B$89,0,$C$1),AT$14*(AS$239/AS$14+MIN(ABS(OFFSET(Assumptions!$B$91,0,$C$1)-AS$239/AS$14),OFFSET(Assumptions!$B$90,0,$C$1))*SIGN(OFFSET(Assumptions!$B$91,0,$C$1)-AS$239/AS$14)),AS$239*(1+AT$244/AT$246+AT$245/AT$247)*(1+AT$243)),AS$239+IF(OFFSET(Assumptions!$B$113,0,$C$1)="SND",Allocate!$B$15*AT$232*AT$14,0))</f>
        <v>121.60107665878853</v>
      </c>
      <c r="AU239" s="7">
        <f ca="1">IF(OFFSET(Assumptions!$B$72,0,$C$1)="BU",IF(AU$6&lt;=OFFSET(Assumptions!$B$89,0,$C$1),AU$14*(AT$239/AT$14+MIN(ABS(OFFSET(Assumptions!$B$91,0,$C$1)-AT$239/AT$14),OFFSET(Assumptions!$B$90,0,$C$1))*SIGN(OFFSET(Assumptions!$B$91,0,$C$1)-AT$239/AT$14)),AT$239*(1+AU$244/AU$246+AU$245/AU$247)*(1+AU$243)),AT$239+IF(OFFSET(Assumptions!$B$113,0,$C$1)="SND",Allocate!$B$15*AU$232*AU$14,0))</f>
        <v>127.71250081872988</v>
      </c>
      <c r="AV239" s="7">
        <f ca="1">IF(OFFSET(Assumptions!$B$72,0,$C$1)="BU",IF(AV$6&lt;=OFFSET(Assumptions!$B$89,0,$C$1),AV$14*(AU$239/AU$14+MIN(ABS(OFFSET(Assumptions!$B$91,0,$C$1)-AU$239/AU$14),OFFSET(Assumptions!$B$90,0,$C$1))*SIGN(OFFSET(Assumptions!$B$91,0,$C$1)-AU$239/AU$14)),AU$239*(1+AV$244/AV$246+AV$245/AV$247)*(1+AV$243)),AU$239+IF(OFFSET(Assumptions!$B$113,0,$C$1)="SND",Allocate!$B$15*AV$232*AV$14,0))</f>
        <v>134.10726049777503</v>
      </c>
      <c r="AW239" s="7">
        <f ca="1">IF(OFFSET(Assumptions!$B$72,0,$C$1)="BU",IF(AW$6&lt;=OFFSET(Assumptions!$B$89,0,$C$1),AW$14*(AV$239/AV$14+MIN(ABS(OFFSET(Assumptions!$B$91,0,$C$1)-AV$239/AV$14),OFFSET(Assumptions!$B$90,0,$C$1))*SIGN(OFFSET(Assumptions!$B$91,0,$C$1)-AV$239/AV$14)),AV$239*(1+AW$244/AW$246+AW$245/AW$247)*(1+AW$243)),AV$239+IF(OFFSET(Assumptions!$B$113,0,$C$1)="SND",Allocate!$B$15*AW$232*AW$14,0))</f>
        <v>140.81749167007041</v>
      </c>
    </row>
    <row r="240" spans="1:49" x14ac:dyDescent="0.2">
      <c r="A240" s="1" t="s">
        <v>295</v>
      </c>
      <c r="B240" s="4" t="str">
        <f t="shared" si="176"/>
        <v>From Fiscal</v>
      </c>
      <c r="D240" s="18">
        <f>Fiscal!D$194</f>
        <v>12.922000000000001</v>
      </c>
      <c r="E240" s="19">
        <f>Fiscal!E$194</f>
        <v>13.233000000000001</v>
      </c>
      <c r="F240" s="19">
        <f>Fiscal!F$194</f>
        <v>13.653</v>
      </c>
      <c r="G240" s="19">
        <f>Fiscal!G$194</f>
        <v>13.66</v>
      </c>
      <c r="H240" s="19">
        <f>Fiscal!H$194</f>
        <v>13.69</v>
      </c>
      <c r="I240" s="19">
        <f>Fiscal!I$194</f>
        <v>13.72</v>
      </c>
      <c r="J240" s="7">
        <f ca="1">IF(J$6=OFFSET(Assumptions!$B$8,0,$C$1),AVERAGE(G$240/(G$240+G$241),H$240/(H$240+H$241),I$240/(I$240+I$241))*AVERAGE((G$240+G$241)/G$14,(H$240+H$241)/H$14,(I$240+I$241)/I$14),I$240/I$14)*J$14</f>
        <v>14.92201445420385</v>
      </c>
      <c r="K240" s="7">
        <f ca="1">IF(K$6=OFFSET(Assumptions!$B$8,0,$C$1),AVERAGE(H$240/(H$240+H$241),I$240/(I$240+I$241),J$240/(J$240+J$241))*AVERAGE((H$240+H$241)/H$14,(I$240+I$241)/I$14,(J$240+J$241)/J$14),J$240/J$14)*K$14</f>
        <v>15.545608382975646</v>
      </c>
      <c r="L240" s="7">
        <f ca="1">IF(L$6=OFFSET(Assumptions!$B$8,0,$C$1),AVERAGE(I$240/(I$240+I$241),J$240/(J$240+J$241),K$240/(K$240+K$241))*AVERAGE((I$240+I$241)/I$14,(J$240+J$241)/J$14,(K$240+K$241)/K$14),K$240/K$14)*L$14</f>
        <v>16.219437291509387</v>
      </c>
      <c r="M240" s="7">
        <f ca="1">IF(M$6=OFFSET(Assumptions!$B$8,0,$C$1),AVERAGE(J$240/(J$240+J$241),K$240/(K$240+K$241),L$240/(L$240+L$241))*AVERAGE((J$240+J$241)/J$14,(K$240+K$241)/K$14,(L$240+L$241)/L$14),L$240/L$14)*M$14</f>
        <v>16.920221657799726</v>
      </c>
      <c r="N240" s="7">
        <f ca="1">IF(N$6=OFFSET(Assumptions!$B$8,0,$C$1),AVERAGE(K$240/(K$240+K$241),L$240/(L$240+L$241),M$240/(M$240+M$241))*AVERAGE((K$240+K$241)/K$14,(L$240+L$241)/L$14,(M$240+M$241)/M$14),M$240/M$14)*N$14</f>
        <v>17.64994811998859</v>
      </c>
      <c r="O240" s="7">
        <f ca="1">IF(O$6=OFFSET(Assumptions!$B$8,0,$C$1),AVERAGE(L$240/(L$240+L$241),M$240/(M$240+M$241),N$240/(N$240+N$241))*AVERAGE((L$240+L$241)/L$14,(M$240+M$241)/M$14,(N$240+N$241)/N$14),N$240/N$14)*O$14</f>
        <v>18.403366744323261</v>
      </c>
      <c r="P240" s="7">
        <f ca="1">IF(P$6=OFFSET(Assumptions!$B$8,0,$C$1),AVERAGE(M$240/(M$240+M$241),N$240/(N$240+N$241),O$240/(O$240+O$241))*AVERAGE((M$240+M$241)/M$14,(N$240+N$241)/N$14,(O$240+O$241)/O$14),O$240/O$14)*P$14</f>
        <v>19.181624902727535</v>
      </c>
      <c r="Q240" s="7">
        <f ca="1">IF(Q$6=OFFSET(Assumptions!$B$8,0,$C$1),AVERAGE(N$240/(N$240+N$241),O$240/(O$240+O$241),P$240/(P$240+P$241))*AVERAGE((N$240+N$241)/N$14,(O$240+O$241)/O$14,(P$240+P$241)/P$14),P$240/P$14)*Q$14</f>
        <v>19.983881933487538</v>
      </c>
      <c r="R240" s="7">
        <f ca="1">IF(R$6=OFFSET(Assumptions!$B$8,0,$C$1),AVERAGE(O$240/(O$240+O$241),P$240/(P$240+P$241),Q$240/(Q$240+Q$241))*AVERAGE((O$240+O$241)/O$14,(P$240+P$241)/P$14,(Q$240+Q$241)/Q$14),Q$240/Q$14)*R$14</f>
        <v>20.809542387390326</v>
      </c>
      <c r="S240" s="7">
        <f ca="1">IF(S$6=OFFSET(Assumptions!$B$8,0,$C$1),AVERAGE(P$240/(P$240+P$241),Q$240/(Q$240+Q$241),R$240/(R$240+R$241))*AVERAGE((P$240+P$241)/P$14,(Q$240+Q$241)/Q$14,(R$240+R$241)/R$14),R$240/R$14)*S$14</f>
        <v>21.661230179690325</v>
      </c>
      <c r="T240" s="7">
        <f ca="1">IF(T$6=OFFSET(Assumptions!$B$8,0,$C$1),AVERAGE(Q$240/(Q$240+Q$241),R$240/(R$240+R$241),S$240/(S$240+S$241))*AVERAGE((Q$240+Q$241)/Q$14,(R$240+R$241)/R$14,(S$240+S$241)/S$14),S$240/S$14)*T$14</f>
        <v>22.539255892090022</v>
      </c>
      <c r="U240" s="7">
        <f ca="1">IF(U$6=OFFSET(Assumptions!$B$8,0,$C$1),AVERAGE(R$240/(R$240+R$241),S$240/(S$240+S$241),T$240/(T$240+T$241))*AVERAGE((R$240+R$241)/R$14,(S$240+S$241)/S$14,(T$240+T$241)/T$14),T$240/T$14)*U$14</f>
        <v>23.446770735726751</v>
      </c>
      <c r="V240" s="7">
        <f ca="1">IF(V$6=OFFSET(Assumptions!$B$8,0,$C$1),AVERAGE(S$240/(S$240+S$241),T$240/(T$240+T$241),U$240/(U$240+U$241))*AVERAGE((S$240+S$241)/S$14,(T$240+T$241)/T$14,(U$240+U$241)/U$14),U$240/U$14)*V$14</f>
        <v>24.38601491617554</v>
      </c>
      <c r="W240" s="7">
        <f ca="1">IF(W$6=OFFSET(Assumptions!$B$8,0,$C$1),AVERAGE(T$240/(T$240+T$241),U$240/(U$240+U$241),V$240/(V$240+V$241))*AVERAGE((T$240+T$241)/T$14,(U$240+U$241)/U$14,(V$240+V$241)/V$14),V$240/V$14)*W$14</f>
        <v>25.359709660739622</v>
      </c>
      <c r="X240" s="7">
        <f ca="1">IF(X$6=OFFSET(Assumptions!$B$8,0,$C$1),AVERAGE(U$240/(U$240+U$241),V$240/(V$240+V$241),W$240/(W$240+W$241))*AVERAGE((U$240+U$241)/U$14,(V$240+V$241)/V$14,(W$240+W$241)/W$14),W$240/W$14)*X$14</f>
        <v>26.370939105974568</v>
      </c>
      <c r="Y240" s="7">
        <f ca="1">IF(Y$6=OFFSET(Assumptions!$B$8,0,$C$1),AVERAGE(V$240/(V$240+V$241),W$240/(W$240+W$241),X$240/(X$240+X$241))*AVERAGE((V$240+V$241)/V$14,(W$240+W$241)/W$14,(X$240+X$241)/X$14),X$240/X$14)*Y$14</f>
        <v>27.419599870748442</v>
      </c>
      <c r="Z240" s="7">
        <f ca="1">IF(Z$6=OFFSET(Assumptions!$B$8,0,$C$1),AVERAGE(W$240/(W$240+W$241),X$240/(X$240+X$241),Y$240/(Y$240+Y$241))*AVERAGE((W$240+W$241)/W$14,(X$240+X$241)/X$14,(Y$240+Y$241)/Y$14),Y$240/Y$14)*Z$14</f>
        <v>28.510999900844496</v>
      </c>
      <c r="AA240" s="7">
        <f ca="1">IF(AA$6=OFFSET(Assumptions!$B$8,0,$C$1),AVERAGE(X$240/(X$240+X$241),Y$240/(Y$240+Y$241),Z$240/(Z$240+Z$241))*AVERAGE((X$240+X$241)/X$14,(Y$240+Y$241)/Y$14,(Z$240+Z$241)/Z$14),Z$240/Z$14)*AA$14</f>
        <v>29.646905085275112</v>
      </c>
      <c r="AB240" s="7">
        <f ca="1">IF(AB$6=OFFSET(Assumptions!$B$8,0,$C$1),AVERAGE(Y$240/(Y$240+Y$241),Z$240/(Z$240+Z$241),AA$240/(AA$240+AA$241))*AVERAGE((Y$240+Y$241)/Y$14,(Z$240+Z$241)/Z$14,(AA$240+AA$241)/AA$14),AA$240/AA$14)*AB$14</f>
        <v>30.830726652211411</v>
      </c>
      <c r="AC240" s="7">
        <f ca="1">IF(AC$6=OFFSET(Assumptions!$B$8,0,$C$1),AVERAGE(Z$240/(Z$240+Z$241),AA$240/(AA$240+AA$241),AB$240/(AB$240+AB$241))*AVERAGE((Z$240+Z$241)/Z$14,(AA$240+AA$241)/AA$14,(AB$240+AB$241)/AB$14),AB$240/AB$14)*AC$14</f>
        <v>32.066933688715991</v>
      </c>
      <c r="AD240" s="7">
        <f ca="1">IF(AD$6=OFFSET(Assumptions!$B$8,0,$C$1),AVERAGE(AA$240/(AA$240+AA$241),AB$240/(AB$240+AB$241),AC$240/(AC$240+AC$241))*AVERAGE((AA$240+AA$241)/AA$14,(AB$240+AB$241)/AB$14,(AC$240+AC$241)/AC$14),AC$240/AC$14)*AD$14</f>
        <v>33.356829172254812</v>
      </c>
      <c r="AE240" s="7">
        <f ca="1">IF(AE$6=OFFSET(Assumptions!$B$8,0,$C$1),AVERAGE(AB$240/(AB$240+AB$241),AC$240/(AC$240+AC$241),AD$240/(AD$240+AD$241))*AVERAGE((AB$240+AB$241)/AB$14,(AC$240+AC$241)/AC$14,(AD$240+AD$241)/AD$14),AD$240/AD$14)*AE$14</f>
        <v>34.699228505751748</v>
      </c>
      <c r="AF240" s="7">
        <f ca="1">IF(AF$6=OFFSET(Assumptions!$B$8,0,$C$1),AVERAGE(AC$240/(AC$240+AC$241),AD$240/(AD$240+AD$241),AE$240/(AE$240+AE$241))*AVERAGE((AC$240+AC$241)/AC$14,(AD$240+AD$241)/AD$14,(AE$240+AE$241)/AE$14),AE$240/AE$14)*AF$14</f>
        <v>36.09784557066456</v>
      </c>
      <c r="AG240" s="7">
        <f ca="1">IF(AG$6=OFFSET(Assumptions!$B$8,0,$C$1),AVERAGE(AD$240/(AD$240+AD$241),AE$240/(AE$240+AE$241),AF$240/(AF$240+AF$241))*AVERAGE((AD$240+AD$241)/AD$14,(AE$240+AE$241)/AE$14,(AF$240+AF$241)/AF$14),AF$240/AF$14)*AG$14</f>
        <v>37.553462415172206</v>
      </c>
      <c r="AH240" s="7">
        <f ca="1">IF(AH$6=OFFSET(Assumptions!$B$8,0,$C$1),AVERAGE(AE$240/(AE$240+AE$241),AF$240/(AF$240+AF$241),AG$240/(AG$240+AG$241))*AVERAGE((AE$240+AE$241)/AE$14,(AF$240+AF$241)/AF$14,(AG$240+AG$241)/AG$14),AG$240/AG$14)*AH$14</f>
        <v>39.068413221884718</v>
      </c>
      <c r="AI240" s="7">
        <f ca="1">IF(AI$6=OFFSET(Assumptions!$B$8,0,$C$1),AVERAGE(AF$240/(AF$240+AF$241),AG$240/(AG$240+AG$241),AH$240/(AH$240+AH$241))*AVERAGE((AF$240+AF$241)/AF$14,(AG$240+AG$241)/AG$14,(AH$240+AH$241)/AH$14),AH$240/AH$14)*AI$14</f>
        <v>40.640050870243179</v>
      </c>
      <c r="AJ240" s="7">
        <f ca="1">IF(AJ$6=OFFSET(Assumptions!$B$8,0,$C$1),AVERAGE(AG$240/(AG$240+AG$241),AH$240/(AH$240+AH$241),AI$240/(AI$240+AI$241))*AVERAGE((AG$240+AG$241)/AG$14,(AH$240+AH$241)/AH$14,(AI$240+AI$241)/AI$14),AI$240/AI$14)*AJ$14</f>
        <v>42.2734100986778</v>
      </c>
      <c r="AK240" s="7">
        <f ca="1">IF(AK$6=OFFSET(Assumptions!$B$8,0,$C$1),AVERAGE(AH$240/(AH$240+AH$241),AI$240/(AI$240+AI$241),AJ$240/(AJ$240+AJ$241))*AVERAGE((AH$240+AH$241)/AH$14,(AI$240+AI$241)/AI$14,(AJ$240+AJ$241)/AJ$14),AJ$240/AJ$14)*AK$14</f>
        <v>43.96714725557397</v>
      </c>
      <c r="AL240" s="7">
        <f ca="1">IF(AL$6=OFFSET(Assumptions!$B$8,0,$C$1),AVERAGE(AI$240/(AI$240+AI$241),AJ$240/(AJ$240+AJ$241),AK$240/(AK$240+AK$241))*AVERAGE((AI$240+AI$241)/AI$14,(AJ$240+AJ$241)/AJ$14,(AK$240+AK$241)/AK$14),AK$240/AK$14)*AL$14</f>
        <v>45.719928137446075</v>
      </c>
      <c r="AM240" s="7">
        <f ca="1">IF(AM$6=OFFSET(Assumptions!$B$8,0,$C$1),AVERAGE(AJ$240/(AJ$240+AJ$241),AK$240/(AK$240+AK$241),AL$240/(AL$240+AL$241))*AVERAGE((AJ$240+AJ$241)/AJ$14,(AK$240+AK$241)/AK$14,(AL$240+AL$241)/AL$14),AL$240/AL$14)*AM$14</f>
        <v>47.534147271226381</v>
      </c>
      <c r="AN240" s="7">
        <f ca="1">IF(AN$6=OFFSET(Assumptions!$B$8,0,$C$1),AVERAGE(AK$240/(AK$240+AK$241),AL$240/(AL$240+AL$241),AM$240/(AM$240+AM$241))*AVERAGE((AK$240+AK$241)/AK$14,(AL$240+AL$241)/AL$14,(AM$240+AM$241)/AM$14),AM$240/AM$14)*AN$14</f>
        <v>49.412328218160923</v>
      </c>
      <c r="AO240" s="7">
        <f ca="1">IF(AO$6=OFFSET(Assumptions!$B$8,0,$C$1),AVERAGE(AL$240/(AL$240+AL$241),AM$240/(AM$240+AM$241),AN$240/(AN$240+AN$241))*AVERAGE((AL$240+AL$241)/AL$14,(AM$240+AM$241)/AM$14,(AN$240+AN$241)/AN$14),AN$240/AN$14)*AO$14</f>
        <v>51.347096011176149</v>
      </c>
      <c r="AP240" s="7">
        <f ca="1">IF(AP$6=OFFSET(Assumptions!$B$8,0,$C$1),AVERAGE(AM$240/(AM$240+AM$241),AN$240/(AN$240+AN$241),AO$240/(AO$240+AO$241))*AVERAGE((AM$240+AM$241)/AM$14,(AN$240+AN$241)/AN$14,(AO$240+AO$241)/AO$14),AO$240/AO$14)*AP$14</f>
        <v>53.346666632260273</v>
      </c>
      <c r="AQ240" s="7">
        <f ca="1">IF(AQ$6=OFFSET(Assumptions!$B$8,0,$C$1),AVERAGE(AN$240/(AN$240+AN$241),AO$240/(AO$240+AO$241),AP$240/(AP$240+AP$241))*AVERAGE((AN$240+AN$241)/AN$14,(AO$240+AO$241)/AO$14,(AP$240+AP$241)/AP$14),AP$240/AP$14)*AQ$14</f>
        <v>55.405437290843103</v>
      </c>
      <c r="AR240" s="7">
        <f ca="1">IF(AR$6=OFFSET(Assumptions!$B$8,0,$C$1),AVERAGE(AO$240/(AO$240+AO$241),AP$240/(AP$240+AP$241),AQ$240/(AQ$240+AQ$241))*AVERAGE((AO$240+AO$241)/AO$14,(AP$240+AP$241)/AP$14,(AQ$240+AQ$241)/AQ$14),AQ$240/AQ$14)*AR$14</f>
        <v>57.525738883617791</v>
      </c>
      <c r="AS240" s="7">
        <f ca="1">IF(AS$6=OFFSET(Assumptions!$B$8,0,$C$1),AVERAGE(AP$240/(AP$240+AP$241),AQ$240/(AQ$240+AQ$241),AR$240/(AR$240+AR$241))*AVERAGE((AP$240+AP$241)/AP$14,(AQ$240+AQ$241)/AQ$14,(AR$240+AR$241)/AR$14),AR$240/AR$14)*AS$14</f>
        <v>59.712518013042541</v>
      </c>
      <c r="AT240" s="7">
        <f ca="1">IF(AT$6=OFFSET(Assumptions!$B$8,0,$C$1),AVERAGE(AQ$240/(AQ$240+AQ$241),AR$240/(AR$240+AR$241),AS$240/(AS$240+AS$241))*AVERAGE((AQ$240+AQ$241)/AQ$14,(AR$240+AR$241)/AR$14,(AS$240+AS$241)/AS$14),AS$240/AS$14)*AT$14</f>
        <v>61.96752118801485</v>
      </c>
      <c r="AU240" s="7">
        <f ca="1">IF(AU$6=OFFSET(Assumptions!$B$8,0,$C$1),AVERAGE(AR$240/(AR$240+AR$241),AS$240/(AS$240+AS$241),AT$240/(AT$240+AT$241))*AVERAGE((AR$240+AR$241)/AR$14,(AS$240+AS$241)/AS$14,(AT$240+AT$241)/AT$14),AT$240/AT$14)*AU$14</f>
        <v>64.29374705934012</v>
      </c>
      <c r="AV240" s="7">
        <f ca="1">IF(AV$6=OFFSET(Assumptions!$B$8,0,$C$1),AVERAGE(AS$240/(AS$240+AS$241),AT$240/(AT$240+AT$241),AU$240/(AU$240+AU$241))*AVERAGE((AS$240+AS$241)/AS$14,(AT$240+AT$241)/AT$14,(AU$240+AU$241)/AU$14),AU$240/AU$14)*AV$14</f>
        <v>66.698388080287842</v>
      </c>
      <c r="AW240" s="7">
        <f ca="1">IF(AW$6=OFFSET(Assumptions!$B$8,0,$C$1),AVERAGE(AT$240/(AT$240+AT$241),AU$240/(AU$240+AU$241),AV$240/(AV$240+AV$241))*AVERAGE((AT$240+AT$241)/AT$14,(AU$240+AU$241)/AU$14,(AV$240+AV$241)/AV$14),AV$240/AV$14)*AW$14</f>
        <v>69.180086695913772</v>
      </c>
    </row>
    <row r="241" spans="1:49" x14ac:dyDescent="0.2">
      <c r="A241" s="1" t="s">
        <v>530</v>
      </c>
      <c r="B241" s="4" t="str">
        <f t="shared" si="176"/>
        <v>From Fiscal</v>
      </c>
      <c r="D241" s="18">
        <f>Fiscal!D$38-SUM(D$239:D$240)</f>
        <v>-13.284000000000001</v>
      </c>
      <c r="E241" s="19">
        <f ca="1">Fiscal!E$38-SUM(E$239:E$240)  +IF(OR(OFFSET(Assumptions!$B$72,0,$C$1)="BU",OFFSET(Assumptions!$B$113,0,$C$1)="SND"),Allocate!C$15,0)</f>
        <v>-13.711999999999998</v>
      </c>
      <c r="F241" s="19">
        <f ca="1">Fiscal!F$38-SUM(F$239:F$240)  +IF(OR(OFFSET(Assumptions!$B$72,0,$C$1)="BU",OFFSET(Assumptions!$B$113,0,$C$1)="SND"),Allocate!D$15,0)</f>
        <v>-14.299999999999995</v>
      </c>
      <c r="G241" s="19">
        <f ca="1">Fiscal!G$38-SUM(G$239:G$240)  +IF(OR(OFFSET(Assumptions!$B$72,0,$C$1)="BU",OFFSET(Assumptions!$B$113,0,$C$1)="SND"),Allocate!E$15,0)</f>
        <v>-14.345000000000001</v>
      </c>
      <c r="H241" s="19">
        <f ca="1">Fiscal!H$38-SUM(H$239:H$240)  +IF(OR(OFFSET(Assumptions!$B$72,0,$C$1)="BU",OFFSET(Assumptions!$B$113,0,$C$1)="SND"),Allocate!F$15,0)</f>
        <v>-14.446</v>
      </c>
      <c r="I241" s="19">
        <f ca="1">Fiscal!I$38-SUM(I$239:I$240)  +IF(OR(OFFSET(Assumptions!$B$72,0,$C$1)="BU",OFFSET(Assumptions!$B$113,0,$C$1)="SND"),Allocate!G$15,0)</f>
        <v>-14.427</v>
      </c>
      <c r="J241" s="7">
        <f ca="1">IF(J$6=OFFSET(Assumptions!$B$8,0,$C$1),AVERAGE(G$241/(G$240+G$241),H$241/(H$240+H$241),I$241/(I$240+I$241))*AVERAGE((G$240+G$241)/G$14,(H$240+H$241)/H$14,(I$240+I$241)/I$14),I$241/I$14)*J$14</f>
        <v>-15.701150383964061</v>
      </c>
      <c r="K241" s="7">
        <f ca="1">IF(K$6=OFFSET(Assumptions!$B$8,0,$C$1),AVERAGE(H$241/(H$240+H$241),I$241/(I$240+I$241),J$241/(J$240+J$241))*AVERAGE((H$240+H$241)/H$14,(I$240+I$241)/I$14,(J$240+J$241)/J$14),J$241/J$14)*K$14</f>
        <v>-16.357304556996276</v>
      </c>
      <c r="L241" s="7">
        <f ca="1">IF(L$6=OFFSET(Assumptions!$B$8,0,$C$1),AVERAGE(I$241/(I$240+I$241),J$241/(J$240+J$241),K$241/(K$240+K$241))*AVERAGE((I$240+I$241)/I$14,(J$240+J$241)/J$14,(K$240+K$241)/K$14),K$241/K$14)*L$14</f>
        <v>-17.066316671843147</v>
      </c>
      <c r="M241" s="7">
        <f ca="1">IF(M$6=OFFSET(Assumptions!$B$8,0,$C$1),AVERAGE(J$241/(J$240+J$241),K$241/(K$240+K$241),L$241/(L$240+L$241))*AVERAGE((J$240+J$241)/J$14,(K$240+K$241)/K$14,(L$240+L$241)/L$14),L$241/L$14)*M$14</f>
        <v>-17.803691692864909</v>
      </c>
      <c r="N241" s="7">
        <f ca="1">IF(N$6=OFFSET(Assumptions!$B$8,0,$C$1),AVERAGE(K$241/(K$240+K$241),L$241/(L$240+L$241),M$241/(M$240+M$241))*AVERAGE((K$240+K$241)/K$14,(L$240+L$241)/L$14,(M$240+M$241)/M$14),M$241/M$14)*N$14</f>
        <v>-18.571519988243463</v>
      </c>
      <c r="O241" s="7">
        <f ca="1">IF(O$6=OFFSET(Assumptions!$B$8,0,$C$1),AVERAGE(L$241/(L$240+L$241),M$241/(M$240+M$241),N$241/(N$240+N$241))*AVERAGE((L$240+L$241)/L$14,(M$240+M$241)/M$14,(N$240+N$241)/N$14),N$241/N$14)*O$14</f>
        <v>-19.364277504935544</v>
      </c>
      <c r="P241" s="7">
        <f ca="1">IF(P$6=OFFSET(Assumptions!$B$8,0,$C$1),AVERAGE(M$241/(M$240+M$241),N$241/(N$240+N$241),O$241/(O$240+O$241))*AVERAGE((M$240+M$241)/M$14,(N$240+N$241)/N$14,(O$240+O$241)/O$14),O$241/O$14)*P$14</f>
        <v>-20.183171523578576</v>
      </c>
      <c r="Q241" s="7">
        <f ca="1">IF(Q$6=OFFSET(Assumptions!$B$8,0,$C$1),AVERAGE(N$241/(N$240+N$241),O$241/(O$240+O$241),P$241/(P$240+P$241))*AVERAGE((N$240+N$241)/N$14,(O$240+O$241)/O$14,(P$240+P$241)/P$14),P$241/P$14)*Q$14</f>
        <v>-21.027317488268125</v>
      </c>
      <c r="R241" s="7">
        <f ca="1">IF(R$6=OFFSET(Assumptions!$B$8,0,$C$1),AVERAGE(O$241/(O$240+O$241),P$241/(P$240+P$241),Q$241/(Q$240+Q$241))*AVERAGE((O$240+O$241)/O$14,(P$240+P$241)/P$14,(Q$240+Q$241)/Q$14),Q$241/Q$14)*R$14</f>
        <v>-21.896088859091151</v>
      </c>
      <c r="S241" s="7">
        <f ca="1">IF(S$6=OFFSET(Assumptions!$B$8,0,$C$1),AVERAGE(P$241/(P$240+P$241),Q$241/(Q$240+Q$241),R$241/(R$240+R$241))*AVERAGE((P$240+P$241)/P$14,(Q$240+Q$241)/Q$14,(R$240+R$241)/R$14),R$241/R$14)*S$14</f>
        <v>-22.792246556038112</v>
      </c>
      <c r="T241" s="7">
        <f ca="1">IF(T$6=OFFSET(Assumptions!$B$8,0,$C$1),AVERAGE(Q$241/(Q$240+Q$241),R$241/(R$240+R$241),S$241/(S$240+S$241))*AVERAGE((Q$240+Q$241)/Q$14,(R$240+R$241)/R$14,(S$240+S$241)/S$14),S$241/S$14)*T$14</f>
        <v>-23.716117377480117</v>
      </c>
      <c r="U241" s="7">
        <f ca="1">IF(U$6=OFFSET(Assumptions!$B$8,0,$C$1),AVERAGE(R$241/(R$240+R$241),S$241/(S$240+S$241),T$241/(T$240+T$241))*AVERAGE((R$240+R$241)/R$14,(S$240+S$241)/S$14,(T$240+T$241)/T$14),T$241/T$14)*U$14</f>
        <v>-24.671017071442392</v>
      </c>
      <c r="V241" s="7">
        <f ca="1">IF(V$6=OFFSET(Assumptions!$B$8,0,$C$1),AVERAGE(S$241/(S$240+S$241),T$241/(T$240+T$241),U$241/(U$240+U$241))*AVERAGE((S$240+S$241)/S$14,(T$240+T$241)/T$14,(U$240+U$241)/U$14),U$241/U$14)*V$14</f>
        <v>-25.659302813273644</v>
      </c>
      <c r="W241" s="7">
        <f ca="1">IF(W$6=OFFSET(Assumptions!$B$8,0,$C$1),AVERAGE(T$241/(T$240+T$241),U$241/(U$240+U$241),V$241/(V$240+V$241))*AVERAGE((T$240+T$241)/T$14,(U$240+U$241)/U$14,(V$240+V$241)/V$14),V$241/V$14)*W$14</f>
        <v>-26.683837916050546</v>
      </c>
      <c r="X241" s="7">
        <f ca="1">IF(X$6=OFFSET(Assumptions!$B$8,0,$C$1),AVERAGE(U$241/(U$240+U$241),V$241/(V$240+V$241),W$241/(W$240+W$241))*AVERAGE((U$240+U$241)/U$14,(V$240+V$241)/V$14,(W$240+W$241)/W$14),W$241/W$14)*X$14</f>
        <v>-27.747867550993927</v>
      </c>
      <c r="Y241" s="7">
        <f ca="1">IF(Y$6=OFFSET(Assumptions!$B$8,0,$C$1),AVERAGE(V$241/(V$240+V$241),W$241/(W$240+W$241),X$241/(X$240+X$241))*AVERAGE((V$240+V$241)/V$14,(W$240+W$241)/W$14,(X$240+X$241)/X$14),X$241/X$14)*Y$14</f>
        <v>-28.851282939044218</v>
      </c>
      <c r="Z241" s="7">
        <f ca="1">IF(Z$6=OFFSET(Assumptions!$B$8,0,$C$1),AVERAGE(W$241/(W$240+W$241),X$241/(X$240+X$241),Y$241/(Y$240+Y$241))*AVERAGE((W$240+W$241)/W$14,(X$240+X$241)/X$14,(Y$240+Y$241)/Y$14),Y$241/Y$14)*Z$14</f>
        <v>-29.999669174307073</v>
      </c>
      <c r="AA241" s="7">
        <f ca="1">IF(AA$6=OFFSET(Assumptions!$B$8,0,$C$1),AVERAGE(X$241/(X$240+X$241),Y$241/(Y$240+Y$241),Z$241/(Z$240+Z$241))*AVERAGE((X$240+X$241)/X$14,(Y$240+Y$241)/Y$14,(Z$240+Z$241)/Z$14),Z$241/Z$14)*AA$14</f>
        <v>-31.194884349671351</v>
      </c>
      <c r="AB241" s="7">
        <f ca="1">IF(AB$6=OFFSET(Assumptions!$B$8,0,$C$1),AVERAGE(Y$241/(Y$240+Y$241),Z$241/(Z$240+Z$241),AA$241/(AA$240+AA$241))*AVERAGE((Y$240+Y$241)/Y$14,(Z$240+Z$241)/Z$14,(AA$240+AA$241)/AA$14),AA$241/AA$14)*AB$14</f>
        <v>-32.440517806688298</v>
      </c>
      <c r="AC241" s="7">
        <f ca="1">IF(AC$6=OFFSET(Assumptions!$B$8,0,$C$1),AVERAGE(Z$241/(Z$240+Z$241),AA$241/(AA$240+AA$241),AB$241/(AB$240+AB$241))*AVERAGE((Z$240+Z$241)/Z$14,(AA$240+AA$241)/AA$14,(AB$240+AB$241)/AB$14),AB$241/AB$14)*AC$14</f>
        <v>-33.74127198069359</v>
      </c>
      <c r="AD241" s="7">
        <f ca="1">IF(AD$6=OFFSET(Assumptions!$B$8,0,$C$1),AVERAGE(AA$241/(AA$240+AA$241),AB$241/(AB$240+AB$241),AC$241/(AC$240+AC$241))*AVERAGE((AA$240+AA$241)/AA$14,(AB$240+AB$241)/AB$14,(AC$240+AC$241)/AC$14),AC$241/AC$14)*AD$14</f>
        <v>-35.098517882632343</v>
      </c>
      <c r="AE241" s="7">
        <f ca="1">IF(AE$6=OFFSET(Assumptions!$B$8,0,$C$1),AVERAGE(AB$241/(AB$240+AB$241),AC$241/(AC$240+AC$241),AD$241/(AD$240+AD$241))*AVERAGE((AB$240+AB$241)/AB$14,(AC$240+AC$241)/AC$14,(AD$240+AD$241)/AD$14),AD$241/AD$14)*AE$14</f>
        <v>-36.511009063046025</v>
      </c>
      <c r="AF241" s="7">
        <f ca="1">IF(AF$6=OFFSET(Assumptions!$B$8,0,$C$1),AVERAGE(AC$241/(AC$240+AC$241),AD$241/(AD$240+AD$241),AE$241/(AE$240+AE$241))*AVERAGE((AC$240+AC$241)/AC$14,(AD$240+AD$241)/AD$14,(AE$240+AE$241)/AE$14),AE$241/AE$14)*AF$14</f>
        <v>-37.982653319467971</v>
      </c>
      <c r="AG241" s="7">
        <f ca="1">IF(AG$6=OFFSET(Assumptions!$B$8,0,$C$1),AVERAGE(AD$241/(AD$240+AD$241),AE$241/(AE$240+AE$241),AF$241/(AF$240+AF$241))*AVERAGE((AD$240+AD$241)/AD$14,(AE$240+AE$241)/AE$14,(AF$240+AF$241)/AF$14),AF$241/AF$14)*AG$14</f>
        <v>-39.51427353382897</v>
      </c>
      <c r="AH241" s="7">
        <f ca="1">IF(AH$6=OFFSET(Assumptions!$B$8,0,$C$1),AVERAGE(AE$241/(AE$240+AE$241),AF$241/(AF$240+AF$241),AG$241/(AG$240+AG$241))*AVERAGE((AE$240+AE$241)/AE$14,(AF$240+AF$241)/AF$14,(AG$240+AG$241)/AG$14),AG$241/AG$14)*AH$14</f>
        <v>-41.108325765416218</v>
      </c>
      <c r="AI241" s="7">
        <f ca="1">IF(AI$6=OFFSET(Assumptions!$B$8,0,$C$1),AVERAGE(AF$241/(AF$240+AF$241),AG$241/(AG$240+AG$241),AH$241/(AH$240+AH$241))*AVERAGE((AF$240+AF$241)/AF$14,(AG$240+AG$241)/AG$14,(AH$240+AH$241)/AH$14),AH$241/AH$14)*AI$14</f>
        <v>-42.762024677296303</v>
      </c>
      <c r="AJ241" s="7">
        <f ca="1">IF(AJ$6=OFFSET(Assumptions!$B$8,0,$C$1),AVERAGE(AG$241/(AG$240+AG$241),AH$241/(AH$240+AH$241),AI$241/(AI$240+AI$241))*AVERAGE((AG$240+AG$241)/AG$14,(AH$240+AH$241)/AH$14,(AI$240+AI$241)/AI$14),AI$241/AI$14)*AJ$14</f>
        <v>-44.480667891012168</v>
      </c>
      <c r="AK241" s="7">
        <f ca="1">IF(AK$6=OFFSET(Assumptions!$B$8,0,$C$1),AVERAGE(AH$241/(AH$240+AH$241),AI$241/(AI$240+AI$241),AJ$241/(AJ$240+AJ$241))*AVERAGE((AH$240+AH$241)/AH$14,(AI$240+AI$241)/AI$14,(AJ$240+AJ$241)/AJ$14),AJ$241/AJ$14)*AK$14</f>
        <v>-46.262841597715848</v>
      </c>
      <c r="AL241" s="7">
        <f ca="1">IF(AL$6=OFFSET(Assumptions!$B$8,0,$C$1),AVERAGE(AI$241/(AI$240+AI$241),AJ$241/(AJ$240+AJ$241),AK$241/(AK$240+AK$241))*AVERAGE((AI$240+AI$241)/AI$14,(AJ$240+AJ$241)/AJ$14,(AK$240+AK$241)/AK$14),AK$241/AK$14)*AL$14</f>
        <v>-48.107141930011657</v>
      </c>
      <c r="AM241" s="7">
        <f ca="1">IF(AM$6=OFFSET(Assumptions!$B$8,0,$C$1),AVERAGE(AJ$241/(AJ$240+AJ$241),AK$241/(AK$240+AK$241),AL$241/(AL$240+AL$241))*AVERAGE((AJ$240+AJ$241)/AJ$14,(AK$240+AK$241)/AK$14,(AL$240+AL$241)/AL$14),AL$241/AL$14)*AM$14</f>
        <v>-50.016088442318832</v>
      </c>
      <c r="AN241" s="7">
        <f ca="1">IF(AN$6=OFFSET(Assumptions!$B$8,0,$C$1),AVERAGE(AK$241/(AK$240+AK$241),AL$241/(AL$240+AL$241),AM$241/(AM$240+AM$241))*AVERAGE((AK$240+AK$241)/AK$14,(AL$240+AL$241)/AL$14,(AM$240+AM$241)/AM$14),AM$241/AM$14)*AN$14</f>
        <v>-51.99233646074957</v>
      </c>
      <c r="AO241" s="7">
        <f ca="1">IF(AO$6=OFFSET(Assumptions!$B$8,0,$C$1),AVERAGE(AL$241/(AL$240+AL$241),AM$241/(AM$240+AM$241),AN$241/(AN$240+AN$241))*AVERAGE((AL$240+AL$241)/AL$14,(AM$240+AM$241)/AM$14,(AN$240+AN$241)/AN$14),AN$241/AN$14)*AO$14</f>
        <v>-54.028125942753739</v>
      </c>
      <c r="AP241" s="7">
        <f ca="1">IF(AP$6=OFFSET(Assumptions!$B$8,0,$C$1),AVERAGE(AM$241/(AM$240+AM$241),AN$241/(AN$240+AN$241),AO$241/(AO$240+AO$241))*AVERAGE((AM$240+AM$241)/AM$14,(AN$240+AN$241)/AN$14,(AO$240+AO$241)/AO$14),AO$241/AO$14)*AP$14</f>
        <v>-56.132101858428669</v>
      </c>
      <c r="AQ241" s="7">
        <f ca="1">IF(AQ$6=OFFSET(Assumptions!$B$8,0,$C$1),AVERAGE(AN$241/(AN$240+AN$241),AO$241/(AO$240+AO$241),AP$241/(AP$240+AP$241))*AVERAGE((AN$240+AN$241)/AN$14,(AO$240+AO$241)/AO$14,(AP$240+AP$241)/AP$14),AP$241/AP$14)*AQ$14</f>
        <v>-58.298368873898227</v>
      </c>
      <c r="AR241" s="7">
        <f ca="1">IF(AR$6=OFFSET(Assumptions!$B$8,0,$C$1),AVERAGE(AO$241/(AO$240+AO$241),AP$241/(AP$240+AP$241),AQ$241/(AQ$240+AQ$241))*AVERAGE((AO$240+AO$241)/AO$14,(AP$240+AP$241)/AP$14,(AQ$240+AQ$241)/AQ$14),AQ$241/AQ$14)*AR$14</f>
        <v>-60.529379590962307</v>
      </c>
      <c r="AS241" s="7">
        <f ca="1">IF(AS$6=OFFSET(Assumptions!$B$8,0,$C$1),AVERAGE(AP$241/(AP$240+AP$241),AQ$241/(AQ$240+AQ$241),AR$241/(AR$240+AR$241))*AVERAGE((AP$240+AP$241)/AP$14,(AQ$240+AQ$241)/AQ$14,(AR$240+AR$241)/AR$14),AR$241/AR$14)*AS$14</f>
        <v>-62.830338893272803</v>
      </c>
      <c r="AT241" s="7">
        <f ca="1">IF(AT$6=OFFSET(Assumptions!$B$8,0,$C$1),AVERAGE(AQ$241/(AQ$240+AQ$241),AR$241/(AR$240+AR$241),AS$241/(AS$240+AS$241))*AVERAGE((AQ$240+AQ$241)/AQ$14,(AR$240+AR$241)/AR$14,(AS$240+AS$241)/AS$14),AS$241/AS$14)*AT$14</f>
        <v>-65.203084481693125</v>
      </c>
      <c r="AU241" s="7">
        <f ca="1">IF(AU$6=OFFSET(Assumptions!$B$8,0,$C$1),AVERAGE(AR$241/(AR$240+AR$241),AS$241/(AS$240+AS$241),AT$241/(AT$240+AT$241))*AVERAGE((AR$240+AR$241)/AR$14,(AS$240+AS$241)/AS$14,(AT$240+AT$241)/AT$14),AT$241/AT$14)*AU$14</f>
        <v>-67.65077157815324</v>
      </c>
      <c r="AV241" s="7">
        <f ca="1">IF(AV$6=OFFSET(Assumptions!$B$8,0,$C$1),AVERAGE(AS$241/(AS$240+AS$241),AT$241/(AT$240+AT$241),AU$241/(AU$240+AU$241))*AVERAGE((AS$240+AS$241)/AS$14,(AT$240+AT$241)/AT$14,(AU$240+AU$241)/AU$14),AU$241/AU$14)*AV$14</f>
        <v>-70.180968181649519</v>
      </c>
      <c r="AW241" s="7">
        <f ca="1">IF(AW$6=OFFSET(Assumptions!$B$8,0,$C$1),AVERAGE(AT$241/(AT$240+AT$241),AU$241/(AU$240+AU$241),AV$241/(AV$240+AV$241))*AVERAGE((AT$240+AT$241)/AT$14,(AU$240+AU$241)/AU$14,(AV$240+AV$241)/AV$14),AV$241/AV$14)*AW$14</f>
        <v>-72.792245854057924</v>
      </c>
    </row>
    <row r="242" spans="1:49" ht="15" x14ac:dyDescent="0.25">
      <c r="A242" s="2" t="s">
        <v>545</v>
      </c>
      <c r="D242" s="40">
        <f t="shared" ref="D242" si="177">SUM(D$239:D$241)</f>
        <v>14.696</v>
      </c>
      <c r="E242" s="39">
        <f t="shared" ref="E242:AW242" ca="1" si="178">SUM(E$239:E$241)</f>
        <v>14.950000000000001</v>
      </c>
      <c r="F242" s="39">
        <f t="shared" ca="1" si="178"/>
        <v>15.397</v>
      </c>
      <c r="G242" s="39">
        <f t="shared" ca="1" si="178"/>
        <v>15.987</v>
      </c>
      <c r="H242" s="39">
        <f t="shared" ca="1" si="178"/>
        <v>16.579000000000001</v>
      </c>
      <c r="I242" s="39">
        <f t="shared" ca="1" si="178"/>
        <v>17.149999999999999</v>
      </c>
      <c r="J242" s="43">
        <f t="shared" ca="1" si="178"/>
        <v>17.986205540827427</v>
      </c>
      <c r="K242" s="43">
        <f t="shared" ca="1" si="178"/>
        <v>18.900266155053451</v>
      </c>
      <c r="L242" s="43">
        <f t="shared" ca="1" si="178"/>
        <v>19.888957075725976</v>
      </c>
      <c r="M242" s="43">
        <f t="shared" ca="1" si="178"/>
        <v>20.925063256099506</v>
      </c>
      <c r="N242" s="43">
        <f t="shared" ca="1" si="178"/>
        <v>22.011907162088615</v>
      </c>
      <c r="O242" s="43">
        <f t="shared" ca="1" si="178"/>
        <v>23.366891699921823</v>
      </c>
      <c r="P242" s="43">
        <f t="shared" ca="1" si="178"/>
        <v>24.793925380230359</v>
      </c>
      <c r="Q242" s="43">
        <f t="shared" ca="1" si="178"/>
        <v>26.260674824687129</v>
      </c>
      <c r="R242" s="43">
        <f t="shared" ca="1" si="178"/>
        <v>27.815999129975751</v>
      </c>
      <c r="S242" s="43">
        <f t="shared" ca="1" si="178"/>
        <v>29.441174711371243</v>
      </c>
      <c r="T242" s="43">
        <f t="shared" ca="1" si="178"/>
        <v>31.150715216970312</v>
      </c>
      <c r="U242" s="43">
        <f t="shared" ca="1" si="178"/>
        <v>32.981631976682806</v>
      </c>
      <c r="V242" s="43">
        <f t="shared" ca="1" si="178"/>
        <v>34.892745833977415</v>
      </c>
      <c r="W242" s="43">
        <f t="shared" ca="1" si="178"/>
        <v>36.883181427962583</v>
      </c>
      <c r="X242" s="43">
        <f t="shared" ca="1" si="178"/>
        <v>38.970081584762397</v>
      </c>
      <c r="Y242" s="43">
        <f t="shared" ca="1" si="178"/>
        <v>41.15485532455758</v>
      </c>
      <c r="Z242" s="43">
        <f t="shared" ca="1" si="178"/>
        <v>43.434200972148588</v>
      </c>
      <c r="AA242" s="43">
        <f t="shared" ca="1" si="178"/>
        <v>45.810853494104521</v>
      </c>
      <c r="AB242" s="43">
        <f t="shared" ca="1" si="178"/>
        <v>48.284532495226976</v>
      </c>
      <c r="AC242" s="43">
        <f t="shared" ca="1" si="178"/>
        <v>50.861191632964129</v>
      </c>
      <c r="AD242" s="43">
        <f t="shared" ca="1" si="178"/>
        <v>53.542863246018634</v>
      </c>
      <c r="AE242" s="43">
        <f t="shared" ca="1" si="178"/>
        <v>56.341707680766852</v>
      </c>
      <c r="AF242" s="43">
        <f t="shared" ca="1" si="178"/>
        <v>59.256792237498644</v>
      </c>
      <c r="AG242" s="43">
        <f t="shared" ca="1" si="178"/>
        <v>62.31105327108078</v>
      </c>
      <c r="AH242" s="43">
        <f t="shared" ca="1" si="178"/>
        <v>65.504948327042058</v>
      </c>
      <c r="AI242" s="43">
        <f t="shared" ca="1" si="178"/>
        <v>68.844822373836564</v>
      </c>
      <c r="AJ242" s="43">
        <f t="shared" ca="1" si="178"/>
        <v>72.330337875846396</v>
      </c>
      <c r="AK242" s="43">
        <f t="shared" ca="1" si="178"/>
        <v>75.98714406280466</v>
      </c>
      <c r="AL242" s="43">
        <f t="shared" ca="1" si="178"/>
        <v>79.809850393949034</v>
      </c>
      <c r="AM242" s="43">
        <f t="shared" ca="1" si="178"/>
        <v>83.809177858031873</v>
      </c>
      <c r="AN242" s="43">
        <f t="shared" ca="1" si="178"/>
        <v>88.011767955446217</v>
      </c>
      <c r="AO242" s="43">
        <f t="shared" ca="1" si="178"/>
        <v>92.435335168441412</v>
      </c>
      <c r="AP242" s="43">
        <f t="shared" ca="1" si="178"/>
        <v>97.101585643819462</v>
      </c>
      <c r="AQ242" s="43">
        <f t="shared" ca="1" si="178"/>
        <v>102.01554704343587</v>
      </c>
      <c r="AR242" s="43">
        <f t="shared" ca="1" si="178"/>
        <v>107.19988704304389</v>
      </c>
      <c r="AS242" s="43">
        <f t="shared" ca="1" si="178"/>
        <v>112.65546073156705</v>
      </c>
      <c r="AT242" s="43">
        <f t="shared" ca="1" si="178"/>
        <v>118.36551336511026</v>
      </c>
      <c r="AU242" s="43">
        <f t="shared" ca="1" si="178"/>
        <v>124.35547629991675</v>
      </c>
      <c r="AV242" s="43">
        <f t="shared" ca="1" si="178"/>
        <v>130.62468039641334</v>
      </c>
      <c r="AW242" s="43">
        <f t="shared" ca="1" si="178"/>
        <v>137.20533251192626</v>
      </c>
    </row>
    <row r="243" spans="1:49" ht="15" x14ac:dyDescent="0.25">
      <c r="A243" s="1" t="s">
        <v>885</v>
      </c>
      <c r="B243" s="4" t="str">
        <f>$B$65</f>
        <v>Projected Years only</v>
      </c>
      <c r="D243" s="55"/>
      <c r="E243" s="56"/>
      <c r="F243" s="56"/>
      <c r="G243" s="56"/>
      <c r="H243" s="56"/>
      <c r="I243" s="56"/>
      <c r="J243" s="72">
        <f ca="1">(1+OFFSET(Assumptions!$B$92,0,$C$1)*J$34)*(1+OFFSET(Assumptions!$B$93,0,$C$1)*J$29)/(1+OFFSET(Assumptions!$B$94,0,$C$1))-1</f>
        <v>4.2020124999999853E-2</v>
      </c>
      <c r="K243" s="72">
        <f ca="1">(1+OFFSET(Assumptions!$B$92,0,$C$1)*K$34)*(1+OFFSET(Assumptions!$B$93,0,$C$1)*K$29)/(1+OFFSET(Assumptions!$B$94,0,$C$1))-1</f>
        <v>4.4787624999999887E-2</v>
      </c>
      <c r="L243" s="72">
        <f ca="1">(1+OFFSET(Assumptions!$B$92,0,$C$1)*L$34)*(1+OFFSET(Assumptions!$B$93,0,$C$1)*L$29)/(1+OFFSET(Assumptions!$B$94,0,$C$1))-1</f>
        <v>4.5756249999999943E-2</v>
      </c>
      <c r="M243" s="72">
        <f ca="1">(1+OFFSET(Assumptions!$B$92,0,$C$1)*M$34)*(1+OFFSET(Assumptions!$B$93,0,$C$1)*M$29)/(1+OFFSET(Assumptions!$B$94,0,$C$1))-1</f>
        <v>4.5756249999999943E-2</v>
      </c>
      <c r="N243" s="72">
        <f ca="1">(1+OFFSET(Assumptions!$B$92,0,$C$1)*N$34)*(1+OFFSET(Assumptions!$B$93,0,$C$1)*N$29)/(1+OFFSET(Assumptions!$B$94,0,$C$1))-1</f>
        <v>4.5756249999999943E-2</v>
      </c>
      <c r="O243" s="72">
        <f ca="1">(1+OFFSET(Assumptions!$B$92,0,$C$1)*O$34)*(1+OFFSET(Assumptions!$B$93,0,$C$1)*O$29)/(1+OFFSET(Assumptions!$B$94,0,$C$1))-1</f>
        <v>4.5756249999999943E-2</v>
      </c>
      <c r="P243" s="72">
        <f ca="1">(1+OFFSET(Assumptions!$B$92,0,$C$1)*P$34)*(1+OFFSET(Assumptions!$B$93,0,$C$1)*P$29)/(1+OFFSET(Assumptions!$B$94,0,$C$1))-1</f>
        <v>4.5756249999999943E-2</v>
      </c>
      <c r="Q243" s="72">
        <f ca="1">(1+OFFSET(Assumptions!$B$92,0,$C$1)*Q$34)*(1+OFFSET(Assumptions!$B$93,0,$C$1)*Q$29)/(1+OFFSET(Assumptions!$B$94,0,$C$1))-1</f>
        <v>4.5756249999999943E-2</v>
      </c>
      <c r="R243" s="72">
        <f ca="1">(1+OFFSET(Assumptions!$B$92,0,$C$1)*R$34)*(1+OFFSET(Assumptions!$B$93,0,$C$1)*R$29)/(1+OFFSET(Assumptions!$B$94,0,$C$1))-1</f>
        <v>4.5756249999999943E-2</v>
      </c>
      <c r="S243" s="72">
        <f ca="1">(1+OFFSET(Assumptions!$B$92,0,$C$1)*S$34)*(1+OFFSET(Assumptions!$B$93,0,$C$1)*S$29)/(1+OFFSET(Assumptions!$B$94,0,$C$1))-1</f>
        <v>4.5756249999999943E-2</v>
      </c>
      <c r="T243" s="72">
        <f ca="1">(1+OFFSET(Assumptions!$B$92,0,$C$1)*T$34)*(1+OFFSET(Assumptions!$B$93,0,$C$1)*T$29)/(1+OFFSET(Assumptions!$B$94,0,$C$1))-1</f>
        <v>4.5756249999999943E-2</v>
      </c>
      <c r="U243" s="72">
        <f ca="1">(1+OFFSET(Assumptions!$B$92,0,$C$1)*U$34)*(1+OFFSET(Assumptions!$B$93,0,$C$1)*U$29)/(1+OFFSET(Assumptions!$B$94,0,$C$1))-1</f>
        <v>4.5756249999999943E-2</v>
      </c>
      <c r="V243" s="72">
        <f ca="1">(1+OFFSET(Assumptions!$B$92,0,$C$1)*V$34)*(1+OFFSET(Assumptions!$B$93,0,$C$1)*V$29)/(1+OFFSET(Assumptions!$B$94,0,$C$1))-1</f>
        <v>4.5756249999999943E-2</v>
      </c>
      <c r="W243" s="72">
        <f ca="1">(1+OFFSET(Assumptions!$B$92,0,$C$1)*W$34)*(1+OFFSET(Assumptions!$B$93,0,$C$1)*W$29)/(1+OFFSET(Assumptions!$B$94,0,$C$1))-1</f>
        <v>4.5756249999999943E-2</v>
      </c>
      <c r="X243" s="72">
        <f ca="1">(1+OFFSET(Assumptions!$B$92,0,$C$1)*X$34)*(1+OFFSET(Assumptions!$B$93,0,$C$1)*X$29)/(1+OFFSET(Assumptions!$B$94,0,$C$1))-1</f>
        <v>4.5756249999999943E-2</v>
      </c>
      <c r="Y243" s="72">
        <f ca="1">(1+OFFSET(Assumptions!$B$92,0,$C$1)*Y$34)*(1+OFFSET(Assumptions!$B$93,0,$C$1)*Y$29)/(1+OFFSET(Assumptions!$B$94,0,$C$1))-1</f>
        <v>4.5756249999999943E-2</v>
      </c>
      <c r="Z243" s="72">
        <f ca="1">(1+OFFSET(Assumptions!$B$92,0,$C$1)*Z$34)*(1+OFFSET(Assumptions!$B$93,0,$C$1)*Z$29)/(1+OFFSET(Assumptions!$B$94,0,$C$1))-1</f>
        <v>4.5756249999999943E-2</v>
      </c>
      <c r="AA243" s="72">
        <f ca="1">(1+OFFSET(Assumptions!$B$92,0,$C$1)*AA$34)*(1+OFFSET(Assumptions!$B$93,0,$C$1)*AA$29)/(1+OFFSET(Assumptions!$B$94,0,$C$1))-1</f>
        <v>4.5756249999999943E-2</v>
      </c>
      <c r="AB243" s="72">
        <f ca="1">(1+OFFSET(Assumptions!$B$92,0,$C$1)*AB$34)*(1+OFFSET(Assumptions!$B$93,0,$C$1)*AB$29)/(1+OFFSET(Assumptions!$B$94,0,$C$1))-1</f>
        <v>4.5756249999999943E-2</v>
      </c>
      <c r="AC243" s="72">
        <f ca="1">(1+OFFSET(Assumptions!$B$92,0,$C$1)*AC$34)*(1+OFFSET(Assumptions!$B$93,0,$C$1)*AC$29)/(1+OFFSET(Assumptions!$B$94,0,$C$1))-1</f>
        <v>4.5756249999999943E-2</v>
      </c>
      <c r="AD243" s="72">
        <f ca="1">(1+OFFSET(Assumptions!$B$92,0,$C$1)*AD$34)*(1+OFFSET(Assumptions!$B$93,0,$C$1)*AD$29)/(1+OFFSET(Assumptions!$B$94,0,$C$1))-1</f>
        <v>4.5756249999999943E-2</v>
      </c>
      <c r="AE243" s="72">
        <f ca="1">(1+OFFSET(Assumptions!$B$92,0,$C$1)*AE$34)*(1+OFFSET(Assumptions!$B$93,0,$C$1)*AE$29)/(1+OFFSET(Assumptions!$B$94,0,$C$1))-1</f>
        <v>4.5756249999999943E-2</v>
      </c>
      <c r="AF243" s="72">
        <f ca="1">(1+OFFSET(Assumptions!$B$92,0,$C$1)*AF$34)*(1+OFFSET(Assumptions!$B$93,0,$C$1)*AF$29)/(1+OFFSET(Assumptions!$B$94,0,$C$1))-1</f>
        <v>4.5756249999999943E-2</v>
      </c>
      <c r="AG243" s="72">
        <f ca="1">(1+OFFSET(Assumptions!$B$92,0,$C$1)*AG$34)*(1+OFFSET(Assumptions!$B$93,0,$C$1)*AG$29)/(1+OFFSET(Assumptions!$B$94,0,$C$1))-1</f>
        <v>4.5756249999999943E-2</v>
      </c>
      <c r="AH243" s="72">
        <f ca="1">(1+OFFSET(Assumptions!$B$92,0,$C$1)*AH$34)*(1+OFFSET(Assumptions!$B$93,0,$C$1)*AH$29)/(1+OFFSET(Assumptions!$B$94,0,$C$1))-1</f>
        <v>4.5756249999999943E-2</v>
      </c>
      <c r="AI243" s="72">
        <f ca="1">(1+OFFSET(Assumptions!$B$92,0,$C$1)*AI$34)*(1+OFFSET(Assumptions!$B$93,0,$C$1)*AI$29)/(1+OFFSET(Assumptions!$B$94,0,$C$1))-1</f>
        <v>4.5756249999999943E-2</v>
      </c>
      <c r="AJ243" s="72">
        <f ca="1">(1+OFFSET(Assumptions!$B$92,0,$C$1)*AJ$34)*(1+OFFSET(Assumptions!$B$93,0,$C$1)*AJ$29)/(1+OFFSET(Assumptions!$B$94,0,$C$1))-1</f>
        <v>4.5756249999999943E-2</v>
      </c>
      <c r="AK243" s="72">
        <f ca="1">(1+OFFSET(Assumptions!$B$92,0,$C$1)*AK$34)*(1+OFFSET(Assumptions!$B$93,0,$C$1)*AK$29)/(1+OFFSET(Assumptions!$B$94,0,$C$1))-1</f>
        <v>4.5756249999999943E-2</v>
      </c>
      <c r="AL243" s="72">
        <f ca="1">(1+OFFSET(Assumptions!$B$92,0,$C$1)*AL$34)*(1+OFFSET(Assumptions!$B$93,0,$C$1)*AL$29)/(1+OFFSET(Assumptions!$B$94,0,$C$1))-1</f>
        <v>4.5756249999999943E-2</v>
      </c>
      <c r="AM243" s="72">
        <f ca="1">(1+OFFSET(Assumptions!$B$92,0,$C$1)*AM$34)*(1+OFFSET(Assumptions!$B$93,0,$C$1)*AM$29)/(1+OFFSET(Assumptions!$B$94,0,$C$1))-1</f>
        <v>4.5756249999999943E-2</v>
      </c>
      <c r="AN243" s="72">
        <f ca="1">(1+OFFSET(Assumptions!$B$92,0,$C$1)*AN$34)*(1+OFFSET(Assumptions!$B$93,0,$C$1)*AN$29)/(1+OFFSET(Assumptions!$B$94,0,$C$1))-1</f>
        <v>4.5756249999999943E-2</v>
      </c>
      <c r="AO243" s="72">
        <f ca="1">(1+OFFSET(Assumptions!$B$92,0,$C$1)*AO$34)*(1+OFFSET(Assumptions!$B$93,0,$C$1)*AO$29)/(1+OFFSET(Assumptions!$B$94,0,$C$1))-1</f>
        <v>4.5756249999999943E-2</v>
      </c>
      <c r="AP243" s="72">
        <f ca="1">(1+OFFSET(Assumptions!$B$92,0,$C$1)*AP$34)*(1+OFFSET(Assumptions!$B$93,0,$C$1)*AP$29)/(1+OFFSET(Assumptions!$B$94,0,$C$1))-1</f>
        <v>4.5756249999999943E-2</v>
      </c>
      <c r="AQ243" s="72">
        <f ca="1">(1+OFFSET(Assumptions!$B$92,0,$C$1)*AQ$34)*(1+OFFSET(Assumptions!$B$93,0,$C$1)*AQ$29)/(1+OFFSET(Assumptions!$B$94,0,$C$1))-1</f>
        <v>4.5756249999999943E-2</v>
      </c>
      <c r="AR243" s="72">
        <f ca="1">(1+OFFSET(Assumptions!$B$92,0,$C$1)*AR$34)*(1+OFFSET(Assumptions!$B$93,0,$C$1)*AR$29)/(1+OFFSET(Assumptions!$B$94,0,$C$1))-1</f>
        <v>4.5756249999999943E-2</v>
      </c>
      <c r="AS243" s="72">
        <f ca="1">(1+OFFSET(Assumptions!$B$92,0,$C$1)*AS$34)*(1+OFFSET(Assumptions!$B$93,0,$C$1)*AS$29)/(1+OFFSET(Assumptions!$B$94,0,$C$1))-1</f>
        <v>4.5756249999999943E-2</v>
      </c>
      <c r="AT243" s="72">
        <f ca="1">(1+OFFSET(Assumptions!$B$92,0,$C$1)*AT$34)*(1+OFFSET(Assumptions!$B$93,0,$C$1)*AT$29)/(1+OFFSET(Assumptions!$B$94,0,$C$1))-1</f>
        <v>4.5756249999999943E-2</v>
      </c>
      <c r="AU243" s="72">
        <f ca="1">(1+OFFSET(Assumptions!$B$92,0,$C$1)*AU$34)*(1+OFFSET(Assumptions!$B$93,0,$C$1)*AU$29)/(1+OFFSET(Assumptions!$B$94,0,$C$1))-1</f>
        <v>4.5756249999999943E-2</v>
      </c>
      <c r="AV243" s="72">
        <f ca="1">(1+OFFSET(Assumptions!$B$92,0,$C$1)*AV$34)*(1+OFFSET(Assumptions!$B$93,0,$C$1)*AV$29)/(1+OFFSET(Assumptions!$B$94,0,$C$1))-1</f>
        <v>4.5756249999999943E-2</v>
      </c>
      <c r="AW243" s="72">
        <f ca="1">(1+OFFSET(Assumptions!$B$92,0,$C$1)*AW$34)*(1+OFFSET(Assumptions!$B$93,0,$C$1)*AW$29)/(1+OFFSET(Assumptions!$B$94,0,$C$1))-1</f>
        <v>4.5756249999999943E-2</v>
      </c>
    </row>
    <row r="244" spans="1:49" x14ac:dyDescent="0.2">
      <c r="A244" s="1" t="s">
        <v>1185</v>
      </c>
      <c r="B244" s="4"/>
      <c r="D244" s="73">
        <f>SUM(Exogenous!$B$50*SUM(Popn!K$10:K$24)/SUM(Popn!J$10:J$24),Exogenous!$B$51*SUM(Popn!K$25:K$34)/SUM(Popn!J$25:J$34),Exogenous!$B$52*SUM(Popn!K$35:K$54)/SUM(Popn!J$35:J$54),Exogenous!$B$53*SUM(Popn!K$55:K$74)/SUM(Popn!J$55:J$74),Exogenous!$B$54*SUM(Popn!K$75:K$94)/SUM(Popn!J$75:J$94),Exogenous!$B$55*SUM(Popn!K$95:K$100)/SUM(Popn!J$95:J$100))-SUM(Exogenous!$B$50:$B$55)</f>
        <v>1.2460658049093021E-2</v>
      </c>
      <c r="E244" s="74">
        <f>SUM(Exogenous!$B$50*SUM(Popn!L$10:L$24)/SUM(Popn!K$10:K$24),Exogenous!$B$51*SUM(Popn!L$25:L$34)/SUM(Popn!K$25:K$34),Exogenous!$B$52*SUM(Popn!L$35:L$54)/SUM(Popn!K$35:K$54),Exogenous!$B$53*SUM(Popn!L$55:L$74)/SUM(Popn!K$55:K$74),Exogenous!$B$54*SUM(Popn!L$75:L$94)/SUM(Popn!K$75:K$94),Exogenous!$B$55*SUM(Popn!L$95:L$100)/SUM(Popn!K$95:K$100))-SUM(Exogenous!$B$50:$B$55)</f>
        <v>1.0545952636582645E-2</v>
      </c>
      <c r="F244" s="74">
        <f>SUM(Exogenous!$B$50*SUM(Popn!M$10:M$24)/SUM(Popn!L$10:L$24),Exogenous!$B$51*SUM(Popn!M$25:M$34)/SUM(Popn!L$25:L$34),Exogenous!$B$52*SUM(Popn!M$35:M$54)/SUM(Popn!L$35:L$54),Exogenous!$B$53*SUM(Popn!M$55:M$74)/SUM(Popn!L$55:L$74),Exogenous!$B$54*SUM(Popn!M$75:M$94)/SUM(Popn!L$75:L$94),Exogenous!$B$55*SUM(Popn!M$95:M$100)/SUM(Popn!L$95:L$100))-SUM(Exogenous!$B$50:$B$55)</f>
        <v>8.2860108535108834E-3</v>
      </c>
      <c r="G244" s="74">
        <f>SUM(Exogenous!$B$50*SUM(Popn!N$10:N$24)/SUM(Popn!M$10:M$24),Exogenous!$B$51*SUM(Popn!N$25:N$34)/SUM(Popn!M$25:M$34),Exogenous!$B$52*SUM(Popn!N$35:N$54)/SUM(Popn!M$35:M$54),Exogenous!$B$53*SUM(Popn!N$55:N$74)/SUM(Popn!M$55:M$74),Exogenous!$B$54*SUM(Popn!N$75:N$94)/SUM(Popn!M$75:M$94),Exogenous!$B$55*SUM(Popn!N$95:N$100)/SUM(Popn!M$95:M$100))-SUM(Exogenous!$B$50:$B$55)</f>
        <v>8.1010180437907087E-3</v>
      </c>
      <c r="H244" s="74">
        <f>SUM(Exogenous!$B$50*SUM(Popn!O$10:O$24)/SUM(Popn!N$10:N$24),Exogenous!$B$51*SUM(Popn!O$25:O$34)/SUM(Popn!N$25:N$34),Exogenous!$B$52*SUM(Popn!O$35:O$54)/SUM(Popn!N$35:N$54),Exogenous!$B$53*SUM(Popn!O$55:O$74)/SUM(Popn!N$55:N$74),Exogenous!$B$54*SUM(Popn!O$75:O$94)/SUM(Popn!N$75:N$94),Exogenous!$B$55*SUM(Popn!O$95:O$100)/SUM(Popn!N$95:N$100))-SUM(Exogenous!$B$50:$B$55)</f>
        <v>8.0555842709731929E-3</v>
      </c>
      <c r="I244" s="74">
        <f>SUM(Exogenous!$B$50*SUM(Popn!P$10:P$24)/SUM(Popn!O$10:O$24),Exogenous!$B$51*SUM(Popn!P$25:P$34)/SUM(Popn!O$25:O$34),Exogenous!$B$52*SUM(Popn!P$35:P$54)/SUM(Popn!O$35:O$54),Exogenous!$B$53*SUM(Popn!P$55:P$74)/SUM(Popn!O$55:O$74),Exogenous!$B$54*SUM(Popn!P$75:P$94)/SUM(Popn!O$75:O$94),Exogenous!$B$55*SUM(Popn!P$95:P$100)/SUM(Popn!O$95:O$100))-SUM(Exogenous!$B$50:$B$55)</f>
        <v>7.8163617735782509E-3</v>
      </c>
      <c r="J244" s="72">
        <f>SUM(Exogenous!$B$50*SUM(Popn!Q$10:Q$24)/SUM(Popn!P$10:P$24),Exogenous!$B$51*SUM(Popn!Q$25:Q$34)/SUM(Popn!P$25:P$34),Exogenous!$B$52*SUM(Popn!Q$35:Q$54)/SUM(Popn!P$35:P$54),Exogenous!$B$53*SUM(Popn!Q$55:Q$74)/SUM(Popn!P$55:P$74),Exogenous!$B$54*SUM(Popn!Q$75:Q$94)/SUM(Popn!P$75:P$94),Exogenous!$B$55*SUM(Popn!Q$95:Q$100)/SUM(Popn!P$95:P$100))-SUM(Exogenous!$B$50:$B$55)</f>
        <v>7.9896775267691567E-3</v>
      </c>
      <c r="K244" s="72">
        <f>SUM(Exogenous!$B$50*SUM(Popn!R$10:R$24)/SUM(Popn!Q$10:Q$24),Exogenous!$B$51*SUM(Popn!R$25:R$34)/SUM(Popn!Q$25:Q$34),Exogenous!$B$52*SUM(Popn!R$35:R$54)/SUM(Popn!Q$35:Q$54),Exogenous!$B$53*SUM(Popn!R$55:R$74)/SUM(Popn!Q$55:Q$74),Exogenous!$B$54*SUM(Popn!R$75:R$94)/SUM(Popn!Q$75:Q$94),Exogenous!$B$55*SUM(Popn!R$95:R$100)/SUM(Popn!Q$95:Q$100))-SUM(Exogenous!$B$50:$B$55)</f>
        <v>8.2466482223453319E-3</v>
      </c>
      <c r="L244" s="72">
        <f>SUM(Exogenous!$B$50*SUM(Popn!S$10:S$24)/SUM(Popn!R$10:R$24),Exogenous!$B$51*SUM(Popn!S$25:S$34)/SUM(Popn!R$25:R$34),Exogenous!$B$52*SUM(Popn!S$35:S$54)/SUM(Popn!R$35:R$54),Exogenous!$B$53*SUM(Popn!S$55:S$74)/SUM(Popn!R$55:R$74),Exogenous!$B$54*SUM(Popn!S$75:S$94)/SUM(Popn!R$75:R$94),Exogenous!$B$55*SUM(Popn!S$95:S$100)/SUM(Popn!R$95:R$100))-SUM(Exogenous!$B$50:$B$55)</f>
        <v>8.1515793955648785E-3</v>
      </c>
      <c r="M244" s="72">
        <f>SUM(Exogenous!$B$50*SUM(Popn!T$10:T$24)/SUM(Popn!S$10:S$24),Exogenous!$B$51*SUM(Popn!T$25:T$34)/SUM(Popn!S$25:S$34),Exogenous!$B$52*SUM(Popn!T$35:T$54)/SUM(Popn!S$35:S$54),Exogenous!$B$53*SUM(Popn!T$55:T$74)/SUM(Popn!S$55:S$74),Exogenous!$B$54*SUM(Popn!T$75:T$94)/SUM(Popn!S$75:S$94),Exogenous!$B$55*SUM(Popn!T$95:T$100)/SUM(Popn!S$95:S$100))-SUM(Exogenous!$B$50:$B$55)</f>
        <v>8.2632313050964301E-3</v>
      </c>
      <c r="N244" s="72">
        <f>SUM(Exogenous!$B$50*SUM(Popn!U$10:U$24)/SUM(Popn!T$10:T$24),Exogenous!$B$51*SUM(Popn!U$25:U$34)/SUM(Popn!T$25:T$34),Exogenous!$B$52*SUM(Popn!U$35:U$54)/SUM(Popn!T$35:T$54),Exogenous!$B$53*SUM(Popn!U$55:U$74)/SUM(Popn!T$55:T$74),Exogenous!$B$54*SUM(Popn!U$75:U$94)/SUM(Popn!T$75:T$94),Exogenous!$B$55*SUM(Popn!U$95:U$100)/SUM(Popn!T$95:T$100))-SUM(Exogenous!$B$50:$B$55)</f>
        <v>8.5261782416546916E-3</v>
      </c>
      <c r="O244" s="72">
        <f>SUM(Exogenous!$B$50*SUM(Popn!V$10:V$24)/SUM(Popn!U$10:U$24),Exogenous!$B$51*SUM(Popn!V$25:V$34)/SUM(Popn!U$25:U$34),Exogenous!$B$52*SUM(Popn!V$35:V$54)/SUM(Popn!U$35:U$54),Exogenous!$B$53*SUM(Popn!V$55:V$74)/SUM(Popn!U$55:U$74),Exogenous!$B$54*SUM(Popn!V$75:V$94)/SUM(Popn!U$75:U$94),Exogenous!$B$55*SUM(Popn!V$95:V$100)/SUM(Popn!U$95:U$100))-SUM(Exogenous!$B$50:$B$55)</f>
        <v>8.6972125076864026E-3</v>
      </c>
      <c r="P244" s="72">
        <f>SUM(Exogenous!$B$50*SUM(Popn!W$10:W$24)/SUM(Popn!V$10:V$24),Exogenous!$B$51*SUM(Popn!W$25:W$34)/SUM(Popn!V$25:V$34),Exogenous!$B$52*SUM(Popn!W$35:W$54)/SUM(Popn!V$35:V$54),Exogenous!$B$53*SUM(Popn!W$55:W$74)/SUM(Popn!V$55:V$74),Exogenous!$B$54*SUM(Popn!W$75:W$94)/SUM(Popn!V$75:V$94),Exogenous!$B$55*SUM(Popn!W$95:W$100)/SUM(Popn!V$95:V$100))-SUM(Exogenous!$B$50:$B$55)</f>
        <v>8.4269736261241013E-3</v>
      </c>
      <c r="Q244" s="72">
        <f>SUM(Exogenous!$B$50*SUM(Popn!X$10:X$24)/SUM(Popn!W$10:W$24),Exogenous!$B$51*SUM(Popn!X$25:X$34)/SUM(Popn!W$25:W$34),Exogenous!$B$52*SUM(Popn!X$35:X$54)/SUM(Popn!W$35:W$54),Exogenous!$B$53*SUM(Popn!X$55:X$74)/SUM(Popn!W$55:W$74),Exogenous!$B$54*SUM(Popn!X$75:X$94)/SUM(Popn!W$75:W$94),Exogenous!$B$55*SUM(Popn!X$95:X$100)/SUM(Popn!W$95:W$100))-SUM(Exogenous!$B$50:$B$55)</f>
        <v>7.1756218521428217E-3</v>
      </c>
      <c r="R244" s="72">
        <f>SUM(Exogenous!$B$50*SUM(Popn!Y$10:Y$24)/SUM(Popn!X$10:X$24),Exogenous!$B$51*SUM(Popn!Y$25:Y$34)/SUM(Popn!X$25:X$34),Exogenous!$B$52*SUM(Popn!Y$35:Y$54)/SUM(Popn!X$35:X$54),Exogenous!$B$53*SUM(Popn!Y$55:Y$74)/SUM(Popn!X$55:X$74),Exogenous!$B$54*SUM(Popn!Y$75:Y$94)/SUM(Popn!X$75:X$94),Exogenous!$B$55*SUM(Popn!Y$95:Y$100)/SUM(Popn!X$95:X$100))-SUM(Exogenous!$B$50:$B$55)</f>
        <v>7.346560736096297E-3</v>
      </c>
      <c r="S244" s="72">
        <f>SUM(Exogenous!$B$50*SUM(Popn!Z$10:Z$24)/SUM(Popn!Y$10:Y$24),Exogenous!$B$51*SUM(Popn!Z$25:Z$34)/SUM(Popn!Y$25:Y$34),Exogenous!$B$52*SUM(Popn!Z$35:Z$54)/SUM(Popn!Y$35:Y$54),Exogenous!$B$53*SUM(Popn!Z$55:Z$74)/SUM(Popn!Y$55:Y$74),Exogenous!$B$54*SUM(Popn!Z$75:Z$94)/SUM(Popn!Y$75:Y$94),Exogenous!$B$55*SUM(Popn!Z$95:Z$100)/SUM(Popn!Y$95:Y$100))-SUM(Exogenous!$B$50:$B$55)</f>
        <v>6.9597696336850534E-3</v>
      </c>
      <c r="T244" s="72">
        <f>SUM(Exogenous!$B$50*SUM(Popn!AA$10:AA$24)/SUM(Popn!Z$10:Z$24),Exogenous!$B$51*SUM(Popn!AA$25:AA$34)/SUM(Popn!Z$25:Z$34),Exogenous!$B$52*SUM(Popn!AA$35:AA$54)/SUM(Popn!Z$35:Z$54),Exogenous!$B$53*SUM(Popn!AA$55:AA$74)/SUM(Popn!Z$55:Z$74),Exogenous!$B$54*SUM(Popn!AA$75:AA$94)/SUM(Popn!Z$75:Z$94),Exogenous!$B$55*SUM(Popn!AA$95:AA$100)/SUM(Popn!Z$95:Z$100))-SUM(Exogenous!$B$50:$B$55)</f>
        <v>6.8655864934492605E-3</v>
      </c>
      <c r="U244" s="72">
        <f>SUM(Exogenous!$B$50*SUM(Popn!AB$10:AB$24)/SUM(Popn!AA$10:AA$24),Exogenous!$B$51*SUM(Popn!AB$25:AB$34)/SUM(Popn!AA$25:AA$34),Exogenous!$B$52*SUM(Popn!AB$35:AB$54)/SUM(Popn!AA$35:AA$54),Exogenous!$B$53*SUM(Popn!AB$55:AB$74)/SUM(Popn!AA$55:AA$74),Exogenous!$B$54*SUM(Popn!AB$75:AB$94)/SUM(Popn!AA$75:AA$94),Exogenous!$B$55*SUM(Popn!AB$95:AB$100)/SUM(Popn!AA$95:AA$100))-SUM(Exogenous!$B$50:$B$55)</f>
        <v>7.569858611153446E-3</v>
      </c>
      <c r="V244" s="72">
        <f>SUM(Exogenous!$B$50*SUM(Popn!AC$10:AC$24)/SUM(Popn!AB$10:AB$24),Exogenous!$B$51*SUM(Popn!AC$25:AC$34)/SUM(Popn!AB$25:AB$34),Exogenous!$B$52*SUM(Popn!AC$35:AC$54)/SUM(Popn!AB$35:AB$54),Exogenous!$B$53*SUM(Popn!AC$55:AC$74)/SUM(Popn!AB$55:AB$74),Exogenous!$B$54*SUM(Popn!AC$75:AC$94)/SUM(Popn!AB$75:AB$94),Exogenous!$B$55*SUM(Popn!AC$95:AC$100)/SUM(Popn!AB$95:AB$100))-SUM(Exogenous!$B$50:$B$55)</f>
        <v>6.9877891582275087E-3</v>
      </c>
      <c r="W244" s="72">
        <f>SUM(Exogenous!$B$50*SUM(Popn!AD$10:AD$24)/SUM(Popn!AC$10:AC$24),Exogenous!$B$51*SUM(Popn!AD$25:AD$34)/SUM(Popn!AC$25:AC$34),Exogenous!$B$52*SUM(Popn!AD$35:AD$54)/SUM(Popn!AC$35:AC$54),Exogenous!$B$53*SUM(Popn!AD$55:AD$74)/SUM(Popn!AC$55:AC$74),Exogenous!$B$54*SUM(Popn!AD$75:AD$94)/SUM(Popn!AC$75:AC$94),Exogenous!$B$55*SUM(Popn!AD$95:AD$100)/SUM(Popn!AC$95:AC$100))-SUM(Exogenous!$B$50:$B$55)</f>
        <v>6.3125150959085774E-3</v>
      </c>
      <c r="X244" s="72">
        <f>SUM(Exogenous!$B$50*SUM(Popn!AE$10:AE$24)/SUM(Popn!AD$10:AD$24),Exogenous!$B$51*SUM(Popn!AE$25:AE$34)/SUM(Popn!AD$25:AD$34),Exogenous!$B$52*SUM(Popn!AE$35:AE$54)/SUM(Popn!AD$35:AD$54),Exogenous!$B$53*SUM(Popn!AE$55:AE$74)/SUM(Popn!AD$55:AD$74),Exogenous!$B$54*SUM(Popn!AE$75:AE$94)/SUM(Popn!AD$75:AD$94),Exogenous!$B$55*SUM(Popn!AE$95:AE$100)/SUM(Popn!AD$95:AD$100))-SUM(Exogenous!$B$50:$B$55)</f>
        <v>6.0143525229778838E-3</v>
      </c>
      <c r="Y244" s="72">
        <f>SUM(Exogenous!$B$50*SUM(Popn!AF$10:AF$24)/SUM(Popn!AE$10:AE$24),Exogenous!$B$51*SUM(Popn!AF$25:AF$34)/SUM(Popn!AE$25:AE$34),Exogenous!$B$52*SUM(Popn!AF$35:AF$54)/SUM(Popn!AE$35:AE$54),Exogenous!$B$53*SUM(Popn!AF$55:AF$74)/SUM(Popn!AE$55:AE$74),Exogenous!$B$54*SUM(Popn!AF$75:AF$94)/SUM(Popn!AE$75:AE$94),Exogenous!$B$55*SUM(Popn!AF$95:AF$100)/SUM(Popn!AE$95:AE$100))-SUM(Exogenous!$B$50:$B$55)</f>
        <v>5.583834975612656E-3</v>
      </c>
      <c r="Z244" s="72">
        <f>SUM(Exogenous!$B$50*SUM(Popn!AG$10:AG$24)/SUM(Popn!AF$10:AF$24),Exogenous!$B$51*SUM(Popn!AG$25:AG$34)/SUM(Popn!AF$25:AF$34),Exogenous!$B$52*SUM(Popn!AG$35:AG$54)/SUM(Popn!AF$35:AF$54),Exogenous!$B$53*SUM(Popn!AG$55:AG$74)/SUM(Popn!AF$55:AF$74),Exogenous!$B$54*SUM(Popn!AG$75:AG$94)/SUM(Popn!AF$75:AF$94),Exogenous!$B$55*SUM(Popn!AG$95:AG$100)/SUM(Popn!AF$95:AF$100))-SUM(Exogenous!$B$50:$B$55)</f>
        <v>5.2260150913603365E-3</v>
      </c>
      <c r="AA244" s="72">
        <f>SUM(Exogenous!$B$50*SUM(Popn!AH$10:AH$24)/SUM(Popn!AG$10:AG$24),Exogenous!$B$51*SUM(Popn!AH$25:AH$34)/SUM(Popn!AG$25:AG$34),Exogenous!$B$52*SUM(Popn!AH$35:AH$54)/SUM(Popn!AG$35:AG$54),Exogenous!$B$53*SUM(Popn!AH$55:AH$74)/SUM(Popn!AG$55:AG$74),Exogenous!$B$54*SUM(Popn!AH$75:AH$94)/SUM(Popn!AG$75:AG$94),Exogenous!$B$55*SUM(Popn!AH$95:AH$100)/SUM(Popn!AG$95:AG$100))-SUM(Exogenous!$B$50:$B$55)</f>
        <v>4.8569288637005936E-3</v>
      </c>
      <c r="AB244" s="72">
        <f>SUM(Exogenous!$B$50*SUM(Popn!AI$10:AI$24)/SUM(Popn!AH$10:AH$24),Exogenous!$B$51*SUM(Popn!AI$25:AI$34)/SUM(Popn!AH$25:AH$34),Exogenous!$B$52*SUM(Popn!AI$35:AI$54)/SUM(Popn!AH$35:AH$54),Exogenous!$B$53*SUM(Popn!AI$55:AI$74)/SUM(Popn!AH$55:AH$74),Exogenous!$B$54*SUM(Popn!AI$75:AI$94)/SUM(Popn!AH$75:AH$94),Exogenous!$B$55*SUM(Popn!AI$95:AI$100)/SUM(Popn!AH$95:AH$100))-SUM(Exogenous!$B$50:$B$55)</f>
        <v>4.4632748192260374E-3</v>
      </c>
      <c r="AC244" s="72">
        <f>SUM(Exogenous!$B$50*SUM(Popn!AJ$10:AJ$24)/SUM(Popn!AI$10:AI$24),Exogenous!$B$51*SUM(Popn!AJ$25:AJ$34)/SUM(Popn!AI$25:AI$34),Exogenous!$B$52*SUM(Popn!AJ$35:AJ$54)/SUM(Popn!AI$35:AI$54),Exogenous!$B$53*SUM(Popn!AJ$55:AJ$74)/SUM(Popn!AI$55:AI$74),Exogenous!$B$54*SUM(Popn!AJ$75:AJ$94)/SUM(Popn!AI$75:AI$94),Exogenous!$B$55*SUM(Popn!AJ$95:AJ$100)/SUM(Popn!AI$95:AI$100))-SUM(Exogenous!$B$50:$B$55)</f>
        <v>4.1436733059666553E-3</v>
      </c>
      <c r="AD244" s="72">
        <f>SUM(Exogenous!$B$50*SUM(Popn!AK$10:AK$24)/SUM(Popn!AJ$10:AJ$24),Exogenous!$B$51*SUM(Popn!AK$25:AK$34)/SUM(Popn!AJ$25:AJ$34),Exogenous!$B$52*SUM(Popn!AK$35:AK$54)/SUM(Popn!AJ$35:AJ$54),Exogenous!$B$53*SUM(Popn!AK$55:AK$74)/SUM(Popn!AJ$55:AJ$74),Exogenous!$B$54*SUM(Popn!AK$75:AK$94)/SUM(Popn!AJ$75:AJ$94),Exogenous!$B$55*SUM(Popn!AK$95:AK$100)/SUM(Popn!AJ$95:AJ$100))-SUM(Exogenous!$B$50:$B$55)</f>
        <v>3.8255249785615897E-3</v>
      </c>
      <c r="AE244" s="72">
        <f>SUM(Exogenous!$B$50*SUM(Popn!AL$10:AL$24)/SUM(Popn!AK$10:AK$24),Exogenous!$B$51*SUM(Popn!AL$25:AL$34)/SUM(Popn!AK$25:AK$34),Exogenous!$B$52*SUM(Popn!AL$35:AL$54)/SUM(Popn!AK$35:AK$54),Exogenous!$B$53*SUM(Popn!AL$55:AL$74)/SUM(Popn!AK$55:AK$74),Exogenous!$B$54*SUM(Popn!AL$75:AL$94)/SUM(Popn!AK$75:AK$94),Exogenous!$B$55*SUM(Popn!AL$95:AL$100)/SUM(Popn!AK$95:AK$100))-SUM(Exogenous!$B$50:$B$55)</f>
        <v>3.5939424420290411E-3</v>
      </c>
      <c r="AF244" s="72">
        <f>SUM(Exogenous!$B$50*SUM(Popn!AM$10:AM$24)/SUM(Popn!AL$10:AL$24),Exogenous!$B$51*SUM(Popn!AM$25:AM$34)/SUM(Popn!AL$25:AL$34),Exogenous!$B$52*SUM(Popn!AM$35:AM$54)/SUM(Popn!AL$35:AL$54),Exogenous!$B$53*SUM(Popn!AM$55:AM$74)/SUM(Popn!AL$55:AL$74),Exogenous!$B$54*SUM(Popn!AM$75:AM$94)/SUM(Popn!AL$75:AL$94),Exogenous!$B$55*SUM(Popn!AM$95:AM$100)/SUM(Popn!AL$95:AL$100))-SUM(Exogenous!$B$50:$B$55)</f>
        <v>3.3606548200445507E-3</v>
      </c>
      <c r="AG244" s="72">
        <f>SUM(Exogenous!$B$50*SUM(Popn!AN$10:AN$24)/SUM(Popn!AM$10:AM$24),Exogenous!$B$51*SUM(Popn!AN$25:AN$34)/SUM(Popn!AM$25:AM$34),Exogenous!$B$52*SUM(Popn!AN$35:AN$54)/SUM(Popn!AM$35:AM$54),Exogenous!$B$53*SUM(Popn!AN$55:AN$74)/SUM(Popn!AM$55:AM$74),Exogenous!$B$54*SUM(Popn!AN$75:AN$94)/SUM(Popn!AM$75:AM$94),Exogenous!$B$55*SUM(Popn!AN$95:AN$100)/SUM(Popn!AM$95:AM$100))-SUM(Exogenous!$B$50:$B$55)</f>
        <v>3.3296571726209034E-3</v>
      </c>
      <c r="AH244" s="72">
        <f>SUM(Exogenous!$B$50*SUM(Popn!AO$10:AO$24)/SUM(Popn!AN$10:AN$24),Exogenous!$B$51*SUM(Popn!AO$25:AO$34)/SUM(Popn!AN$25:AN$34),Exogenous!$B$52*SUM(Popn!AO$35:AO$54)/SUM(Popn!AN$35:AN$54),Exogenous!$B$53*SUM(Popn!AO$55:AO$74)/SUM(Popn!AN$55:AN$74),Exogenous!$B$54*SUM(Popn!AO$75:AO$94)/SUM(Popn!AN$75:AN$94),Exogenous!$B$55*SUM(Popn!AO$95:AO$100)/SUM(Popn!AN$95:AN$100))-SUM(Exogenous!$B$50:$B$55)</f>
        <v>3.1014570792607943E-3</v>
      </c>
      <c r="AI244" s="72">
        <f>SUM(Exogenous!$B$50*SUM(Popn!AP$10:AP$24)/SUM(Popn!AO$10:AO$24),Exogenous!$B$51*SUM(Popn!AP$25:AP$34)/SUM(Popn!AO$25:AO$34),Exogenous!$B$52*SUM(Popn!AP$35:AP$54)/SUM(Popn!AO$35:AO$54),Exogenous!$B$53*SUM(Popn!AP$55:AP$74)/SUM(Popn!AO$55:AO$74),Exogenous!$B$54*SUM(Popn!AP$75:AP$94)/SUM(Popn!AO$75:AO$94),Exogenous!$B$55*SUM(Popn!AP$95:AP$100)/SUM(Popn!AO$95:AO$100))-SUM(Exogenous!$B$50:$B$55)</f>
        <v>2.9803704636550687E-3</v>
      </c>
      <c r="AJ244" s="72">
        <f>SUM(Exogenous!$B$50*SUM(Popn!AQ$10:AQ$24)/SUM(Popn!AP$10:AP$24),Exogenous!$B$51*SUM(Popn!AQ$25:AQ$34)/SUM(Popn!AP$25:AP$34),Exogenous!$B$52*SUM(Popn!AQ$35:AQ$54)/SUM(Popn!AP$35:AP$54),Exogenous!$B$53*SUM(Popn!AQ$55:AQ$74)/SUM(Popn!AP$55:AP$74),Exogenous!$B$54*SUM(Popn!AQ$75:AQ$94)/SUM(Popn!AP$75:AP$94),Exogenous!$B$55*SUM(Popn!AQ$95:AQ$100)/SUM(Popn!AP$95:AP$100))-SUM(Exogenous!$B$50:$B$55)</f>
        <v>2.8358706612787721E-3</v>
      </c>
      <c r="AK244" s="72">
        <f>SUM(Exogenous!$B$50*SUM(Popn!AR$10:AR$24)/SUM(Popn!AQ$10:AQ$24),Exogenous!$B$51*SUM(Popn!AR$25:AR$34)/SUM(Popn!AQ$25:AQ$34),Exogenous!$B$52*SUM(Popn!AR$35:AR$54)/SUM(Popn!AQ$35:AQ$54),Exogenous!$B$53*SUM(Popn!AR$55:AR$74)/SUM(Popn!AQ$55:AQ$74),Exogenous!$B$54*SUM(Popn!AR$75:AR$94)/SUM(Popn!AQ$75:AQ$94),Exogenous!$B$55*SUM(Popn!AR$95:AR$100)/SUM(Popn!AQ$95:AQ$100))-SUM(Exogenous!$B$50:$B$55)</f>
        <v>2.7305826734094207E-3</v>
      </c>
      <c r="AL244" s="72">
        <f>SUM(Exogenous!$B$50*SUM(Popn!AS$10:AS$24)/SUM(Popn!AR$10:AR$24),Exogenous!$B$51*SUM(Popn!AS$25:AS$34)/SUM(Popn!AR$25:AR$34),Exogenous!$B$52*SUM(Popn!AS$35:AS$54)/SUM(Popn!AR$35:AR$54),Exogenous!$B$53*SUM(Popn!AS$55:AS$74)/SUM(Popn!AR$55:AR$74),Exogenous!$B$54*SUM(Popn!AS$75:AS$94)/SUM(Popn!AR$75:AR$94),Exogenous!$B$55*SUM(Popn!AS$95:AS$100)/SUM(Popn!AR$95:AR$100))-SUM(Exogenous!$B$50:$B$55)</f>
        <v>2.467873373492635E-3</v>
      </c>
      <c r="AM244" s="72">
        <f>SUM(Exogenous!$B$50*SUM(Popn!AT$10:AT$24)/SUM(Popn!AS$10:AS$24),Exogenous!$B$51*SUM(Popn!AT$25:AT$34)/SUM(Popn!AS$25:AS$34),Exogenous!$B$52*SUM(Popn!AT$35:AT$54)/SUM(Popn!AS$35:AS$54),Exogenous!$B$53*SUM(Popn!AT$55:AT$74)/SUM(Popn!AS$55:AS$74),Exogenous!$B$54*SUM(Popn!AT$75:AT$94)/SUM(Popn!AS$75:AS$94),Exogenous!$B$55*SUM(Popn!AT$95:AT$100)/SUM(Popn!AS$95:AS$100))-SUM(Exogenous!$B$50:$B$55)</f>
        <v>2.2403191120413668E-3</v>
      </c>
      <c r="AN244" s="72">
        <f>SUM(Exogenous!$B$50*SUM(Popn!AU$10:AU$24)/SUM(Popn!AT$10:AT$24),Exogenous!$B$51*SUM(Popn!AU$25:AU$34)/SUM(Popn!AT$25:AT$34),Exogenous!$B$52*SUM(Popn!AU$35:AU$54)/SUM(Popn!AT$35:AT$54),Exogenous!$B$53*SUM(Popn!AU$55:AU$74)/SUM(Popn!AT$55:AT$74),Exogenous!$B$54*SUM(Popn!AU$75:AU$94)/SUM(Popn!AT$75:AT$94),Exogenous!$B$55*SUM(Popn!AU$95:AU$100)/SUM(Popn!AT$95:AT$100))-SUM(Exogenous!$B$50:$B$55)</f>
        <v>2.1662519094557409E-3</v>
      </c>
      <c r="AO244" s="72">
        <f>SUM(Exogenous!$B$50*SUM(Popn!AV$10:AV$24)/SUM(Popn!AU$10:AU$24),Exogenous!$B$51*SUM(Popn!AV$25:AV$34)/SUM(Popn!AU$25:AU$34),Exogenous!$B$52*SUM(Popn!AV$35:AV$54)/SUM(Popn!AU$35:AU$54),Exogenous!$B$53*SUM(Popn!AV$55:AV$74)/SUM(Popn!AU$55:AU$74),Exogenous!$B$54*SUM(Popn!AV$75:AV$94)/SUM(Popn!AU$75:AU$94),Exogenous!$B$55*SUM(Popn!AV$95:AV$100)/SUM(Popn!AU$95:AU$100))-SUM(Exogenous!$B$50:$B$55)</f>
        <v>2.1133544668816562E-3</v>
      </c>
      <c r="AP244" s="72">
        <f>SUM(Exogenous!$B$50*SUM(Popn!AW$10:AW$24)/SUM(Popn!AV$10:AV$24),Exogenous!$B$51*SUM(Popn!AW$25:AW$34)/SUM(Popn!AV$25:AV$34),Exogenous!$B$52*SUM(Popn!AW$35:AW$54)/SUM(Popn!AV$35:AV$54),Exogenous!$B$53*SUM(Popn!AW$55:AW$74)/SUM(Popn!AV$55:AV$74),Exogenous!$B$54*SUM(Popn!AW$75:AW$94)/SUM(Popn!AV$75:AV$94),Exogenous!$B$55*SUM(Popn!AW$95:AW$100)/SUM(Popn!AV$95:AV$100))-SUM(Exogenous!$B$50:$B$55)</f>
        <v>2.1653765638076639E-3</v>
      </c>
      <c r="AQ244" s="72">
        <f>SUM(Exogenous!$B$50*SUM(Popn!AX$10:AX$24)/SUM(Popn!AW$10:AW$24),Exogenous!$B$51*SUM(Popn!AX$25:AX$34)/SUM(Popn!AW$25:AW$34),Exogenous!$B$52*SUM(Popn!AX$35:AX$54)/SUM(Popn!AW$35:AW$54),Exogenous!$B$53*SUM(Popn!AX$55:AX$74)/SUM(Popn!AW$55:AW$74),Exogenous!$B$54*SUM(Popn!AX$75:AX$94)/SUM(Popn!AW$75:AW$94),Exogenous!$B$55*SUM(Popn!AX$95:AX$100)/SUM(Popn!AW$95:AW$100))-SUM(Exogenous!$B$50:$B$55)</f>
        <v>2.1584848234211806E-3</v>
      </c>
      <c r="AR244" s="72">
        <f>SUM(Exogenous!$B$50*SUM(Popn!AY$10:AY$24)/SUM(Popn!AX$10:AX$24),Exogenous!$B$51*SUM(Popn!AY$25:AY$34)/SUM(Popn!AX$25:AX$34),Exogenous!$B$52*SUM(Popn!AY$35:AY$54)/SUM(Popn!AX$35:AX$54),Exogenous!$B$53*SUM(Popn!AY$55:AY$74)/SUM(Popn!AX$55:AX$74),Exogenous!$B$54*SUM(Popn!AY$75:AY$94)/SUM(Popn!AX$75:AX$94),Exogenous!$B$55*SUM(Popn!AY$95:AY$100)/SUM(Popn!AX$95:AX$100))-SUM(Exogenous!$B$50:$B$55)</f>
        <v>2.2268766306418053E-3</v>
      </c>
      <c r="AS244" s="72">
        <f>SUM(Exogenous!$B$50*SUM(Popn!AZ$10:AZ$24)/SUM(Popn!AY$10:AY$24),Exogenous!$B$51*SUM(Popn!AZ$25:AZ$34)/SUM(Popn!AY$25:AY$34),Exogenous!$B$52*SUM(Popn!AZ$35:AZ$54)/SUM(Popn!AY$35:AY$54),Exogenous!$B$53*SUM(Popn!AZ$55:AZ$74)/SUM(Popn!AY$55:AY$74),Exogenous!$B$54*SUM(Popn!AZ$75:AZ$94)/SUM(Popn!AY$75:AY$94),Exogenous!$B$55*SUM(Popn!AZ$95:AZ$100)/SUM(Popn!AY$95:AY$100))-SUM(Exogenous!$B$50:$B$55)</f>
        <v>2.2547531572842949E-3</v>
      </c>
      <c r="AT244" s="72">
        <f>SUM(Exogenous!$B$50*SUM(Popn!BA$10:BA$24)/SUM(Popn!AZ$10:AZ$24),Exogenous!$B$51*SUM(Popn!BA$25:BA$34)/SUM(Popn!AZ$25:AZ$34),Exogenous!$B$52*SUM(Popn!BA$35:BA$54)/SUM(Popn!AZ$35:AZ$54),Exogenous!$B$53*SUM(Popn!BA$55:BA$74)/SUM(Popn!AZ$55:AZ$74),Exogenous!$B$54*SUM(Popn!BA$75:BA$94)/SUM(Popn!AZ$75:AZ$94),Exogenous!$B$55*SUM(Popn!BA$95:BA$100)/SUM(Popn!AZ$95:AZ$100))-SUM(Exogenous!$B$50:$B$55)</f>
        <v>2.1353561294438217E-3</v>
      </c>
      <c r="AU244" s="72">
        <f>SUM(Exogenous!$B$50*SUM(Popn!BB$10:BB$24)/SUM(Popn!BA$10:BA$24),Exogenous!$B$51*SUM(Popn!BB$25:BB$34)/SUM(Popn!BA$25:BA$34),Exogenous!$B$52*SUM(Popn!BB$35:BB$54)/SUM(Popn!BA$35:BA$54),Exogenous!$B$53*SUM(Popn!BB$55:BB$74)/SUM(Popn!BA$55:BA$74),Exogenous!$B$54*SUM(Popn!BB$75:BB$94)/SUM(Popn!BA$75:BA$94),Exogenous!$B$55*SUM(Popn!BB$95:BB$100)/SUM(Popn!BA$95:BA$100))-SUM(Exogenous!$B$50:$B$55)</f>
        <v>2.0452162764471593E-3</v>
      </c>
      <c r="AV244" s="72">
        <f>SUM(Exogenous!$B$50*SUM(Popn!BC$10:BC$24)/SUM(Popn!BB$10:BB$24),Exogenous!$B$51*SUM(Popn!BC$25:BC$34)/SUM(Popn!BB$25:BB$34),Exogenous!$B$52*SUM(Popn!BC$35:BC$54)/SUM(Popn!BB$35:BB$54),Exogenous!$B$53*SUM(Popn!BC$55:BC$74)/SUM(Popn!BB$55:BB$74),Exogenous!$B$54*SUM(Popn!BC$75:BC$94)/SUM(Popn!BB$75:BB$94),Exogenous!$B$55*SUM(Popn!BC$95:BC$100)/SUM(Popn!BB$95:BB$100))-SUM(Exogenous!$B$50:$B$55)</f>
        <v>1.8972402994579252E-3</v>
      </c>
      <c r="AW244" s="72">
        <f>SUM(Exogenous!$B$50*SUM(Popn!BD$10:BD$24)/SUM(Popn!BC$10:BC$24),Exogenous!$B$51*SUM(Popn!BD$25:BD$34)/SUM(Popn!BC$25:BC$34),Exogenous!$B$52*SUM(Popn!BD$35:BD$54)/SUM(Popn!BC$35:BC$54),Exogenous!$B$53*SUM(Popn!BD$55:BD$74)/SUM(Popn!BC$55:BC$74),Exogenous!$B$54*SUM(Popn!BD$75:BD$94)/SUM(Popn!BC$75:BC$94),Exogenous!$B$55*SUM(Popn!BD$95:BD$100)/SUM(Popn!BC$95:BC$100))-SUM(Exogenous!$B$50:$B$55)</f>
        <v>1.8653337428294892E-3</v>
      </c>
    </row>
    <row r="245" spans="1:49" x14ac:dyDescent="0.2">
      <c r="A245" s="1" t="s">
        <v>1186</v>
      </c>
      <c r="B245" s="4"/>
      <c r="D245" s="73">
        <f>SUM(Exogenous!$C$50*SUM(Popn!K$110:K$124)/SUM(Popn!J$110:J$124),Exogenous!$C$51*SUM(Popn!K$125:K$134)/SUM(Popn!J$125:J$134),Exogenous!$C$52*SUM(Popn!K$135:K$154)/SUM(Popn!J$135:J$154),Exogenous!$C$53*SUM(Popn!K$155:K$174)/SUM(Popn!J$155:J$174),Exogenous!$C$54*SUM(Popn!K$175:K$194)/SUM(Popn!J$175:J$194),Exogenous!$C$55*SUM(Popn!K$195:K$200)/SUM(Popn!J$195:J$200))-SUM(Exogenous!$C$50:$C$55)</f>
        <v>1.1245190014366635E-2</v>
      </c>
      <c r="E245" s="74">
        <f>SUM(Exogenous!$C$50*SUM(Popn!L$110:L$124)/SUM(Popn!K$110:K$124),Exogenous!$C$51*SUM(Popn!L$125:L$134)/SUM(Popn!K$125:K$134),Exogenous!$C$52*SUM(Popn!L$135:L$154)/SUM(Popn!K$135:K$154),Exogenous!$C$53*SUM(Popn!L$155:L$174)/SUM(Popn!K$155:K$174),Exogenous!$C$54*SUM(Popn!L$175:L$194)/SUM(Popn!K$175:K$194),Exogenous!$C$55*SUM(Popn!L$195:L$200)/SUM(Popn!K$195:K$200))-SUM(Exogenous!$C$50:$C$55)</f>
        <v>9.464373274531368E-3</v>
      </c>
      <c r="F245" s="74">
        <f>SUM(Exogenous!$C$50*SUM(Popn!M$110:M$124)/SUM(Popn!L$110:L$124),Exogenous!$C$51*SUM(Popn!M$125:M$134)/SUM(Popn!L$125:L$134),Exogenous!$C$52*SUM(Popn!M$135:M$154)/SUM(Popn!L$135:L$154),Exogenous!$C$53*SUM(Popn!M$155:M$174)/SUM(Popn!L$155:L$174),Exogenous!$C$54*SUM(Popn!M$175:M$194)/SUM(Popn!L$175:L$194),Exogenous!$C$55*SUM(Popn!M$195:M$200)/SUM(Popn!L$195:L$200))-SUM(Exogenous!$C$50:$C$55)</f>
        <v>7.5968575291144314E-3</v>
      </c>
      <c r="G245" s="74">
        <f>SUM(Exogenous!$C$50*SUM(Popn!N$110:N$124)/SUM(Popn!M$110:M$124),Exogenous!$C$51*SUM(Popn!N$125:N$134)/SUM(Popn!M$125:M$134),Exogenous!$C$52*SUM(Popn!N$135:N$154)/SUM(Popn!M$135:M$154),Exogenous!$C$53*SUM(Popn!N$155:N$174)/SUM(Popn!M$155:M$174),Exogenous!$C$54*SUM(Popn!N$175:N$194)/SUM(Popn!M$175:M$194),Exogenous!$C$55*SUM(Popn!N$195:N$200)/SUM(Popn!M$195:M$200))-SUM(Exogenous!$C$50:$C$55)</f>
        <v>7.0890718796434715E-3</v>
      </c>
      <c r="H245" s="74">
        <f>SUM(Exogenous!$C$50*SUM(Popn!O$110:O$124)/SUM(Popn!N$110:N$124),Exogenous!$C$51*SUM(Popn!O$125:O$134)/SUM(Popn!N$125:N$134),Exogenous!$C$52*SUM(Popn!O$135:O$154)/SUM(Popn!N$135:N$154),Exogenous!$C$53*SUM(Popn!O$155:O$174)/SUM(Popn!N$155:N$174),Exogenous!$C$54*SUM(Popn!O$175:O$194)/SUM(Popn!N$175:N$194),Exogenous!$C$55*SUM(Popn!O$195:O$200)/SUM(Popn!N$195:N$200))-SUM(Exogenous!$C$50:$C$55)</f>
        <v>6.9998099111529544E-3</v>
      </c>
      <c r="I245" s="74">
        <f>SUM(Exogenous!$C$50*SUM(Popn!P$110:P$124)/SUM(Popn!O$110:O$124),Exogenous!$C$51*SUM(Popn!P$125:P$134)/SUM(Popn!O$125:O$134),Exogenous!$C$52*SUM(Popn!P$135:P$154)/SUM(Popn!O$135:O$154),Exogenous!$C$53*SUM(Popn!P$155:P$174)/SUM(Popn!O$155:O$174),Exogenous!$C$54*SUM(Popn!P$175:P$194)/SUM(Popn!O$175:O$194),Exogenous!$C$55*SUM(Popn!P$195:P$200)/SUM(Popn!O$195:O$200))-SUM(Exogenous!$C$50:$C$55)</f>
        <v>6.7088312689755902E-3</v>
      </c>
      <c r="J245" s="72">
        <f>SUM(Exogenous!$C$50*SUM(Popn!Q$110:Q$124)/SUM(Popn!P$110:P$124),Exogenous!$C$51*SUM(Popn!Q$125:Q$134)/SUM(Popn!P$125:P$134),Exogenous!$C$52*SUM(Popn!Q$135:Q$154)/SUM(Popn!P$135:P$154),Exogenous!$C$53*SUM(Popn!Q$155:Q$174)/SUM(Popn!P$155:P$174),Exogenous!$C$54*SUM(Popn!Q$175:Q$194)/SUM(Popn!P$175:P$194),Exogenous!$C$55*SUM(Popn!Q$195:Q$200)/SUM(Popn!P$195:P$200))-SUM(Exogenous!$C$50:$C$55)</f>
        <v>6.6431455827823949E-3</v>
      </c>
      <c r="K245" s="72">
        <f>SUM(Exogenous!$C$50*SUM(Popn!R$110:R$124)/SUM(Popn!Q$110:Q$124),Exogenous!$C$51*SUM(Popn!R$125:R$134)/SUM(Popn!Q$125:Q$134),Exogenous!$C$52*SUM(Popn!R$135:R$154)/SUM(Popn!Q$135:Q$154),Exogenous!$C$53*SUM(Popn!R$155:R$174)/SUM(Popn!Q$155:Q$174),Exogenous!$C$54*SUM(Popn!R$175:R$194)/SUM(Popn!Q$175:Q$194),Exogenous!$C$55*SUM(Popn!R$195:R$200)/SUM(Popn!Q$195:Q$200))-SUM(Exogenous!$C$50:$C$55)</f>
        <v>6.4056061950623078E-3</v>
      </c>
      <c r="L245" s="72">
        <f>SUM(Exogenous!$C$50*SUM(Popn!S$110:S$124)/SUM(Popn!R$110:R$124),Exogenous!$C$51*SUM(Popn!S$125:S$134)/SUM(Popn!R$125:R$134),Exogenous!$C$52*SUM(Popn!S$135:S$154)/SUM(Popn!R$135:R$154),Exogenous!$C$53*SUM(Popn!S$155:S$174)/SUM(Popn!R$155:R$174),Exogenous!$C$54*SUM(Popn!S$175:S$194)/SUM(Popn!R$175:R$194),Exogenous!$C$55*SUM(Popn!S$195:S$200)/SUM(Popn!R$195:R$200))-SUM(Exogenous!$C$50:$C$55)</f>
        <v>6.1660227154490821E-3</v>
      </c>
      <c r="M245" s="72">
        <f>SUM(Exogenous!$C$50*SUM(Popn!T$110:T$124)/SUM(Popn!S$110:S$124),Exogenous!$C$51*SUM(Popn!T$125:T$134)/SUM(Popn!S$125:S$134),Exogenous!$C$52*SUM(Popn!T$135:T$154)/SUM(Popn!S$135:S$154),Exogenous!$C$53*SUM(Popn!T$155:T$174)/SUM(Popn!S$155:S$174),Exogenous!$C$54*SUM(Popn!T$175:T$194)/SUM(Popn!S$175:S$194),Exogenous!$C$55*SUM(Popn!T$195:T$200)/SUM(Popn!S$195:S$200))-SUM(Exogenous!$C$50:$C$55)</f>
        <v>6.1120808637413204E-3</v>
      </c>
      <c r="N245" s="72">
        <f>SUM(Exogenous!$C$50*SUM(Popn!U$110:U$124)/SUM(Popn!T$110:T$124),Exogenous!$C$51*SUM(Popn!U$125:U$134)/SUM(Popn!T$125:T$134),Exogenous!$C$52*SUM(Popn!U$135:U$154)/SUM(Popn!T$135:T$154),Exogenous!$C$53*SUM(Popn!U$155:U$174)/SUM(Popn!T$155:T$174),Exogenous!$C$54*SUM(Popn!U$175:U$194)/SUM(Popn!T$175:T$194),Exogenous!$C$55*SUM(Popn!U$195:U$200)/SUM(Popn!T$195:T$200))-SUM(Exogenous!$C$50:$C$55)</f>
        <v>6.1198467583789551E-3</v>
      </c>
      <c r="O245" s="72">
        <f>SUM(Exogenous!$C$50*SUM(Popn!V$110:V$124)/SUM(Popn!U$110:U$124),Exogenous!$C$51*SUM(Popn!V$125:V$134)/SUM(Popn!U$125:U$134),Exogenous!$C$52*SUM(Popn!V$135:V$154)/SUM(Popn!U$135:U$154),Exogenous!$C$53*SUM(Popn!V$155:V$174)/SUM(Popn!U$155:U$174),Exogenous!$C$54*SUM(Popn!V$175:V$194)/SUM(Popn!U$175:U$194),Exogenous!$C$55*SUM(Popn!V$195:V$200)/SUM(Popn!U$195:U$200))-SUM(Exogenous!$C$50:$C$55)</f>
        <v>6.090147826931458E-3</v>
      </c>
      <c r="P245" s="72">
        <f>SUM(Exogenous!$C$50*SUM(Popn!W$110:W$124)/SUM(Popn!V$110:V$124),Exogenous!$C$51*SUM(Popn!W$125:W$134)/SUM(Popn!V$125:V$134),Exogenous!$C$52*SUM(Popn!W$135:W$154)/SUM(Popn!V$135:V$154),Exogenous!$C$53*SUM(Popn!W$155:W$174)/SUM(Popn!V$155:V$174),Exogenous!$C$54*SUM(Popn!W$175:W$194)/SUM(Popn!V$175:V$194),Exogenous!$C$55*SUM(Popn!W$195:W$200)/SUM(Popn!V$195:V$200))-SUM(Exogenous!$C$50:$C$55)</f>
        <v>5.9692528252318633E-3</v>
      </c>
      <c r="Q245" s="72">
        <f>SUM(Exogenous!$C$50*SUM(Popn!X$110:X$124)/SUM(Popn!W$110:W$124),Exogenous!$C$51*SUM(Popn!X$125:X$134)/SUM(Popn!W$125:W$134),Exogenous!$C$52*SUM(Popn!X$135:X$154)/SUM(Popn!W$135:W$154),Exogenous!$C$53*SUM(Popn!X$155:X$174)/SUM(Popn!W$155:W$174),Exogenous!$C$54*SUM(Popn!X$175:X$194)/SUM(Popn!W$175:W$194),Exogenous!$C$55*SUM(Popn!X$195:X$200)/SUM(Popn!W$195:W$200))-SUM(Exogenous!$C$50:$C$55)</f>
        <v>5.4429771928071746E-3</v>
      </c>
      <c r="R245" s="72">
        <f>SUM(Exogenous!$C$50*SUM(Popn!Y$110:Y$124)/SUM(Popn!X$110:X$124),Exogenous!$C$51*SUM(Popn!Y$125:Y$134)/SUM(Popn!X$125:X$134),Exogenous!$C$52*SUM(Popn!Y$135:Y$154)/SUM(Popn!X$135:X$154),Exogenous!$C$53*SUM(Popn!Y$155:Y$174)/SUM(Popn!X$155:X$174),Exogenous!$C$54*SUM(Popn!Y$175:Y$194)/SUM(Popn!X$175:X$194),Exogenous!$C$55*SUM(Popn!Y$195:Y$200)/SUM(Popn!X$195:X$200))-SUM(Exogenous!$C$50:$C$55)</f>
        <v>5.3708164498267874E-3</v>
      </c>
      <c r="S245" s="72">
        <f>SUM(Exogenous!$C$50*SUM(Popn!Z$110:Z$124)/SUM(Popn!Y$110:Y$124),Exogenous!$C$51*SUM(Popn!Z$125:Z$134)/SUM(Popn!Y$125:Y$134),Exogenous!$C$52*SUM(Popn!Z$135:Z$154)/SUM(Popn!Y$135:Y$154),Exogenous!$C$53*SUM(Popn!Z$155:Z$174)/SUM(Popn!Y$155:Y$174),Exogenous!$C$54*SUM(Popn!Z$175:Z$194)/SUM(Popn!Y$175:Y$194),Exogenous!$C$55*SUM(Popn!Z$195:Z$200)/SUM(Popn!Y$195:Y$200))-SUM(Exogenous!$C$50:$C$55)</f>
        <v>5.0683843293766184E-3</v>
      </c>
      <c r="T245" s="72">
        <f>SUM(Exogenous!$C$50*SUM(Popn!AA$110:AA$124)/SUM(Popn!Z$110:Z$124),Exogenous!$C$51*SUM(Popn!AA$125:AA$134)/SUM(Popn!Z$125:Z$134),Exogenous!$C$52*SUM(Popn!AA$135:AA$154)/SUM(Popn!Z$135:Z$154),Exogenous!$C$53*SUM(Popn!AA$155:AA$174)/SUM(Popn!Z$155:Z$174),Exogenous!$C$54*SUM(Popn!AA$175:AA$194)/SUM(Popn!Z$175:Z$194),Exogenous!$C$55*SUM(Popn!AA$195:AA$200)/SUM(Popn!Z$195:Z$200))-SUM(Exogenous!$C$50:$C$55)</f>
        <v>4.8499740361788168E-3</v>
      </c>
      <c r="U245" s="72">
        <f>SUM(Exogenous!$C$50*SUM(Popn!AB$110:AB$124)/SUM(Popn!AA$110:AA$124),Exogenous!$C$51*SUM(Popn!AB$125:AB$134)/SUM(Popn!AA$125:AA$134),Exogenous!$C$52*SUM(Popn!AB$135:AB$154)/SUM(Popn!AA$135:AA$154),Exogenous!$C$53*SUM(Popn!AB$155:AB$174)/SUM(Popn!AA$155:AA$174),Exogenous!$C$54*SUM(Popn!AB$175:AB$194)/SUM(Popn!AA$175:AA$194),Exogenous!$C$55*SUM(Popn!AB$195:AB$200)/SUM(Popn!AA$195:AA$200))-SUM(Exogenous!$C$50:$C$55)</f>
        <v>4.8718768312707161E-3</v>
      </c>
      <c r="V245" s="72">
        <f>SUM(Exogenous!$C$50*SUM(Popn!AC$110:AC$124)/SUM(Popn!AB$110:AB$124),Exogenous!$C$51*SUM(Popn!AC$125:AC$134)/SUM(Popn!AB$125:AB$134),Exogenous!$C$52*SUM(Popn!AC$135:AC$154)/SUM(Popn!AB$135:AB$154),Exogenous!$C$53*SUM(Popn!AC$155:AC$174)/SUM(Popn!AB$155:AB$174),Exogenous!$C$54*SUM(Popn!AC$175:AC$194)/SUM(Popn!AB$175:AB$194),Exogenous!$C$55*SUM(Popn!AC$195:AC$200)/SUM(Popn!AB$195:AB$200))-SUM(Exogenous!$C$50:$C$55)</f>
        <v>4.6900306118894952E-3</v>
      </c>
      <c r="W245" s="72">
        <f>SUM(Exogenous!$C$50*SUM(Popn!AD$110:AD$124)/SUM(Popn!AC$110:AC$124),Exogenous!$C$51*SUM(Popn!AD$125:AD$134)/SUM(Popn!AC$125:AC$134),Exogenous!$C$52*SUM(Popn!AD$135:AD$154)/SUM(Popn!AC$135:AC$154),Exogenous!$C$53*SUM(Popn!AD$155:AD$174)/SUM(Popn!AC$155:AC$174),Exogenous!$C$54*SUM(Popn!AD$175:AD$194)/SUM(Popn!AC$175:AC$194),Exogenous!$C$55*SUM(Popn!AD$195:AD$200)/SUM(Popn!AC$195:AC$200))-SUM(Exogenous!$C$50:$C$55)</f>
        <v>4.5464072003442157E-3</v>
      </c>
      <c r="X245" s="72">
        <f>SUM(Exogenous!$C$50*SUM(Popn!AE$110:AE$124)/SUM(Popn!AD$110:AD$124),Exogenous!$C$51*SUM(Popn!AE$125:AE$134)/SUM(Popn!AD$125:AD$134),Exogenous!$C$52*SUM(Popn!AE$135:AE$154)/SUM(Popn!AD$135:AD$154),Exogenous!$C$53*SUM(Popn!AE$155:AE$174)/SUM(Popn!AD$155:AD$174),Exogenous!$C$54*SUM(Popn!AE$175:AE$194)/SUM(Popn!AD$175:AD$194),Exogenous!$C$55*SUM(Popn!AE$195:AE$200)/SUM(Popn!AD$195:AD$200))-SUM(Exogenous!$C$50:$C$55)</f>
        <v>4.4332212279730165E-3</v>
      </c>
      <c r="Y245" s="72">
        <f>SUM(Exogenous!$C$50*SUM(Popn!AF$110:AF$124)/SUM(Popn!AE$110:AE$124),Exogenous!$C$51*SUM(Popn!AF$125:AF$134)/SUM(Popn!AE$125:AE$134),Exogenous!$C$52*SUM(Popn!AF$135:AF$154)/SUM(Popn!AE$135:AE$154),Exogenous!$C$53*SUM(Popn!AF$155:AF$174)/SUM(Popn!AE$155:AE$174),Exogenous!$C$54*SUM(Popn!AF$175:AF$194)/SUM(Popn!AE$175:AE$194),Exogenous!$C$55*SUM(Popn!AF$195:AF$200)/SUM(Popn!AE$195:AE$200))-SUM(Exogenous!$C$50:$C$55)</f>
        <v>4.393377889530925E-3</v>
      </c>
      <c r="Z245" s="72">
        <f>SUM(Exogenous!$C$50*SUM(Popn!AG$110:AG$124)/SUM(Popn!AF$110:AF$124),Exogenous!$C$51*SUM(Popn!AG$125:AG$134)/SUM(Popn!AF$125:AF$134),Exogenous!$C$52*SUM(Popn!AG$135:AG$154)/SUM(Popn!AF$135:AF$154),Exogenous!$C$53*SUM(Popn!AG$155:AG$174)/SUM(Popn!AF$155:AF$174),Exogenous!$C$54*SUM(Popn!AG$175:AG$194)/SUM(Popn!AF$175:AF$194),Exogenous!$C$55*SUM(Popn!AG$195:AG$200)/SUM(Popn!AF$195:AF$200))-SUM(Exogenous!$C$50:$C$55)</f>
        <v>4.1209767375017248E-3</v>
      </c>
      <c r="AA245" s="72">
        <f>SUM(Exogenous!$C$50*SUM(Popn!AH$110:AH$124)/SUM(Popn!AG$110:AG$124),Exogenous!$C$51*SUM(Popn!AH$125:AH$134)/SUM(Popn!AG$125:AG$134),Exogenous!$C$52*SUM(Popn!AH$135:AH$154)/SUM(Popn!AG$135:AG$154),Exogenous!$C$53*SUM(Popn!AH$155:AH$174)/SUM(Popn!AG$155:AG$174),Exogenous!$C$54*SUM(Popn!AH$175:AH$194)/SUM(Popn!AG$175:AG$194),Exogenous!$C$55*SUM(Popn!AH$195:AH$200)/SUM(Popn!AG$195:AG$200))-SUM(Exogenous!$C$50:$C$55)</f>
        <v>3.8799701238428908E-3</v>
      </c>
      <c r="AB245" s="72">
        <f>SUM(Exogenous!$C$50*SUM(Popn!AI$110:AI$124)/SUM(Popn!AH$110:AH$124),Exogenous!$C$51*SUM(Popn!AI$125:AI$134)/SUM(Popn!AH$125:AH$134),Exogenous!$C$52*SUM(Popn!AI$135:AI$154)/SUM(Popn!AH$135:AH$154),Exogenous!$C$53*SUM(Popn!AI$155:AI$174)/SUM(Popn!AH$155:AH$174),Exogenous!$C$54*SUM(Popn!AI$175:AI$194)/SUM(Popn!AH$175:AH$194),Exogenous!$C$55*SUM(Popn!AI$195:AI$200)/SUM(Popn!AH$195:AH$200))-SUM(Exogenous!$C$50:$C$55)</f>
        <v>3.5907416693753968E-3</v>
      </c>
      <c r="AC245" s="72">
        <f>SUM(Exogenous!$C$50*SUM(Popn!AJ$110:AJ$124)/SUM(Popn!AI$110:AI$124),Exogenous!$C$51*SUM(Popn!AJ$125:AJ$134)/SUM(Popn!AI$125:AI$134),Exogenous!$C$52*SUM(Popn!AJ$135:AJ$154)/SUM(Popn!AI$135:AI$154),Exogenous!$C$53*SUM(Popn!AJ$155:AJ$174)/SUM(Popn!AI$155:AI$174),Exogenous!$C$54*SUM(Popn!AJ$175:AJ$194)/SUM(Popn!AI$175:AI$194),Exogenous!$C$55*SUM(Popn!AJ$195:AJ$200)/SUM(Popn!AI$195:AI$200))-SUM(Exogenous!$C$50:$C$55)</f>
        <v>3.3242963482453258E-3</v>
      </c>
      <c r="AD245" s="72">
        <f>SUM(Exogenous!$C$50*SUM(Popn!AK$110:AK$124)/SUM(Popn!AJ$110:AJ$124),Exogenous!$C$51*SUM(Popn!AK$125:AK$134)/SUM(Popn!AJ$125:AJ$134),Exogenous!$C$52*SUM(Popn!AK$135:AK$154)/SUM(Popn!AJ$135:AJ$154),Exogenous!$C$53*SUM(Popn!AK$155:AK$174)/SUM(Popn!AJ$155:AJ$174),Exogenous!$C$54*SUM(Popn!AK$175:AK$194)/SUM(Popn!AJ$175:AJ$194),Exogenous!$C$55*SUM(Popn!AK$195:AK$200)/SUM(Popn!AJ$195:AJ$200))-SUM(Exogenous!$C$50:$C$55)</f>
        <v>3.0306203455009451E-3</v>
      </c>
      <c r="AE245" s="72">
        <f>SUM(Exogenous!$C$50*SUM(Popn!AL$110:AL$124)/SUM(Popn!AK$110:AK$124),Exogenous!$C$51*SUM(Popn!AL$125:AL$134)/SUM(Popn!AK$125:AK$134),Exogenous!$C$52*SUM(Popn!AL$135:AL$154)/SUM(Popn!AK$135:AK$154),Exogenous!$C$53*SUM(Popn!AL$155:AL$174)/SUM(Popn!AK$155:AK$174),Exogenous!$C$54*SUM(Popn!AL$175:AL$194)/SUM(Popn!AK$175:AK$194),Exogenous!$C$55*SUM(Popn!AL$195:AL$200)/SUM(Popn!AK$195:AK$200))-SUM(Exogenous!$C$50:$C$55)</f>
        <v>2.8309428976153184E-3</v>
      </c>
      <c r="AF245" s="72">
        <f>SUM(Exogenous!$C$50*SUM(Popn!AM$110:AM$124)/SUM(Popn!AL$110:AL$124),Exogenous!$C$51*SUM(Popn!AM$125:AM$134)/SUM(Popn!AL$125:AL$134),Exogenous!$C$52*SUM(Popn!AM$135:AM$154)/SUM(Popn!AL$135:AL$154),Exogenous!$C$53*SUM(Popn!AM$155:AM$174)/SUM(Popn!AL$155:AL$174),Exogenous!$C$54*SUM(Popn!AM$175:AM$194)/SUM(Popn!AL$175:AL$194),Exogenous!$C$55*SUM(Popn!AM$195:AM$200)/SUM(Popn!AL$195:AL$200))-SUM(Exogenous!$C$50:$C$55)</f>
        <v>2.5560893343017366E-3</v>
      </c>
      <c r="AG245" s="72">
        <f>SUM(Exogenous!$C$50*SUM(Popn!AN$110:AN$124)/SUM(Popn!AM$110:AM$124),Exogenous!$C$51*SUM(Popn!AN$125:AN$134)/SUM(Popn!AM$125:AM$134),Exogenous!$C$52*SUM(Popn!AN$135:AN$154)/SUM(Popn!AM$135:AM$154),Exogenous!$C$53*SUM(Popn!AN$155:AN$174)/SUM(Popn!AM$155:AM$174),Exogenous!$C$54*SUM(Popn!AN$175:AN$194)/SUM(Popn!AM$175:AM$194),Exogenous!$C$55*SUM(Popn!AN$195:AN$200)/SUM(Popn!AM$195:AM$200))-SUM(Exogenous!$C$50:$C$55)</f>
        <v>2.4079978996664475E-3</v>
      </c>
      <c r="AH245" s="72">
        <f>SUM(Exogenous!$C$50*SUM(Popn!AO$110:AO$124)/SUM(Popn!AN$110:AN$124),Exogenous!$C$51*SUM(Popn!AO$125:AO$134)/SUM(Popn!AN$125:AN$134),Exogenous!$C$52*SUM(Popn!AO$135:AO$154)/SUM(Popn!AN$135:AN$154),Exogenous!$C$53*SUM(Popn!AO$155:AO$174)/SUM(Popn!AN$155:AN$174),Exogenous!$C$54*SUM(Popn!AO$175:AO$194)/SUM(Popn!AN$175:AN$194),Exogenous!$C$55*SUM(Popn!AO$195:AO$200)/SUM(Popn!AN$195:AN$200))-SUM(Exogenous!$C$50:$C$55)</f>
        <v>2.3674960061077499E-3</v>
      </c>
      <c r="AI245" s="72">
        <f>SUM(Exogenous!$C$50*SUM(Popn!AP$110:AP$124)/SUM(Popn!AO$110:AO$124),Exogenous!$C$51*SUM(Popn!AP$125:AP$134)/SUM(Popn!AO$125:AO$134),Exogenous!$C$52*SUM(Popn!AP$135:AP$154)/SUM(Popn!AO$135:AO$154),Exogenous!$C$53*SUM(Popn!AP$155:AP$174)/SUM(Popn!AO$155:AO$174),Exogenous!$C$54*SUM(Popn!AP$175:AP$194)/SUM(Popn!AO$175:AO$194),Exogenous!$C$55*SUM(Popn!AP$195:AP$200)/SUM(Popn!AO$195:AO$200))-SUM(Exogenous!$C$50:$C$55)</f>
        <v>2.2265566707354578E-3</v>
      </c>
      <c r="AJ245" s="72">
        <f>SUM(Exogenous!$C$50*SUM(Popn!AQ$110:AQ$124)/SUM(Popn!AP$110:AP$124),Exogenous!$C$51*SUM(Popn!AQ$125:AQ$134)/SUM(Popn!AP$125:AP$134),Exogenous!$C$52*SUM(Popn!AQ$135:AQ$154)/SUM(Popn!AP$135:AP$154),Exogenous!$C$53*SUM(Popn!AQ$155:AQ$174)/SUM(Popn!AP$155:AP$174),Exogenous!$C$54*SUM(Popn!AQ$175:AQ$194)/SUM(Popn!AP$175:AP$194),Exogenous!$C$55*SUM(Popn!AQ$195:AQ$200)/SUM(Popn!AP$195:AP$200))-SUM(Exogenous!$C$50:$C$55)</f>
        <v>2.0098959708813036E-3</v>
      </c>
      <c r="AK245" s="72">
        <f>SUM(Exogenous!$C$50*SUM(Popn!AR$110:AR$124)/SUM(Popn!AQ$110:AQ$124),Exogenous!$C$51*SUM(Popn!AR$125:AR$134)/SUM(Popn!AQ$125:AQ$134),Exogenous!$C$52*SUM(Popn!AR$135:AR$154)/SUM(Popn!AQ$135:AQ$154),Exogenous!$C$53*SUM(Popn!AR$155:AR$174)/SUM(Popn!AQ$155:AQ$174),Exogenous!$C$54*SUM(Popn!AR$175:AR$194)/SUM(Popn!AQ$175:AQ$194),Exogenous!$C$55*SUM(Popn!AR$195:AR$200)/SUM(Popn!AQ$195:AQ$200))-SUM(Exogenous!$C$50:$C$55)</f>
        <v>2.0575543018829245E-3</v>
      </c>
      <c r="AL245" s="72">
        <f>SUM(Exogenous!$C$50*SUM(Popn!AS$110:AS$124)/SUM(Popn!AR$110:AR$124),Exogenous!$C$51*SUM(Popn!AS$125:AS$134)/SUM(Popn!AR$125:AR$134),Exogenous!$C$52*SUM(Popn!AS$135:AS$154)/SUM(Popn!AR$135:AR$154),Exogenous!$C$53*SUM(Popn!AS$155:AS$174)/SUM(Popn!AR$155:AR$174),Exogenous!$C$54*SUM(Popn!AS$175:AS$194)/SUM(Popn!AR$175:AR$194),Exogenous!$C$55*SUM(Popn!AS$195:AS$200)/SUM(Popn!AR$195:AR$200))-SUM(Exogenous!$C$50:$C$55)</f>
        <v>2.0761732850373971E-3</v>
      </c>
      <c r="AM245" s="72">
        <f>SUM(Exogenous!$C$50*SUM(Popn!AT$110:AT$124)/SUM(Popn!AS$110:AS$124),Exogenous!$C$51*SUM(Popn!AT$125:AT$134)/SUM(Popn!AS$125:AS$134),Exogenous!$C$52*SUM(Popn!AT$135:AT$154)/SUM(Popn!AS$135:AS$154),Exogenous!$C$53*SUM(Popn!AT$155:AT$174)/SUM(Popn!AS$155:AS$174),Exogenous!$C$54*SUM(Popn!AT$175:AT$194)/SUM(Popn!AS$175:AS$194),Exogenous!$C$55*SUM(Popn!AT$195:AT$200)/SUM(Popn!AS$195:AS$200))-SUM(Exogenous!$C$50:$C$55)</f>
        <v>2.1137721862451997E-3</v>
      </c>
      <c r="AN245" s="72">
        <f>SUM(Exogenous!$C$50*SUM(Popn!AU$110:AU$124)/SUM(Popn!AT$110:AT$124),Exogenous!$C$51*SUM(Popn!AU$125:AU$134)/SUM(Popn!AT$125:AT$134),Exogenous!$C$52*SUM(Popn!AU$135:AU$154)/SUM(Popn!AT$135:AT$154),Exogenous!$C$53*SUM(Popn!AU$155:AU$174)/SUM(Popn!AT$155:AT$174),Exogenous!$C$54*SUM(Popn!AU$175:AU$194)/SUM(Popn!AT$175:AT$194),Exogenous!$C$55*SUM(Popn!AU$195:AU$200)/SUM(Popn!AT$195:AT$200))-SUM(Exogenous!$C$50:$C$55)</f>
        <v>2.2451483004493067E-3</v>
      </c>
      <c r="AO245" s="72">
        <f>SUM(Exogenous!$C$50*SUM(Popn!AV$110:AV$124)/SUM(Popn!AU$110:AU$124),Exogenous!$C$51*SUM(Popn!AV$125:AV$134)/SUM(Popn!AU$125:AU$134),Exogenous!$C$52*SUM(Popn!AV$135:AV$154)/SUM(Popn!AU$135:AU$154),Exogenous!$C$53*SUM(Popn!AV$155:AV$174)/SUM(Popn!AU$155:AU$174),Exogenous!$C$54*SUM(Popn!AV$175:AV$194)/SUM(Popn!AU$175:AU$194),Exogenous!$C$55*SUM(Popn!AV$195:AV$200)/SUM(Popn!AU$195:AU$200))-SUM(Exogenous!$C$50:$C$55)</f>
        <v>2.4302305163145244E-3</v>
      </c>
      <c r="AP245" s="72">
        <f>SUM(Exogenous!$C$50*SUM(Popn!AW$110:AW$124)/SUM(Popn!AV$110:AV$124),Exogenous!$C$51*SUM(Popn!AW$125:AW$134)/SUM(Popn!AV$125:AV$134),Exogenous!$C$52*SUM(Popn!AW$135:AW$154)/SUM(Popn!AV$135:AV$154),Exogenous!$C$53*SUM(Popn!AW$155:AW$174)/SUM(Popn!AV$155:AV$174),Exogenous!$C$54*SUM(Popn!AW$175:AW$194)/SUM(Popn!AV$175:AV$194),Exogenous!$C$55*SUM(Popn!AW$195:AW$200)/SUM(Popn!AV$195:AV$200))-SUM(Exogenous!$C$50:$C$55)</f>
        <v>2.6241687169309968E-3</v>
      </c>
      <c r="AQ245" s="72">
        <f>SUM(Exogenous!$C$50*SUM(Popn!AX$110:AX$124)/SUM(Popn!AW$110:AW$124),Exogenous!$C$51*SUM(Popn!AX$125:AX$134)/SUM(Popn!AW$125:AW$134),Exogenous!$C$52*SUM(Popn!AX$135:AX$154)/SUM(Popn!AW$135:AW$154),Exogenous!$C$53*SUM(Popn!AX$155:AX$174)/SUM(Popn!AW$155:AW$174),Exogenous!$C$54*SUM(Popn!AX$175:AX$194)/SUM(Popn!AW$175:AW$194),Exogenous!$C$55*SUM(Popn!AX$195:AX$200)/SUM(Popn!AW$195:AW$200))-SUM(Exogenous!$C$50:$C$55)</f>
        <v>2.7742635187417153E-3</v>
      </c>
      <c r="AR245" s="72">
        <f>SUM(Exogenous!$C$50*SUM(Popn!AY$110:AY$124)/SUM(Popn!AX$110:AX$124),Exogenous!$C$51*SUM(Popn!AY$125:AY$134)/SUM(Popn!AX$125:AX$134),Exogenous!$C$52*SUM(Popn!AY$135:AY$154)/SUM(Popn!AX$135:AX$154),Exogenous!$C$53*SUM(Popn!AY$155:AY$174)/SUM(Popn!AX$155:AX$174),Exogenous!$C$54*SUM(Popn!AY$175:AY$194)/SUM(Popn!AX$175:AX$194),Exogenous!$C$55*SUM(Popn!AY$195:AY$200)/SUM(Popn!AX$195:AX$200))-SUM(Exogenous!$C$50:$C$55)</f>
        <v>2.9433855249487162E-3</v>
      </c>
      <c r="AS245" s="72">
        <f>SUM(Exogenous!$C$50*SUM(Popn!AZ$110:AZ$124)/SUM(Popn!AY$110:AY$124),Exogenous!$C$51*SUM(Popn!AZ$125:AZ$134)/SUM(Popn!AY$125:AY$134),Exogenous!$C$52*SUM(Popn!AZ$135:AZ$154)/SUM(Popn!AY$135:AY$154),Exogenous!$C$53*SUM(Popn!AZ$155:AZ$174)/SUM(Popn!AY$155:AY$174),Exogenous!$C$54*SUM(Popn!AZ$175:AZ$194)/SUM(Popn!AY$175:AY$194),Exogenous!$C$55*SUM(Popn!AZ$195:AZ$200)/SUM(Popn!AY$195:AY$200))-SUM(Exogenous!$C$50:$C$55)</f>
        <v>3.0062700205590875E-3</v>
      </c>
      <c r="AT245" s="72">
        <f>SUM(Exogenous!$C$50*SUM(Popn!BA$110:BA$124)/SUM(Popn!AZ$110:AZ$124),Exogenous!$C$51*SUM(Popn!BA$125:BA$134)/SUM(Popn!AZ$125:AZ$134),Exogenous!$C$52*SUM(Popn!BA$135:BA$154)/SUM(Popn!AZ$135:AZ$154),Exogenous!$C$53*SUM(Popn!BA$155:BA$174)/SUM(Popn!AZ$155:AZ$174),Exogenous!$C$54*SUM(Popn!BA$175:BA$194)/SUM(Popn!AZ$175:AZ$194),Exogenous!$C$55*SUM(Popn!BA$195:BA$200)/SUM(Popn!AZ$195:AZ$200))-SUM(Exogenous!$C$50:$C$55)</f>
        <v>2.9130213982574982E-3</v>
      </c>
      <c r="AU245" s="72">
        <f>SUM(Exogenous!$C$50*SUM(Popn!BB$110:BB$124)/SUM(Popn!BA$110:BA$124),Exogenous!$C$51*SUM(Popn!BB$125:BB$134)/SUM(Popn!BA$125:BA$134),Exogenous!$C$52*SUM(Popn!BB$135:BB$154)/SUM(Popn!BA$135:BA$154),Exogenous!$C$53*SUM(Popn!BB$155:BB$174)/SUM(Popn!BA$155:BA$174),Exogenous!$C$54*SUM(Popn!BB$175:BB$194)/SUM(Popn!BA$175:BA$194),Exogenous!$C$55*SUM(Popn!BB$195:BB$200)/SUM(Popn!BA$195:BA$200))-SUM(Exogenous!$C$50:$C$55)</f>
        <v>2.9324963566145223E-3</v>
      </c>
      <c r="AV245" s="72">
        <f>SUM(Exogenous!$C$50*SUM(Popn!BC$110:BC$124)/SUM(Popn!BB$110:BB$124),Exogenous!$C$51*SUM(Popn!BC$125:BC$134)/SUM(Popn!BB$125:BB$134),Exogenous!$C$52*SUM(Popn!BC$135:BC$154)/SUM(Popn!BB$135:BB$154),Exogenous!$C$53*SUM(Popn!BC$155:BC$174)/SUM(Popn!BB$155:BB$174),Exogenous!$C$54*SUM(Popn!BC$175:BC$194)/SUM(Popn!BB$175:BB$194),Exogenous!$C$55*SUM(Popn!BC$195:BC$200)/SUM(Popn!BB$195:BB$200))-SUM(Exogenous!$C$50:$C$55)</f>
        <v>2.8915733894036011E-3</v>
      </c>
      <c r="AW245" s="72">
        <f>SUM(Exogenous!$C$50*SUM(Popn!BD$110:BD$124)/SUM(Popn!BC$110:BC$124),Exogenous!$C$51*SUM(Popn!BD$125:BD$134)/SUM(Popn!BC$125:BC$134),Exogenous!$C$52*SUM(Popn!BD$135:BD$154)/SUM(Popn!BC$135:BC$154),Exogenous!$C$53*SUM(Popn!BD$155:BD$174)/SUM(Popn!BC$155:BC$174),Exogenous!$C$54*SUM(Popn!BD$175:BD$194)/SUM(Popn!BC$175:BC$194),Exogenous!$C$55*SUM(Popn!BD$195:BD$200)/SUM(Popn!BC$195:BC$200))-SUM(Exogenous!$C$50:$C$55)</f>
        <v>2.8998679333935851E-3</v>
      </c>
    </row>
    <row r="246" spans="1:49" ht="15" x14ac:dyDescent="0.25">
      <c r="A246" s="1" t="s">
        <v>1187</v>
      </c>
      <c r="B246" s="4" t="str">
        <f>$B$65</f>
        <v>Projected Years only</v>
      </c>
      <c r="D246" s="55"/>
      <c r="E246" s="56"/>
      <c r="F246" s="56"/>
      <c r="G246" s="56"/>
      <c r="H246" s="56"/>
      <c r="I246" s="56"/>
      <c r="J246" s="7">
        <f ca="1">OFFSET(Assumptions!$B$95,0,$C$1)*Popn!Q$104/OFFSET(Popn!$A$104,0,MATCH(OFFSET(Assumptions!$B$8,0,$C$1),Popn!$B$5:$BD$5,0)-1) +OFFSET(Assumptions!$B$10,0,$C$1)-OFFSET(Assumptions!$B$95,0,$C$1)</f>
        <v>1.0033185840707963</v>
      </c>
      <c r="K246" s="7">
        <f ca="1">OFFSET(Assumptions!$B$95,0,$C$1)*Popn!R$104/OFFSET(Popn!$A$104,0,MATCH(OFFSET(Assumptions!$B$8,0,$C$1),Popn!$B$5:$BD$5,0)-1) +OFFSET(Assumptions!$B$10,0,$C$1)-OFFSET(Assumptions!$B$95,0,$C$1)</f>
        <v>1.0099557522123892</v>
      </c>
      <c r="L246" s="7">
        <f ca="1">OFFSET(Assumptions!$B$95,0,$C$1)*Popn!S$104/OFFSET(Popn!$A$104,0,MATCH(OFFSET(Assumptions!$B$8,0,$C$1),Popn!$B$5:$BD$5,0)-1) +OFFSET(Assumptions!$B$10,0,$C$1)-OFFSET(Assumptions!$B$95,0,$C$1)</f>
        <v>1.0132743362831858</v>
      </c>
      <c r="M246" s="7">
        <f ca="1">OFFSET(Assumptions!$B$95,0,$C$1)*Popn!T$104/OFFSET(Popn!$A$104,0,MATCH(OFFSET(Assumptions!$B$8,0,$C$1),Popn!$B$5:$BD$5,0)-1) +OFFSET(Assumptions!$B$10,0,$C$1)-OFFSET(Assumptions!$B$95,0,$C$1)</f>
        <v>1.0165929203539825</v>
      </c>
      <c r="N246" s="7">
        <f ca="1">OFFSET(Assumptions!$B$95,0,$C$1)*Popn!U$104/OFFSET(Popn!$A$104,0,MATCH(OFFSET(Assumptions!$B$8,0,$C$1),Popn!$B$5:$BD$5,0)-1) +OFFSET(Assumptions!$B$10,0,$C$1)-OFFSET(Assumptions!$B$95,0,$C$1)</f>
        <v>1.0232300884955752</v>
      </c>
      <c r="O246" s="7">
        <f ca="1">OFFSET(Assumptions!$B$95,0,$C$1)*Popn!V$104/OFFSET(Popn!$A$104,0,MATCH(OFFSET(Assumptions!$B$8,0,$C$1),Popn!$B$5:$BD$5,0)-1) +OFFSET(Assumptions!$B$10,0,$C$1)-OFFSET(Assumptions!$B$95,0,$C$1)</f>
        <v>1.0265486725663715</v>
      </c>
      <c r="P246" s="7">
        <f ca="1">OFFSET(Assumptions!$B$95,0,$C$1)*Popn!W$104/OFFSET(Popn!$A$104,0,MATCH(OFFSET(Assumptions!$B$8,0,$C$1),Popn!$B$5:$BD$5,0)-1) +OFFSET(Assumptions!$B$10,0,$C$1)-OFFSET(Assumptions!$B$95,0,$C$1)</f>
        <v>1.029867256637168</v>
      </c>
      <c r="Q246" s="7">
        <f ca="1">OFFSET(Assumptions!$B$95,0,$C$1)*Popn!X$104/OFFSET(Popn!$A$104,0,MATCH(OFFSET(Assumptions!$B$8,0,$C$1),Popn!$B$5:$BD$5,0)-1) +OFFSET(Assumptions!$B$10,0,$C$1)-OFFSET(Assumptions!$B$95,0,$C$1)</f>
        <v>1.0331858407079646</v>
      </c>
      <c r="R246" s="7">
        <f ca="1">OFFSET(Assumptions!$B$95,0,$C$1)*Popn!Y$104/OFFSET(Popn!$A$104,0,MATCH(OFFSET(Assumptions!$B$8,0,$C$1),Popn!$B$5:$BD$5,0)-1) +OFFSET(Assumptions!$B$10,0,$C$1)-OFFSET(Assumptions!$B$95,0,$C$1)</f>
        <v>1.0365044247787609</v>
      </c>
      <c r="S246" s="7">
        <f ca="1">OFFSET(Assumptions!$B$95,0,$C$1)*Popn!Z$104/OFFSET(Popn!$A$104,0,MATCH(OFFSET(Assumptions!$B$8,0,$C$1),Popn!$B$5:$BD$5,0)-1) +OFFSET(Assumptions!$B$10,0,$C$1)-OFFSET(Assumptions!$B$95,0,$C$1)</f>
        <v>1.0431415929203538</v>
      </c>
      <c r="T246" s="7">
        <f ca="1">OFFSET(Assumptions!$B$95,0,$C$1)*Popn!AA$104/OFFSET(Popn!$A$104,0,MATCH(OFFSET(Assumptions!$B$8,0,$C$1),Popn!$B$5:$BD$5,0)-1) +OFFSET(Assumptions!$B$10,0,$C$1)-OFFSET(Assumptions!$B$95,0,$C$1)</f>
        <v>1.0464601769911503</v>
      </c>
      <c r="U246" s="7">
        <f ca="1">OFFSET(Assumptions!$B$95,0,$C$1)*Popn!AB$104/OFFSET(Popn!$A$104,0,MATCH(OFFSET(Assumptions!$B$8,0,$C$1),Popn!$B$5:$BD$5,0)-1) +OFFSET(Assumptions!$B$10,0,$C$1)-OFFSET(Assumptions!$B$95,0,$C$1)</f>
        <v>1.0497787610619471</v>
      </c>
      <c r="V246" s="7">
        <f ca="1">OFFSET(Assumptions!$B$95,0,$C$1)*Popn!AC$104/OFFSET(Popn!$A$104,0,MATCH(OFFSET(Assumptions!$B$8,0,$C$1),Popn!$B$5:$BD$5,0)-1) +OFFSET(Assumptions!$B$10,0,$C$1)-OFFSET(Assumptions!$B$95,0,$C$1)</f>
        <v>1.0530973451327432</v>
      </c>
      <c r="W246" s="7">
        <f ca="1">OFFSET(Assumptions!$B$95,0,$C$1)*Popn!AD$104/OFFSET(Popn!$A$104,0,MATCH(OFFSET(Assumptions!$B$8,0,$C$1),Popn!$B$5:$BD$5,0)-1) +OFFSET(Assumptions!$B$10,0,$C$1)-OFFSET(Assumptions!$B$95,0,$C$1)</f>
        <v>1.0564159292035398</v>
      </c>
      <c r="X246" s="7">
        <f ca="1">OFFSET(Assumptions!$B$95,0,$C$1)*Popn!AE$104/OFFSET(Popn!$A$104,0,MATCH(OFFSET(Assumptions!$B$8,0,$C$1),Popn!$B$5:$BD$5,0)-1) +OFFSET(Assumptions!$B$10,0,$C$1)-OFFSET(Assumptions!$B$95,0,$C$1)</f>
        <v>1.0597345132743361</v>
      </c>
      <c r="Y246" s="7">
        <f ca="1">OFFSET(Assumptions!$B$95,0,$C$1)*Popn!AF$104/OFFSET(Popn!$A$104,0,MATCH(OFFSET(Assumptions!$B$8,0,$C$1),Popn!$B$5:$BD$5,0)-1) +OFFSET(Assumptions!$B$10,0,$C$1)-OFFSET(Assumptions!$B$95,0,$C$1)</f>
        <v>1.0630530973451326</v>
      </c>
      <c r="Z246" s="7">
        <f ca="1">OFFSET(Assumptions!$B$95,0,$C$1)*Popn!AG$104/OFFSET(Popn!$A$104,0,MATCH(OFFSET(Assumptions!$B$8,0,$C$1),Popn!$B$5:$BD$5,0)-1) +OFFSET(Assumptions!$B$10,0,$C$1)-OFFSET(Assumptions!$B$95,0,$C$1)</f>
        <v>1.0663716814159292</v>
      </c>
      <c r="AA246" s="7">
        <f ca="1">OFFSET(Assumptions!$B$95,0,$C$1)*Popn!AH$104/OFFSET(Popn!$A$104,0,MATCH(OFFSET(Assumptions!$B$8,0,$C$1),Popn!$B$5:$BD$5,0)-1) +OFFSET(Assumptions!$B$10,0,$C$1)-OFFSET(Assumptions!$B$95,0,$C$1)</f>
        <v>1.0696902654867255</v>
      </c>
      <c r="AB246" s="7">
        <f ca="1">OFFSET(Assumptions!$B$95,0,$C$1)*Popn!AI$104/OFFSET(Popn!$A$104,0,MATCH(OFFSET(Assumptions!$B$8,0,$C$1),Popn!$B$5:$BD$5,0)-1) +OFFSET(Assumptions!$B$10,0,$C$1)-OFFSET(Assumptions!$B$95,0,$C$1)</f>
        <v>1.0730088495575223</v>
      </c>
      <c r="AC246" s="7">
        <f ca="1">OFFSET(Assumptions!$B$95,0,$C$1)*Popn!AJ$104/OFFSET(Popn!$A$104,0,MATCH(OFFSET(Assumptions!$B$8,0,$C$1),Popn!$B$5:$BD$5,0)-1) +OFFSET(Assumptions!$B$10,0,$C$1)-OFFSET(Assumptions!$B$95,0,$C$1)</f>
        <v>1.0796460176991149</v>
      </c>
      <c r="AD246" s="7">
        <f ca="1">OFFSET(Assumptions!$B$95,0,$C$1)*Popn!AK$104/OFFSET(Popn!$A$104,0,MATCH(OFFSET(Assumptions!$B$8,0,$C$1),Popn!$B$5:$BD$5,0)-1) +OFFSET(Assumptions!$B$10,0,$C$1)-OFFSET(Assumptions!$B$95,0,$C$1)</f>
        <v>1.0829646017699117</v>
      </c>
      <c r="AE246" s="7">
        <f ca="1">OFFSET(Assumptions!$B$95,0,$C$1)*Popn!AL$104/OFFSET(Popn!$A$104,0,MATCH(OFFSET(Assumptions!$B$8,0,$C$1),Popn!$B$5:$BD$5,0)-1) +OFFSET(Assumptions!$B$10,0,$C$1)-OFFSET(Assumptions!$B$95,0,$C$1)</f>
        <v>1.0862831858407078</v>
      </c>
      <c r="AF246" s="7">
        <f ca="1">OFFSET(Assumptions!$B$95,0,$C$1)*Popn!AM$104/OFFSET(Popn!$A$104,0,MATCH(OFFSET(Assumptions!$B$8,0,$C$1),Popn!$B$5:$BD$5,0)-1) +OFFSET(Assumptions!$B$10,0,$C$1)-OFFSET(Assumptions!$B$95,0,$C$1)</f>
        <v>1.0896017699115044</v>
      </c>
      <c r="AG246" s="7">
        <f ca="1">OFFSET(Assumptions!$B$95,0,$C$1)*Popn!AN$104/OFFSET(Popn!$A$104,0,MATCH(OFFSET(Assumptions!$B$8,0,$C$1),Popn!$B$5:$BD$5,0)-1) +OFFSET(Assumptions!$B$10,0,$C$1)-OFFSET(Assumptions!$B$95,0,$C$1)</f>
        <v>1.0929203539823007</v>
      </c>
      <c r="AH246" s="7">
        <f ca="1">OFFSET(Assumptions!$B$95,0,$C$1)*Popn!AO$104/OFFSET(Popn!$A$104,0,MATCH(OFFSET(Assumptions!$B$8,0,$C$1),Popn!$B$5:$BD$5,0)-1) +OFFSET(Assumptions!$B$10,0,$C$1)-OFFSET(Assumptions!$B$95,0,$C$1)</f>
        <v>1.0962389380530972</v>
      </c>
      <c r="AI246" s="7">
        <f ca="1">OFFSET(Assumptions!$B$95,0,$C$1)*Popn!AP$104/OFFSET(Popn!$A$104,0,MATCH(OFFSET(Assumptions!$B$8,0,$C$1),Popn!$B$5:$BD$5,0)-1) +OFFSET(Assumptions!$B$10,0,$C$1)-OFFSET(Assumptions!$B$95,0,$C$1)</f>
        <v>1.0995575221238938</v>
      </c>
      <c r="AJ246" s="7">
        <f ca="1">OFFSET(Assumptions!$B$95,0,$C$1)*Popn!AQ$104/OFFSET(Popn!$A$104,0,MATCH(OFFSET(Assumptions!$B$8,0,$C$1),Popn!$B$5:$BD$5,0)-1) +OFFSET(Assumptions!$B$10,0,$C$1)-OFFSET(Assumptions!$B$95,0,$C$1)</f>
        <v>1.0995575221238938</v>
      </c>
      <c r="AK246" s="7">
        <f ca="1">OFFSET(Assumptions!$B$95,0,$C$1)*Popn!AR$104/OFFSET(Popn!$A$104,0,MATCH(OFFSET(Assumptions!$B$8,0,$C$1),Popn!$B$5:$BD$5,0)-1) +OFFSET(Assumptions!$B$10,0,$C$1)-OFFSET(Assumptions!$B$95,0,$C$1)</f>
        <v>1.1028761061946901</v>
      </c>
      <c r="AL246" s="7">
        <f ca="1">OFFSET(Assumptions!$B$95,0,$C$1)*Popn!AS$104/OFFSET(Popn!$A$104,0,MATCH(OFFSET(Assumptions!$B$8,0,$C$1),Popn!$B$5:$BD$5,0)-1) +OFFSET(Assumptions!$B$10,0,$C$1)-OFFSET(Assumptions!$B$95,0,$C$1)</f>
        <v>1.1061946902654869</v>
      </c>
      <c r="AM246" s="7">
        <f ca="1">OFFSET(Assumptions!$B$95,0,$C$1)*Popn!AT$104/OFFSET(Popn!$A$104,0,MATCH(OFFSET(Assumptions!$B$8,0,$C$1),Popn!$B$5:$BD$5,0)-1) +OFFSET(Assumptions!$B$10,0,$C$1)-OFFSET(Assumptions!$B$95,0,$C$1)</f>
        <v>1.109513274336283</v>
      </c>
      <c r="AN246" s="7">
        <f ca="1">OFFSET(Assumptions!$B$95,0,$C$1)*Popn!AU$104/OFFSET(Popn!$A$104,0,MATCH(OFFSET(Assumptions!$B$8,0,$C$1),Popn!$B$5:$BD$5,0)-1) +OFFSET(Assumptions!$B$10,0,$C$1)-OFFSET(Assumptions!$B$95,0,$C$1)</f>
        <v>1.1128318584070795</v>
      </c>
      <c r="AO246" s="7">
        <f ca="1">OFFSET(Assumptions!$B$95,0,$C$1)*Popn!AV$104/OFFSET(Popn!$A$104,0,MATCH(OFFSET(Assumptions!$B$8,0,$C$1),Popn!$B$5:$BD$5,0)-1) +OFFSET(Assumptions!$B$10,0,$C$1)-OFFSET(Assumptions!$B$95,0,$C$1)</f>
        <v>1.1161504424778763</v>
      </c>
      <c r="AP246" s="7">
        <f ca="1">OFFSET(Assumptions!$B$95,0,$C$1)*Popn!AW$104/OFFSET(Popn!$A$104,0,MATCH(OFFSET(Assumptions!$B$8,0,$C$1),Popn!$B$5:$BD$5,0)-1) +OFFSET(Assumptions!$B$10,0,$C$1)-OFFSET(Assumptions!$B$95,0,$C$1)</f>
        <v>1.1194690265486724</v>
      </c>
      <c r="AQ246" s="7">
        <f ca="1">OFFSET(Assumptions!$B$95,0,$C$1)*Popn!AX$104/OFFSET(Popn!$A$104,0,MATCH(OFFSET(Assumptions!$B$8,0,$C$1),Popn!$B$5:$BD$5,0)-1) +OFFSET(Assumptions!$B$10,0,$C$1)-OFFSET(Assumptions!$B$95,0,$C$1)</f>
        <v>1.122787610619469</v>
      </c>
      <c r="AR246" s="7">
        <f ca="1">OFFSET(Assumptions!$B$95,0,$C$1)*Popn!AY$104/OFFSET(Popn!$A$104,0,MATCH(OFFSET(Assumptions!$B$8,0,$C$1),Popn!$B$5:$BD$5,0)-1) +OFFSET(Assumptions!$B$10,0,$C$1)-OFFSET(Assumptions!$B$95,0,$C$1)</f>
        <v>1.1261061946902653</v>
      </c>
      <c r="AS246" s="7">
        <f ca="1">OFFSET(Assumptions!$B$95,0,$C$1)*Popn!AZ$104/OFFSET(Popn!$A$104,0,MATCH(OFFSET(Assumptions!$B$8,0,$C$1),Popn!$B$5:$BD$5,0)-1) +OFFSET(Assumptions!$B$10,0,$C$1)-OFFSET(Assumptions!$B$95,0,$C$1)</f>
        <v>1.1294247787610618</v>
      </c>
      <c r="AT246" s="7">
        <f ca="1">OFFSET(Assumptions!$B$95,0,$C$1)*Popn!BA$104/OFFSET(Popn!$A$104,0,MATCH(OFFSET(Assumptions!$B$8,0,$C$1),Popn!$B$5:$BD$5,0)-1) +OFFSET(Assumptions!$B$10,0,$C$1)-OFFSET(Assumptions!$B$95,0,$C$1)</f>
        <v>1.1294247787610618</v>
      </c>
      <c r="AU246" s="7">
        <f ca="1">OFFSET(Assumptions!$B$95,0,$C$1)*Popn!BB$104/OFFSET(Popn!$A$104,0,MATCH(OFFSET(Assumptions!$B$8,0,$C$1),Popn!$B$5:$BD$5,0)-1) +OFFSET(Assumptions!$B$10,0,$C$1)-OFFSET(Assumptions!$B$95,0,$C$1)</f>
        <v>1.1327433628318584</v>
      </c>
      <c r="AV246" s="7">
        <f ca="1">OFFSET(Assumptions!$B$95,0,$C$1)*Popn!BC$104/OFFSET(Popn!$A$104,0,MATCH(OFFSET(Assumptions!$B$8,0,$C$1),Popn!$B$5:$BD$5,0)-1) +OFFSET(Assumptions!$B$10,0,$C$1)-OFFSET(Assumptions!$B$95,0,$C$1)</f>
        <v>1.1360619469026547</v>
      </c>
      <c r="AW246" s="7">
        <f ca="1">OFFSET(Assumptions!$B$95,0,$C$1)*Popn!BD$104/OFFSET(Popn!$A$104,0,MATCH(OFFSET(Assumptions!$B$8,0,$C$1),Popn!$B$5:$BD$5,0)-1) +OFFSET(Assumptions!$B$10,0,$C$1)-OFFSET(Assumptions!$B$95,0,$C$1)</f>
        <v>1.1393805309734515</v>
      </c>
    </row>
    <row r="247" spans="1:49" x14ac:dyDescent="0.2">
      <c r="A247" s="1" t="s">
        <v>1188</v>
      </c>
      <c r="B247" s="4" t="str">
        <f>$B$65</f>
        <v>Projected Years only</v>
      </c>
      <c r="J247" s="7">
        <f ca="1">OFFSET(Assumptions!$B$95,0,$C$1)*Popn!Q$204/OFFSET(Popn!$A$204,0,MATCH(OFFSET(Assumptions!$B$8,0,$C$1),Popn!$B$5:$BD$5,0)-1) +OFFSET(Assumptions!$B$10,0,$C$1)-OFFSET(Assumptions!$B$95,0,$C$1)</f>
        <v>1.0037688442211055</v>
      </c>
      <c r="K247" s="7">
        <f ca="1">OFFSET(Assumptions!$B$95,0,$C$1)*Popn!R$204/OFFSET(Popn!$A$204,0,MATCH(OFFSET(Assumptions!$B$8,0,$C$1),Popn!$B$5:$BD$5,0)-1) +OFFSET(Assumptions!$B$10,0,$C$1)-OFFSET(Assumptions!$B$95,0,$C$1)</f>
        <v>1.0113065326633166</v>
      </c>
      <c r="L247" s="7">
        <f ca="1">OFFSET(Assumptions!$B$95,0,$C$1)*Popn!S$204/OFFSET(Popn!$A$204,0,MATCH(OFFSET(Assumptions!$B$8,0,$C$1),Popn!$B$5:$BD$5,0)-1) +OFFSET(Assumptions!$B$10,0,$C$1)-OFFSET(Assumptions!$B$95,0,$C$1)</f>
        <v>1.0150753768844223</v>
      </c>
      <c r="M247" s="7">
        <f ca="1">OFFSET(Assumptions!$B$95,0,$C$1)*Popn!T$204/OFFSET(Popn!$A$204,0,MATCH(OFFSET(Assumptions!$B$8,0,$C$1),Popn!$B$5:$BD$5,0)-1) +OFFSET(Assumptions!$B$10,0,$C$1)-OFFSET(Assumptions!$B$95,0,$C$1)</f>
        <v>1.0226130653266332</v>
      </c>
      <c r="N247" s="7">
        <f ca="1">OFFSET(Assumptions!$B$95,0,$C$1)*Popn!U$204/OFFSET(Popn!$A$204,0,MATCH(OFFSET(Assumptions!$B$8,0,$C$1),Popn!$B$5:$BD$5,0)-1) +OFFSET(Assumptions!$B$10,0,$C$1)-OFFSET(Assumptions!$B$95,0,$C$1)</f>
        <v>1.0263819095477387</v>
      </c>
      <c r="O247" s="7">
        <f ca="1">OFFSET(Assumptions!$B$95,0,$C$1)*Popn!V$204/OFFSET(Popn!$A$204,0,MATCH(OFFSET(Assumptions!$B$8,0,$C$1),Popn!$B$5:$BD$5,0)-1) +OFFSET(Assumptions!$B$10,0,$C$1)-OFFSET(Assumptions!$B$95,0,$C$1)</f>
        <v>1.0301507537688441</v>
      </c>
      <c r="P247" s="7">
        <f ca="1">OFFSET(Assumptions!$B$95,0,$C$1)*Popn!W$204/OFFSET(Popn!$A$204,0,MATCH(OFFSET(Assumptions!$B$8,0,$C$1),Popn!$B$5:$BD$5,0)-1) +OFFSET(Assumptions!$B$10,0,$C$1)-OFFSET(Assumptions!$B$95,0,$C$1)</f>
        <v>1.0376884422110553</v>
      </c>
      <c r="Q247" s="7">
        <f ca="1">OFFSET(Assumptions!$B$95,0,$C$1)*Popn!X$204/OFFSET(Popn!$A$204,0,MATCH(OFFSET(Assumptions!$B$8,0,$C$1),Popn!$B$5:$BD$5,0)-1) +OFFSET(Assumptions!$B$10,0,$C$1)-OFFSET(Assumptions!$B$95,0,$C$1)</f>
        <v>1.041457286432161</v>
      </c>
      <c r="R247" s="7">
        <f ca="1">OFFSET(Assumptions!$B$95,0,$C$1)*Popn!Y$204/OFFSET(Popn!$A$204,0,MATCH(OFFSET(Assumptions!$B$8,0,$C$1),Popn!$B$5:$BD$5,0)-1) +OFFSET(Assumptions!$B$10,0,$C$1)-OFFSET(Assumptions!$B$95,0,$C$1)</f>
        <v>1.0452261306532664</v>
      </c>
      <c r="S247" s="7">
        <f ca="1">OFFSET(Assumptions!$B$95,0,$C$1)*Popn!Z$204/OFFSET(Popn!$A$204,0,MATCH(OFFSET(Assumptions!$B$8,0,$C$1),Popn!$B$5:$BD$5,0)-1) +OFFSET(Assumptions!$B$10,0,$C$1)-OFFSET(Assumptions!$B$95,0,$C$1)</f>
        <v>1.0527638190954776</v>
      </c>
      <c r="T247" s="7">
        <f ca="1">OFFSET(Assumptions!$B$95,0,$C$1)*Popn!AA$204/OFFSET(Popn!$A$204,0,MATCH(OFFSET(Assumptions!$B$8,0,$C$1),Popn!$B$5:$BD$5,0)-1) +OFFSET(Assumptions!$B$10,0,$C$1)-OFFSET(Assumptions!$B$95,0,$C$1)</f>
        <v>1.0565326633165828</v>
      </c>
      <c r="U247" s="7">
        <f ca="1">OFFSET(Assumptions!$B$95,0,$C$1)*Popn!AB$204/OFFSET(Popn!$A$204,0,MATCH(OFFSET(Assumptions!$B$8,0,$C$1),Popn!$B$5:$BD$5,0)-1) +OFFSET(Assumptions!$B$10,0,$C$1)-OFFSET(Assumptions!$B$95,0,$C$1)</f>
        <v>1.0603015075376885</v>
      </c>
      <c r="V247" s="7">
        <f ca="1">OFFSET(Assumptions!$B$95,0,$C$1)*Popn!AC$204/OFFSET(Popn!$A$204,0,MATCH(OFFSET(Assumptions!$B$8,0,$C$1),Popn!$B$5:$BD$5,0)-1) +OFFSET(Assumptions!$B$10,0,$C$1)-OFFSET(Assumptions!$B$95,0,$C$1)</f>
        <v>1.0640703517587942</v>
      </c>
      <c r="W247" s="7">
        <f ca="1">OFFSET(Assumptions!$B$95,0,$C$1)*Popn!AD$204/OFFSET(Popn!$A$204,0,MATCH(OFFSET(Assumptions!$B$8,0,$C$1),Popn!$B$5:$BD$5,0)-1) +OFFSET(Assumptions!$B$10,0,$C$1)-OFFSET(Assumptions!$B$95,0,$C$1)</f>
        <v>1.0716080402010051</v>
      </c>
      <c r="X247" s="7">
        <f ca="1">OFFSET(Assumptions!$B$95,0,$C$1)*Popn!AE$204/OFFSET(Popn!$A$204,0,MATCH(OFFSET(Assumptions!$B$8,0,$C$1),Popn!$B$5:$BD$5,0)-1) +OFFSET(Assumptions!$B$10,0,$C$1)-OFFSET(Assumptions!$B$95,0,$C$1)</f>
        <v>1.0753768844221105</v>
      </c>
      <c r="Y247" s="7">
        <f ca="1">OFFSET(Assumptions!$B$95,0,$C$1)*Popn!AF$204/OFFSET(Popn!$A$204,0,MATCH(OFFSET(Assumptions!$B$8,0,$C$1),Popn!$B$5:$BD$5,0)-1) +OFFSET(Assumptions!$B$10,0,$C$1)-OFFSET(Assumptions!$B$95,0,$C$1)</f>
        <v>1.079145728643216</v>
      </c>
      <c r="Z247" s="7">
        <f ca="1">OFFSET(Assumptions!$B$95,0,$C$1)*Popn!AG$204/OFFSET(Popn!$A$204,0,MATCH(OFFSET(Assumptions!$B$8,0,$C$1),Popn!$B$5:$BD$5,0)-1) +OFFSET(Assumptions!$B$10,0,$C$1)-OFFSET(Assumptions!$B$95,0,$C$1)</f>
        <v>1.0829145728643219</v>
      </c>
      <c r="AA247" s="7">
        <f ca="1">OFFSET(Assumptions!$B$95,0,$C$1)*Popn!AH$204/OFFSET(Popn!$A$204,0,MATCH(OFFSET(Assumptions!$B$8,0,$C$1),Popn!$B$5:$BD$5,0)-1) +OFFSET(Assumptions!$B$10,0,$C$1)-OFFSET(Assumptions!$B$95,0,$C$1)</f>
        <v>1.0904522613065328</v>
      </c>
      <c r="AB247" s="7">
        <f ca="1">OFFSET(Assumptions!$B$95,0,$C$1)*Popn!AI$204/OFFSET(Popn!$A$204,0,MATCH(OFFSET(Assumptions!$B$8,0,$C$1),Popn!$B$5:$BD$5,0)-1) +OFFSET(Assumptions!$B$10,0,$C$1)-OFFSET(Assumptions!$B$95,0,$C$1)</f>
        <v>1.0942211055276381</v>
      </c>
      <c r="AC247" s="7">
        <f ca="1">OFFSET(Assumptions!$B$95,0,$C$1)*Popn!AJ$204/OFFSET(Popn!$A$204,0,MATCH(OFFSET(Assumptions!$B$8,0,$C$1),Popn!$B$5:$BD$5,0)-1) +OFFSET(Assumptions!$B$10,0,$C$1)-OFFSET(Assumptions!$B$95,0,$C$1)</f>
        <v>1.0979899497487438</v>
      </c>
      <c r="AD247" s="7">
        <f ca="1">OFFSET(Assumptions!$B$95,0,$C$1)*Popn!AK$204/OFFSET(Popn!$A$204,0,MATCH(OFFSET(Assumptions!$B$8,0,$C$1),Popn!$B$5:$BD$5,0)-1) +OFFSET(Assumptions!$B$10,0,$C$1)-OFFSET(Assumptions!$B$95,0,$C$1)</f>
        <v>1.1017587939698494</v>
      </c>
      <c r="AE247" s="7">
        <f ca="1">OFFSET(Assumptions!$B$95,0,$C$1)*Popn!AL$204/OFFSET(Popn!$A$204,0,MATCH(OFFSET(Assumptions!$B$8,0,$C$1),Popn!$B$5:$BD$5,0)-1) +OFFSET(Assumptions!$B$10,0,$C$1)-OFFSET(Assumptions!$B$95,0,$C$1)</f>
        <v>1.1055276381909547</v>
      </c>
      <c r="AF247" s="7">
        <f ca="1">OFFSET(Assumptions!$B$95,0,$C$1)*Popn!AM$204/OFFSET(Popn!$A$204,0,MATCH(OFFSET(Assumptions!$B$8,0,$C$1),Popn!$B$5:$BD$5,0)-1) +OFFSET(Assumptions!$B$10,0,$C$1)-OFFSET(Assumptions!$B$95,0,$C$1)</f>
        <v>1.1130653266331656</v>
      </c>
      <c r="AG247" s="7">
        <f ca="1">OFFSET(Assumptions!$B$95,0,$C$1)*Popn!AN$204/OFFSET(Popn!$A$204,0,MATCH(OFFSET(Assumptions!$B$8,0,$C$1),Popn!$B$5:$BD$5,0)-1) +OFFSET(Assumptions!$B$10,0,$C$1)-OFFSET(Assumptions!$B$95,0,$C$1)</f>
        <v>1.1168341708542715</v>
      </c>
      <c r="AH247" s="7">
        <f ca="1">OFFSET(Assumptions!$B$95,0,$C$1)*Popn!AO$204/OFFSET(Popn!$A$204,0,MATCH(OFFSET(Assumptions!$B$8,0,$C$1),Popn!$B$5:$BD$5,0)-1) +OFFSET(Assumptions!$B$10,0,$C$1)-OFFSET(Assumptions!$B$95,0,$C$1)</f>
        <v>1.120603015075377</v>
      </c>
      <c r="AI247" s="7">
        <f ca="1">OFFSET(Assumptions!$B$95,0,$C$1)*Popn!AP$204/OFFSET(Popn!$A$204,0,MATCH(OFFSET(Assumptions!$B$8,0,$C$1),Popn!$B$5:$BD$5,0)-1) +OFFSET(Assumptions!$B$10,0,$C$1)-OFFSET(Assumptions!$B$95,0,$C$1)</f>
        <v>1.1243718592964824</v>
      </c>
      <c r="AJ247" s="7">
        <f ca="1">OFFSET(Assumptions!$B$95,0,$C$1)*Popn!AQ$204/OFFSET(Popn!$A$204,0,MATCH(OFFSET(Assumptions!$B$8,0,$C$1),Popn!$B$5:$BD$5,0)-1) +OFFSET(Assumptions!$B$10,0,$C$1)-OFFSET(Assumptions!$B$95,0,$C$1)</f>
        <v>1.1281407035175881</v>
      </c>
      <c r="AK247" s="7">
        <f ca="1">OFFSET(Assumptions!$B$95,0,$C$1)*Popn!AR$204/OFFSET(Popn!$A$204,0,MATCH(OFFSET(Assumptions!$B$8,0,$C$1),Popn!$B$5:$BD$5,0)-1) +OFFSET(Assumptions!$B$10,0,$C$1)-OFFSET(Assumptions!$B$95,0,$C$1)</f>
        <v>1.1319095477386933</v>
      </c>
      <c r="AL247" s="7">
        <f ca="1">OFFSET(Assumptions!$B$95,0,$C$1)*Popn!AS$204/OFFSET(Popn!$A$204,0,MATCH(OFFSET(Assumptions!$B$8,0,$C$1),Popn!$B$5:$BD$5,0)-1) +OFFSET(Assumptions!$B$10,0,$C$1)-OFFSET(Assumptions!$B$95,0,$C$1)</f>
        <v>1.135678391959799</v>
      </c>
      <c r="AM247" s="7">
        <f ca="1">OFFSET(Assumptions!$B$95,0,$C$1)*Popn!AT$204/OFFSET(Popn!$A$204,0,MATCH(OFFSET(Assumptions!$B$8,0,$C$1),Popn!$B$5:$BD$5,0)-1) +OFFSET(Assumptions!$B$10,0,$C$1)-OFFSET(Assumptions!$B$95,0,$C$1)</f>
        <v>1.1394472361809047</v>
      </c>
      <c r="AN247" s="7">
        <f ca="1">OFFSET(Assumptions!$B$95,0,$C$1)*Popn!AU$204/OFFSET(Popn!$A$204,0,MATCH(OFFSET(Assumptions!$B$8,0,$C$1),Popn!$B$5:$BD$5,0)-1) +OFFSET(Assumptions!$B$10,0,$C$1)-OFFSET(Assumptions!$B$95,0,$C$1)</f>
        <v>1.1469849246231156</v>
      </c>
      <c r="AO247" s="7">
        <f ca="1">OFFSET(Assumptions!$B$95,0,$C$1)*Popn!AV$204/OFFSET(Popn!$A$204,0,MATCH(OFFSET(Assumptions!$B$8,0,$C$1),Popn!$B$5:$BD$5,0)-1) +OFFSET(Assumptions!$B$10,0,$C$1)-OFFSET(Assumptions!$B$95,0,$C$1)</f>
        <v>1.1507537688442211</v>
      </c>
      <c r="AP247" s="7">
        <f ca="1">OFFSET(Assumptions!$B$95,0,$C$1)*Popn!AW$204/OFFSET(Popn!$A$204,0,MATCH(OFFSET(Assumptions!$B$8,0,$C$1),Popn!$B$5:$BD$5,0)-1) +OFFSET(Assumptions!$B$10,0,$C$1)-OFFSET(Assumptions!$B$95,0,$C$1)</f>
        <v>1.1545226130653266</v>
      </c>
      <c r="AQ247" s="7">
        <f ca="1">OFFSET(Assumptions!$B$95,0,$C$1)*Popn!AX$204/OFFSET(Popn!$A$204,0,MATCH(OFFSET(Assumptions!$B$8,0,$C$1),Popn!$B$5:$BD$5,0)-1) +OFFSET(Assumptions!$B$10,0,$C$1)-OFFSET(Assumptions!$B$95,0,$C$1)</f>
        <v>1.1582914572864325</v>
      </c>
      <c r="AR247" s="7">
        <f ca="1">OFFSET(Assumptions!$B$95,0,$C$1)*Popn!AY$204/OFFSET(Popn!$A$204,0,MATCH(OFFSET(Assumptions!$B$8,0,$C$1),Popn!$B$5:$BD$5,0)-1) +OFFSET(Assumptions!$B$10,0,$C$1)-OFFSET(Assumptions!$B$95,0,$C$1)</f>
        <v>1.1620603015075377</v>
      </c>
      <c r="AS247" s="7">
        <f ca="1">OFFSET(Assumptions!$B$95,0,$C$1)*Popn!AZ$204/OFFSET(Popn!$A$204,0,MATCH(OFFSET(Assumptions!$B$8,0,$C$1),Popn!$B$5:$BD$5,0)-1) +OFFSET(Assumptions!$B$10,0,$C$1)-OFFSET(Assumptions!$B$95,0,$C$1)</f>
        <v>1.1658291457286434</v>
      </c>
      <c r="AT247" s="7">
        <f ca="1">OFFSET(Assumptions!$B$95,0,$C$1)*Popn!BA$204/OFFSET(Popn!$A$204,0,MATCH(OFFSET(Assumptions!$B$8,0,$C$1),Popn!$B$5:$BD$5,0)-1) +OFFSET(Assumptions!$B$10,0,$C$1)-OFFSET(Assumptions!$B$95,0,$C$1)</f>
        <v>1.1695979899497486</v>
      </c>
      <c r="AU247" s="7">
        <f ca="1">OFFSET(Assumptions!$B$95,0,$C$1)*Popn!BB$204/OFFSET(Popn!$A$204,0,MATCH(OFFSET(Assumptions!$B$8,0,$C$1),Popn!$B$5:$BD$5,0)-1) +OFFSET(Assumptions!$B$10,0,$C$1)-OFFSET(Assumptions!$B$95,0,$C$1)</f>
        <v>1.1733668341708543</v>
      </c>
      <c r="AV247" s="7">
        <f ca="1">OFFSET(Assumptions!$B$95,0,$C$1)*Popn!BC$204/OFFSET(Popn!$A$204,0,MATCH(OFFSET(Assumptions!$B$8,0,$C$1),Popn!$B$5:$BD$5,0)-1) +OFFSET(Assumptions!$B$10,0,$C$1)-OFFSET(Assumptions!$B$95,0,$C$1)</f>
        <v>1.17713567839196</v>
      </c>
      <c r="AW247" s="7">
        <f ca="1">OFFSET(Assumptions!$B$95,0,$C$1)*Popn!BD$204/OFFSET(Popn!$A$204,0,MATCH(OFFSET(Assumptions!$B$8,0,$C$1),Popn!$B$5:$BD$5,0)-1) +OFFSET(Assumptions!$B$10,0,$C$1)-OFFSET(Assumptions!$B$95,0,$C$1)</f>
        <v>1.1809045226130652</v>
      </c>
    </row>
    <row r="249" spans="1:49" x14ac:dyDescent="0.2">
      <c r="A249" s="22" t="s">
        <v>546</v>
      </c>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row>
    <row r="250" spans="1:49" x14ac:dyDescent="0.2">
      <c r="A250" s="1" t="s">
        <v>851</v>
      </c>
      <c r="B250" s="4" t="str">
        <f>$B$43</f>
        <v>From Fiscal</v>
      </c>
      <c r="D250" s="18">
        <f>Fiscal!D$379</f>
        <v>1.6439999999999999</v>
      </c>
      <c r="E250" s="19">
        <f ca="1">Fiscal!E$379 +IF(OR(OFFSET(Assumptions!$B$72,0,$C$1)="BU",OFFSET(Assumptions!$B$113,0,$C$1)="SND"),Allocate!C$28,0)</f>
        <v>1.7170000000000001</v>
      </c>
      <c r="F250" s="19">
        <f ca="1">Fiscal!F$379 +IF(OR(OFFSET(Assumptions!$B$72,0,$C$1)="BU",OFFSET(Assumptions!$B$113,0,$C$1)="SND"),Allocate!D$28,0)</f>
        <v>1.792</v>
      </c>
      <c r="G250" s="19">
        <f ca="1">Fiscal!G$379 +IF(OR(OFFSET(Assumptions!$B$72,0,$C$1)="BU",OFFSET(Assumptions!$B$113,0,$C$1)="SND"),Allocate!E$28,0)</f>
        <v>1.9060000000000001</v>
      </c>
      <c r="H250" s="19">
        <f ca="1">Fiscal!H$379 +IF(OR(OFFSET(Assumptions!$B$72,0,$C$1)="BU",OFFSET(Assumptions!$B$113,0,$C$1)="SND"),Allocate!F$28,0)</f>
        <v>2.0369999999999999</v>
      </c>
      <c r="I250" s="19">
        <f ca="1">Fiscal!I$379 +IF(OR(OFFSET(Assumptions!$B$72,0,$C$1)="BU",OFFSET(Assumptions!$B$113,0,$C$1)="SND"),Allocate!G$28,0)</f>
        <v>2.1720000000000002</v>
      </c>
      <c r="J250" s="7">
        <f ca="1">IF(OFFSET(Assumptions!$B$72,0,$C$1)="BU",IF(J$6&lt;=OFFSET(Assumptions!$B$99,0,$C$1),J$14*(I$250/I$14+MIN(ABS(OFFSET(Assumptions!$B$101,0,$C$1)-I$250/I$14),OFFSET(Assumptions!$B$100,0,$C$1))*SIGN(OFFSET(Assumptions!$B$101,0,$C$1)-I$250/I$14)),I$250*(1+J$262)*(1+J$261)),I$250+IF(OFFSET(Assumptions!$B$113,0,$C$1)="SND",Allocate!$B$16*Allocate!$B$28*J$232*J$14,0))</f>
        <v>2.1825790829468761</v>
      </c>
      <c r="K250" s="7">
        <f ca="1">IF(OFFSET(Assumptions!$B$72,0,$C$1)="BU",IF(K$6&lt;=OFFSET(Assumptions!$B$99,0,$C$1),K$14*(J$250/J$14+MIN(ABS(OFFSET(Assumptions!$B$101,0,$C$1)-J$250/J$14),OFFSET(Assumptions!$B$100,0,$C$1))*SIGN(OFFSET(Assumptions!$B$101,0,$C$1)-J$250/J$14)),J$250*(1+K$262)*(1+K$261)),J$250+IF(OFFSET(Assumptions!$B$113,0,$C$1)="SND",Allocate!$B$16*Allocate!$B$28*K$232*K$14,0))</f>
        <v>2.273789493536349</v>
      </c>
      <c r="L250" s="7">
        <f ca="1">IF(OFFSET(Assumptions!$B$72,0,$C$1)="BU",IF(L$6&lt;=OFFSET(Assumptions!$B$99,0,$C$1),L$14*(K$250/K$14+MIN(ABS(OFFSET(Assumptions!$B$101,0,$C$1)-K$250/K$14),OFFSET(Assumptions!$B$100,0,$C$1))*SIGN(OFFSET(Assumptions!$B$101,0,$C$1)-K$250/K$14)),K$250*(1+L$262)*(1+L$261)),K$250+IF(OFFSET(Assumptions!$B$113,0,$C$1)="SND",Allocate!$B$16*Allocate!$B$28*L$232*L$14,0))</f>
        <v>2.3723475592562453</v>
      </c>
      <c r="M250" s="7">
        <f ca="1">IF(OFFSET(Assumptions!$B$72,0,$C$1)="BU",IF(M$6&lt;=OFFSET(Assumptions!$B$99,0,$C$1),M$14*(L$250/L$14+MIN(ABS(OFFSET(Assumptions!$B$101,0,$C$1)-L$250/L$14),OFFSET(Assumptions!$B$100,0,$C$1))*SIGN(OFFSET(Assumptions!$B$101,0,$C$1)-L$250/L$14)),L$250*(1+M$262)*(1+M$261)),L$250+IF(OFFSET(Assumptions!$B$113,0,$C$1)="SND",Allocate!$B$16*Allocate!$B$28*M$232*M$14,0))</f>
        <v>2.4748482842230795</v>
      </c>
      <c r="N250" s="7">
        <f ca="1">IF(OFFSET(Assumptions!$B$72,0,$C$1)="BU",IF(N$6&lt;=OFFSET(Assumptions!$B$99,0,$C$1),N$14*(M$250/M$14+MIN(ABS(OFFSET(Assumptions!$B$101,0,$C$1)-M$250/M$14),OFFSET(Assumptions!$B$100,0,$C$1))*SIGN(OFFSET(Assumptions!$B$101,0,$C$1)-M$250/M$14)),M$250*(1+N$262)*(1+N$261)),M$250+IF(OFFSET(Assumptions!$B$113,0,$C$1)="SND",Allocate!$B$16*Allocate!$B$28*N$232*N$14,0))</f>
        <v>2.5815822454810751</v>
      </c>
      <c r="O250" s="7">
        <f ca="1">IF(OFFSET(Assumptions!$B$72,0,$C$1)="BU",IF(O$6&lt;=OFFSET(Assumptions!$B$99,0,$C$1),O$14*(N$250/N$14+MIN(ABS(OFFSET(Assumptions!$B$101,0,$C$1)-N$250/N$14),OFFSET(Assumptions!$B$100,0,$C$1))*SIGN(OFFSET(Assumptions!$B$101,0,$C$1)-N$250/N$14)),N$250*(1+O$262)*(1+O$261)),N$250+IF(OFFSET(Assumptions!$B$113,0,$C$1)="SND",Allocate!$B$16*Allocate!$B$28*O$232*O$14,0))</f>
        <v>2.7007707338220279</v>
      </c>
      <c r="P250" s="7">
        <f ca="1">IF(OFFSET(Assumptions!$B$72,0,$C$1)="BU",IF(P$6&lt;=OFFSET(Assumptions!$B$99,0,$C$1),P$14*(O$250/O$14+MIN(ABS(OFFSET(Assumptions!$B$101,0,$C$1)-O$250/O$14),OFFSET(Assumptions!$B$100,0,$C$1))*SIGN(OFFSET(Assumptions!$B$101,0,$C$1)-O$250/O$14)),O$250*(1+P$262)*(1+P$261)),O$250+IF(OFFSET(Assumptions!$B$113,0,$C$1)="SND",Allocate!$B$16*Allocate!$B$28*P$232*P$14,0))</f>
        <v>2.8224946402702873</v>
      </c>
      <c r="Q250" s="7">
        <f ca="1">IF(OFFSET(Assumptions!$B$72,0,$C$1)="BU",IF(Q$6&lt;=OFFSET(Assumptions!$B$99,0,$C$1),Q$14*(P$250/P$14+MIN(ABS(OFFSET(Assumptions!$B$101,0,$C$1)-P$250/P$14),OFFSET(Assumptions!$B$100,0,$C$1))*SIGN(OFFSET(Assumptions!$B$101,0,$C$1)-P$250/P$14)),P$250*(1+Q$262)*(1+Q$261)),P$250+IF(OFFSET(Assumptions!$B$113,0,$C$1)="SND",Allocate!$B$16*Allocate!$B$28*Q$232*Q$14,0))</f>
        <v>2.946760414643856</v>
      </c>
      <c r="R250" s="7">
        <f ca="1">IF(OFFSET(Assumptions!$B$72,0,$C$1)="BU",IF(R$6&lt;=OFFSET(Assumptions!$B$99,0,$C$1),R$14*(Q$250/Q$14+MIN(ABS(OFFSET(Assumptions!$B$101,0,$C$1)-Q$250/Q$14),OFFSET(Assumptions!$B$100,0,$C$1))*SIGN(OFFSET(Assumptions!$B$101,0,$C$1)-Q$250/Q$14)),Q$250*(1+R$262)*(1+R$261)),Q$250+IF(OFFSET(Assumptions!$B$113,0,$C$1)="SND",Allocate!$B$16*Allocate!$B$28*R$232*R$14,0))</f>
        <v>3.0731007794425618</v>
      </c>
      <c r="S250" s="7">
        <f ca="1">IF(OFFSET(Assumptions!$B$72,0,$C$1)="BU",IF(S$6&lt;=OFFSET(Assumptions!$B$99,0,$C$1),S$14*(R$250/R$14+MIN(ABS(OFFSET(Assumptions!$B$101,0,$C$1)-R$250/R$14),OFFSET(Assumptions!$B$100,0,$C$1))*SIGN(OFFSET(Assumptions!$B$101,0,$C$1)-R$250/R$14)),R$250*(1+S$262)*(1+S$261)),R$250+IF(OFFSET(Assumptions!$B$113,0,$C$1)="SND",Allocate!$B$16*Allocate!$B$28*S$232*S$14,0))</f>
        <v>3.2014888018833076</v>
      </c>
      <c r="T250" s="7">
        <f ca="1">IF(OFFSET(Assumptions!$B$72,0,$C$1)="BU",IF(T$6&lt;=OFFSET(Assumptions!$B$99,0,$C$1),T$14*(S$250/S$14+MIN(ABS(OFFSET(Assumptions!$B$101,0,$C$1)-S$250/S$14),OFFSET(Assumptions!$B$100,0,$C$1))*SIGN(OFFSET(Assumptions!$B$101,0,$C$1)-S$250/S$14)),S$250*(1+T$262)*(1+T$261)),S$250+IF(OFFSET(Assumptions!$B$113,0,$C$1)="SND",Allocate!$B$16*Allocate!$B$28*T$232*T$14,0))</f>
        <v>3.3321610743767565</v>
      </c>
      <c r="U250" s="7">
        <f ca="1">IF(OFFSET(Assumptions!$B$72,0,$C$1)="BU",IF(U$6&lt;=OFFSET(Assumptions!$B$99,0,$C$1),U$14*(T$250/T$14+MIN(ABS(OFFSET(Assumptions!$B$101,0,$C$1)-T$250/T$14),OFFSET(Assumptions!$B$100,0,$C$1))*SIGN(OFFSET(Assumptions!$B$101,0,$C$1)-T$250/T$14)),T$250*(1+U$262)*(1+U$261)),T$250+IF(OFFSET(Assumptions!$B$113,0,$C$1)="SND",Allocate!$B$16*Allocate!$B$28*U$232*U$14,0))</f>
        <v>3.4651445503659186</v>
      </c>
      <c r="V250" s="7">
        <f ca="1">IF(OFFSET(Assumptions!$B$72,0,$C$1)="BU",IF(V$6&lt;=OFFSET(Assumptions!$B$99,0,$C$1),V$14*(U$250/U$14+MIN(ABS(OFFSET(Assumptions!$B$101,0,$C$1)-U$250/U$14),OFFSET(Assumptions!$B$100,0,$C$1))*SIGN(OFFSET(Assumptions!$B$101,0,$C$1)-U$250/U$14)),U$250*(1+V$262)*(1+V$261)),U$250+IF(OFFSET(Assumptions!$B$113,0,$C$1)="SND",Allocate!$B$16*Allocate!$B$28*V$232*V$14,0))</f>
        <v>3.6004390731110809</v>
      </c>
      <c r="W250" s="7">
        <f ca="1">IF(OFFSET(Assumptions!$B$72,0,$C$1)="BU",IF(W$6&lt;=OFFSET(Assumptions!$B$99,0,$C$1),W$14*(V$250/V$14+MIN(ABS(OFFSET(Assumptions!$B$101,0,$C$1)-V$250/V$14),OFFSET(Assumptions!$B$100,0,$C$1))*SIGN(OFFSET(Assumptions!$B$101,0,$C$1)-V$250/V$14)),V$250*(1+W$262)*(1+W$261)),V$250+IF(OFFSET(Assumptions!$B$113,0,$C$1)="SND",Allocate!$B$16*Allocate!$B$28*W$232*W$14,0))</f>
        <v>3.7391560077327495</v>
      </c>
      <c r="X250" s="7">
        <f ca="1">IF(OFFSET(Assumptions!$B$72,0,$C$1)="BU",IF(X$6&lt;=OFFSET(Assumptions!$B$99,0,$C$1),X$14*(W$250/W$14+MIN(ABS(OFFSET(Assumptions!$B$101,0,$C$1)-W$250/W$14),OFFSET(Assumptions!$B$100,0,$C$1))*SIGN(OFFSET(Assumptions!$B$101,0,$C$1)-W$250/W$14)),W$250*(1+X$262)*(1+X$261)),W$250+IF(OFFSET(Assumptions!$B$113,0,$C$1)="SND",Allocate!$B$16*Allocate!$B$28*X$232*X$14,0))</f>
        <v>3.8825806411861259</v>
      </c>
      <c r="Y250" s="7">
        <f ca="1">IF(OFFSET(Assumptions!$B$72,0,$C$1)="BU",IF(Y$6&lt;=OFFSET(Assumptions!$B$99,0,$C$1),Y$14*(X$250/X$14+MIN(ABS(OFFSET(Assumptions!$B$101,0,$C$1)-X$250/X$14),OFFSET(Assumptions!$B$100,0,$C$1))*SIGN(OFFSET(Assumptions!$B$101,0,$C$1)-X$250/X$14)),X$250*(1+Y$262)*(1+Y$261)),X$250+IF(OFFSET(Assumptions!$B$113,0,$C$1)="SND",Allocate!$B$16*Allocate!$B$28*Y$232*Y$14,0))</f>
        <v>4.0313614191457301</v>
      </c>
      <c r="Z250" s="7">
        <f ca="1">IF(OFFSET(Assumptions!$B$72,0,$C$1)="BU",IF(Z$6&lt;=OFFSET(Assumptions!$B$99,0,$C$1),Z$14*(Y$250/Y$14+MIN(ABS(OFFSET(Assumptions!$B$101,0,$C$1)-Y$250/Y$14),OFFSET(Assumptions!$B$100,0,$C$1))*SIGN(OFFSET(Assumptions!$B$101,0,$C$1)-Y$250/Y$14)),Y$250*(1+Z$262)*(1+Z$261)),Y$250+IF(OFFSET(Assumptions!$B$113,0,$C$1)="SND",Allocate!$B$16*Allocate!$B$28*Z$232*Z$14,0))</f>
        <v>4.1875419580024165</v>
      </c>
      <c r="AA250" s="7">
        <f ca="1">IF(OFFSET(Assumptions!$B$72,0,$C$1)="BU",IF(AA$6&lt;=OFFSET(Assumptions!$B$99,0,$C$1),AA$14*(Z$250/Z$14+MIN(ABS(OFFSET(Assumptions!$B$101,0,$C$1)-Z$250/Z$14),OFFSET(Assumptions!$B$100,0,$C$1))*SIGN(OFFSET(Assumptions!$B$101,0,$C$1)-Z$250/Z$14)),Z$250*(1+AA$262)*(1+AA$261)),Z$250+IF(OFFSET(Assumptions!$B$113,0,$C$1)="SND",Allocate!$B$16*Allocate!$B$28*AA$232*AA$14,0))</f>
        <v>4.3524821342141902</v>
      </c>
      <c r="AB250" s="7">
        <f ca="1">IF(OFFSET(Assumptions!$B$72,0,$C$1)="BU",IF(AB$6&lt;=OFFSET(Assumptions!$B$99,0,$C$1),AB$14*(AA$250/AA$14+MIN(ABS(OFFSET(Assumptions!$B$101,0,$C$1)-AA$250/AA$14),OFFSET(Assumptions!$B$100,0,$C$1))*SIGN(OFFSET(Assumptions!$B$101,0,$C$1)-AA$250/AA$14)),AA$250*(1+AB$262)*(1+AB$261)),AA$250+IF(OFFSET(Assumptions!$B$113,0,$C$1)="SND",Allocate!$B$16*Allocate!$B$28*AB$232*AB$14,0))</f>
        <v>4.5268031722379973</v>
      </c>
      <c r="AC250" s="7">
        <f ca="1">IF(OFFSET(Assumptions!$B$72,0,$C$1)="BU",IF(AC$6&lt;=OFFSET(Assumptions!$B$99,0,$C$1),AC$14*(AB$250/AB$14+MIN(ABS(OFFSET(Assumptions!$B$101,0,$C$1)-AB$250/AB$14),OFFSET(Assumptions!$B$100,0,$C$1))*SIGN(OFFSET(Assumptions!$B$101,0,$C$1)-AB$250/AB$14)),AB$250*(1+AC$262)*(1+AC$261)),AB$250+IF(OFFSET(Assumptions!$B$113,0,$C$1)="SND",Allocate!$B$16*Allocate!$B$28*AC$232*AC$14,0))</f>
        <v>4.7115413761005422</v>
      </c>
      <c r="AD250" s="7">
        <f ca="1">IF(OFFSET(Assumptions!$B$72,0,$C$1)="BU",IF(AD$6&lt;=OFFSET(Assumptions!$B$99,0,$C$1),AD$14*(AC$250/AC$14+MIN(ABS(OFFSET(Assumptions!$B$101,0,$C$1)-AC$250/AC$14),OFFSET(Assumptions!$B$100,0,$C$1))*SIGN(OFFSET(Assumptions!$B$101,0,$C$1)-AC$250/AC$14)),AC$250*(1+AD$262)*(1+AD$261)),AC$250+IF(OFFSET(Assumptions!$B$113,0,$C$1)="SND",Allocate!$B$16*Allocate!$B$28*AD$232*AD$14,0))</f>
        <v>4.9068478741218815</v>
      </c>
      <c r="AE250" s="7">
        <f ca="1">IF(OFFSET(Assumptions!$B$72,0,$C$1)="BU",IF(AE$6&lt;=OFFSET(Assumptions!$B$99,0,$C$1),AE$14*(AD$250/AD$14+MIN(ABS(OFFSET(Assumptions!$B$101,0,$C$1)-AD$250/AD$14),OFFSET(Assumptions!$B$100,0,$C$1))*SIGN(OFFSET(Assumptions!$B$101,0,$C$1)-AD$250/AD$14)),AD$250*(1+AE$262)*(1+AE$261)),AD$250+IF(OFFSET(Assumptions!$B$113,0,$C$1)="SND",Allocate!$B$16*Allocate!$B$28*AE$232*AE$14,0))</f>
        <v>5.1122491615517918</v>
      </c>
      <c r="AF250" s="7">
        <f ca="1">IF(OFFSET(Assumptions!$B$72,0,$C$1)="BU",IF(AF$6&lt;=OFFSET(Assumptions!$B$99,0,$C$1),AF$14*(AE$250/AE$14+MIN(ABS(OFFSET(Assumptions!$B$101,0,$C$1)-AE$250/AE$14),OFFSET(Assumptions!$B$100,0,$C$1))*SIGN(OFFSET(Assumptions!$B$101,0,$C$1)-AE$250/AE$14)),AE$250*(1+AF$262)*(1+AF$261)),AE$250+IF(OFFSET(Assumptions!$B$113,0,$C$1)="SND",Allocate!$B$16*Allocate!$B$28*AF$232*AF$14,0))</f>
        <v>5.3274500675596856</v>
      </c>
      <c r="AG250" s="7">
        <f ca="1">IF(OFFSET(Assumptions!$B$72,0,$C$1)="BU",IF(AG$6&lt;=OFFSET(Assumptions!$B$99,0,$C$1),AG$14*(AF$250/AF$14+MIN(ABS(OFFSET(Assumptions!$B$101,0,$C$1)-AF$250/AF$14),OFFSET(Assumptions!$B$100,0,$C$1))*SIGN(OFFSET(Assumptions!$B$101,0,$C$1)-AF$250/AF$14)),AF$250*(1+AG$262)*(1+AG$261)),AF$250+IF(OFFSET(Assumptions!$B$113,0,$C$1)="SND",Allocate!$B$16*Allocate!$B$28*AG$232*AG$14,0))</f>
        <v>5.552421561228309</v>
      </c>
      <c r="AH250" s="7">
        <f ca="1">IF(OFFSET(Assumptions!$B$72,0,$C$1)="BU",IF(AH$6&lt;=OFFSET(Assumptions!$B$99,0,$C$1),AH$14*(AG$250/AG$14+MIN(ABS(OFFSET(Assumptions!$B$101,0,$C$1)-AG$250/AG$14),OFFSET(Assumptions!$B$100,0,$C$1))*SIGN(OFFSET(Assumptions!$B$101,0,$C$1)-AG$250/AG$14)),AG$250*(1+AH$262)*(1+AH$261)),AG$250+IF(OFFSET(Assumptions!$B$113,0,$C$1)="SND",Allocate!$B$16*Allocate!$B$28*AH$232*AH$14,0))</f>
        <v>5.7866059089834199</v>
      </c>
      <c r="AI250" s="7">
        <f ca="1">IF(OFFSET(Assumptions!$B$72,0,$C$1)="BU",IF(AI$6&lt;=OFFSET(Assumptions!$B$99,0,$C$1),AI$14*(AH$250/AH$14+MIN(ABS(OFFSET(Assumptions!$B$101,0,$C$1)-AH$250/AH$14),OFFSET(Assumptions!$B$100,0,$C$1))*SIGN(OFFSET(Assumptions!$B$101,0,$C$1)-AH$250/AH$14)),AH$250*(1+AI$262)*(1+AI$261)),AH$250+IF(OFFSET(Assumptions!$B$113,0,$C$1)="SND",Allocate!$B$16*Allocate!$B$28*AI$232*AI$14,0))</f>
        <v>6.029794750088314</v>
      </c>
      <c r="AJ250" s="7">
        <f ca="1">IF(OFFSET(Assumptions!$B$72,0,$C$1)="BU",IF(AJ$6&lt;=OFFSET(Assumptions!$B$99,0,$C$1),AJ$14*(AI$250/AI$14+MIN(ABS(OFFSET(Assumptions!$B$101,0,$C$1)-AI$250/AI$14),OFFSET(Assumptions!$B$100,0,$C$1))*SIGN(OFFSET(Assumptions!$B$101,0,$C$1)-AI$250/AI$14)),AI$250*(1+AJ$262)*(1+AJ$261)),AI$250+IF(OFFSET(Assumptions!$B$113,0,$C$1)="SND",Allocate!$B$16*Allocate!$B$28*AJ$232*AJ$14,0))</f>
        <v>6.2814134744355794</v>
      </c>
      <c r="AK250" s="7">
        <f ca="1">IF(OFFSET(Assumptions!$B$72,0,$C$1)="BU",IF(AK$6&lt;=OFFSET(Assumptions!$B$99,0,$C$1),AK$14*(AJ$250/AJ$14+MIN(ABS(OFFSET(Assumptions!$B$101,0,$C$1)-AJ$250/AJ$14),OFFSET(Assumptions!$B$100,0,$C$1))*SIGN(OFFSET(Assumptions!$B$101,0,$C$1)-AJ$250/AJ$14)),AJ$250*(1+AK$262)*(1+AK$261)),AJ$250+IF(OFFSET(Assumptions!$B$113,0,$C$1)="SND",Allocate!$B$16*Allocate!$B$28*AK$232*AK$14,0))</f>
        <v>6.5423611870862954</v>
      </c>
      <c r="AL250" s="7">
        <f ca="1">IF(OFFSET(Assumptions!$B$72,0,$C$1)="BU",IF(AL$6&lt;=OFFSET(Assumptions!$B$99,0,$C$1),AL$14*(AK$250/AK$14+MIN(ABS(OFFSET(Assumptions!$B$101,0,$C$1)-AK$250/AK$14),OFFSET(Assumptions!$B$100,0,$C$1))*SIGN(OFFSET(Assumptions!$B$101,0,$C$1)-AK$250/AK$14)),AK$250*(1+AL$262)*(1+AL$261)),AK$250+IF(OFFSET(Assumptions!$B$113,0,$C$1)="SND",Allocate!$B$16*Allocate!$B$28*AL$232*AL$14,0))</f>
        <v>6.8129871384090306</v>
      </c>
      <c r="AM250" s="7">
        <f ca="1">IF(OFFSET(Assumptions!$B$72,0,$C$1)="BU",IF(AM$6&lt;=OFFSET(Assumptions!$B$99,0,$C$1),AM$14*(AL$250/AL$14+MIN(ABS(OFFSET(Assumptions!$B$101,0,$C$1)-AL$250/AL$14),OFFSET(Assumptions!$B$100,0,$C$1))*SIGN(OFFSET(Assumptions!$B$101,0,$C$1)-AL$250/AL$14)),AL$250*(1+AM$262)*(1+AM$261)),AL$250+IF(OFFSET(Assumptions!$B$113,0,$C$1)="SND",Allocate!$B$16*Allocate!$B$28*AM$232*AM$14,0))</f>
        <v>7.0949226928355662</v>
      </c>
      <c r="AN250" s="7">
        <f ca="1">IF(OFFSET(Assumptions!$B$72,0,$C$1)="BU",IF(AN$6&lt;=OFFSET(Assumptions!$B$99,0,$C$1),AN$14*(AM$250/AM$14+MIN(ABS(OFFSET(Assumptions!$B$101,0,$C$1)-AM$250/AM$14),OFFSET(Assumptions!$B$100,0,$C$1))*SIGN(OFFSET(Assumptions!$B$101,0,$C$1)-AM$250/AM$14)),AM$250*(1+AN$262)*(1+AN$261)),AM$250+IF(OFFSET(Assumptions!$B$113,0,$C$1)="SND",Allocate!$B$16*Allocate!$B$28*AN$232*AN$14,0))</f>
        <v>7.3893430445954911</v>
      </c>
      <c r="AO250" s="7">
        <f ca="1">IF(OFFSET(Assumptions!$B$72,0,$C$1)="BU",IF(AO$6&lt;=OFFSET(Assumptions!$B$99,0,$C$1),AO$14*(AN$250/AN$14+MIN(ABS(OFFSET(Assumptions!$B$101,0,$C$1)-AN$250/AN$14),OFFSET(Assumptions!$B$100,0,$C$1))*SIGN(OFFSET(Assumptions!$B$101,0,$C$1)-AN$250/AN$14)),AN$250*(1+AO$262)*(1+AO$261)),AN$250+IF(OFFSET(Assumptions!$B$113,0,$C$1)="SND",Allocate!$B$16*Allocate!$B$28*AO$232*AO$14,0))</f>
        <v>7.6964443708320909</v>
      </c>
      <c r="AP250" s="7">
        <f ca="1">IF(OFFSET(Assumptions!$B$72,0,$C$1)="BU",IF(AP$6&lt;=OFFSET(Assumptions!$B$99,0,$C$1),AP$14*(AO$250/AO$14+MIN(ABS(OFFSET(Assumptions!$B$101,0,$C$1)-AO$250/AO$14),OFFSET(Assumptions!$B$100,0,$C$1))*SIGN(OFFSET(Assumptions!$B$101,0,$C$1)-AO$250/AO$14)),AO$250*(1+AP$262)*(1+AP$261)),AO$250+IF(OFFSET(Assumptions!$B$113,0,$C$1)="SND",Allocate!$B$16*Allocate!$B$28*AP$232*AP$14,0))</f>
        <v>8.0189635659516298</v>
      </c>
      <c r="AQ250" s="7">
        <f ca="1">IF(OFFSET(Assumptions!$B$72,0,$C$1)="BU",IF(AQ$6&lt;=OFFSET(Assumptions!$B$99,0,$C$1),AQ$14*(AP$250/AP$14+MIN(ABS(OFFSET(Assumptions!$B$101,0,$C$1)-AP$250/AP$14),OFFSET(Assumptions!$B$100,0,$C$1))*SIGN(OFFSET(Assumptions!$B$101,0,$C$1)-AP$250/AP$14)),AP$250*(1+AQ$262)*(1+AQ$261)),AP$250+IF(OFFSET(Assumptions!$B$113,0,$C$1)="SND",Allocate!$B$16*Allocate!$B$28*AQ$232*AQ$14,0))</f>
        <v>8.3573645843118278</v>
      </c>
      <c r="AR250" s="7">
        <f ca="1">IF(OFFSET(Assumptions!$B$72,0,$C$1)="BU",IF(AR$6&lt;=OFFSET(Assumptions!$B$99,0,$C$1),AR$14*(AQ$250/AQ$14+MIN(ABS(OFFSET(Assumptions!$B$101,0,$C$1)-AQ$250/AQ$14),OFFSET(Assumptions!$B$100,0,$C$1))*SIGN(OFFSET(Assumptions!$B$101,0,$C$1)-AQ$250/AQ$14)),AQ$250*(1+AR$262)*(1+AR$261)),AQ$250+IF(OFFSET(Assumptions!$B$113,0,$C$1)="SND",Allocate!$B$16*Allocate!$B$28*AR$232*AR$14,0))</f>
        <v>8.7132216855896214</v>
      </c>
      <c r="AS250" s="7">
        <f ca="1">IF(OFFSET(Assumptions!$B$72,0,$C$1)="BU",IF(AS$6&lt;=OFFSET(Assumptions!$B$99,0,$C$1),AS$14*(AR$250/AR$14+MIN(ABS(OFFSET(Assumptions!$B$101,0,$C$1)-AR$250/AR$14),OFFSET(Assumptions!$B$100,0,$C$1))*SIGN(OFFSET(Assumptions!$B$101,0,$C$1)-AR$250/AR$14)),AR$250*(1+AS$262)*(1+AS$261)),AR$250+IF(OFFSET(Assumptions!$B$113,0,$C$1)="SND",Allocate!$B$16*Allocate!$B$28*AS$232*AS$14,0))</f>
        <v>9.0875040704053962</v>
      </c>
      <c r="AT250" s="7">
        <f ca="1">IF(OFFSET(Assumptions!$B$72,0,$C$1)="BU",IF(AT$6&lt;=OFFSET(Assumptions!$B$99,0,$C$1),AT$14*(AS$250/AS$14+MIN(ABS(OFFSET(Assumptions!$B$101,0,$C$1)-AS$250/AS$14),OFFSET(Assumptions!$B$100,0,$C$1))*SIGN(OFFSET(Assumptions!$B$101,0,$C$1)-AS$250/AS$14)),AS$250*(1+AT$262)*(1+AT$261)),AS$250+IF(OFFSET(Assumptions!$B$113,0,$C$1)="SND",Allocate!$B$16*Allocate!$B$28*AT$232*AT$14,0))</f>
        <v>9.4786311153330214</v>
      </c>
      <c r="AU250" s="7">
        <f ca="1">IF(OFFSET(Assumptions!$B$72,0,$C$1)="BU",IF(AU$6&lt;=OFFSET(Assumptions!$B$99,0,$C$1),AU$14*(AT$250/AT$14+MIN(ABS(OFFSET(Assumptions!$B$101,0,$C$1)-AT$250/AT$14),OFFSET(Assumptions!$B$100,0,$C$1))*SIGN(OFFSET(Assumptions!$B$101,0,$C$1)-AT$250/AT$14)),AT$250*(1+AU$262)*(1+AU$261)),AT$250+IF(OFFSET(Assumptions!$B$113,0,$C$1)="SND",Allocate!$B$16*Allocate!$B$28*AU$232*AU$14,0))</f>
        <v>9.8873580638388194</v>
      </c>
      <c r="AV250" s="7">
        <f ca="1">IF(OFFSET(Assumptions!$B$72,0,$C$1)="BU",IF(AV$6&lt;=OFFSET(Assumptions!$B$99,0,$C$1),AV$14*(AU$250/AU$14+MIN(ABS(OFFSET(Assumptions!$B$101,0,$C$1)-AU$250/AU$14),OFFSET(Assumptions!$B$100,0,$C$1))*SIGN(OFFSET(Assumptions!$B$101,0,$C$1)-AU$250/AU$14)),AU$250*(1+AV$262)*(1+AV$261)),AU$250+IF(OFFSET(Assumptions!$B$113,0,$C$1)="SND",Allocate!$B$16*Allocate!$B$28*AV$232*AV$14,0))</f>
        <v>10.311854009936313</v>
      </c>
      <c r="AW250" s="7">
        <f ca="1">IF(OFFSET(Assumptions!$B$72,0,$C$1)="BU",IF(AW$6&lt;=OFFSET(Assumptions!$B$99,0,$C$1),AW$14*(AV$250/AV$14+MIN(ABS(OFFSET(Assumptions!$B$101,0,$C$1)-AV$250/AV$14),OFFSET(Assumptions!$B$100,0,$C$1))*SIGN(OFFSET(Assumptions!$B$101,0,$C$1)-AV$250/AV$14)),AV$250*(1+AW$262)*(1+AW$261)),AV$250+IF(OFFSET(Assumptions!$B$113,0,$C$1)="SND",Allocate!$B$16*Allocate!$B$28*AW$232*AW$14,0))</f>
        <v>10.754596892594444</v>
      </c>
    </row>
    <row r="251" spans="1:49" x14ac:dyDescent="0.2">
      <c r="A251" s="1" t="s">
        <v>794</v>
      </c>
      <c r="B251" s="4" t="str">
        <f t="shared" ref="B251:B253" si="179">$B$43</f>
        <v>From Fiscal</v>
      </c>
      <c r="D251" s="18">
        <f>Fiscal!D$380</f>
        <v>3.2320000000000002</v>
      </c>
      <c r="E251" s="19">
        <f ca="1">Fiscal!E$380 +IF(OR(OFFSET(Assumptions!$B$72,0,$C$1)="BU",OFFSET(Assumptions!$B$113,0,$C$1)="SND"),Allocate!C$29,0)</f>
        <v>3.3460000000000001</v>
      </c>
      <c r="F251" s="19">
        <f ca="1">Fiscal!F$380 +IF(OR(OFFSET(Assumptions!$B$72,0,$C$1)="BU",OFFSET(Assumptions!$B$113,0,$C$1)="SND"),Allocate!D$29,0)</f>
        <v>3.4020000000000001</v>
      </c>
      <c r="G251" s="19">
        <f ca="1">Fiscal!G$380 +IF(OR(OFFSET(Assumptions!$B$72,0,$C$1)="BU",OFFSET(Assumptions!$B$113,0,$C$1)="SND"),Allocate!E$29,0)</f>
        <v>3.5970000000000004</v>
      </c>
      <c r="H251" s="19">
        <f ca="1">Fiscal!H$380 +IF(OR(OFFSET(Assumptions!$B$72,0,$C$1)="BU",OFFSET(Assumptions!$B$113,0,$C$1)="SND"),Allocate!F$29,0)</f>
        <v>3.7170000000000001</v>
      </c>
      <c r="I251" s="19">
        <f ca="1">Fiscal!I$380 +IF(OR(OFFSET(Assumptions!$B$72,0,$C$1)="BU",OFFSET(Assumptions!$B$113,0,$C$1)="SND"),Allocate!G$29,0)</f>
        <v>3.871</v>
      </c>
      <c r="J251" s="7">
        <f ca="1">IF(OFFSET(Assumptions!$B$72,0,$C$1)="BU",IF(J$6&lt;=OFFSET(Assumptions!$B$99,0,$C$1),J$14*(I$251/I$14+MIN(ABS(OFFSET(Assumptions!$B$102,0,$C$1)-I$251/I$14),OFFSET(Assumptions!$B$100,0,$C$1))*SIGN(OFFSET(Assumptions!$B$102,0,$C$1)-I$251/I$14)),I$251*(1+J$263)*(1+J$261)),I$251+IF(OFFSET(Assumptions!$B$113,0,$C$1)="SND",Allocate!$B$16*Allocate!$B$29*J$232*J$14,0))</f>
        <v>4.1900113869355806</v>
      </c>
      <c r="K251" s="7">
        <f ca="1">IF(OFFSET(Assumptions!$B$72,0,$C$1)="BU",IF(K$6&lt;=OFFSET(Assumptions!$B$99,0,$C$1),K$14*(J$251/J$14+MIN(ABS(OFFSET(Assumptions!$B$102,0,$C$1)-J$251/J$14),OFFSET(Assumptions!$B$100,0,$C$1))*SIGN(OFFSET(Assumptions!$B$102,0,$C$1)-J$251/J$14)),J$251*(1+K$263)*(1+K$261)),J$251+IF(OFFSET(Assumptions!$B$113,0,$C$1)="SND",Allocate!$B$16*Allocate!$B$29*K$232*K$14,0))</f>
        <v>4.5275263249107569</v>
      </c>
      <c r="L251" s="7">
        <f ca="1">IF(OFFSET(Assumptions!$B$72,0,$C$1)="BU",IF(L$6&lt;=OFFSET(Assumptions!$B$99,0,$C$1),L$14*(K$251/K$14+MIN(ABS(OFFSET(Assumptions!$B$102,0,$C$1)-K$251/K$14),OFFSET(Assumptions!$B$100,0,$C$1))*SIGN(OFFSET(Assumptions!$B$102,0,$C$1)-K$251/K$14)),K$251*(1+L$263)*(1+L$261)),K$251+IF(OFFSET(Assumptions!$B$113,0,$C$1)="SND",Allocate!$B$16*Allocate!$B$29*L$232*L$14,0))</f>
        <v>4.7446951185124906</v>
      </c>
      <c r="M251" s="7">
        <f ca="1">IF(OFFSET(Assumptions!$B$72,0,$C$1)="BU",IF(M$6&lt;=OFFSET(Assumptions!$B$99,0,$C$1),M$14*(L$251/L$14+MIN(ABS(OFFSET(Assumptions!$B$102,0,$C$1)-L$251/L$14),OFFSET(Assumptions!$B$100,0,$C$1))*SIGN(OFFSET(Assumptions!$B$102,0,$C$1)-L$251/L$14)),L$251*(1+M$263)*(1+M$261)),L$251+IF(OFFSET(Assumptions!$B$113,0,$C$1)="SND",Allocate!$B$16*Allocate!$B$29*M$232*M$14,0))</f>
        <v>4.9496965684461589</v>
      </c>
      <c r="N251" s="7">
        <f ca="1">IF(OFFSET(Assumptions!$B$72,0,$C$1)="BU",IF(N$6&lt;=OFFSET(Assumptions!$B$99,0,$C$1),N$14*(M$251/M$14+MIN(ABS(OFFSET(Assumptions!$B$102,0,$C$1)-M$251/M$14),OFFSET(Assumptions!$B$100,0,$C$1))*SIGN(OFFSET(Assumptions!$B$102,0,$C$1)-M$251/M$14)),M$251*(1+N$263)*(1+N$261)),M$251+IF(OFFSET(Assumptions!$B$113,0,$C$1)="SND",Allocate!$B$16*Allocate!$B$29*N$232*N$14,0))</f>
        <v>5.1631644909621501</v>
      </c>
      <c r="O251" s="7">
        <f ca="1">IF(OFFSET(Assumptions!$B$72,0,$C$1)="BU",IF(O$6&lt;=OFFSET(Assumptions!$B$99,0,$C$1),O$14*(N$251/N$14+MIN(ABS(OFFSET(Assumptions!$B$102,0,$C$1)-N$251/N$14),OFFSET(Assumptions!$B$100,0,$C$1))*SIGN(OFFSET(Assumptions!$B$102,0,$C$1)-N$251/N$14)),N$251*(1+O$263)*(1+O$261)),N$251+IF(OFFSET(Assumptions!$B$113,0,$C$1)="SND",Allocate!$B$16*Allocate!$B$29*O$232*O$14,0))</f>
        <v>5.3803575729782009</v>
      </c>
      <c r="P251" s="7">
        <f ca="1">IF(OFFSET(Assumptions!$B$72,0,$C$1)="BU",IF(P$6&lt;=OFFSET(Assumptions!$B$99,0,$C$1),P$14*(O$251/O$14+MIN(ABS(OFFSET(Assumptions!$B$102,0,$C$1)-O$251/O$14),OFFSET(Assumptions!$B$100,0,$C$1))*SIGN(OFFSET(Assumptions!$B$102,0,$C$1)-O$251/O$14)),O$251*(1+P$263)*(1+P$261)),O$251+IF(OFFSET(Assumptions!$B$113,0,$C$1)="SND",Allocate!$B$16*Allocate!$B$29*P$232*P$14,0))</f>
        <v>5.6283209275352188</v>
      </c>
      <c r="Q251" s="7">
        <f ca="1">IF(OFFSET(Assumptions!$B$72,0,$C$1)="BU",IF(Q$6&lt;=OFFSET(Assumptions!$B$99,0,$C$1),Q$14*(P$251/P$14+MIN(ABS(OFFSET(Assumptions!$B$102,0,$C$1)-P$251/P$14),OFFSET(Assumptions!$B$100,0,$C$1))*SIGN(OFFSET(Assumptions!$B$102,0,$C$1)-P$251/P$14)),P$251*(1+Q$263)*(1+Q$261)),P$251+IF(OFFSET(Assumptions!$B$113,0,$C$1)="SND",Allocate!$B$16*Allocate!$B$29*Q$232*Q$14,0))</f>
        <v>5.9044036735669359</v>
      </c>
      <c r="R251" s="7">
        <f ca="1">IF(OFFSET(Assumptions!$B$72,0,$C$1)="BU",IF(R$6&lt;=OFFSET(Assumptions!$B$99,0,$C$1),R$14*(Q$251/Q$14+MIN(ABS(OFFSET(Assumptions!$B$102,0,$C$1)-Q$251/Q$14),OFFSET(Assumptions!$B$100,0,$C$1))*SIGN(OFFSET(Assumptions!$B$102,0,$C$1)-Q$251/Q$14)),Q$251*(1+R$263)*(1+R$261)),Q$251+IF(OFFSET(Assumptions!$B$113,0,$C$1)="SND",Allocate!$B$16*Allocate!$B$29*R$232*R$14,0))</f>
        <v>6.1943197280954667</v>
      </c>
      <c r="S251" s="7">
        <f ca="1">IF(OFFSET(Assumptions!$B$72,0,$C$1)="BU",IF(S$6&lt;=OFFSET(Assumptions!$B$99,0,$C$1),S$14*(R$251/R$14+MIN(ABS(OFFSET(Assumptions!$B$102,0,$C$1)-R$251/R$14),OFFSET(Assumptions!$B$100,0,$C$1))*SIGN(OFFSET(Assumptions!$B$102,0,$C$1)-R$251/R$14)),R$251*(1+S$263)*(1+S$261)),R$251+IF(OFFSET(Assumptions!$B$113,0,$C$1)="SND",Allocate!$B$16*Allocate!$B$29*S$232*S$14,0))</f>
        <v>6.4914245712771246</v>
      </c>
      <c r="T251" s="7">
        <f ca="1">IF(OFFSET(Assumptions!$B$72,0,$C$1)="BU",IF(T$6&lt;=OFFSET(Assumptions!$B$99,0,$C$1),T$14*(S$251/S$14+MIN(ABS(OFFSET(Assumptions!$B$102,0,$C$1)-S$251/S$14),OFFSET(Assumptions!$B$100,0,$C$1))*SIGN(OFFSET(Assumptions!$B$102,0,$C$1)-S$251/S$14)),S$251*(1+T$263)*(1+T$261)),S$251+IF(OFFSET(Assumptions!$B$113,0,$C$1)="SND",Allocate!$B$16*Allocate!$B$29*T$232*T$14,0))</f>
        <v>6.7971855517242004</v>
      </c>
      <c r="U251" s="7">
        <f ca="1">IF(OFFSET(Assumptions!$B$72,0,$C$1)="BU",IF(U$6&lt;=OFFSET(Assumptions!$B$99,0,$C$1),U$14*(T$251/T$14+MIN(ABS(OFFSET(Assumptions!$B$102,0,$C$1)-T$251/T$14),OFFSET(Assumptions!$B$100,0,$C$1))*SIGN(OFFSET(Assumptions!$B$102,0,$C$1)-T$251/T$14)),T$251*(1+U$263)*(1+U$261)),T$251+IF(OFFSET(Assumptions!$B$113,0,$C$1)="SND",Allocate!$B$16*Allocate!$B$29*U$232*U$14,0))</f>
        <v>7.1106715752731224</v>
      </c>
      <c r="V251" s="7">
        <f ca="1">IF(OFFSET(Assumptions!$B$72,0,$C$1)="BU",IF(V$6&lt;=OFFSET(Assumptions!$B$99,0,$C$1),V$14*(U$251/U$14+MIN(ABS(OFFSET(Assumptions!$B$102,0,$C$1)-U$251/U$14),OFFSET(Assumptions!$B$100,0,$C$1))*SIGN(OFFSET(Assumptions!$B$102,0,$C$1)-U$251/U$14)),U$251*(1+V$263)*(1+V$261)),U$251+IF(OFFSET(Assumptions!$B$113,0,$C$1)="SND",Allocate!$B$16*Allocate!$B$29*V$232*V$14,0))</f>
        <v>7.4307216370297553</v>
      </c>
      <c r="W251" s="7">
        <f ca="1">IF(OFFSET(Assumptions!$B$72,0,$C$1)="BU",IF(W$6&lt;=OFFSET(Assumptions!$B$99,0,$C$1),W$14*(V$251/V$14+MIN(ABS(OFFSET(Assumptions!$B$102,0,$C$1)-V$251/V$14),OFFSET(Assumptions!$B$100,0,$C$1))*SIGN(OFFSET(Assumptions!$B$102,0,$C$1)-V$251/V$14)),V$251*(1+W$263)*(1+W$261)),V$251+IF(OFFSET(Assumptions!$B$113,0,$C$1)="SND",Allocate!$B$16*Allocate!$B$29*W$232*W$14,0))</f>
        <v>7.7571837249625277</v>
      </c>
      <c r="X251" s="7">
        <f ca="1">IF(OFFSET(Assumptions!$B$72,0,$C$1)="BU",IF(X$6&lt;=OFFSET(Assumptions!$B$99,0,$C$1),X$14*(W$251/W$14+MIN(ABS(OFFSET(Assumptions!$B$102,0,$C$1)-W$251/W$14),OFFSET(Assumptions!$B$100,0,$C$1))*SIGN(OFFSET(Assumptions!$B$102,0,$C$1)-W$251/W$14)),W$251*(1+X$263)*(1+X$261)),W$251+IF(OFFSET(Assumptions!$B$113,0,$C$1)="SND",Allocate!$B$16*Allocate!$B$29*X$232*X$14,0))</f>
        <v>8.0899596892075749</v>
      </c>
      <c r="Y251" s="7">
        <f ca="1">IF(OFFSET(Assumptions!$B$72,0,$C$1)="BU",IF(Y$6&lt;=OFFSET(Assumptions!$B$99,0,$C$1),Y$14*(X$251/X$14+MIN(ABS(OFFSET(Assumptions!$B$102,0,$C$1)-X$251/X$14),OFFSET(Assumptions!$B$100,0,$C$1))*SIGN(OFFSET(Assumptions!$B$102,0,$C$1)-X$251/X$14)),X$251*(1+Y$263)*(1+Y$261)),X$251+IF(OFFSET(Assumptions!$B$113,0,$C$1)="SND",Allocate!$B$16*Allocate!$B$29*Y$232*Y$14,0))</f>
        <v>8.4289842222041642</v>
      </c>
      <c r="Z251" s="7">
        <f ca="1">IF(OFFSET(Assumptions!$B$72,0,$C$1)="BU",IF(Z$6&lt;=OFFSET(Assumptions!$B$99,0,$C$1),Z$14*(Y$251/Y$14+MIN(ABS(OFFSET(Assumptions!$B$102,0,$C$1)-Y$251/Y$14),OFFSET(Assumptions!$B$100,0,$C$1))*SIGN(OFFSET(Assumptions!$B$102,0,$C$1)-Y$251/Y$14)),Y$251*(1+Z$263)*(1+Z$261)),Y$251+IF(OFFSET(Assumptions!$B$113,0,$C$1)="SND",Allocate!$B$16*Allocate!$B$29*Z$232*Z$14,0))</f>
        <v>8.7739429750065447</v>
      </c>
      <c r="AA251" s="7">
        <f ca="1">IF(OFFSET(Assumptions!$B$72,0,$C$1)="BU",IF(AA$6&lt;=OFFSET(Assumptions!$B$99,0,$C$1),AA$14*(Z$251/Z$14+MIN(ABS(OFFSET(Assumptions!$B$102,0,$C$1)-Z$251/Z$14),OFFSET(Assumptions!$B$100,0,$C$1))*SIGN(OFFSET(Assumptions!$B$102,0,$C$1)-Z$251/Z$14)),Z$251*(1+AA$263)*(1+AA$261)),Z$251+IF(OFFSET(Assumptions!$B$113,0,$C$1)="SND",Allocate!$B$16*Allocate!$B$29*AA$232*AA$14,0))</f>
        <v>9.1267052228403553</v>
      </c>
      <c r="AB251" s="7">
        <f ca="1">IF(OFFSET(Assumptions!$B$72,0,$C$1)="BU",IF(AB$6&lt;=OFFSET(Assumptions!$B$99,0,$C$1),AB$14*(AA$251/AA$14+MIN(ABS(OFFSET(Assumptions!$B$102,0,$C$1)-AA$251/AA$14),OFFSET(Assumptions!$B$100,0,$C$1))*SIGN(OFFSET(Assumptions!$B$102,0,$C$1)-AA$251/AA$14)),AA$251*(1+AB$263)*(1+AB$261)),AA$251+IF(OFFSET(Assumptions!$B$113,0,$C$1)="SND",Allocate!$B$16*Allocate!$B$29*AB$232*AB$14,0))</f>
        <v>9.4872348360386649</v>
      </c>
      <c r="AC251" s="7">
        <f ca="1">IF(OFFSET(Assumptions!$B$72,0,$C$1)="BU",IF(AC$6&lt;=OFFSET(Assumptions!$B$99,0,$C$1),AC$14*(AB$251/AB$14+MIN(ABS(OFFSET(Assumptions!$B$102,0,$C$1)-AB$251/AB$14),OFFSET(Assumptions!$B$100,0,$C$1))*SIGN(OFFSET(Assumptions!$B$102,0,$C$1)-AB$251/AB$14)),AB$251*(1+AC$263)*(1+AC$261)),AB$251+IF(OFFSET(Assumptions!$B$113,0,$C$1)="SND",Allocate!$B$16*Allocate!$B$29*AC$232*AC$14,0))</f>
        <v>9.8587151868625416</v>
      </c>
      <c r="AD251" s="7">
        <f ca="1">IF(OFFSET(Assumptions!$B$72,0,$C$1)="BU",IF(AD$6&lt;=OFFSET(Assumptions!$B$99,0,$C$1),AD$14*(AC$251/AC$14+MIN(ABS(OFFSET(Assumptions!$B$102,0,$C$1)-AC$251/AC$14),OFFSET(Assumptions!$B$100,0,$C$1))*SIGN(OFFSET(Assumptions!$B$102,0,$C$1)-AC$251/AC$14)),AC$251*(1+AD$263)*(1+AD$261)),AC$251+IF(OFFSET(Assumptions!$B$113,0,$C$1)="SND",Allocate!$B$16*Allocate!$B$29*AD$232*AD$14,0))</f>
        <v>10.243375844344802</v>
      </c>
      <c r="AE251" s="7">
        <f ca="1">IF(OFFSET(Assumptions!$B$72,0,$C$1)="BU",IF(AE$6&lt;=OFFSET(Assumptions!$B$99,0,$C$1),AE$14*(AD$251/AD$14+MIN(ABS(OFFSET(Assumptions!$B$102,0,$C$1)-AD$251/AD$14),OFFSET(Assumptions!$B$100,0,$C$1))*SIGN(OFFSET(Assumptions!$B$102,0,$C$1)-AD$251/AD$14)),AD$251*(1+AE$263)*(1+AE$261)),AD$251+IF(OFFSET(Assumptions!$B$113,0,$C$1)="SND",Allocate!$B$16*Allocate!$B$29*AE$232*AE$14,0))</f>
        <v>10.643190853394261</v>
      </c>
      <c r="AF251" s="7">
        <f ca="1">IF(OFFSET(Assumptions!$B$72,0,$C$1)="BU",IF(AF$6&lt;=OFFSET(Assumptions!$B$99,0,$C$1),AF$14*(AE$251/AE$14+MIN(ABS(OFFSET(Assumptions!$B$102,0,$C$1)-AE$251/AE$14),OFFSET(Assumptions!$B$100,0,$C$1))*SIGN(OFFSET(Assumptions!$B$102,0,$C$1)-AE$251/AE$14)),AE$251*(1+AF$263)*(1+AF$261)),AE$251+IF(OFFSET(Assumptions!$B$113,0,$C$1)="SND",Allocate!$B$16*Allocate!$B$29*AF$232*AF$14,0))</f>
        <v>11.061663064621753</v>
      </c>
      <c r="AG251" s="7">
        <f ca="1">IF(OFFSET(Assumptions!$B$72,0,$C$1)="BU",IF(AG$6&lt;=OFFSET(Assumptions!$B$99,0,$C$1),AG$14*(AF$251/AF$14+MIN(ABS(OFFSET(Assumptions!$B$102,0,$C$1)-AF$251/AF$14),OFFSET(Assumptions!$B$100,0,$C$1))*SIGN(OFFSET(Assumptions!$B$102,0,$C$1)-AF$251/AF$14)),AF$251*(1+AG$263)*(1+AG$261)),AF$251+IF(OFFSET(Assumptions!$B$113,0,$C$1)="SND",Allocate!$B$16*Allocate!$B$29*AG$232*AG$14,0))</f>
        <v>11.49996968701546</v>
      </c>
      <c r="AH251" s="7">
        <f ca="1">IF(OFFSET(Assumptions!$B$72,0,$C$1)="BU",IF(AH$6&lt;=OFFSET(Assumptions!$B$99,0,$C$1),AH$14*(AG$251/AG$14+MIN(ABS(OFFSET(Assumptions!$B$102,0,$C$1)-AG$251/AG$14),OFFSET(Assumptions!$B$100,0,$C$1))*SIGN(OFFSET(Assumptions!$B$102,0,$C$1)-AG$251/AG$14)),AG$251*(1+AH$263)*(1+AH$261)),AG$251+IF(OFFSET(Assumptions!$B$113,0,$C$1)="SND",Allocate!$B$16*Allocate!$B$29*AH$232*AH$14,0))</f>
        <v>11.96190120850018</v>
      </c>
      <c r="AI251" s="7">
        <f ca="1">IF(OFFSET(Assumptions!$B$72,0,$C$1)="BU",IF(AI$6&lt;=OFFSET(Assumptions!$B$99,0,$C$1),AI$14*(AH$251/AH$14+MIN(ABS(OFFSET(Assumptions!$B$102,0,$C$1)-AH$251/AH$14),OFFSET(Assumptions!$B$100,0,$C$1))*SIGN(OFFSET(Assumptions!$B$102,0,$C$1)-AH$251/AH$14)),AH$251*(1+AI$263)*(1+AI$261)),AH$251+IF(OFFSET(Assumptions!$B$113,0,$C$1)="SND",Allocate!$B$16*Allocate!$B$29*AI$232*AI$14,0))</f>
        <v>12.447904706989185</v>
      </c>
      <c r="AJ251" s="7">
        <f ca="1">IF(OFFSET(Assumptions!$B$72,0,$C$1)="BU",IF(AJ$6&lt;=OFFSET(Assumptions!$B$99,0,$C$1),AJ$14*(AI$251/AI$14+MIN(ABS(OFFSET(Assumptions!$B$102,0,$C$1)-AI$251/AI$14),OFFSET(Assumptions!$B$100,0,$C$1))*SIGN(OFFSET(Assumptions!$B$102,0,$C$1)-AI$251/AI$14)),AI$251*(1+AJ$263)*(1+AJ$261)),AI$251+IF(OFFSET(Assumptions!$B$113,0,$C$1)="SND",Allocate!$B$16*Allocate!$B$29*AJ$232*AJ$14,0))</f>
        <v>12.960376266818452</v>
      </c>
      <c r="AK251" s="7">
        <f ca="1">IF(OFFSET(Assumptions!$B$72,0,$C$1)="BU",IF(AK$6&lt;=OFFSET(Assumptions!$B$99,0,$C$1),AK$14*(AJ$251/AJ$14+MIN(ABS(OFFSET(Assumptions!$B$102,0,$C$1)-AJ$251/AJ$14),OFFSET(Assumptions!$B$100,0,$C$1))*SIGN(OFFSET(Assumptions!$B$102,0,$C$1)-AJ$251/AJ$14)),AJ$251*(1+AK$263)*(1+AK$261)),AJ$251+IF(OFFSET(Assumptions!$B$113,0,$C$1)="SND",Allocate!$B$16*Allocate!$B$29*AK$232*AK$14,0))</f>
        <v>13.497807652179221</v>
      </c>
      <c r="AL251" s="7">
        <f ca="1">IF(OFFSET(Assumptions!$B$72,0,$C$1)="BU",IF(AL$6&lt;=OFFSET(Assumptions!$B$99,0,$C$1),AL$14*(AK$251/AK$14+MIN(ABS(OFFSET(Assumptions!$B$102,0,$C$1)-AK$251/AK$14),OFFSET(Assumptions!$B$100,0,$C$1))*SIGN(OFFSET(Assumptions!$B$102,0,$C$1)-AK$251/AK$14)),AK$251*(1+AL$263)*(1+AL$261)),AK$251+IF(OFFSET(Assumptions!$B$113,0,$C$1)="SND",Allocate!$B$16*Allocate!$B$29*AL$232*AL$14,0))</f>
        <v>14.061522346210618</v>
      </c>
      <c r="AM251" s="7">
        <f ca="1">IF(OFFSET(Assumptions!$B$72,0,$C$1)="BU",IF(AM$6&lt;=OFFSET(Assumptions!$B$99,0,$C$1),AM$14*(AL$251/AL$14+MIN(ABS(OFFSET(Assumptions!$B$102,0,$C$1)-AL$251/AL$14),OFFSET(Assumptions!$B$100,0,$C$1))*SIGN(OFFSET(Assumptions!$B$102,0,$C$1)-AL$251/AL$14)),AL$251*(1+AM$263)*(1+AM$261)),AL$251+IF(OFFSET(Assumptions!$B$113,0,$C$1)="SND",Allocate!$B$16*Allocate!$B$29*AM$232*AM$14,0))</f>
        <v>14.650791245771165</v>
      </c>
      <c r="AN251" s="7">
        <f ca="1">IF(OFFSET(Assumptions!$B$72,0,$C$1)="BU",IF(AN$6&lt;=OFFSET(Assumptions!$B$99,0,$C$1),AN$14*(AM$251/AM$14+MIN(ABS(OFFSET(Assumptions!$B$102,0,$C$1)-AM$251/AM$14),OFFSET(Assumptions!$B$100,0,$C$1))*SIGN(OFFSET(Assumptions!$B$102,0,$C$1)-AM$251/AM$14)),AM$251*(1+AN$263)*(1+AN$261)),AM$251+IF(OFFSET(Assumptions!$B$113,0,$C$1)="SND",Allocate!$B$16*Allocate!$B$29*AN$232*AN$14,0))</f>
        <v>15.264592231734625</v>
      </c>
      <c r="AO251" s="7">
        <f ca="1">IF(OFFSET(Assumptions!$B$72,0,$C$1)="BU",IF(AO$6&lt;=OFFSET(Assumptions!$B$99,0,$C$1),AO$14*(AN$251/AN$14+MIN(ABS(OFFSET(Assumptions!$B$102,0,$C$1)-AN$251/AN$14),OFFSET(Assumptions!$B$100,0,$C$1))*SIGN(OFFSET(Assumptions!$B$102,0,$C$1)-AN$251/AN$14)),AN$251*(1+AO$263)*(1+AO$261)),AN$251+IF(OFFSET(Assumptions!$B$113,0,$C$1)="SND",Allocate!$B$16*Allocate!$B$29*AO$232*AO$14,0))</f>
        <v>15.904369765835646</v>
      </c>
      <c r="AP251" s="7">
        <f ca="1">IF(OFFSET(Assumptions!$B$72,0,$C$1)="BU",IF(AP$6&lt;=OFFSET(Assumptions!$B$99,0,$C$1),AP$14*(AO$251/AO$14+MIN(ABS(OFFSET(Assumptions!$B$102,0,$C$1)-AO$251/AO$14),OFFSET(Assumptions!$B$100,0,$C$1))*SIGN(OFFSET(Assumptions!$B$102,0,$C$1)-AO$251/AO$14)),AO$251*(1+AP$263)*(1+AP$261)),AO$251+IF(OFFSET(Assumptions!$B$113,0,$C$1)="SND",Allocate!$B$16*Allocate!$B$29*AP$232*AP$14,0))</f>
        <v>16.56877385499525</v>
      </c>
      <c r="AQ251" s="7">
        <f ca="1">IF(OFFSET(Assumptions!$B$72,0,$C$1)="BU",IF(AQ$6&lt;=OFFSET(Assumptions!$B$99,0,$C$1),AQ$14*(AP$251/AP$14+MIN(ABS(OFFSET(Assumptions!$B$102,0,$C$1)-AP$251/AP$14),OFFSET(Assumptions!$B$100,0,$C$1))*SIGN(OFFSET(Assumptions!$B$102,0,$C$1)-AP$251/AP$14)),AP$251*(1+AQ$263)*(1+AQ$261)),AP$251+IF(OFFSET(Assumptions!$B$113,0,$C$1)="SND",Allocate!$B$16*Allocate!$B$29*AQ$232*AQ$14,0))</f>
        <v>17.258924342269392</v>
      </c>
      <c r="AR251" s="7">
        <f ca="1">IF(OFFSET(Assumptions!$B$72,0,$C$1)="BU",IF(AR$6&lt;=OFFSET(Assumptions!$B$99,0,$C$1),AR$14*(AQ$251/AQ$14+MIN(ABS(OFFSET(Assumptions!$B$102,0,$C$1)-AQ$251/AQ$14),OFFSET(Assumptions!$B$100,0,$C$1))*SIGN(OFFSET(Assumptions!$B$102,0,$C$1)-AQ$251/AQ$14)),AQ$251*(1+AR$263)*(1+AR$261)),AQ$251+IF(OFFSET(Assumptions!$B$113,0,$C$1)="SND",Allocate!$B$16*Allocate!$B$29*AR$232*AR$14,0))</f>
        <v>17.977708920712246</v>
      </c>
      <c r="AS251" s="7">
        <f ca="1">IF(OFFSET(Assumptions!$B$72,0,$C$1)="BU",IF(AS$6&lt;=OFFSET(Assumptions!$B$99,0,$C$1),AS$14*(AR$251/AR$14+MIN(ABS(OFFSET(Assumptions!$B$102,0,$C$1)-AR$251/AR$14),OFFSET(Assumptions!$B$100,0,$C$1))*SIGN(OFFSET(Assumptions!$B$102,0,$C$1)-AR$251/AR$14)),AR$251*(1+AS$263)*(1+AS$261)),AR$251+IF(OFFSET(Assumptions!$B$113,0,$C$1)="SND",Allocate!$B$16*Allocate!$B$29*AS$232*AS$14,0))</f>
        <v>18.725566151483203</v>
      </c>
      <c r="AT251" s="7">
        <f ca="1">IF(OFFSET(Assumptions!$B$72,0,$C$1)="BU",IF(AT$6&lt;=OFFSET(Assumptions!$B$99,0,$C$1),AT$14*(AS$251/AS$14+MIN(ABS(OFFSET(Assumptions!$B$102,0,$C$1)-AS$251/AS$14),OFFSET(Assumptions!$B$100,0,$C$1))*SIGN(OFFSET(Assumptions!$B$102,0,$C$1)-AS$251/AS$14)),AS$251*(1+AT$263)*(1+AT$261)),AS$251+IF(OFFSET(Assumptions!$B$113,0,$C$1)="SND",Allocate!$B$16*Allocate!$B$29*AT$232*AT$14,0))</f>
        <v>19.505517559782181</v>
      </c>
      <c r="AU251" s="7">
        <f ca="1">IF(OFFSET(Assumptions!$B$72,0,$C$1)="BU",IF(AU$6&lt;=OFFSET(Assumptions!$B$99,0,$C$1),AU$14*(AT$251/AT$14+MIN(ABS(OFFSET(Assumptions!$B$102,0,$C$1)-AT$251/AT$14),OFFSET(Assumptions!$B$100,0,$C$1))*SIGN(OFFSET(Assumptions!$B$102,0,$C$1)-AT$251/AT$14)),AT$251*(1+AU$263)*(1+AU$261)),AT$251+IF(OFFSET(Assumptions!$B$113,0,$C$1)="SND",Allocate!$B$16*Allocate!$B$29*AU$232*AU$14,0))</f>
        <v>20.321315360768025</v>
      </c>
      <c r="AV251" s="7">
        <f ca="1">IF(OFFSET(Assumptions!$B$72,0,$C$1)="BU",IF(AV$6&lt;=OFFSET(Assumptions!$B$99,0,$C$1),AV$14*(AU$251/AU$14+MIN(ABS(OFFSET(Assumptions!$B$102,0,$C$1)-AU$251/AU$14),OFFSET(Assumptions!$B$100,0,$C$1))*SIGN(OFFSET(Assumptions!$B$102,0,$C$1)-AU$251/AU$14)),AU$251*(1+AV$263)*(1+AV$261)),AU$251+IF(OFFSET(Assumptions!$B$113,0,$C$1)="SND",Allocate!$B$16*Allocate!$B$29*AV$232*AV$14,0))</f>
        <v>21.176050383093518</v>
      </c>
      <c r="AW251" s="7">
        <f ca="1">IF(OFFSET(Assumptions!$B$72,0,$C$1)="BU",IF(AW$6&lt;=OFFSET(Assumptions!$B$99,0,$C$1),AW$14*(AV$251/AV$14+MIN(ABS(OFFSET(Assumptions!$B$102,0,$C$1)-AV$251/AV$14),OFFSET(Assumptions!$B$100,0,$C$1))*SIGN(OFFSET(Assumptions!$B$102,0,$C$1)-AV$251/AV$14)),AV$251*(1+AW$263)*(1+AW$261)),AV$251+IF(OFFSET(Assumptions!$B$113,0,$C$1)="SND",Allocate!$B$16*Allocate!$B$29*AW$232*AW$14,0))</f>
        <v>22.071729518673902</v>
      </c>
    </row>
    <row r="252" spans="1:49" x14ac:dyDescent="0.2">
      <c r="A252" s="1" t="s">
        <v>795</v>
      </c>
      <c r="B252" s="4" t="str">
        <f t="shared" si="179"/>
        <v>From Fiscal</v>
      </c>
      <c r="D252" s="18">
        <f>Fiscal!D$381</f>
        <v>2.5409999999999999</v>
      </c>
      <c r="E252" s="19">
        <f ca="1">Fiscal!E$381 +IF(OR(OFFSET(Assumptions!$B$72,0,$C$1)="BU",OFFSET(Assumptions!$B$113,0,$C$1)="SND"),Allocate!C$30,0)</f>
        <v>2.6419999999999999</v>
      </c>
      <c r="F252" s="19">
        <f ca="1">Fiscal!F$381 +IF(OR(OFFSET(Assumptions!$B$72,0,$C$1)="BU",OFFSET(Assumptions!$B$113,0,$C$1)="SND"),Allocate!D$30,0)</f>
        <v>2.6480000000000001</v>
      </c>
      <c r="G252" s="19">
        <f ca="1">Fiscal!G$381 +IF(OR(OFFSET(Assumptions!$B$72,0,$C$1)="BU",OFFSET(Assumptions!$B$113,0,$C$1)="SND"),Allocate!E$30,0)</f>
        <v>2.8119999999999998</v>
      </c>
      <c r="H252" s="19">
        <f ca="1">Fiscal!H$381 +IF(OR(OFFSET(Assumptions!$B$72,0,$C$1)="BU",OFFSET(Assumptions!$B$113,0,$C$1)="SND"),Allocate!F$30,0)</f>
        <v>2.9169999999999998</v>
      </c>
      <c r="I252" s="19">
        <f ca="1">Fiscal!I$381 +IF(OR(OFFSET(Assumptions!$B$72,0,$C$1)="BU",OFFSET(Assumptions!$B$113,0,$C$1)="SND"),Allocate!G$30,0)</f>
        <v>3.0460000000000003</v>
      </c>
      <c r="J252" s="7">
        <f ca="1">IF(OFFSET(Assumptions!$B$72,0,$C$1)="BU",IF(J$6&lt;=OFFSET(Assumptions!$B$99,0,$C$1),J$14*(I$252/I$14+MIN(ABS(OFFSET(Assumptions!$B$103,0,$C$1)-I$252/I$14),OFFSET(Assumptions!$B$100,0,$C$1))*SIGN(OFFSET(Assumptions!$B$103,0,$C$1)-I$252/I$14)),I$252*(1+J$264)*(1+J$261)),I$252+IF(OFFSET(Assumptions!$B$113,0,$C$1)="SND",Allocate!$B$16*Allocate!$B$30*J$232*J$14,0))</f>
        <v>3.3302482438630125</v>
      </c>
      <c r="K252" s="7">
        <f ca="1">IF(OFFSET(Assumptions!$B$72,0,$C$1)="BU",IF(K$6&lt;=OFFSET(Assumptions!$B$99,0,$C$1),K$14*(J$252/J$14+MIN(ABS(OFFSET(Assumptions!$B$103,0,$C$1)-J$252/J$14),OFFSET(Assumptions!$B$100,0,$C$1))*SIGN(OFFSET(Assumptions!$B$103,0,$C$1)-J$252/J$14)),J$252*(1+K$264)*(1+K$261)),J$252+IF(OFFSET(Assumptions!$B$113,0,$C$1)="SND",Allocate!$B$16*Allocate!$B$30*K$232*K$14,0))</f>
        <v>3.5730977755571196</v>
      </c>
      <c r="L252" s="7">
        <f ca="1">IF(OFFSET(Assumptions!$B$72,0,$C$1)="BU",IF(L$6&lt;=OFFSET(Assumptions!$B$99,0,$C$1),L$14*(K$252/K$14+MIN(ABS(OFFSET(Assumptions!$B$103,0,$C$1)-K$252/K$14),OFFSET(Assumptions!$B$100,0,$C$1))*SIGN(OFFSET(Assumptions!$B$103,0,$C$1)-K$252/K$14)),K$252*(1+L$264)*(1+L$261)),K$252+IF(OFFSET(Assumptions!$B$113,0,$C$1)="SND",Allocate!$B$16*Allocate!$B$30*L$232*L$14,0))</f>
        <v>3.7279747359740991</v>
      </c>
      <c r="M252" s="7">
        <f ca="1">IF(OFFSET(Assumptions!$B$72,0,$C$1)="BU",IF(M$6&lt;=OFFSET(Assumptions!$B$99,0,$C$1),M$14*(L$252/L$14+MIN(ABS(OFFSET(Assumptions!$B$103,0,$C$1)-L$252/L$14),OFFSET(Assumptions!$B$100,0,$C$1))*SIGN(OFFSET(Assumptions!$B$103,0,$C$1)-L$252/L$14)),L$252*(1+M$264)*(1+M$261)),L$252+IF(OFFSET(Assumptions!$B$113,0,$C$1)="SND",Allocate!$B$16*Allocate!$B$30*M$232*M$14,0))</f>
        <v>3.8890473037791247</v>
      </c>
      <c r="N252" s="7">
        <f ca="1">IF(OFFSET(Assumptions!$B$72,0,$C$1)="BU",IF(N$6&lt;=OFFSET(Assumptions!$B$99,0,$C$1),N$14*(M$252/M$14+MIN(ABS(OFFSET(Assumptions!$B$103,0,$C$1)-M$252/M$14),OFFSET(Assumptions!$B$100,0,$C$1))*SIGN(OFFSET(Assumptions!$B$103,0,$C$1)-M$252/M$14)),M$252*(1+N$264)*(1+N$261)),M$252+IF(OFFSET(Assumptions!$B$113,0,$C$1)="SND",Allocate!$B$16*Allocate!$B$30*N$232*N$14,0))</f>
        <v>4.0567721000416892</v>
      </c>
      <c r="O252" s="7">
        <f ca="1">IF(OFFSET(Assumptions!$B$72,0,$C$1)="BU",IF(O$6&lt;=OFFSET(Assumptions!$B$99,0,$C$1),O$14*(N$252/N$14+MIN(ABS(OFFSET(Assumptions!$B$103,0,$C$1)-N$252/N$14),OFFSET(Assumptions!$B$100,0,$C$1))*SIGN(OFFSET(Assumptions!$B$103,0,$C$1)-N$252/N$14)),N$252*(1+O$264)*(1+O$261)),N$252+IF(OFFSET(Assumptions!$B$113,0,$C$1)="SND",Allocate!$B$16*Allocate!$B$30*O$232*O$14,0))</f>
        <v>4.1894631067018837</v>
      </c>
      <c r="P252" s="7">
        <f ca="1">IF(OFFSET(Assumptions!$B$72,0,$C$1)="BU",IF(P$6&lt;=OFFSET(Assumptions!$B$99,0,$C$1),P$14*(O$252/O$14+MIN(ABS(OFFSET(Assumptions!$B$103,0,$C$1)-O$252/O$14),OFFSET(Assumptions!$B$100,0,$C$1))*SIGN(OFFSET(Assumptions!$B$103,0,$C$1)-O$252/O$14)),O$252*(1+P$264)*(1+P$261)),O$252+IF(OFFSET(Assumptions!$B$113,0,$C$1)="SND",Allocate!$B$16*Allocate!$B$30*P$232*P$14,0))</f>
        <v>4.2989363577801107</v>
      </c>
      <c r="Q252" s="7">
        <f ca="1">IF(OFFSET(Assumptions!$B$72,0,$C$1)="BU",IF(Q$6&lt;=OFFSET(Assumptions!$B$99,0,$C$1),Q$14*(P$252/P$14+MIN(ABS(OFFSET(Assumptions!$B$103,0,$C$1)-P$252/P$14),OFFSET(Assumptions!$B$100,0,$C$1))*SIGN(OFFSET(Assumptions!$B$103,0,$C$1)-P$252/P$14)),P$252*(1+Q$264)*(1+Q$261)),P$252+IF(OFFSET(Assumptions!$B$113,0,$C$1)="SND",Allocate!$B$16*Allocate!$B$30*Q$232*Q$14,0))</f>
        <v>4.3882194300814499</v>
      </c>
      <c r="R252" s="7">
        <f ca="1">IF(OFFSET(Assumptions!$B$72,0,$C$1)="BU",IF(R$6&lt;=OFFSET(Assumptions!$B$99,0,$C$1),R$14*(Q$252/Q$14+MIN(ABS(OFFSET(Assumptions!$B$103,0,$C$1)-Q$252/Q$14),OFFSET(Assumptions!$B$100,0,$C$1))*SIGN(OFFSET(Assumptions!$B$103,0,$C$1)-Q$252/Q$14)),Q$252*(1+R$264)*(1+R$261)),Q$252+IF(OFFSET(Assumptions!$B$113,0,$C$1)="SND",Allocate!$B$16*Allocate!$B$30*R$232*R$14,0))</f>
        <v>4.4954021789073657</v>
      </c>
      <c r="S252" s="7">
        <f ca="1">IF(OFFSET(Assumptions!$B$72,0,$C$1)="BU",IF(S$6&lt;=OFFSET(Assumptions!$B$99,0,$C$1),S$14*(R$252/R$14+MIN(ABS(OFFSET(Assumptions!$B$103,0,$C$1)-R$252/R$14),OFFSET(Assumptions!$B$100,0,$C$1))*SIGN(OFFSET(Assumptions!$B$103,0,$C$1)-R$252/R$14)),R$252*(1+S$264)*(1+S$261)),R$252+IF(OFFSET(Assumptions!$B$113,0,$C$1)="SND",Allocate!$B$16*Allocate!$B$30*S$232*S$14,0))</f>
        <v>4.6386685135044043</v>
      </c>
      <c r="T252" s="7">
        <f ca="1">IF(OFFSET(Assumptions!$B$72,0,$C$1)="BU",IF(T$6&lt;=OFFSET(Assumptions!$B$99,0,$C$1),T$14*(S$252/S$14+MIN(ABS(OFFSET(Assumptions!$B$103,0,$C$1)-S$252/S$14),OFFSET(Assumptions!$B$100,0,$C$1))*SIGN(OFFSET(Assumptions!$B$103,0,$C$1)-S$252/S$14)),S$252*(1+T$264)*(1+T$261)),S$252+IF(OFFSET(Assumptions!$B$113,0,$C$1)="SND",Allocate!$B$16*Allocate!$B$30*T$232*T$14,0))</f>
        <v>4.8189018304579125</v>
      </c>
      <c r="U252" s="7">
        <f ca="1">IF(OFFSET(Assumptions!$B$72,0,$C$1)="BU",IF(U$6&lt;=OFFSET(Assumptions!$B$99,0,$C$1),U$14*(T$252/T$14+MIN(ABS(OFFSET(Assumptions!$B$103,0,$C$1)-T$252/T$14),OFFSET(Assumptions!$B$100,0,$C$1))*SIGN(OFFSET(Assumptions!$B$103,0,$C$1)-T$252/T$14)),T$252*(1+U$264)*(1+U$261)),T$252+IF(OFFSET(Assumptions!$B$113,0,$C$1)="SND",Allocate!$B$16*Allocate!$B$30*U$232*U$14,0))</f>
        <v>5.0396543907845164</v>
      </c>
      <c r="V252" s="7">
        <f ca="1">IF(OFFSET(Assumptions!$B$72,0,$C$1)="BU",IF(V$6&lt;=OFFSET(Assumptions!$B$99,0,$C$1),V$14*(U$252/U$14+MIN(ABS(OFFSET(Assumptions!$B$103,0,$C$1)-U$252/U$14),OFFSET(Assumptions!$B$100,0,$C$1))*SIGN(OFFSET(Assumptions!$B$103,0,$C$1)-U$252/U$14)),U$252*(1+V$264)*(1+V$261)),U$252+IF(OFFSET(Assumptions!$B$113,0,$C$1)="SND",Allocate!$B$16*Allocate!$B$30*V$232*V$14,0))</f>
        <v>5.2895820936050502</v>
      </c>
      <c r="W252" s="7">
        <f ca="1">IF(OFFSET(Assumptions!$B$72,0,$C$1)="BU",IF(W$6&lt;=OFFSET(Assumptions!$B$99,0,$C$1),W$14*(V$252/V$14+MIN(ABS(OFFSET(Assumptions!$B$103,0,$C$1)-V$252/V$14),OFFSET(Assumptions!$B$100,0,$C$1))*SIGN(OFFSET(Assumptions!$B$103,0,$C$1)-V$252/V$14)),V$252*(1+W$264)*(1+W$261)),V$252+IF(OFFSET(Assumptions!$B$113,0,$C$1)="SND",Allocate!$B$16*Allocate!$B$30*W$232*W$14,0))</f>
        <v>5.552539977784285</v>
      </c>
      <c r="X252" s="7">
        <f ca="1">IF(OFFSET(Assumptions!$B$72,0,$C$1)="BU",IF(X$6&lt;=OFFSET(Assumptions!$B$99,0,$C$1),X$14*(W$252/W$14+MIN(ABS(OFFSET(Assumptions!$B$103,0,$C$1)-W$252/W$14),OFFSET(Assumptions!$B$100,0,$C$1))*SIGN(OFFSET(Assumptions!$B$103,0,$C$1)-W$252/W$14)),W$252*(1+X$264)*(1+X$261)),W$252+IF(OFFSET(Assumptions!$B$113,0,$C$1)="SND",Allocate!$B$16*Allocate!$B$30*X$232*X$14,0))</f>
        <v>5.826352612745703</v>
      </c>
      <c r="Y252" s="7">
        <f ca="1">IF(OFFSET(Assumptions!$B$72,0,$C$1)="BU",IF(Y$6&lt;=OFFSET(Assumptions!$B$99,0,$C$1),Y$14*(X$252/X$14+MIN(ABS(OFFSET(Assumptions!$B$103,0,$C$1)-X$252/X$14),OFFSET(Assumptions!$B$100,0,$C$1))*SIGN(OFFSET(Assumptions!$B$103,0,$C$1)-X$252/X$14)),X$252*(1+Y$264)*(1+Y$261)),X$252+IF(OFFSET(Assumptions!$B$113,0,$C$1)="SND",Allocate!$B$16*Allocate!$B$30*Y$232*Y$14,0))</f>
        <v>6.110596314213149</v>
      </c>
      <c r="Z252" s="7">
        <f ca="1">IF(OFFSET(Assumptions!$B$72,0,$C$1)="BU",IF(Z$6&lt;=OFFSET(Assumptions!$B$99,0,$C$1),Z$14*(Y$252/Y$14+MIN(ABS(OFFSET(Assumptions!$B$103,0,$C$1)-Y$252/Y$14),OFFSET(Assumptions!$B$100,0,$C$1))*SIGN(OFFSET(Assumptions!$B$103,0,$C$1)-Y$252/Y$14)),Y$252*(1+Z$264)*(1+Z$261)),Y$252+IF(OFFSET(Assumptions!$B$113,0,$C$1)="SND",Allocate!$B$16*Allocate!$B$30*Z$232*Z$14,0))</f>
        <v>6.4026374866159586</v>
      </c>
      <c r="AA252" s="7">
        <f ca="1">IF(OFFSET(Assumptions!$B$72,0,$C$1)="BU",IF(AA$6&lt;=OFFSET(Assumptions!$B$99,0,$C$1),AA$14*(Z$252/Z$14+MIN(ABS(OFFSET(Assumptions!$B$103,0,$C$1)-Z$252/Z$14),OFFSET(Assumptions!$B$100,0,$C$1))*SIGN(OFFSET(Assumptions!$B$103,0,$C$1)-Z$252/Z$14)),Z$252*(1+AA$264)*(1+AA$261)),Z$252+IF(OFFSET(Assumptions!$B$113,0,$C$1)="SND",Allocate!$B$16*Allocate!$B$30*AA$232*AA$14,0))</f>
        <v>6.701570186638893</v>
      </c>
      <c r="AB252" s="7">
        <f ca="1">IF(OFFSET(Assumptions!$B$72,0,$C$1)="BU",IF(AB$6&lt;=OFFSET(Assumptions!$B$99,0,$C$1),AB$14*(AA$252/AA$14+MIN(ABS(OFFSET(Assumptions!$B$103,0,$C$1)-AA$252/AA$14),OFFSET(Assumptions!$B$100,0,$C$1))*SIGN(OFFSET(Assumptions!$B$103,0,$C$1)-AA$252/AA$14)),AA$252*(1+AB$264)*(1+AB$261)),AA$252+IF(OFFSET(Assumptions!$B$113,0,$C$1)="SND",Allocate!$B$16*Allocate!$B$30*AB$232*AB$14,0))</f>
        <v>7.0080382884018562</v>
      </c>
      <c r="AC252" s="7">
        <f ca="1">IF(OFFSET(Assumptions!$B$72,0,$C$1)="BU",IF(AC$6&lt;=OFFSET(Assumptions!$B$99,0,$C$1),AC$14*(AB$252/AB$14+MIN(ABS(OFFSET(Assumptions!$B$103,0,$C$1)-AB$252/AB$14),OFFSET(Assumptions!$B$100,0,$C$1))*SIGN(OFFSET(Assumptions!$B$103,0,$C$1)-AB$252/AB$14)),AB$252*(1+AC$264)*(1+AC$261)),AB$252+IF(OFFSET(Assumptions!$B$113,0,$C$1)="SND",Allocate!$B$16*Allocate!$B$30*AC$232*AC$14,0))</f>
        <v>7.3197277188357273</v>
      </c>
      <c r="AD252" s="7">
        <f ca="1">IF(OFFSET(Assumptions!$B$72,0,$C$1)="BU",IF(AD$6&lt;=OFFSET(Assumptions!$B$99,0,$C$1),AD$14*(AC$252/AC$14+MIN(ABS(OFFSET(Assumptions!$B$103,0,$C$1)-AC$252/AC$14),OFFSET(Assumptions!$B$100,0,$C$1))*SIGN(OFFSET(Assumptions!$B$103,0,$C$1)-AC$252/AC$14)),AC$252*(1+AD$264)*(1+AD$261)),AC$252+IF(OFFSET(Assumptions!$B$113,0,$C$1)="SND",Allocate!$B$16*Allocate!$B$30*AD$232*AD$14,0))</f>
        <v>7.6379532262232557</v>
      </c>
      <c r="AE252" s="7">
        <f ca="1">IF(OFFSET(Assumptions!$B$72,0,$C$1)="BU",IF(AE$6&lt;=OFFSET(Assumptions!$B$99,0,$C$1),AE$14*(AD$252/AD$14+MIN(ABS(OFFSET(Assumptions!$B$103,0,$C$1)-AD$252/AD$14),OFFSET(Assumptions!$B$100,0,$C$1))*SIGN(OFFSET(Assumptions!$B$103,0,$C$1)-AD$252/AD$14)),AD$252*(1+AE$264)*(1+AE$261)),AD$252+IF(OFFSET(Assumptions!$B$113,0,$C$1)="SND",Allocate!$B$16*Allocate!$B$30*AE$232*AE$14,0))</f>
        <v>7.9620643203535222</v>
      </c>
      <c r="AF252" s="7">
        <f ca="1">IF(OFFSET(Assumptions!$B$72,0,$C$1)="BU",IF(AF$6&lt;=OFFSET(Assumptions!$B$99,0,$C$1),AF$14*(AE$252/AE$14+MIN(ABS(OFFSET(Assumptions!$B$103,0,$C$1)-AE$252/AE$14),OFFSET(Assumptions!$B$100,0,$C$1))*SIGN(OFFSET(Assumptions!$B$103,0,$C$1)-AE$252/AE$14)),AE$252*(1+AF$264)*(1+AF$261)),AE$252+IF(OFFSET(Assumptions!$B$113,0,$C$1)="SND",Allocate!$B$16*Allocate!$B$30*AF$232*AF$14,0))</f>
        <v>8.2911303242491812</v>
      </c>
      <c r="AG252" s="7">
        <f ca="1">IF(OFFSET(Assumptions!$B$72,0,$C$1)="BU",IF(AG$6&lt;=OFFSET(Assumptions!$B$99,0,$C$1),AG$14*(AF$252/AF$14+MIN(ABS(OFFSET(Assumptions!$B$103,0,$C$1)-AF$252/AF$14),OFFSET(Assumptions!$B$100,0,$C$1))*SIGN(OFFSET(Assumptions!$B$103,0,$C$1)-AF$252/AF$14)),AF$252*(1+AG$264)*(1+AG$261)),AF$252+IF(OFFSET(Assumptions!$B$113,0,$C$1)="SND",Allocate!$B$16*Allocate!$B$30*AG$232*AG$14,0))</f>
        <v>8.6261688949884103</v>
      </c>
      <c r="AH252" s="7">
        <f ca="1">IF(OFFSET(Assumptions!$B$72,0,$C$1)="BU",IF(AH$6&lt;=OFFSET(Assumptions!$B$99,0,$C$1),AH$14*(AG$252/AG$14+MIN(ABS(OFFSET(Assumptions!$B$103,0,$C$1)-AG$252/AG$14),OFFSET(Assumptions!$B$100,0,$C$1))*SIGN(OFFSET(Assumptions!$B$103,0,$C$1)-AG$252/AG$14)),AG$252*(1+AH$264)*(1+AH$261)),AG$252+IF(OFFSET(Assumptions!$B$113,0,$C$1)="SND",Allocate!$B$16*Allocate!$B$30*AH$232*AH$14,0))</f>
        <v>8.9679909120229446</v>
      </c>
      <c r="AI252" s="7">
        <f ca="1">IF(OFFSET(Assumptions!$B$72,0,$C$1)="BU",IF(AI$6&lt;=OFFSET(Assumptions!$B$99,0,$C$1),AI$14*(AH$252/AH$14+MIN(ABS(OFFSET(Assumptions!$B$103,0,$C$1)-AH$252/AH$14),OFFSET(Assumptions!$B$100,0,$C$1))*SIGN(OFFSET(Assumptions!$B$103,0,$C$1)-AH$252/AH$14)),AH$252*(1+AI$264)*(1+AI$261)),AH$252+IF(OFFSET(Assumptions!$B$113,0,$C$1)="SND",Allocate!$B$16*Allocate!$B$30*AI$232*AI$14,0))</f>
        <v>9.3167543420020635</v>
      </c>
      <c r="AJ252" s="7">
        <f ca="1">IF(OFFSET(Assumptions!$B$72,0,$C$1)="BU",IF(AJ$6&lt;=OFFSET(Assumptions!$B$99,0,$C$1),AJ$14*(AI$252/AI$14+MIN(ABS(OFFSET(Assumptions!$B$103,0,$C$1)-AI$252/AI$14),OFFSET(Assumptions!$B$100,0,$C$1))*SIGN(OFFSET(Assumptions!$B$103,0,$C$1)-AI$252/AI$14)),AI$252*(1+AJ$264)*(1+AJ$261)),AI$252+IF(OFFSET(Assumptions!$B$113,0,$C$1)="SND",Allocate!$B$16*Allocate!$B$30*AJ$232*AJ$14,0))</f>
        <v>9.675571130921476</v>
      </c>
      <c r="AK252" s="7">
        <f ca="1">IF(OFFSET(Assumptions!$B$72,0,$C$1)="BU",IF(AK$6&lt;=OFFSET(Assumptions!$B$99,0,$C$1),AK$14*(AJ$252/AJ$14+MIN(ABS(OFFSET(Assumptions!$B$103,0,$C$1)-AJ$252/AJ$14),OFFSET(Assumptions!$B$100,0,$C$1))*SIGN(OFFSET(Assumptions!$B$103,0,$C$1)-AJ$252/AJ$14)),AJ$252*(1+AK$264)*(1+AK$261)),AJ$252+IF(OFFSET(Assumptions!$B$113,0,$C$1)="SND",Allocate!$B$16*Allocate!$B$30*AK$232*AK$14,0))</f>
        <v>10.047890055112909</v>
      </c>
      <c r="AL252" s="7">
        <f ca="1">IF(OFFSET(Assumptions!$B$72,0,$C$1)="BU",IF(AL$6&lt;=OFFSET(Assumptions!$B$99,0,$C$1),AL$14*(AK$252/AK$14+MIN(ABS(OFFSET(Assumptions!$B$103,0,$C$1)-AK$252/AK$14),OFFSET(Assumptions!$B$100,0,$C$1))*SIGN(OFFSET(Assumptions!$B$103,0,$C$1)-AK$252/AK$14)),AK$252*(1+AL$264)*(1+AL$261)),AK$252+IF(OFFSET(Assumptions!$B$113,0,$C$1)="SND",Allocate!$B$16*Allocate!$B$30*AL$232*AL$14,0))</f>
        <v>10.437078748506016</v>
      </c>
      <c r="AM252" s="7">
        <f ca="1">IF(OFFSET(Assumptions!$B$72,0,$C$1)="BU",IF(AM$6&lt;=OFFSET(Assumptions!$B$99,0,$C$1),AM$14*(AL$252/AL$14+MIN(ABS(OFFSET(Assumptions!$B$103,0,$C$1)-AL$252/AL$14),OFFSET(Assumptions!$B$100,0,$C$1))*SIGN(OFFSET(Assumptions!$B$103,0,$C$1)-AL$252/AL$14)),AL$252*(1+AM$264)*(1+AM$261)),AL$252+IF(OFFSET(Assumptions!$B$113,0,$C$1)="SND",Allocate!$B$16*Allocate!$B$30*AM$232*AM$14,0))</f>
        <v>10.845681549404327</v>
      </c>
      <c r="AN252" s="7">
        <f ca="1">IF(OFFSET(Assumptions!$B$72,0,$C$1)="BU",IF(AN$6&lt;=OFFSET(Assumptions!$B$99,0,$C$1),AN$14*(AM$252/AM$14+MIN(ABS(OFFSET(Assumptions!$B$103,0,$C$1)-AM$252/AM$14),OFFSET(Assumptions!$B$100,0,$C$1))*SIGN(OFFSET(Assumptions!$B$103,0,$C$1)-AM$252/AM$14)),AM$252*(1+AN$264)*(1+AN$261)),AM$252+IF(OFFSET(Assumptions!$B$113,0,$C$1)="SND",Allocate!$B$16*Allocate!$B$30*AN$232*AN$14,0))</f>
        <v>11.277373532326969</v>
      </c>
      <c r="AO252" s="7">
        <f ca="1">IF(OFFSET(Assumptions!$B$72,0,$C$1)="BU",IF(AO$6&lt;=OFFSET(Assumptions!$B$99,0,$C$1),AO$14*(AN$252/AN$14+MIN(ABS(OFFSET(Assumptions!$B$103,0,$C$1)-AN$252/AN$14),OFFSET(Assumptions!$B$100,0,$C$1))*SIGN(OFFSET(Assumptions!$B$103,0,$C$1)-AN$252/AN$14)),AN$252*(1+AO$264)*(1+AO$261)),AN$252+IF(OFFSET(Assumptions!$B$113,0,$C$1)="SND",Allocate!$B$16*Allocate!$B$30*AO$232*AO$14,0))</f>
        <v>11.733881407199885</v>
      </c>
      <c r="AP252" s="7">
        <f ca="1">IF(OFFSET(Assumptions!$B$72,0,$C$1)="BU",IF(AP$6&lt;=OFFSET(Assumptions!$B$99,0,$C$1),AP$14*(AO$252/AO$14+MIN(ABS(OFFSET(Assumptions!$B$103,0,$C$1)-AO$252/AO$14),OFFSET(Assumptions!$B$100,0,$C$1))*SIGN(OFFSET(Assumptions!$B$103,0,$C$1)-AO$252/AO$14)),AO$252*(1+AP$264)*(1+AP$261)),AO$252+IF(OFFSET(Assumptions!$B$113,0,$C$1)="SND",Allocate!$B$16*Allocate!$B$30*AP$232*AP$14,0))</f>
        <v>12.215692482975223</v>
      </c>
      <c r="AQ252" s="7">
        <f ca="1">IF(OFFSET(Assumptions!$B$72,0,$C$1)="BU",IF(AQ$6&lt;=OFFSET(Assumptions!$B$99,0,$C$1),AQ$14*(AP$252/AP$14+MIN(ABS(OFFSET(Assumptions!$B$103,0,$C$1)-AP$252/AP$14),OFFSET(Assumptions!$B$100,0,$C$1))*SIGN(OFFSET(Assumptions!$B$103,0,$C$1)-AP$252/AP$14)),AP$252*(1+AQ$264)*(1+AQ$261)),AP$252+IF(OFFSET(Assumptions!$B$113,0,$C$1)="SND",Allocate!$B$16*Allocate!$B$30*AQ$232*AQ$14,0))</f>
        <v>12.724683194468259</v>
      </c>
      <c r="AR252" s="7">
        <f ca="1">IF(OFFSET(Assumptions!$B$72,0,$C$1)="BU",IF(AR$6&lt;=OFFSET(Assumptions!$B$99,0,$C$1),AR$14*(AQ$252/AQ$14+MIN(ABS(OFFSET(Assumptions!$B$103,0,$C$1)-AQ$252/AQ$14),OFFSET(Assumptions!$B$100,0,$C$1))*SIGN(OFFSET(Assumptions!$B$103,0,$C$1)-AQ$252/AQ$14)),AQ$252*(1+AR$264)*(1+AR$261)),AQ$252+IF(OFFSET(Assumptions!$B$113,0,$C$1)="SND",Allocate!$B$16*Allocate!$B$30*AR$232*AR$14,0))</f>
        <v>13.258336782054501</v>
      </c>
      <c r="AS252" s="7">
        <f ca="1">IF(OFFSET(Assumptions!$B$72,0,$C$1)="BU",IF(AS$6&lt;=OFFSET(Assumptions!$B$99,0,$C$1),AS$14*(AR$252/AR$14+MIN(ABS(OFFSET(Assumptions!$B$103,0,$C$1)-AR$252/AR$14),OFFSET(Assumptions!$B$100,0,$C$1))*SIGN(OFFSET(Assumptions!$B$103,0,$C$1)-AR$252/AR$14)),AR$252*(1+AS$264)*(1+AS$261)),AR$252+IF(OFFSET(Assumptions!$B$113,0,$C$1)="SND",Allocate!$B$16*Allocate!$B$30*AS$232*AS$14,0))</f>
        <v>13.81599127369636</v>
      </c>
      <c r="AT252" s="7">
        <f ca="1">IF(OFFSET(Assumptions!$B$72,0,$C$1)="BU",IF(AT$6&lt;=OFFSET(Assumptions!$B$99,0,$C$1),AT$14*(AS$252/AS$14+MIN(ABS(OFFSET(Assumptions!$B$103,0,$C$1)-AS$252/AS$14),OFFSET(Assumptions!$B$100,0,$C$1))*SIGN(OFFSET(Assumptions!$B$103,0,$C$1)-AS$252/AS$14)),AS$252*(1+AT$264)*(1+AT$261)),AS$252+IF(OFFSET(Assumptions!$B$113,0,$C$1)="SND",Allocate!$B$16*Allocate!$B$30*AT$232*AT$14,0))</f>
        <v>14.398641294425088</v>
      </c>
      <c r="AU252" s="7">
        <f ca="1">IF(OFFSET(Assumptions!$B$72,0,$C$1)="BU",IF(AU$6&lt;=OFFSET(Assumptions!$B$99,0,$C$1),AU$14*(AT$252/AT$14+MIN(ABS(OFFSET(Assumptions!$B$103,0,$C$1)-AT$252/AT$14),OFFSET(Assumptions!$B$100,0,$C$1))*SIGN(OFFSET(Assumptions!$B$103,0,$C$1)-AT$252/AT$14)),AT$252*(1+AU$264)*(1+AU$261)),AT$252+IF(OFFSET(Assumptions!$B$113,0,$C$1)="SND",Allocate!$B$16*Allocate!$B$30*AU$232*AU$14,0))</f>
        <v>15.004220228847368</v>
      </c>
      <c r="AV252" s="7">
        <f ca="1">IF(OFFSET(Assumptions!$B$72,0,$C$1)="BU",IF(AV$6&lt;=OFFSET(Assumptions!$B$99,0,$C$1),AV$14*(AU$252/AU$14+MIN(ABS(OFFSET(Assumptions!$B$103,0,$C$1)-AU$252/AU$14),OFFSET(Assumptions!$B$100,0,$C$1))*SIGN(OFFSET(Assumptions!$B$103,0,$C$1)-AU$252/AU$14)),AU$252*(1+AV$264)*(1+AV$261)),AU$252+IF(OFFSET(Assumptions!$B$113,0,$C$1)="SND",Allocate!$B$16*Allocate!$B$30*AV$232*AV$14,0))</f>
        <v>15.631740689802806</v>
      </c>
      <c r="AW252" s="7">
        <f ca="1">IF(OFFSET(Assumptions!$B$72,0,$C$1)="BU",IF(AW$6&lt;=OFFSET(Assumptions!$B$99,0,$C$1),AW$14*(AV$252/AV$14+MIN(ABS(OFFSET(Assumptions!$B$103,0,$C$1)-AV$252/AV$14),OFFSET(Assumptions!$B$100,0,$C$1))*SIGN(OFFSET(Assumptions!$B$103,0,$C$1)-AV$252/AV$14)),AV$252*(1+AW$264)*(1+AW$261)),AV$252+IF(OFFSET(Assumptions!$B$113,0,$C$1)="SND",Allocate!$B$16*Allocate!$B$30*AW$232*AW$14,0))</f>
        <v>16.28384354244092</v>
      </c>
    </row>
    <row r="253" spans="1:49" x14ac:dyDescent="0.2">
      <c r="A253" s="1" t="s">
        <v>815</v>
      </c>
      <c r="B253" s="4" t="str">
        <f t="shared" si="179"/>
        <v>From Fiscal</v>
      </c>
      <c r="D253" s="18">
        <f>Fiscal!D$382</f>
        <v>2.89</v>
      </c>
      <c r="E253" s="19">
        <f ca="1">Fiscal!E$382 +IF(OR(OFFSET(Assumptions!$B$72,0,$C$1)="BU",OFFSET(Assumptions!$B$113,0,$C$1)="SND"),Allocate!C$31,0)</f>
        <v>2.923</v>
      </c>
      <c r="F253" s="19">
        <f ca="1">Fiscal!F$382 +IF(OR(OFFSET(Assumptions!$B$72,0,$C$1)="BU",OFFSET(Assumptions!$B$113,0,$C$1)="SND"),Allocate!D$31,0)</f>
        <v>2.9910000000000001</v>
      </c>
      <c r="G253" s="19">
        <f ca="1">Fiscal!G$382 +IF(OR(OFFSET(Assumptions!$B$72,0,$C$1)="BU",OFFSET(Assumptions!$B$113,0,$C$1)="SND"),Allocate!E$31,0)</f>
        <v>3.0980000000000003</v>
      </c>
      <c r="H253" s="19">
        <f ca="1">Fiscal!H$382 +IF(OR(OFFSET(Assumptions!$B$72,0,$C$1)="BU",OFFSET(Assumptions!$B$113,0,$C$1)="SND"),Allocate!F$31,0)</f>
        <v>3.2270000000000003</v>
      </c>
      <c r="I253" s="19">
        <f ca="1">Fiscal!I$382 +IF(OR(OFFSET(Assumptions!$B$72,0,$C$1)="BU",OFFSET(Assumptions!$B$113,0,$C$1)="SND"),Allocate!G$31,0)</f>
        <v>3.3459999999999996</v>
      </c>
      <c r="J253" s="7">
        <f ca="1">IF(OFFSET(Assumptions!$B$72,0,$C$1)="BU",IF(J$6&lt;=OFFSET(Assumptions!$B$99,0,$C$1),J$14*(I$253/I$14+MIN(ABS(OFFSET(Assumptions!$B$104,0,$C$1)-I$253/I$14),OFFSET(Assumptions!$B$100,0,$C$1))*SIGN(OFFSET(Assumptions!$B$104,0,$C$1)-I$253/I$14)),I$253*(1+J$265)*(1+J$261)),I$253+IF(OFFSET(Assumptions!$B$113,0,$C$1)="SND",Allocate!$B$16*Allocate!$B$31*J$232*J$14,0))</f>
        <v>3.6428893867984913</v>
      </c>
      <c r="K253" s="7">
        <f ca="1">IF(OFFSET(Assumptions!$B$72,0,$C$1)="BU",IF(K$6&lt;=OFFSET(Assumptions!$B$99,0,$C$1),K$14*(J$253/J$14+MIN(ABS(OFFSET(Assumptions!$B$104,0,$C$1)-J$253/J$14),OFFSET(Assumptions!$B$100,0,$C$1))*SIGN(OFFSET(Assumptions!$B$104,0,$C$1)-J$253/J$14)),J$253*(1+K$265)*(1+K$261)),J$253+IF(OFFSET(Assumptions!$B$113,0,$C$1)="SND",Allocate!$B$16*Allocate!$B$31*K$232*K$14,0))</f>
        <v>3.9575399884181399</v>
      </c>
      <c r="L253" s="7">
        <f ca="1">IF(OFFSET(Assumptions!$B$72,0,$C$1)="BU",IF(L$6&lt;=OFFSET(Assumptions!$B$99,0,$C$1),L$14*(K$253/K$14+MIN(ABS(OFFSET(Assumptions!$B$104,0,$C$1)-K$253/K$14),OFFSET(Assumptions!$B$100,0,$C$1))*SIGN(OFFSET(Assumptions!$B$104,0,$C$1)-K$253/K$14)),K$253*(1+L$265)*(1+L$261)),K$253+IF(OFFSET(Assumptions!$B$113,0,$C$1)="SND",Allocate!$B$16*Allocate!$B$31*L$232*L$14,0))</f>
        <v>4.2985341052518997</v>
      </c>
      <c r="M253" s="7">
        <f ca="1">IF(OFFSET(Assumptions!$B$72,0,$C$1)="BU",IF(M$6&lt;=OFFSET(Assumptions!$B$99,0,$C$1),M$14*(L$253/L$14+MIN(ABS(OFFSET(Assumptions!$B$104,0,$C$1)-L$253/L$14),OFFSET(Assumptions!$B$100,0,$C$1))*SIGN(OFFSET(Assumptions!$B$104,0,$C$1)-L$253/L$14)),L$253*(1+M$265)*(1+M$261)),L$253+IF(OFFSET(Assumptions!$B$113,0,$C$1)="SND",Allocate!$B$16*Allocate!$B$31*M$232*M$14,0))</f>
        <v>4.596146813557147</v>
      </c>
      <c r="N253" s="7">
        <f ca="1">IF(OFFSET(Assumptions!$B$72,0,$C$1)="BU",IF(N$6&lt;=OFFSET(Assumptions!$B$99,0,$C$1),N$14*(M$253/M$14+MIN(ABS(OFFSET(Assumptions!$B$104,0,$C$1)-M$253/M$14),OFFSET(Assumptions!$B$100,0,$C$1))*SIGN(OFFSET(Assumptions!$B$104,0,$C$1)-M$253/M$14)),M$253*(1+N$265)*(1+N$261)),M$253+IF(OFFSET(Assumptions!$B$113,0,$C$1)="SND",Allocate!$B$16*Allocate!$B$31*N$232*N$14,0))</f>
        <v>4.7943670273219965</v>
      </c>
      <c r="O253" s="7">
        <f ca="1">IF(OFFSET(Assumptions!$B$72,0,$C$1)="BU",IF(O$6&lt;=OFFSET(Assumptions!$B$99,0,$C$1),O$14*(N$253/N$14+MIN(ABS(OFFSET(Assumptions!$B$104,0,$C$1)-N$253/N$14),OFFSET(Assumptions!$B$100,0,$C$1))*SIGN(OFFSET(Assumptions!$B$104,0,$C$1)-N$253/N$14)),N$253*(1+O$265)*(1+O$261)),N$253+IF(OFFSET(Assumptions!$B$113,0,$C$1)="SND",Allocate!$B$16*Allocate!$B$31*O$232*O$14,0))</f>
        <v>5.0417098644247664</v>
      </c>
      <c r="P253" s="7">
        <f ca="1">IF(OFFSET(Assumptions!$B$72,0,$C$1)="BU",IF(P$6&lt;=OFFSET(Assumptions!$B$99,0,$C$1),P$14*(O$253/O$14+MIN(ABS(OFFSET(Assumptions!$B$104,0,$C$1)-O$253/O$14),OFFSET(Assumptions!$B$100,0,$C$1))*SIGN(OFFSET(Assumptions!$B$104,0,$C$1)-O$253/O$14)),O$253*(1+P$265)*(1+P$261)),O$253+IF(OFFSET(Assumptions!$B$113,0,$C$1)="SND",Allocate!$B$16*Allocate!$B$31*P$232*P$14,0))</f>
        <v>5.3010346934021122</v>
      </c>
      <c r="Q253" s="7">
        <f ca="1">IF(OFFSET(Assumptions!$B$72,0,$C$1)="BU",IF(Q$6&lt;=OFFSET(Assumptions!$B$99,0,$C$1),Q$14*(P$253/P$14+MIN(ABS(OFFSET(Assumptions!$B$104,0,$C$1)-P$253/P$14),OFFSET(Assumptions!$B$100,0,$C$1))*SIGN(OFFSET(Assumptions!$B$104,0,$C$1)-P$253/P$14)),P$253*(1+Q$265)*(1+Q$261)),P$253+IF(OFFSET(Assumptions!$B$113,0,$C$1)="SND",Allocate!$B$16*Allocate!$B$31*Q$232*Q$14,0))</f>
        <v>5.5630415104502431</v>
      </c>
      <c r="R253" s="7">
        <f ca="1">IF(OFFSET(Assumptions!$B$72,0,$C$1)="BU",IF(R$6&lt;=OFFSET(Assumptions!$B$99,0,$C$1),R$14*(Q$253/Q$14+MIN(ABS(OFFSET(Assumptions!$B$104,0,$C$1)-Q$253/Q$14),OFFSET(Assumptions!$B$100,0,$C$1))*SIGN(OFFSET(Assumptions!$B$104,0,$C$1)-Q$253/Q$14)),Q$253*(1+R$265)*(1+R$261)),Q$253+IF(OFFSET(Assumptions!$B$113,0,$C$1)="SND",Allocate!$B$16*Allocate!$B$31*R$232*R$14,0))</f>
        <v>5.8175484102137922</v>
      </c>
      <c r="S253" s="7">
        <f ca="1">IF(OFFSET(Assumptions!$B$72,0,$C$1)="BU",IF(S$6&lt;=OFFSET(Assumptions!$B$99,0,$C$1),S$14*(R$253/R$14+MIN(ABS(OFFSET(Assumptions!$B$104,0,$C$1)-R$253/R$14),OFFSET(Assumptions!$B$100,0,$C$1))*SIGN(OFFSET(Assumptions!$B$104,0,$C$1)-R$253/R$14)),R$253*(1+S$265)*(1+S$261)),R$253+IF(OFFSET(Assumptions!$B$113,0,$C$1)="SND",Allocate!$B$16*Allocate!$B$31*S$232*S$14,0))</f>
        <v>6.0661774770226309</v>
      </c>
      <c r="T253" s="7">
        <f ca="1">IF(OFFSET(Assumptions!$B$72,0,$C$1)="BU",IF(T$6&lt;=OFFSET(Assumptions!$B$99,0,$C$1),T$14*(S$253/S$14+MIN(ABS(OFFSET(Assumptions!$B$104,0,$C$1)-S$253/S$14),OFFSET(Assumptions!$B$100,0,$C$1))*SIGN(OFFSET(Assumptions!$B$104,0,$C$1)-S$253/S$14)),S$253*(1+T$265)*(1+T$261)),S$253+IF(OFFSET(Assumptions!$B$113,0,$C$1)="SND",Allocate!$B$16*Allocate!$B$31*T$232*T$14,0))</f>
        <v>6.3076693779646984</v>
      </c>
      <c r="U253" s="7">
        <f ca="1">IF(OFFSET(Assumptions!$B$72,0,$C$1)="BU",IF(U$6&lt;=OFFSET(Assumptions!$B$99,0,$C$1),U$14*(T$253/T$14+MIN(ABS(OFFSET(Assumptions!$B$104,0,$C$1)-T$253/T$14),OFFSET(Assumptions!$B$100,0,$C$1))*SIGN(OFFSET(Assumptions!$B$104,0,$C$1)-T$253/T$14)),T$253*(1+U$265)*(1+U$261)),T$253+IF(OFFSET(Assumptions!$B$113,0,$C$1)="SND",Allocate!$B$16*Allocate!$B$31*U$232*U$14,0))</f>
        <v>6.5352724305432153</v>
      </c>
      <c r="V253" s="7">
        <f ca="1">IF(OFFSET(Assumptions!$B$72,0,$C$1)="BU",IF(V$6&lt;=OFFSET(Assumptions!$B$99,0,$C$1),V$14*(U$253/U$14+MIN(ABS(OFFSET(Assumptions!$B$104,0,$C$1)-U$253/U$14),OFFSET(Assumptions!$B$100,0,$C$1))*SIGN(OFFSET(Assumptions!$B$104,0,$C$1)-U$253/U$14)),U$253*(1+V$265)*(1+V$261)),U$253+IF(OFFSET(Assumptions!$B$113,0,$C$1)="SND",Allocate!$B$16*Allocate!$B$31*V$232*V$14,0))</f>
        <v>6.7617408153624181</v>
      </c>
      <c r="W253" s="7">
        <f ca="1">IF(OFFSET(Assumptions!$B$72,0,$C$1)="BU",IF(W$6&lt;=OFFSET(Assumptions!$B$99,0,$C$1),W$14*(V$253/V$14+MIN(ABS(OFFSET(Assumptions!$B$104,0,$C$1)-V$253/V$14),OFFSET(Assumptions!$B$100,0,$C$1))*SIGN(OFFSET(Assumptions!$B$104,0,$C$1)-V$253/V$14)),V$253*(1+W$265)*(1+W$261)),V$253+IF(OFFSET(Assumptions!$B$113,0,$C$1)="SND",Allocate!$B$16*Allocate!$B$31*W$232*W$14,0))</f>
        <v>7.0173474503206839</v>
      </c>
      <c r="X253" s="7">
        <f ca="1">IF(OFFSET(Assumptions!$B$72,0,$C$1)="BU",IF(X$6&lt;=OFFSET(Assumptions!$B$99,0,$C$1),X$14*(W$253/W$14+MIN(ABS(OFFSET(Assumptions!$B$104,0,$C$1)-W$253/W$14),OFFSET(Assumptions!$B$100,0,$C$1))*SIGN(OFFSET(Assumptions!$B$104,0,$C$1)-W$253/W$14)),W$253*(1+X$265)*(1+X$261)),W$253+IF(OFFSET(Assumptions!$B$113,0,$C$1)="SND",Allocate!$B$16*Allocate!$B$31*X$232*X$14,0))</f>
        <v>7.2884684357604845</v>
      </c>
      <c r="Y253" s="7">
        <f ca="1">IF(OFFSET(Assumptions!$B$72,0,$C$1)="BU",IF(Y$6&lt;=OFFSET(Assumptions!$B$99,0,$C$1),Y$14*(X$253/X$14+MIN(ABS(OFFSET(Assumptions!$B$104,0,$C$1)-X$253/X$14),OFFSET(Assumptions!$B$100,0,$C$1))*SIGN(OFFSET(Assumptions!$B$104,0,$C$1)-X$253/X$14)),X$253*(1+Y$265)*(1+Y$261)),X$253+IF(OFFSET(Assumptions!$B$113,0,$C$1)="SND",Allocate!$B$16*Allocate!$B$31*Y$232*Y$14,0))</f>
        <v>7.5812181939432772</v>
      </c>
      <c r="Z253" s="7">
        <f ca="1">IF(OFFSET(Assumptions!$B$72,0,$C$1)="BU",IF(Z$6&lt;=OFFSET(Assumptions!$B$99,0,$C$1),Z$14*(Y$253/Y$14+MIN(ABS(OFFSET(Assumptions!$B$104,0,$C$1)-Y$253/Y$14),OFFSET(Assumptions!$B$100,0,$C$1))*SIGN(OFFSET(Assumptions!$B$104,0,$C$1)-Y$253/Y$14)),Y$253*(1+Z$265)*(1+Z$261)),Y$253+IF(OFFSET(Assumptions!$B$113,0,$C$1)="SND",Allocate!$B$16*Allocate!$B$31*Z$232*Z$14,0))</f>
        <v>7.8952283125398584</v>
      </c>
      <c r="AA253" s="7">
        <f ca="1">IF(OFFSET(Assumptions!$B$72,0,$C$1)="BU",IF(AA$6&lt;=OFFSET(Assumptions!$B$99,0,$C$1),AA$14*(Z$253/Z$14+MIN(ABS(OFFSET(Assumptions!$B$104,0,$C$1)-Z$253/Z$14),OFFSET(Assumptions!$B$100,0,$C$1))*SIGN(OFFSET(Assumptions!$B$104,0,$C$1)-Z$253/Z$14)),Z$253*(1+AA$265)*(1+AA$261)),Z$253+IF(OFFSET(Assumptions!$B$113,0,$C$1)="SND",Allocate!$B$16*Allocate!$B$31*AA$232*AA$14,0))</f>
        <v>8.2340195044943254</v>
      </c>
      <c r="AB253" s="7">
        <f ca="1">IF(OFFSET(Assumptions!$B$72,0,$C$1)="BU",IF(AB$6&lt;=OFFSET(Assumptions!$B$99,0,$C$1),AB$14*(AA$253/AA$14+MIN(ABS(OFFSET(Assumptions!$B$104,0,$C$1)-AA$253/AA$14),OFFSET(Assumptions!$B$100,0,$C$1))*SIGN(OFFSET(Assumptions!$B$104,0,$C$1)-AA$253/AA$14)),AA$253*(1+AB$265)*(1+AB$261)),AA$253+IF(OFFSET(Assumptions!$B$113,0,$C$1)="SND",Allocate!$B$16*Allocate!$B$31*AB$232*AB$14,0))</f>
        <v>8.6044461037008624</v>
      </c>
      <c r="AC253" s="7">
        <f ca="1">IF(OFFSET(Assumptions!$B$72,0,$C$1)="BU",IF(AC$6&lt;=OFFSET(Assumptions!$B$99,0,$C$1),AC$14*(AB$253/AB$14+MIN(ABS(OFFSET(Assumptions!$B$104,0,$C$1)-AB$253/AB$14),OFFSET(Assumptions!$B$100,0,$C$1))*SIGN(OFFSET(Assumptions!$B$104,0,$C$1)-AB$253/AB$14)),AB$253*(1+AC$265)*(1+AC$261)),AB$253+IF(OFFSET(Assumptions!$B$113,0,$C$1)="SND",Allocate!$B$16*Allocate!$B$31*AC$232*AC$14,0))</f>
        <v>8.9979882123659252</v>
      </c>
      <c r="AD253" s="7">
        <f ca="1">IF(OFFSET(Assumptions!$B$72,0,$C$1)="BU",IF(AD$6&lt;=OFFSET(Assumptions!$B$99,0,$C$1),AD$14*(AC$253/AC$14+MIN(ABS(OFFSET(Assumptions!$B$104,0,$C$1)-AC$253/AC$14),OFFSET(Assumptions!$B$100,0,$C$1))*SIGN(OFFSET(Assumptions!$B$104,0,$C$1)-AC$253/AC$14)),AC$253*(1+AD$265)*(1+AD$261)),AC$253+IF(OFFSET(Assumptions!$B$113,0,$C$1)="SND",Allocate!$B$16*Allocate!$B$31*AD$232*AD$14,0))</f>
        <v>9.4085582174866005</v>
      </c>
      <c r="AE253" s="7">
        <f ca="1">IF(OFFSET(Assumptions!$B$72,0,$C$1)="BU",IF(AE$6&lt;=OFFSET(Assumptions!$B$99,0,$C$1),AE$14*(AD$253/AD$14+MIN(ABS(OFFSET(Assumptions!$B$104,0,$C$1)-AD$253/AD$14),OFFSET(Assumptions!$B$100,0,$C$1))*SIGN(OFFSET(Assumptions!$B$104,0,$C$1)-AD$253/AD$14)),AD$253*(1+AE$265)*(1+AE$261)),AD$253+IF(OFFSET(Assumptions!$B$113,0,$C$1)="SND",Allocate!$B$16*Allocate!$B$31*AE$232*AE$14,0))</f>
        <v>9.8385635519653736</v>
      </c>
      <c r="AF253" s="7">
        <f ca="1">IF(OFFSET(Assumptions!$B$72,0,$C$1)="BU",IF(AF$6&lt;=OFFSET(Assumptions!$B$99,0,$C$1),AF$14*(AE$253/AE$14+MIN(ABS(OFFSET(Assumptions!$B$104,0,$C$1)-AE$253/AE$14),OFFSET(Assumptions!$B$100,0,$C$1))*SIGN(OFFSET(Assumptions!$B$104,0,$C$1)-AE$253/AE$14)),AE$253*(1+AF$265)*(1+AF$261)),AE$253+IF(OFFSET(Assumptions!$B$113,0,$C$1)="SND",Allocate!$B$16*Allocate!$B$31*AF$232*AF$14,0))</f>
        <v>10.28422616617174</v>
      </c>
      <c r="AG253" s="7">
        <f ca="1">IF(OFFSET(Assumptions!$B$72,0,$C$1)="BU",IF(AG$6&lt;=OFFSET(Assumptions!$B$99,0,$C$1),AG$14*(AF$253/AF$14+MIN(ABS(OFFSET(Assumptions!$B$104,0,$C$1)-AF$253/AF$14),OFFSET(Assumptions!$B$100,0,$C$1))*SIGN(OFFSET(Assumptions!$B$104,0,$C$1)-AF$253/AF$14)),AF$253*(1+AG$265)*(1+AG$261)),AF$253+IF(OFFSET(Assumptions!$B$113,0,$C$1)="SND",Allocate!$B$16*Allocate!$B$31*AG$232*AG$14,0))</f>
        <v>10.743825562066315</v>
      </c>
      <c r="AH253" s="7">
        <f ca="1">IF(OFFSET(Assumptions!$B$72,0,$C$1)="BU",IF(AH$6&lt;=OFFSET(Assumptions!$B$99,0,$C$1),AH$14*(AG$253/AG$14+MIN(ABS(OFFSET(Assumptions!$B$104,0,$C$1)-AG$253/AG$14),OFFSET(Assumptions!$B$100,0,$C$1))*SIGN(OFFSET(Assumptions!$B$104,0,$C$1)-AG$253/AG$14)),AG$253*(1+AH$265)*(1+AH$261)),AG$253+IF(OFFSET(Assumptions!$B$113,0,$C$1)="SND",Allocate!$B$16*Allocate!$B$31*AH$232*AH$14,0))</f>
        <v>11.218836193461643</v>
      </c>
      <c r="AI253" s="7">
        <f ca="1">IF(OFFSET(Assumptions!$B$72,0,$C$1)="BU",IF(AI$6&lt;=OFFSET(Assumptions!$B$99,0,$C$1),AI$14*(AH$253/AH$14+MIN(ABS(OFFSET(Assumptions!$B$104,0,$C$1)-AH$253/AH$14),OFFSET(Assumptions!$B$100,0,$C$1))*SIGN(OFFSET(Assumptions!$B$104,0,$C$1)-AH$253/AH$14)),AH$253*(1+AI$265)*(1+AI$261)),AH$253+IF(OFFSET(Assumptions!$B$113,0,$C$1)="SND",Allocate!$B$16*Allocate!$B$31*AI$232*AI$14,0))</f>
        <v>11.707052825107384</v>
      </c>
      <c r="AJ253" s="7">
        <f ca="1">IF(OFFSET(Assumptions!$B$72,0,$C$1)="BU",IF(AJ$6&lt;=OFFSET(Assumptions!$B$99,0,$C$1),AJ$14*(AI$253/AI$14+MIN(ABS(OFFSET(Assumptions!$B$104,0,$C$1)-AI$253/AI$14),OFFSET(Assumptions!$B$100,0,$C$1))*SIGN(OFFSET(Assumptions!$B$104,0,$C$1)-AI$253/AI$14)),AI$253*(1+AJ$265)*(1+AJ$261)),AI$253+IF(OFFSET(Assumptions!$B$113,0,$C$1)="SND",Allocate!$B$16*Allocate!$B$31*AJ$232*AJ$14,0))</f>
        <v>12.204104237068599</v>
      </c>
      <c r="AK253" s="7">
        <f ca="1">IF(OFFSET(Assumptions!$B$72,0,$C$1)="BU",IF(AK$6&lt;=OFFSET(Assumptions!$B$99,0,$C$1),AK$14*(AJ$253/AJ$14+MIN(ABS(OFFSET(Assumptions!$B$104,0,$C$1)-AJ$253/AJ$14),OFFSET(Assumptions!$B$100,0,$C$1))*SIGN(OFFSET(Assumptions!$B$104,0,$C$1)-AJ$253/AJ$14)),AJ$253*(1+AK$265)*(1+AK$261)),AJ$253+IF(OFFSET(Assumptions!$B$113,0,$C$1)="SND",Allocate!$B$16*Allocate!$B$31*AK$232*AK$14,0))</f>
        <v>12.71274736264926</v>
      </c>
      <c r="AL253" s="7">
        <f ca="1">IF(OFFSET(Assumptions!$B$72,0,$C$1)="BU",IF(AL$6&lt;=OFFSET(Assumptions!$B$99,0,$C$1),AL$14*(AK$253/AK$14+MIN(ABS(OFFSET(Assumptions!$B$104,0,$C$1)-AK$253/AK$14),OFFSET(Assumptions!$B$100,0,$C$1))*SIGN(OFFSET(Assumptions!$B$104,0,$C$1)-AK$253/AK$14)),AK$253*(1+AL$265)*(1+AL$261)),AK$253+IF(OFFSET(Assumptions!$B$113,0,$C$1)="SND",Allocate!$B$16*Allocate!$B$31*AL$232*AL$14,0))</f>
        <v>13.240271305688493</v>
      </c>
      <c r="AM253" s="7">
        <f ca="1">IF(OFFSET(Assumptions!$B$72,0,$C$1)="BU",IF(AM$6&lt;=OFFSET(Assumptions!$B$99,0,$C$1),AM$14*(AL$253/AL$14+MIN(ABS(OFFSET(Assumptions!$B$104,0,$C$1)-AL$253/AL$14),OFFSET(Assumptions!$B$100,0,$C$1))*SIGN(OFFSET(Assumptions!$B$104,0,$C$1)-AL$253/AL$14)),AL$253*(1+AM$265)*(1+AM$261)),AL$253+IF(OFFSET(Assumptions!$B$113,0,$C$1)="SND",Allocate!$B$16*Allocate!$B$31*AM$232*AM$14,0))</f>
        <v>13.78475229768663</v>
      </c>
      <c r="AN253" s="7">
        <f ca="1">IF(OFFSET(Assumptions!$B$72,0,$C$1)="BU",IF(AN$6&lt;=OFFSET(Assumptions!$B$99,0,$C$1),AN$14*(AM$253/AM$14+MIN(ABS(OFFSET(Assumptions!$B$104,0,$C$1)-AM$253/AM$14),OFFSET(Assumptions!$B$100,0,$C$1))*SIGN(OFFSET(Assumptions!$B$104,0,$C$1)-AM$253/AM$14)),AM$253*(1+AN$265)*(1+AN$261)),AM$253+IF(OFFSET(Assumptions!$B$113,0,$C$1)="SND",Allocate!$B$16*Allocate!$B$31*AN$232*AN$14,0))</f>
        <v>14.353084413843266</v>
      </c>
      <c r="AO253" s="7">
        <f ca="1">IF(OFFSET(Assumptions!$B$72,0,$C$1)="BU",IF(AO$6&lt;=OFFSET(Assumptions!$B$99,0,$C$1),AO$14*(AN$253/AN$14+MIN(ABS(OFFSET(Assumptions!$B$104,0,$C$1)-AN$253/AN$14),OFFSET(Assumptions!$B$100,0,$C$1))*SIGN(OFFSET(Assumptions!$B$104,0,$C$1)-AN$253/AN$14)),AN$253*(1+AO$265)*(1+AO$261)),AN$253+IF(OFFSET(Assumptions!$B$113,0,$C$1)="SND",Allocate!$B$16*Allocate!$B$31*AO$232*AO$14,0))</f>
        <v>14.94799027236645</v>
      </c>
      <c r="AP253" s="7">
        <f ca="1">IF(OFFSET(Assumptions!$B$72,0,$C$1)="BU",IF(AP$6&lt;=OFFSET(Assumptions!$B$99,0,$C$1),AP$14*(AO$253/AO$14+MIN(ABS(OFFSET(Assumptions!$B$104,0,$C$1)-AO$253/AO$14),OFFSET(Assumptions!$B$100,0,$C$1))*SIGN(OFFSET(Assumptions!$B$104,0,$C$1)-AO$253/AO$14)),AO$253*(1+AP$265)*(1+AP$261)),AO$253+IF(OFFSET(Assumptions!$B$113,0,$C$1)="SND",Allocate!$B$16*Allocate!$B$31*AP$232*AP$14,0))</f>
        <v>15.569471690727756</v>
      </c>
      <c r="AQ253" s="7">
        <f ca="1">IF(OFFSET(Assumptions!$B$72,0,$C$1)="BU",IF(AQ$6&lt;=OFFSET(Assumptions!$B$99,0,$C$1),AQ$14*(AP$253/AP$14+MIN(ABS(OFFSET(Assumptions!$B$104,0,$C$1)-AP$253/AP$14),OFFSET(Assumptions!$B$100,0,$C$1))*SIGN(OFFSET(Assumptions!$B$104,0,$C$1)-AP$253/AP$14)),AP$253*(1+AQ$265)*(1+AQ$261)),AP$253+IF(OFFSET(Assumptions!$B$113,0,$C$1)="SND",Allocate!$B$16*Allocate!$B$31*AQ$232*AQ$14,0))</f>
        <v>16.223727599644878</v>
      </c>
      <c r="AR253" s="7">
        <f ca="1">IF(OFFSET(Assumptions!$B$72,0,$C$1)="BU",IF(AR$6&lt;=OFFSET(Assumptions!$B$99,0,$C$1),AR$14*(AQ$253/AQ$14+MIN(ABS(OFFSET(Assumptions!$B$104,0,$C$1)-AQ$253/AQ$14),OFFSET(Assumptions!$B$100,0,$C$1))*SIGN(OFFSET(Assumptions!$B$104,0,$C$1)-AQ$253/AQ$14)),AQ$253*(1+AR$265)*(1+AR$261)),AQ$253+IF(OFFSET(Assumptions!$B$113,0,$C$1)="SND",Allocate!$B$16*Allocate!$B$31*AR$232*AR$14,0))</f>
        <v>16.907963374798427</v>
      </c>
      <c r="AS253" s="7">
        <f ca="1">IF(OFFSET(Assumptions!$B$72,0,$C$1)="BU",IF(AS$6&lt;=OFFSET(Assumptions!$B$99,0,$C$1),AS$14*(AR$253/AR$14+MIN(ABS(OFFSET(Assumptions!$B$104,0,$C$1)-AR$253/AR$14),OFFSET(Assumptions!$B$100,0,$C$1))*SIGN(OFFSET(Assumptions!$B$104,0,$C$1)-AR$253/AR$14)),AR$253*(1+AS$265)*(1+AS$261)),AR$253+IF(OFFSET(Assumptions!$B$113,0,$C$1)="SND",Allocate!$B$16*Allocate!$B$31*AS$232*AS$14,0))</f>
        <v>17.621767557625947</v>
      </c>
      <c r="AT253" s="7">
        <f ca="1">IF(OFFSET(Assumptions!$B$72,0,$C$1)="BU",IF(AT$6&lt;=OFFSET(Assumptions!$B$99,0,$C$1),AT$14*(AS$253/AS$14+MIN(ABS(OFFSET(Assumptions!$B$104,0,$C$1)-AS$253/AS$14),OFFSET(Assumptions!$B$100,0,$C$1))*SIGN(OFFSET(Assumptions!$B$104,0,$C$1)-AS$253/AS$14)),AS$253*(1+AT$265)*(1+AT$261)),AS$253+IF(OFFSET(Assumptions!$B$113,0,$C$1)="SND",Allocate!$B$16*Allocate!$B$31*AT$232*AT$14,0))</f>
        <v>18.367945661966562</v>
      </c>
      <c r="AU253" s="7">
        <f ca="1">IF(OFFSET(Assumptions!$B$72,0,$C$1)="BU",IF(AU$6&lt;=OFFSET(Assumptions!$B$99,0,$C$1),AU$14*(AT$253/AT$14+MIN(ABS(OFFSET(Assumptions!$B$104,0,$C$1)-AT$253/AT$14),OFFSET(Assumptions!$B$100,0,$C$1))*SIGN(OFFSET(Assumptions!$B$104,0,$C$1)-AT$253/AT$14)),AT$253*(1+AU$265)*(1+AU$261)),AT$253+IF(OFFSET(Assumptions!$B$113,0,$C$1)="SND",Allocate!$B$16*Allocate!$B$31*AU$232*AU$14,0))</f>
        <v>19.148005310437458</v>
      </c>
      <c r="AV253" s="7">
        <f ca="1">IF(OFFSET(Assumptions!$B$72,0,$C$1)="BU",IF(AV$6&lt;=OFFSET(Assumptions!$B$99,0,$C$1),AV$14*(AU$253/AU$14+MIN(ABS(OFFSET(Assumptions!$B$104,0,$C$1)-AU$253/AU$14),OFFSET(Assumptions!$B$100,0,$C$1))*SIGN(OFFSET(Assumptions!$B$104,0,$C$1)-AU$253/AU$14)),AU$253*(1+AV$265)*(1+AV$261)),AU$253+IF(OFFSET(Assumptions!$B$113,0,$C$1)="SND",Allocate!$B$16*Allocate!$B$31*AV$232*AV$14,0))</f>
        <v>19.960150564065014</v>
      </c>
      <c r="AW253" s="7">
        <f ca="1">IF(OFFSET(Assumptions!$B$72,0,$C$1)="BU",IF(AW$6&lt;=OFFSET(Assumptions!$B$99,0,$C$1),AW$14*(AV$253/AV$14+MIN(ABS(OFFSET(Assumptions!$B$104,0,$C$1)-AV$253/AV$14),OFFSET(Assumptions!$B$100,0,$C$1))*SIGN(OFFSET(Assumptions!$B$104,0,$C$1)-AV$253/AV$14)),AV$253*(1+AW$265)*(1+AW$261)),AV$253+IF(OFFSET(Assumptions!$B$113,0,$C$1)="SND",Allocate!$B$16*Allocate!$B$31*AW$232*AW$14,0))</f>
        <v>20.808035171973046</v>
      </c>
    </row>
    <row r="254" spans="1:49" x14ac:dyDescent="0.2">
      <c r="A254" s="1" t="s">
        <v>318</v>
      </c>
      <c r="D254" s="18">
        <f t="shared" ref="D254:I254" si="180">D$173</f>
        <v>0.51100000000000001</v>
      </c>
      <c r="E254" s="19">
        <f t="shared" si="180"/>
        <v>0.496</v>
      </c>
      <c r="F254" s="19">
        <f t="shared" si="180"/>
        <v>0.51</v>
      </c>
      <c r="G254" s="19">
        <f t="shared" si="180"/>
        <v>0.54</v>
      </c>
      <c r="H254" s="19">
        <f t="shared" si="180"/>
        <v>0.54200000000000004</v>
      </c>
      <c r="I254" s="19">
        <f t="shared" si="180"/>
        <v>0.54700000000000004</v>
      </c>
      <c r="J254" s="7">
        <f t="shared" ref="J254:AW254" ca="1" si="181">J$173</f>
        <v>0.62359402369910744</v>
      </c>
      <c r="K254" s="7">
        <f t="shared" ca="1" si="181"/>
        <v>0.64965414101038543</v>
      </c>
      <c r="L254" s="7">
        <f t="shared" ca="1" si="181"/>
        <v>0.67781358835892724</v>
      </c>
      <c r="M254" s="7">
        <f t="shared" ca="1" si="181"/>
        <v>0.70709950977802272</v>
      </c>
      <c r="N254" s="7">
        <f t="shared" ca="1" si="181"/>
        <v>0.73759492728030718</v>
      </c>
      <c r="O254" s="7">
        <f t="shared" ca="1" si="181"/>
        <v>0.76908044506482742</v>
      </c>
      <c r="P254" s="7">
        <f t="shared" ca="1" si="181"/>
        <v>0.80160401203800202</v>
      </c>
      <c r="Q254" s="7">
        <f t="shared" ca="1" si="181"/>
        <v>0.83513049677556295</v>
      </c>
      <c r="R254" s="7">
        <f t="shared" ca="1" si="181"/>
        <v>0.86963501533360654</v>
      </c>
      <c r="S254" s="7">
        <f t="shared" ca="1" si="181"/>
        <v>0.90522722166511427</v>
      </c>
      <c r="T254" s="7">
        <f t="shared" ca="1" si="181"/>
        <v>0.94192009504269969</v>
      </c>
      <c r="U254" s="7">
        <f t="shared" ca="1" si="181"/>
        <v>0.97984532522170287</v>
      </c>
      <c r="V254" s="7">
        <f t="shared" ca="1" si="181"/>
        <v>1.0190965308494406</v>
      </c>
      <c r="W254" s="7">
        <f t="shared" ca="1" si="181"/>
        <v>1.0597874325692371</v>
      </c>
      <c r="X254" s="7">
        <f t="shared" ca="1" si="181"/>
        <v>1.102046917075997</v>
      </c>
      <c r="Y254" s="7">
        <f t="shared" ca="1" si="181"/>
        <v>1.145870664051158</v>
      </c>
      <c r="Z254" s="7">
        <f t="shared" ca="1" si="181"/>
        <v>1.1914804936302461</v>
      </c>
      <c r="AA254" s="7">
        <f t="shared" ca="1" si="181"/>
        <v>1.2389502026748054</v>
      </c>
      <c r="AB254" s="7">
        <f t="shared" ca="1" si="181"/>
        <v>1.288422347104984</v>
      </c>
      <c r="AC254" s="7">
        <f t="shared" ca="1" si="181"/>
        <v>1.3400836909794946</v>
      </c>
      <c r="AD254" s="7">
        <f t="shared" ca="1" si="181"/>
        <v>1.3939886859920594</v>
      </c>
      <c r="AE254" s="7">
        <f t="shared" ca="1" si="181"/>
        <v>1.4500878275895615</v>
      </c>
      <c r="AF254" s="7">
        <f t="shared" ca="1" si="181"/>
        <v>1.5085363196346488</v>
      </c>
      <c r="AG254" s="7">
        <f t="shared" ca="1" si="181"/>
        <v>1.5693668440800259</v>
      </c>
      <c r="AH254" s="7">
        <f t="shared" ca="1" si="181"/>
        <v>1.6326769468924458</v>
      </c>
      <c r="AI254" s="7">
        <f t="shared" ca="1" si="181"/>
        <v>1.6983560043645252</v>
      </c>
      <c r="AJ254" s="7">
        <f t="shared" ca="1" si="181"/>
        <v>1.7666144192408535</v>
      </c>
      <c r="AK254" s="7">
        <f t="shared" ca="1" si="181"/>
        <v>1.8373960400467502</v>
      </c>
      <c r="AL254" s="7">
        <f t="shared" ca="1" si="181"/>
        <v>1.9106451101467705</v>
      </c>
      <c r="AM254" s="7">
        <f t="shared" ca="1" si="181"/>
        <v>1.9864616973091862</v>
      </c>
      <c r="AN254" s="7">
        <f t="shared" ca="1" si="181"/>
        <v>2.0649512616725252</v>
      </c>
      <c r="AO254" s="7">
        <f t="shared" ca="1" si="181"/>
        <v>2.1458056018604821</v>
      </c>
      <c r="AP254" s="7">
        <f t="shared" ca="1" si="181"/>
        <v>2.2293680654339632</v>
      </c>
      <c r="AQ254" s="7">
        <f t="shared" ca="1" si="181"/>
        <v>2.3154045106337362</v>
      </c>
      <c r="AR254" s="7">
        <f t="shared" ca="1" si="181"/>
        <v>2.4040123461074177</v>
      </c>
      <c r="AS254" s="7">
        <f t="shared" ca="1" si="181"/>
        <v>2.4953982913793737</v>
      </c>
      <c r="AT254" s="7">
        <f t="shared" ca="1" si="181"/>
        <v>2.5896353334121995</v>
      </c>
      <c r="AU254" s="7">
        <f t="shared" ca="1" si="181"/>
        <v>2.6868487864338872</v>
      </c>
      <c r="AV254" s="7">
        <f t="shared" ca="1" si="181"/>
        <v>2.7873392245316917</v>
      </c>
      <c r="AW254" s="7">
        <f t="shared" ca="1" si="181"/>
        <v>2.8910499152079563</v>
      </c>
    </row>
    <row r="255" spans="1:49" x14ac:dyDescent="0.2">
      <c r="A255" s="1" t="s">
        <v>547</v>
      </c>
      <c r="D255" s="18">
        <f t="shared" ref="D255:I255" si="182">SUM(D$387,D$390)</f>
        <v>0.871</v>
      </c>
      <c r="E255" s="19">
        <f t="shared" si="182"/>
        <v>0.71900000000000008</v>
      </c>
      <c r="F255" s="19">
        <f t="shared" si="182"/>
        <v>0.78899999999999992</v>
      </c>
      <c r="G255" s="19">
        <f t="shared" si="182"/>
        <v>0.80299999999999994</v>
      </c>
      <c r="H255" s="19">
        <f t="shared" si="182"/>
        <v>0.80599999999999994</v>
      </c>
      <c r="I255" s="19">
        <f t="shared" si="182"/>
        <v>0.81699999999999995</v>
      </c>
      <c r="J255" s="7">
        <f>SUM(J$387,J$390)</f>
        <v>0.72199999999999998</v>
      </c>
      <c r="K255" s="7">
        <f t="shared" ref="K255:AW255" si="183">SUM(K$387,K$390)</f>
        <v>0.72699999999999998</v>
      </c>
      <c r="L255" s="7">
        <f t="shared" si="183"/>
        <v>0.74099999999999999</v>
      </c>
      <c r="M255" s="7">
        <f t="shared" si="183"/>
        <v>0.755</v>
      </c>
      <c r="N255" s="7">
        <f t="shared" si="183"/>
        <v>0.78</v>
      </c>
      <c r="O255" s="7">
        <f t="shared" si="183"/>
        <v>0.80200000000000005</v>
      </c>
      <c r="P255" s="7">
        <f t="shared" si="183"/>
        <v>0.82699999999999996</v>
      </c>
      <c r="Q255" s="7">
        <f t="shared" si="183"/>
        <v>0.85199999999999998</v>
      </c>
      <c r="R255" s="7">
        <f t="shared" si="183"/>
        <v>0.874</v>
      </c>
      <c r="S255" s="7">
        <f t="shared" si="183"/>
        <v>0.89600000000000002</v>
      </c>
      <c r="T255" s="7">
        <f t="shared" si="183"/>
        <v>0.92200000000000004</v>
      </c>
      <c r="U255" s="7">
        <f t="shared" si="183"/>
        <v>0.94500000000000006</v>
      </c>
      <c r="V255" s="7">
        <f t="shared" si="183"/>
        <v>0.96700000000000008</v>
      </c>
      <c r="W255" s="7">
        <f t="shared" si="183"/>
        <v>0.9890000000000001</v>
      </c>
      <c r="X255" s="7">
        <f t="shared" si="183"/>
        <v>1.0110000000000001</v>
      </c>
      <c r="Y255" s="7">
        <f t="shared" si="183"/>
        <v>1.0350000000000001</v>
      </c>
      <c r="Z255" s="7">
        <f t="shared" si="183"/>
        <v>1.0640000000000001</v>
      </c>
      <c r="AA255" s="7">
        <f t="shared" si="183"/>
        <v>1.0920000000000001</v>
      </c>
      <c r="AB255" s="7">
        <f t="shared" si="183"/>
        <v>1.125</v>
      </c>
      <c r="AC255" s="7">
        <f t="shared" si="183"/>
        <v>1.1619999999999999</v>
      </c>
      <c r="AD255" s="7">
        <f t="shared" si="183"/>
        <v>1.1949999999999998</v>
      </c>
      <c r="AE255" s="7">
        <f t="shared" si="183"/>
        <v>1.2299999999999998</v>
      </c>
      <c r="AF255" s="7">
        <f t="shared" si="183"/>
        <v>1.2629999999999997</v>
      </c>
      <c r="AG255" s="7">
        <f t="shared" si="183"/>
        <v>1.2969999999999997</v>
      </c>
      <c r="AH255" s="7">
        <f t="shared" si="183"/>
        <v>1.3399999999999996</v>
      </c>
      <c r="AI255" s="7">
        <f t="shared" si="183"/>
        <v>1.3819999999999997</v>
      </c>
      <c r="AJ255" s="7">
        <f t="shared" si="183"/>
        <v>1.4199999999999997</v>
      </c>
      <c r="AK255" s="7">
        <f t="shared" si="183"/>
        <v>1.4539999999999997</v>
      </c>
      <c r="AL255" s="7">
        <f t="shared" si="183"/>
        <v>1.4869999999999997</v>
      </c>
      <c r="AM255" s="7">
        <f t="shared" si="183"/>
        <v>1.5179999999999996</v>
      </c>
      <c r="AN255" s="7">
        <f t="shared" si="183"/>
        <v>1.5549999999999995</v>
      </c>
      <c r="AO255" s="7">
        <f t="shared" si="183"/>
        <v>1.5919999999999994</v>
      </c>
      <c r="AP255" s="7">
        <f t="shared" si="183"/>
        <v>1.6259999999999994</v>
      </c>
      <c r="AQ255" s="7">
        <f t="shared" si="183"/>
        <v>1.6659999999999995</v>
      </c>
      <c r="AR255" s="7">
        <f t="shared" si="183"/>
        <v>1.7039999999999995</v>
      </c>
      <c r="AS255" s="7">
        <f t="shared" si="183"/>
        <v>1.7419999999999995</v>
      </c>
      <c r="AT255" s="7">
        <f t="shared" si="183"/>
        <v>1.7829999999999995</v>
      </c>
      <c r="AU255" s="7">
        <f t="shared" si="183"/>
        <v>1.8249999999999995</v>
      </c>
      <c r="AV255" s="7">
        <f t="shared" si="183"/>
        <v>1.8739999999999994</v>
      </c>
      <c r="AW255" s="7">
        <f t="shared" si="183"/>
        <v>1.9149999999999994</v>
      </c>
    </row>
    <row r="256" spans="1:49" x14ac:dyDescent="0.2">
      <c r="A256" s="1" t="s">
        <v>834</v>
      </c>
      <c r="B256" s="4" t="str">
        <f>$B$43</f>
        <v>From Fiscal</v>
      </c>
      <c r="D256" s="18">
        <f>Fiscal!D$383</f>
        <v>1.19</v>
      </c>
      <c r="E256" s="19">
        <f ca="1">Fiscal!E$383 +IF(OR(OFFSET(Assumptions!$B$72,0,$C$1)="BU",OFFSET(Assumptions!$B$113,0,$C$1)="SND"),Allocate!C$32,0)</f>
        <v>1.196</v>
      </c>
      <c r="F256" s="19">
        <f ca="1">Fiscal!F$383 +IF(OR(OFFSET(Assumptions!$B$72,0,$C$1)="BU",OFFSET(Assumptions!$B$113,0,$C$1)="SND"),Allocate!D$32,0)</f>
        <v>1.2010000000000001</v>
      </c>
      <c r="G256" s="19">
        <f ca="1">Fiscal!G$383 +IF(OR(OFFSET(Assumptions!$B$72,0,$C$1)="BU",OFFSET(Assumptions!$B$113,0,$C$1)="SND"),Allocate!E$32,0)</f>
        <v>1.248</v>
      </c>
      <c r="H256" s="19">
        <f ca="1">Fiscal!H$383 +IF(OR(OFFSET(Assumptions!$B$72,0,$C$1)="BU",OFFSET(Assumptions!$B$113,0,$C$1)="SND"),Allocate!F$32,0)</f>
        <v>1.306</v>
      </c>
      <c r="I256" s="19">
        <f ca="1">Fiscal!I$383 +IF(OR(OFFSET(Assumptions!$B$72,0,$C$1)="BU",OFFSET(Assumptions!$B$113,0,$C$1)="SND"),Allocate!G$32,0)</f>
        <v>1.3650000000000002</v>
      </c>
      <c r="J256" s="7">
        <f ca="1">IF(OFFSET(Assumptions!$B$72,0,$C$1)="BU",J$14*(I$256/I$14+MIN(ABS(OFFSET(Assumptions!$B$77,0,$C$1)-I$256/I$14),OFFSET(Assumptions!$B$75,0,$C$1))*SIGN(OFFSET(Assumptions!$B$77,0,$C$1)-I$256/I$14)),I$256+IF(OFFSET(Assumptions!$B$113,0,$C$1)="SND",Allocate!$B$16*Allocate!$B$32*J$232*J$14,0))</f>
        <v>1.5589850592477685</v>
      </c>
      <c r="K256" s="7">
        <f ca="1">IF(OFFSET(Assumptions!$B$72,0,$C$1)="BU",K$14*(J$256/J$14+MIN(ABS(OFFSET(Assumptions!$B$77,0,$C$1)-J$256/J$14),OFFSET(Assumptions!$B$75,0,$C$1))*SIGN(OFFSET(Assumptions!$B$77,0,$C$1)-J$256/J$14)),J$256+IF(OFFSET(Assumptions!$B$113,0,$C$1)="SND",Allocate!$B$16*Allocate!$B$32*K$232*K$14,0))</f>
        <v>1.6241353525259634</v>
      </c>
      <c r="L256" s="7">
        <f ca="1">IF(OFFSET(Assumptions!$B$72,0,$C$1)="BU",L$14*(K$256/K$14+MIN(ABS(OFFSET(Assumptions!$B$77,0,$C$1)-K$256/K$14),OFFSET(Assumptions!$B$75,0,$C$1))*SIGN(OFFSET(Assumptions!$B$77,0,$C$1)-K$256/K$14)),K$256+IF(OFFSET(Assumptions!$B$113,0,$C$1)="SND",Allocate!$B$16*Allocate!$B$32*L$232*L$14,0))</f>
        <v>1.6945339708973179</v>
      </c>
      <c r="M256" s="7">
        <f ca="1">IF(OFFSET(Assumptions!$B$72,0,$C$1)="BU",M$14*(L$256/L$14+MIN(ABS(OFFSET(Assumptions!$B$77,0,$C$1)-L$256/L$14),OFFSET(Assumptions!$B$75,0,$C$1))*SIGN(OFFSET(Assumptions!$B$77,0,$C$1)-L$256/L$14)),L$256+IF(OFFSET(Assumptions!$B$113,0,$C$1)="SND",Allocate!$B$16*Allocate!$B$32*M$232*M$14,0))</f>
        <v>1.7677487744450568</v>
      </c>
      <c r="N256" s="7">
        <f ca="1">IF(OFFSET(Assumptions!$B$72,0,$C$1)="BU",N$14*(M$256/M$14+MIN(ABS(OFFSET(Assumptions!$B$77,0,$C$1)-M$256/M$14),OFFSET(Assumptions!$B$75,0,$C$1))*SIGN(OFFSET(Assumptions!$B$77,0,$C$1)-M$256/M$14)),M$256+IF(OFFSET(Assumptions!$B$113,0,$C$1)="SND",Allocate!$B$16*Allocate!$B$32*N$232*N$14,0))</f>
        <v>1.843987318200768</v>
      </c>
      <c r="O256" s="7">
        <f ca="1">IF(OFFSET(Assumptions!$B$72,0,$C$1)="BU",O$14*(N$256/N$14+MIN(ABS(OFFSET(Assumptions!$B$77,0,$C$1)-N$256/N$14),OFFSET(Assumptions!$B$75,0,$C$1))*SIGN(OFFSET(Assumptions!$B$77,0,$C$1)-N$256/N$14)),N$256+IF(OFFSET(Assumptions!$B$113,0,$C$1)="SND",Allocate!$B$16*Allocate!$B$32*O$232*O$14,0))</f>
        <v>1.9227011126620683</v>
      </c>
      <c r="P256" s="7">
        <f ca="1">IF(OFFSET(Assumptions!$B$72,0,$C$1)="BU",P$14*(O$256/O$14+MIN(ABS(OFFSET(Assumptions!$B$77,0,$C$1)-O$256/O$14),OFFSET(Assumptions!$B$75,0,$C$1))*SIGN(OFFSET(Assumptions!$B$77,0,$C$1)-O$256/O$14)),O$256+IF(OFFSET(Assumptions!$B$113,0,$C$1)="SND",Allocate!$B$16*Allocate!$B$32*P$232*P$14,0))</f>
        <v>2.0040100300950052</v>
      </c>
      <c r="Q256" s="7">
        <f ca="1">IF(OFFSET(Assumptions!$B$72,0,$C$1)="BU",Q$14*(P$256/P$14+MIN(ABS(OFFSET(Assumptions!$B$77,0,$C$1)-P$256/P$14),OFFSET(Assumptions!$B$75,0,$C$1))*SIGN(OFFSET(Assumptions!$B$77,0,$C$1)-P$256/P$14)),P$256+IF(OFFSET(Assumptions!$B$113,0,$C$1)="SND",Allocate!$B$16*Allocate!$B$32*Q$232*Q$14,0))</f>
        <v>2.0878262419389073</v>
      </c>
      <c r="R256" s="7">
        <f ca="1">IF(OFFSET(Assumptions!$B$72,0,$C$1)="BU",R$14*(Q$256/Q$14+MIN(ABS(OFFSET(Assumptions!$B$77,0,$C$1)-Q$256/Q$14),OFFSET(Assumptions!$B$75,0,$C$1))*SIGN(OFFSET(Assumptions!$B$77,0,$C$1)-Q$256/Q$14)),Q$256+IF(OFFSET(Assumptions!$B$113,0,$C$1)="SND",Allocate!$B$16*Allocate!$B$32*R$232*R$14,0))</f>
        <v>2.1740875383340161</v>
      </c>
      <c r="S256" s="7">
        <f ca="1">IF(OFFSET(Assumptions!$B$72,0,$C$1)="BU",S$14*(R$256/R$14+MIN(ABS(OFFSET(Assumptions!$B$77,0,$C$1)-R$256/R$14),OFFSET(Assumptions!$B$75,0,$C$1))*SIGN(OFFSET(Assumptions!$B$77,0,$C$1)-R$256/R$14)),R$256+IF(OFFSET(Assumptions!$B$113,0,$C$1)="SND",Allocate!$B$16*Allocate!$B$32*S$232*S$14,0))</f>
        <v>2.2630680541627859</v>
      </c>
      <c r="T256" s="7">
        <f ca="1">IF(OFFSET(Assumptions!$B$72,0,$C$1)="BU",T$14*(S$256/S$14+MIN(ABS(OFFSET(Assumptions!$B$77,0,$C$1)-S$256/S$14),OFFSET(Assumptions!$B$75,0,$C$1))*SIGN(OFFSET(Assumptions!$B$77,0,$C$1)-S$256/S$14)),S$256+IF(OFFSET(Assumptions!$B$113,0,$C$1)="SND",Allocate!$B$16*Allocate!$B$32*T$232*T$14,0))</f>
        <v>2.3548002376067494</v>
      </c>
      <c r="U256" s="7">
        <f ca="1">IF(OFFSET(Assumptions!$B$72,0,$C$1)="BU",U$14*(T$256/T$14+MIN(ABS(OFFSET(Assumptions!$B$77,0,$C$1)-T$256/T$14),OFFSET(Assumptions!$B$75,0,$C$1))*SIGN(OFFSET(Assumptions!$B$77,0,$C$1)-T$256/T$14)),T$256+IF(OFFSET(Assumptions!$B$113,0,$C$1)="SND",Allocate!$B$16*Allocate!$B$32*U$232*U$14,0))</f>
        <v>2.449613313054257</v>
      </c>
      <c r="V256" s="7">
        <f ca="1">IF(OFFSET(Assumptions!$B$72,0,$C$1)="BU",V$14*(U$256/U$14+MIN(ABS(OFFSET(Assumptions!$B$77,0,$C$1)-U$256/U$14),OFFSET(Assumptions!$B$75,0,$C$1))*SIGN(OFFSET(Assumptions!$B$77,0,$C$1)-U$256/U$14)),U$256+IF(OFFSET(Assumptions!$B$113,0,$C$1)="SND",Allocate!$B$16*Allocate!$B$32*V$232*V$14,0))</f>
        <v>2.5477413271236018</v>
      </c>
      <c r="W256" s="7">
        <f ca="1">IF(OFFSET(Assumptions!$B$72,0,$C$1)="BU",W$14*(V$256/V$14+MIN(ABS(OFFSET(Assumptions!$B$77,0,$C$1)-V$256/V$14),OFFSET(Assumptions!$B$75,0,$C$1))*SIGN(OFFSET(Assumptions!$B$77,0,$C$1)-V$256/V$14)),V$256+IF(OFFSET(Assumptions!$B$113,0,$C$1)="SND",Allocate!$B$16*Allocate!$B$32*W$232*W$14,0))</f>
        <v>2.6494685814230929</v>
      </c>
      <c r="X256" s="7">
        <f ca="1">IF(OFFSET(Assumptions!$B$72,0,$C$1)="BU",X$14*(W$256/W$14+MIN(ABS(OFFSET(Assumptions!$B$77,0,$C$1)-W$256/W$14),OFFSET(Assumptions!$B$75,0,$C$1))*SIGN(OFFSET(Assumptions!$B$77,0,$C$1)-W$256/W$14)),W$256+IF(OFFSET(Assumptions!$B$113,0,$C$1)="SND",Allocate!$B$16*Allocate!$B$32*X$232*X$14,0))</f>
        <v>2.7551172926899925</v>
      </c>
      <c r="Y256" s="7">
        <f ca="1">IF(OFFSET(Assumptions!$B$72,0,$C$1)="BU",Y$14*(X$256/X$14+MIN(ABS(OFFSET(Assumptions!$B$77,0,$C$1)-X$256/X$14),OFFSET(Assumptions!$B$75,0,$C$1))*SIGN(OFFSET(Assumptions!$B$77,0,$C$1)-X$256/X$14)),X$256+IF(OFFSET(Assumptions!$B$113,0,$C$1)="SND",Allocate!$B$16*Allocate!$B$32*Y$232*Y$14,0))</f>
        <v>2.8646766601278948</v>
      </c>
      <c r="Z256" s="7">
        <f ca="1">IF(OFFSET(Assumptions!$B$72,0,$C$1)="BU",Z$14*(Y$256/Y$14+MIN(ABS(OFFSET(Assumptions!$B$77,0,$C$1)-Y$256/Y$14),OFFSET(Assumptions!$B$75,0,$C$1))*SIGN(OFFSET(Assumptions!$B$77,0,$C$1)-Y$256/Y$14)),Y$256+IF(OFFSET(Assumptions!$B$113,0,$C$1)="SND",Allocate!$B$16*Allocate!$B$32*Z$232*Z$14,0))</f>
        <v>2.9787012340756149</v>
      </c>
      <c r="AA256" s="7">
        <f ca="1">IF(OFFSET(Assumptions!$B$72,0,$C$1)="BU",AA$14*(Z$256/Z$14+MIN(ABS(OFFSET(Assumptions!$B$77,0,$C$1)-Z$256/Z$14),OFFSET(Assumptions!$B$75,0,$C$1))*SIGN(OFFSET(Assumptions!$B$77,0,$C$1)-Z$256/Z$14)),Z$256+IF(OFFSET(Assumptions!$B$113,0,$C$1)="SND",Allocate!$B$16*Allocate!$B$32*AA$232*AA$14,0))</f>
        <v>3.0973755066870132</v>
      </c>
      <c r="AB256" s="7">
        <f ca="1">IF(OFFSET(Assumptions!$B$72,0,$C$1)="BU",AB$14*(AA$256/AA$14+MIN(ABS(OFFSET(Assumptions!$B$77,0,$C$1)-AA$256/AA$14),OFFSET(Assumptions!$B$75,0,$C$1))*SIGN(OFFSET(Assumptions!$B$77,0,$C$1)-AA$256/AA$14)),AA$256+IF(OFFSET(Assumptions!$B$113,0,$C$1)="SND",Allocate!$B$16*Allocate!$B$32*AB$232*AB$14,0))</f>
        <v>3.2210558677624603</v>
      </c>
      <c r="AC256" s="7">
        <f ca="1">IF(OFFSET(Assumptions!$B$72,0,$C$1)="BU",AC$14*(AB$256/AB$14+MIN(ABS(OFFSET(Assumptions!$B$77,0,$C$1)-AB$256/AB$14),OFFSET(Assumptions!$B$75,0,$C$1))*SIGN(OFFSET(Assumptions!$B$77,0,$C$1)-AB$256/AB$14)),AB$256+IF(OFFSET(Assumptions!$B$113,0,$C$1)="SND",Allocate!$B$16*Allocate!$B$32*AC$232*AC$14,0))</f>
        <v>3.3502092274487367</v>
      </c>
      <c r="AD256" s="7">
        <f ca="1">IF(OFFSET(Assumptions!$B$72,0,$C$1)="BU",AD$14*(AC$256/AC$14+MIN(ABS(OFFSET(Assumptions!$B$77,0,$C$1)-AC$256/AC$14),OFFSET(Assumptions!$B$75,0,$C$1))*SIGN(OFFSET(Assumptions!$B$77,0,$C$1)-AC$256/AC$14)),AC$256+IF(OFFSET(Assumptions!$B$113,0,$C$1)="SND",Allocate!$B$16*Allocate!$B$32*AD$232*AD$14,0))</f>
        <v>3.4849717149801482</v>
      </c>
      <c r="AE256" s="7">
        <f ca="1">IF(OFFSET(Assumptions!$B$72,0,$C$1)="BU",AE$14*(AD$256/AD$14+MIN(ABS(OFFSET(Assumptions!$B$77,0,$C$1)-AD$256/AD$14),OFFSET(Assumptions!$B$75,0,$C$1))*SIGN(OFFSET(Assumptions!$B$77,0,$C$1)-AD$256/AD$14)),AD$256+IF(OFFSET(Assumptions!$B$113,0,$C$1)="SND",Allocate!$B$16*Allocate!$B$32*AE$232*AE$14,0))</f>
        <v>3.6252195689739035</v>
      </c>
      <c r="AF256" s="7">
        <f ca="1">IF(OFFSET(Assumptions!$B$72,0,$C$1)="BU",AF$14*(AE$256/AE$14+MIN(ABS(OFFSET(Assumptions!$B$77,0,$C$1)-AE$256/AE$14),OFFSET(Assumptions!$B$75,0,$C$1))*SIGN(OFFSET(Assumptions!$B$77,0,$C$1)-AE$256/AE$14)),AE$256+IF(OFFSET(Assumptions!$B$113,0,$C$1)="SND",Allocate!$B$16*Allocate!$B$32*AF$232*AF$14,0))</f>
        <v>3.7713407990866221</v>
      </c>
      <c r="AG256" s="7">
        <f ca="1">IF(OFFSET(Assumptions!$B$72,0,$C$1)="BU",AG$14*(AF$256/AF$14+MIN(ABS(OFFSET(Assumptions!$B$77,0,$C$1)-AF$256/AF$14),OFFSET(Assumptions!$B$75,0,$C$1))*SIGN(OFFSET(Assumptions!$B$77,0,$C$1)-AF$256/AF$14)),AF$256+IF(OFFSET(Assumptions!$B$113,0,$C$1)="SND",Allocate!$B$16*Allocate!$B$32*AG$232*AG$14,0))</f>
        <v>3.9234171102000648</v>
      </c>
      <c r="AH256" s="7">
        <f ca="1">IF(OFFSET(Assumptions!$B$72,0,$C$1)="BU",AH$14*(AG$256/AG$14+MIN(ABS(OFFSET(Assumptions!$B$77,0,$C$1)-AG$256/AG$14),OFFSET(Assumptions!$B$75,0,$C$1))*SIGN(OFFSET(Assumptions!$B$77,0,$C$1)-AG$256/AG$14)),AG$256+IF(OFFSET(Assumptions!$B$113,0,$C$1)="SND",Allocate!$B$16*Allocate!$B$32*AH$232*AH$14,0))</f>
        <v>4.0816923672311143</v>
      </c>
      <c r="AI256" s="7">
        <f ca="1">IF(OFFSET(Assumptions!$B$72,0,$C$1)="BU",AI$14*(AH$256/AH$14+MIN(ABS(OFFSET(Assumptions!$B$77,0,$C$1)-AH$256/AH$14),OFFSET(Assumptions!$B$75,0,$C$1))*SIGN(OFFSET(Assumptions!$B$77,0,$C$1)-AH$256/AH$14)),AH$256+IF(OFFSET(Assumptions!$B$113,0,$C$1)="SND",Allocate!$B$16*Allocate!$B$32*AI$232*AI$14,0))</f>
        <v>4.2458900109113129</v>
      </c>
      <c r="AJ256" s="7">
        <f ca="1">IF(OFFSET(Assumptions!$B$72,0,$C$1)="BU",AJ$14*(AI$256/AI$14+MIN(ABS(OFFSET(Assumptions!$B$77,0,$C$1)-AI$256/AI$14),OFFSET(Assumptions!$B$75,0,$C$1))*SIGN(OFFSET(Assumptions!$B$77,0,$C$1)-AI$256/AI$14)),AI$256+IF(OFFSET(Assumptions!$B$113,0,$C$1)="SND",Allocate!$B$16*Allocate!$B$32*AJ$232*AJ$14,0))</f>
        <v>4.4165360481021336</v>
      </c>
      <c r="AK256" s="7">
        <f ca="1">IF(OFFSET(Assumptions!$B$72,0,$C$1)="BU",AK$14*(AJ$256/AJ$14+MIN(ABS(OFFSET(Assumptions!$B$77,0,$C$1)-AJ$256/AJ$14),OFFSET(Assumptions!$B$75,0,$C$1))*SIGN(OFFSET(Assumptions!$B$77,0,$C$1)-AJ$256/AJ$14)),AJ$256+IF(OFFSET(Assumptions!$B$113,0,$C$1)="SND",Allocate!$B$16*Allocate!$B$32*AK$232*AK$14,0))</f>
        <v>4.5934901001168758</v>
      </c>
      <c r="AL256" s="7">
        <f ca="1">IF(OFFSET(Assumptions!$B$72,0,$C$1)="BU",AL$14*(AK$256/AK$14+MIN(ABS(OFFSET(Assumptions!$B$77,0,$C$1)-AK$256/AK$14),OFFSET(Assumptions!$B$75,0,$C$1))*SIGN(OFFSET(Assumptions!$B$77,0,$C$1)-AK$256/AK$14)),AK$256+IF(OFFSET(Assumptions!$B$113,0,$C$1)="SND",Allocate!$B$16*Allocate!$B$32*AL$232*AL$14,0))</f>
        <v>4.7766127753669263</v>
      </c>
      <c r="AM256" s="7">
        <f ca="1">IF(OFFSET(Assumptions!$B$72,0,$C$1)="BU",AM$14*(AL$256/AL$14+MIN(ABS(OFFSET(Assumptions!$B$77,0,$C$1)-AL$256/AL$14),OFFSET(Assumptions!$B$75,0,$C$1))*SIGN(OFFSET(Assumptions!$B$77,0,$C$1)-AL$256/AL$14)),AL$256+IF(OFFSET(Assumptions!$B$113,0,$C$1)="SND",Allocate!$B$16*Allocate!$B$32*AM$232*AM$14,0))</f>
        <v>4.9661542432729657</v>
      </c>
      <c r="AN256" s="7">
        <f ca="1">IF(OFFSET(Assumptions!$B$72,0,$C$1)="BU",AN$14*(AM$256/AM$14+MIN(ABS(OFFSET(Assumptions!$B$77,0,$C$1)-AM$256/AM$14),OFFSET(Assumptions!$B$75,0,$C$1))*SIGN(OFFSET(Assumptions!$B$77,0,$C$1)-AM$256/AM$14)),AM$256+IF(OFFSET(Assumptions!$B$113,0,$C$1)="SND",Allocate!$B$16*Allocate!$B$32*AN$232*AN$14,0))</f>
        <v>5.1623781541813125</v>
      </c>
      <c r="AO256" s="7">
        <f ca="1">IF(OFFSET(Assumptions!$B$72,0,$C$1)="BU",AO$14*(AN$256/AN$14+MIN(ABS(OFFSET(Assumptions!$B$77,0,$C$1)-AN$256/AN$14),OFFSET(Assumptions!$B$75,0,$C$1))*SIGN(OFFSET(Assumptions!$B$77,0,$C$1)-AN$256/AN$14)),AN$256+IF(OFFSET(Assumptions!$B$113,0,$C$1)="SND",Allocate!$B$16*Allocate!$B$32*AO$232*AO$14,0))</f>
        <v>5.3645140046512054</v>
      </c>
      <c r="AP256" s="7">
        <f ca="1">IF(OFFSET(Assumptions!$B$72,0,$C$1)="BU",AP$14*(AO$256/AO$14+MIN(ABS(OFFSET(Assumptions!$B$77,0,$C$1)-AO$256/AO$14),OFFSET(Assumptions!$B$75,0,$C$1))*SIGN(OFFSET(Assumptions!$B$77,0,$C$1)-AO$256/AO$14)),AO$256+IF(OFFSET(Assumptions!$B$113,0,$C$1)="SND",Allocate!$B$16*Allocate!$B$32*AP$232*AP$14,0))</f>
        <v>5.5734201635849079</v>
      </c>
      <c r="AQ256" s="7">
        <f ca="1">IF(OFFSET(Assumptions!$B$72,0,$C$1)="BU",AQ$14*(AP$256/AP$14+MIN(ABS(OFFSET(Assumptions!$B$77,0,$C$1)-AP$256/AP$14),OFFSET(Assumptions!$B$75,0,$C$1))*SIGN(OFFSET(Assumptions!$B$77,0,$C$1)-AP$256/AP$14)),AP$256+IF(OFFSET(Assumptions!$B$113,0,$C$1)="SND",Allocate!$B$16*Allocate!$B$32*AQ$232*AQ$14,0))</f>
        <v>5.7885112765843409</v>
      </c>
      <c r="AR256" s="7">
        <f ca="1">IF(OFFSET(Assumptions!$B$72,0,$C$1)="BU",AR$14*(AQ$256/AQ$14+MIN(ABS(OFFSET(Assumptions!$B$77,0,$C$1)-AQ$256/AQ$14),OFFSET(Assumptions!$B$75,0,$C$1))*SIGN(OFFSET(Assumptions!$B$77,0,$C$1)-AQ$256/AQ$14)),AQ$256+IF(OFFSET(Assumptions!$B$113,0,$C$1)="SND",Allocate!$B$16*Allocate!$B$32*AR$232*AR$14,0))</f>
        <v>6.0100308652685444</v>
      </c>
      <c r="AS256" s="7">
        <f ca="1">IF(OFFSET(Assumptions!$B$72,0,$C$1)="BU",AS$14*(AR$256/AR$14+MIN(ABS(OFFSET(Assumptions!$B$77,0,$C$1)-AR$256/AR$14),OFFSET(Assumptions!$B$75,0,$C$1))*SIGN(OFFSET(Assumptions!$B$77,0,$C$1)-AR$256/AR$14)),AR$256+IF(OFFSET(Assumptions!$B$113,0,$C$1)="SND",Allocate!$B$16*Allocate!$B$32*AS$232*AS$14,0))</f>
        <v>6.2384957284484344</v>
      </c>
      <c r="AT256" s="7">
        <f ca="1">IF(OFFSET(Assumptions!$B$72,0,$C$1)="BU",AT$14*(AS$256/AS$14+MIN(ABS(OFFSET(Assumptions!$B$77,0,$C$1)-AS$256/AS$14),OFFSET(Assumptions!$B$75,0,$C$1))*SIGN(OFFSET(Assumptions!$B$77,0,$C$1)-AS$256/AS$14)),AS$256+IF(OFFSET(Assumptions!$B$113,0,$C$1)="SND",Allocate!$B$16*Allocate!$B$32*AT$232*AT$14,0))</f>
        <v>6.4740883335304993</v>
      </c>
      <c r="AU256" s="7">
        <f ca="1">IF(OFFSET(Assumptions!$B$72,0,$C$1)="BU",AU$14*(AT$256/AT$14+MIN(ABS(OFFSET(Assumptions!$B$77,0,$C$1)-AT$256/AT$14),OFFSET(Assumptions!$B$75,0,$C$1))*SIGN(OFFSET(Assumptions!$B$77,0,$C$1)-AT$256/AT$14)),AT$256+IF(OFFSET(Assumptions!$B$113,0,$C$1)="SND",Allocate!$B$16*Allocate!$B$32*AU$232*AU$14,0))</f>
        <v>6.7171219660847186</v>
      </c>
      <c r="AV256" s="7">
        <f ca="1">IF(OFFSET(Assumptions!$B$72,0,$C$1)="BU",AV$14*(AU$256/AU$14+MIN(ABS(OFFSET(Assumptions!$B$77,0,$C$1)-AU$256/AU$14),OFFSET(Assumptions!$B$75,0,$C$1))*SIGN(OFFSET(Assumptions!$B$77,0,$C$1)-AU$256/AU$14)),AU$256+IF(OFFSET(Assumptions!$B$113,0,$C$1)="SND",Allocate!$B$16*Allocate!$B$32*AV$232*AV$14,0))</f>
        <v>6.9683480613292295</v>
      </c>
      <c r="AW256" s="7">
        <f ca="1">IF(OFFSET(Assumptions!$B$72,0,$C$1)="BU",AW$14*(AV$256/AV$14+MIN(ABS(OFFSET(Assumptions!$B$77,0,$C$1)-AV$256/AV$14),OFFSET(Assumptions!$B$75,0,$C$1))*SIGN(OFFSET(Assumptions!$B$77,0,$C$1)-AV$256/AV$14)),AV$256+IF(OFFSET(Assumptions!$B$113,0,$C$1)="SND",Allocate!$B$16*Allocate!$B$32*AW$232*AW$14,0))</f>
        <v>7.2276247880198898</v>
      </c>
    </row>
    <row r="257" spans="1:49" ht="15" x14ac:dyDescent="0.25">
      <c r="A257" s="2" t="s">
        <v>550</v>
      </c>
      <c r="D257" s="40">
        <f t="shared" ref="D257:AW257" si="184">SUM(D$250:D$256)</f>
        <v>12.879</v>
      </c>
      <c r="E257" s="39">
        <f t="shared" ca="1" si="184"/>
        <v>13.039</v>
      </c>
      <c r="F257" s="39">
        <f t="shared" ca="1" si="184"/>
        <v>13.333</v>
      </c>
      <c r="G257" s="39">
        <f t="shared" ca="1" si="184"/>
        <v>14.004</v>
      </c>
      <c r="H257" s="39">
        <f t="shared" ca="1" si="184"/>
        <v>14.552</v>
      </c>
      <c r="I257" s="39">
        <f t="shared" ca="1" si="184"/>
        <v>15.164000000000001</v>
      </c>
      <c r="J257" s="43">
        <f t="shared" ca="1" si="184"/>
        <v>16.250307183490836</v>
      </c>
      <c r="K257" s="43">
        <f t="shared" ca="1" si="184"/>
        <v>17.332743075958714</v>
      </c>
      <c r="L257" s="43">
        <f t="shared" ca="1" si="184"/>
        <v>18.256899078250978</v>
      </c>
      <c r="M257" s="43">
        <f t="shared" ca="1" si="184"/>
        <v>19.139587254228587</v>
      </c>
      <c r="N257" s="43">
        <f t="shared" ca="1" si="184"/>
        <v>19.957468109287987</v>
      </c>
      <c r="O257" s="43">
        <f t="shared" ca="1" si="184"/>
        <v>20.806082835653775</v>
      </c>
      <c r="P257" s="43">
        <f t="shared" ca="1" si="184"/>
        <v>21.683400661120739</v>
      </c>
      <c r="Q257" s="43">
        <f t="shared" ca="1" si="184"/>
        <v>22.577381767456956</v>
      </c>
      <c r="R257" s="43">
        <f t="shared" ca="1" si="184"/>
        <v>23.498093650326808</v>
      </c>
      <c r="S257" s="43">
        <f t="shared" ca="1" si="184"/>
        <v>24.462054639515372</v>
      </c>
      <c r="T257" s="43">
        <f t="shared" ca="1" si="184"/>
        <v>25.474638167173019</v>
      </c>
      <c r="U257" s="43">
        <f t="shared" ca="1" si="184"/>
        <v>26.525201585242733</v>
      </c>
      <c r="V257" s="43">
        <f t="shared" ca="1" si="184"/>
        <v>27.61632147708135</v>
      </c>
      <c r="W257" s="43">
        <f t="shared" ca="1" si="184"/>
        <v>28.764483174792577</v>
      </c>
      <c r="X257" s="43">
        <f t="shared" ca="1" si="184"/>
        <v>29.955525588665878</v>
      </c>
      <c r="Y257" s="43">
        <f t="shared" ca="1" si="184"/>
        <v>31.197707473685377</v>
      </c>
      <c r="Z257" s="43">
        <f t="shared" ca="1" si="184"/>
        <v>32.493532459870636</v>
      </c>
      <c r="AA257" s="43">
        <f t="shared" ca="1" si="184"/>
        <v>33.84310275754958</v>
      </c>
      <c r="AB257" s="43">
        <f t="shared" ca="1" si="184"/>
        <v>35.261000615246829</v>
      </c>
      <c r="AC257" s="43">
        <f t="shared" ca="1" si="184"/>
        <v>36.740265412592969</v>
      </c>
      <c r="AD257" s="43">
        <f t="shared" ca="1" si="184"/>
        <v>38.270695563148742</v>
      </c>
      <c r="AE257" s="43">
        <f t="shared" ca="1" si="184"/>
        <v>39.861375283828416</v>
      </c>
      <c r="AF257" s="43">
        <f t="shared" ca="1" si="184"/>
        <v>41.50734674132363</v>
      </c>
      <c r="AG257" s="43">
        <f t="shared" ca="1" si="184"/>
        <v>43.212169659578578</v>
      </c>
      <c r="AH257" s="43">
        <f t="shared" ca="1" si="184"/>
        <v>44.989703537091742</v>
      </c>
      <c r="AI257" s="43">
        <f t="shared" ca="1" si="184"/>
        <v>46.82775263946278</v>
      </c>
      <c r="AJ257" s="43">
        <f t="shared" ca="1" si="184"/>
        <v>48.724615576587091</v>
      </c>
      <c r="AK257" s="43">
        <f t="shared" ca="1" si="184"/>
        <v>50.68569239719131</v>
      </c>
      <c r="AL257" s="43">
        <f t="shared" ca="1" si="184"/>
        <v>52.72611742432786</v>
      </c>
      <c r="AM257" s="43">
        <f t="shared" ca="1" si="184"/>
        <v>54.846763726279846</v>
      </c>
      <c r="AN257" s="43">
        <f t="shared" ca="1" si="184"/>
        <v>57.066722638354193</v>
      </c>
      <c r="AO257" s="43">
        <f t="shared" ca="1" si="184"/>
        <v>59.385005422745763</v>
      </c>
      <c r="AP257" s="43">
        <f t="shared" ca="1" si="184"/>
        <v>61.801689823668724</v>
      </c>
      <c r="AQ257" s="43">
        <f t="shared" ca="1" si="184"/>
        <v>64.334615507912417</v>
      </c>
      <c r="AR257" s="43">
        <f t="shared" ca="1" si="184"/>
        <v>66.975273974530751</v>
      </c>
      <c r="AS257" s="43">
        <f t="shared" ca="1" si="184"/>
        <v>69.726723073038713</v>
      </c>
      <c r="AT257" s="43">
        <f t="shared" ca="1" si="184"/>
        <v>72.597459298449564</v>
      </c>
      <c r="AU257" s="43">
        <f t="shared" ca="1" si="184"/>
        <v>75.589869716410277</v>
      </c>
      <c r="AV257" s="43">
        <f t="shared" ca="1" si="184"/>
        <v>78.709482932758561</v>
      </c>
      <c r="AW257" s="43">
        <f t="shared" ca="1" si="184"/>
        <v>81.951879828910165</v>
      </c>
    </row>
    <row r="258" spans="1:49" x14ac:dyDescent="0.2">
      <c r="A258" s="1" t="s">
        <v>295</v>
      </c>
      <c r="B258" s="4" t="str">
        <f t="shared" ref="B258:B259" si="185">$B$43</f>
        <v>From Fiscal</v>
      </c>
      <c r="D258" s="18">
        <f>Fiscal!D$195</f>
        <v>9.8529999999999998</v>
      </c>
      <c r="E258" s="19">
        <f>Fiscal!E$195</f>
        <v>10.212</v>
      </c>
      <c r="F258" s="19">
        <f>Fiscal!F$195</f>
        <v>10.266999999999999</v>
      </c>
      <c r="G258" s="19">
        <f>Fiscal!G$195</f>
        <v>10.356</v>
      </c>
      <c r="H258" s="19">
        <f>Fiscal!H$195</f>
        <v>10.319000000000001</v>
      </c>
      <c r="I258" s="19">
        <f>Fiscal!I$195</f>
        <v>10.365</v>
      </c>
      <c r="J258" s="7">
        <f ca="1">IF(J$6=OFFSET(Assumptions!$B$8,0,$C$1),AVERAGE(G$258/(G$258+G$259),H$258/(H$258+H$259),I$258/(I$258+I$259))*AVERAGE((G$258+G$259)/G$14,(H$258+H$259)/H$14,(I$258+I$259)/I$14),I$258/I$14)*J$14</f>
        <v>11.26454951751376</v>
      </c>
      <c r="K258" s="7">
        <f ca="1">IF(K$6=OFFSET(Assumptions!$B$8,0,$C$1),AVERAGE(H$258/(H$258+H$259),I$258/(I$258+I$259),J$258/(J$258+J$259))*AVERAGE((H$258+H$259)/H$14,(I$258+I$259)/I$14,(J$258+J$259)/J$14),J$258/J$14)*K$14</f>
        <v>11.735297264812175</v>
      </c>
      <c r="L258" s="7">
        <f ca="1">IF(L$6=OFFSET(Assumptions!$B$8,0,$C$1),AVERAGE(I$258/(I$258+I$259),J$258/(J$258+J$259),K$258/(K$258+K$259))*AVERAGE((I$258+I$259)/I$14,(J$258+J$259)/J$14,(K$258+K$259)/K$14),K$258/K$14)*L$14</f>
        <v>12.243967131726302</v>
      </c>
      <c r="M258" s="7">
        <f ca="1">IF(M$6=OFFSET(Assumptions!$B$8,0,$C$1),AVERAGE(J$258/(J$258+J$259),K$258/(K$258+K$259),L$258/(L$258+L$259))*AVERAGE((J$258+J$259)/J$14,(K$258+K$259)/K$14,(L$258+L$259)/L$14),L$258/L$14)*M$14</f>
        <v>12.772985530643153</v>
      </c>
      <c r="N258" s="7">
        <f ca="1">IF(N$6=OFFSET(Assumptions!$B$8,0,$C$1),AVERAGE(K$258/(K$258+K$259),L$258/(L$258+L$259),M$258/(M$258+M$259))*AVERAGE((K$258+K$259)/K$14,(L$258+L$259)/L$14,(M$258+M$259)/M$14),M$258/M$14)*N$14</f>
        <v>13.323852164152601</v>
      </c>
      <c r="O258" s="7">
        <f ca="1">IF(O$6=OFFSET(Assumptions!$B$8,0,$C$1),AVERAGE(L$258/(L$258+L$259),M$258/(M$258+M$259),N$258/(N$258+N$259))*AVERAGE((L$258+L$259)/L$14,(M$258+M$259)/M$14,(N$258+N$259)/N$14),N$258/N$14)*O$14</f>
        <v>13.892603885127114</v>
      </c>
      <c r="P258" s="7">
        <f ca="1">IF(P$6=OFFSET(Assumptions!$B$8,0,$C$1),AVERAGE(M$258/(M$258+M$259),N$258/(N$258+N$259),O$258/(O$258+O$259))*AVERAGE((M$258+M$259)/M$14,(N$258+N$259)/N$14,(O$258+O$259)/O$14),O$258/O$14)*P$14</f>
        <v>14.480106838542646</v>
      </c>
      <c r="Q258" s="7">
        <f ca="1">IF(Q$6=OFFSET(Assumptions!$B$8,0,$C$1),AVERAGE(N$258/(N$258+N$259),O$258/(O$258+O$259),P$258/(P$258+P$259))*AVERAGE((N$258+N$259)/N$14,(O$258+O$259)/O$14,(P$258+P$259)/P$14),P$258/P$14)*Q$14</f>
        <v>15.085726413332944</v>
      </c>
      <c r="R258" s="7">
        <f ca="1">IF(R$6=OFFSET(Assumptions!$B$8,0,$C$1),AVERAGE(O$258/(O$258+O$259),P$258/(P$258+P$259),Q$258/(Q$258+Q$259))*AVERAGE((O$258+O$259)/O$14,(P$258+P$259)/P$14,(Q$258+Q$259)/Q$14),Q$258/Q$14)*R$14</f>
        <v>15.709013108047319</v>
      </c>
      <c r="S258" s="7">
        <f ca="1">IF(S$6=OFFSET(Assumptions!$B$8,0,$C$1),AVERAGE(P$258/(P$258+P$259),Q$258/(Q$258+Q$259),R$258/(R$258+R$259))*AVERAGE((P$258+P$259)/P$14,(Q$258+Q$259)/Q$14,(R$258+R$259)/R$14),R$258/R$14)*S$14</f>
        <v>16.351947702385718</v>
      </c>
      <c r="T258" s="7">
        <f ca="1">IF(T$6=OFFSET(Assumptions!$B$8,0,$C$1),AVERAGE(Q$258/(Q$258+Q$259),R$258/(R$258+R$259),S$258/(S$258+S$259))*AVERAGE((Q$258+Q$259)/Q$14,(R$258+R$259)/R$14,(S$258+S$259)/S$14),S$258/S$14)*T$14</f>
        <v>17.014764652827036</v>
      </c>
      <c r="U258" s="7">
        <f ca="1">IF(U$6=OFFSET(Assumptions!$B$8,0,$C$1),AVERAGE(R$258/(R$258+R$259),S$258/(S$258+S$259),T$258/(T$258+T$259))*AVERAGE((R$258+R$259)/R$14,(S$258+S$259)/S$14,(T$258+T$259)/T$14),T$258/T$14)*U$14</f>
        <v>17.699842791934771</v>
      </c>
      <c r="V258" s="7">
        <f ca="1">IF(V$6=OFFSET(Assumptions!$B$8,0,$C$1),AVERAGE(S$258/(S$258+S$259),T$258/(T$258+T$259),U$258/(U$258+U$259))*AVERAGE((S$258+S$259)/S$14,(T$258+T$259)/T$14,(U$258+U$259)/U$14),U$258/U$14)*V$14</f>
        <v>18.408873239008312</v>
      </c>
      <c r="W258" s="7">
        <f ca="1">IF(W$6=OFFSET(Assumptions!$B$8,0,$C$1),AVERAGE(T$258/(T$258+T$259),U$258/(U$258+U$259),V$258/(V$258+V$259))*AVERAGE((T$258+T$259)/T$14,(U$258+U$259)/U$14,(V$258+V$259)/V$14),V$258/V$14)*W$14</f>
        <v>19.143910234096804</v>
      </c>
      <c r="X258" s="7">
        <f ca="1">IF(X$6=OFFSET(Assumptions!$B$8,0,$C$1),AVERAGE(U$258/(U$258+U$259),V$258/(V$258+V$259),W$258/(W$258+W$259))*AVERAGE((U$258+U$259)/U$14,(V$258+V$259)/V$14,(W$258+W$259)/W$14),W$258/W$14)*X$14</f>
        <v>19.907281975517943</v>
      </c>
      <c r="Y258" s="7">
        <f ca="1">IF(Y$6=OFFSET(Assumptions!$B$8,0,$C$1),AVERAGE(V$258/(V$258+V$259),W$258/(W$258+W$259),X$258/(X$258+X$259))*AVERAGE((V$258+V$259)/V$14,(W$258+W$259)/W$14,(X$258+X$259)/X$14),X$258/X$14)*Y$14</f>
        <v>20.698910421403898</v>
      </c>
      <c r="Z258" s="7">
        <f ca="1">IF(Z$6=OFFSET(Assumptions!$B$8,0,$C$1),AVERAGE(W$258/(W$258+W$259),X$258/(X$258+X$259),Y$258/(Y$258+Y$259))*AVERAGE((W$258+W$259)/W$14,(X$258+X$259)/X$14,(Y$258+Y$259)/Y$14),Y$258/Y$14)*Z$14</f>
        <v>21.52280251185617</v>
      </c>
      <c r="AA258" s="7">
        <f ca="1">IF(AA$6=OFFSET(Assumptions!$B$8,0,$C$1),AVERAGE(X$258/(X$258+X$259),Y$258/(Y$258+Y$259),Z$258/(Z$258+Z$259))*AVERAGE((X$258+X$259)/X$14,(Y$258+Y$259)/Y$14,(Z$258+Z$259)/Z$14),Z$258/Z$14)*AA$14</f>
        <v>22.380291307118295</v>
      </c>
      <c r="AB258" s="7">
        <f ca="1">IF(AB$6=OFFSET(Assumptions!$B$8,0,$C$1),AVERAGE(Y$258/(Y$258+Y$259),Z$258/(Z$258+Z$259),AA$258/(AA$258+AA$259))*AVERAGE((Y$258+Y$259)/Y$14,(Z$258+Z$259)/Z$14,(AA$258+AA$259)/AA$14),AA$258/AA$14)*AB$14</f>
        <v>23.273951925232616</v>
      </c>
      <c r="AC258" s="7">
        <f ca="1">IF(AC$6=OFFSET(Assumptions!$B$8,0,$C$1),AVERAGE(Z$258/(Z$258+Z$259),AA$258/(AA$258+AA$259),AB$258/(AB$258+AB$259))*AVERAGE((Z$258+Z$259)/Z$14,(AA$258+AA$259)/AA$14,(AB$258+AB$259)/AB$14),AB$258/AB$14)*AC$14</f>
        <v>24.207158056304401</v>
      </c>
      <c r="AD258" s="7">
        <f ca="1">IF(AD$6=OFFSET(Assumptions!$B$8,0,$C$1),AVERAGE(AA$258/(AA$258+AA$259),AB$258/(AB$258+AB$259),AC$258/(AC$258+AC$259))*AVERAGE((AA$258+AA$259)/AA$14,(AB$258+AB$259)/AB$14,(AC$258+AC$259)/AC$14),AC$258/AC$14)*AD$14</f>
        <v>25.180893311107543</v>
      </c>
      <c r="AE258" s="7">
        <f ca="1">IF(AE$6=OFFSET(Assumptions!$B$8,0,$C$1),AVERAGE(AB$258/(AB$258+AB$259),AC$258/(AC$258+AC$259),AD$258/(AD$258+AD$259))*AVERAGE((AB$258+AB$259)/AB$14,(AC$258+AC$259)/AC$14,(AD$258+AD$259)/AD$14),AD$258/AD$14)*AE$14</f>
        <v>26.194263443596167</v>
      </c>
      <c r="AF258" s="7">
        <f ca="1">IF(AF$6=OFFSET(Assumptions!$B$8,0,$C$1),AVERAGE(AC$258/(AC$258+AC$259),AD$258/(AD$258+AD$259),AE$258/(AE$258+AE$259))*AVERAGE((AC$258+AC$259)/AC$14,(AD$258+AD$259)/AD$14,(AE$258+AE$259)/AE$14),AE$258/AE$14)*AF$14</f>
        <v>27.250072043172455</v>
      </c>
      <c r="AG258" s="7">
        <f ca="1">IF(AG$6=OFFSET(Assumptions!$B$8,0,$C$1),AVERAGE(AD$258/(AD$258+AD$259),AE$258/(AE$258+AE$259),AF$258/(AF$258+AF$259))*AVERAGE((AD$258+AD$259)/AD$14,(AE$258+AE$259)/AE$14,(AF$258+AF$259)/AF$14),AF$258/AF$14)*AG$14</f>
        <v>28.348909473856224</v>
      </c>
      <c r="AH258" s="7">
        <f ca="1">IF(AH$6=OFFSET(Assumptions!$B$8,0,$C$1),AVERAGE(AE$258/(AE$258+AE$259),AF$258/(AF$258+AF$259),AG$258/(AG$258+AG$259))*AVERAGE((AE$258+AE$259)/AE$14,(AF$258+AF$259)/AF$14,(AG$258+AG$259)/AG$14),AG$258/AG$14)*AH$14</f>
        <v>29.492537797711844</v>
      </c>
      <c r="AI258" s="7">
        <f ca="1">IF(AI$6=OFFSET(Assumptions!$B$8,0,$C$1),AVERAGE(AF$258/(AF$258+AF$259),AG$258/(AG$258+AG$259),AH$258/(AH$258+AH$259))*AVERAGE((AF$258+AF$259)/AF$14,(AG$258+AG$259)/AG$14,(AH$258+AH$259)/AH$14),AH$258/AH$14)*AI$14</f>
        <v>30.678958717478157</v>
      </c>
      <c r="AJ258" s="7">
        <f ca="1">IF(AJ$6=OFFSET(Assumptions!$B$8,0,$C$1),AVERAGE(AG$258/(AG$258+AG$259),AH$258/(AH$258+AH$259),AI$258/(AI$258+AI$259))*AVERAGE((AG$258+AG$259)/AG$14,(AH$258+AH$259)/AH$14,(AI$258+AI$259)/AI$14),AI$258/AI$14)*AJ$14</f>
        <v>31.911972930475812</v>
      </c>
      <c r="AK258" s="7">
        <f ca="1">IF(AK$6=OFFSET(Assumptions!$B$8,0,$C$1),AVERAGE(AH$258/(AH$258+AH$259),AI$258/(AI$258+AI$259),AJ$258/(AJ$258+AJ$259))*AVERAGE((AH$258+AH$259)/AH$14,(AI$258+AI$259)/AI$14,(AJ$258+AJ$259)/AJ$14),AJ$258/AJ$14)*AK$14</f>
        <v>33.19056612123196</v>
      </c>
      <c r="AL258" s="7">
        <f ca="1">IF(AL$6=OFFSET(Assumptions!$B$8,0,$C$1),AVERAGE(AI$258/(AI$258+AI$259),AJ$258/(AJ$258+AJ$259),AK$258/(AK$258+AK$259))*AVERAGE((AI$258+AI$259)/AI$14,(AJ$258+AJ$259)/AJ$14,(AK$258+AK$259)/AK$14),AK$258/AK$14)*AL$14</f>
        <v>34.513731106616177</v>
      </c>
      <c r="AM258" s="7">
        <f ca="1">IF(AM$6=OFFSET(Assumptions!$B$8,0,$C$1),AVERAGE(AJ$258/(AJ$258+AJ$259),AK$258/(AK$258+AK$259),AL$258/(AL$258+AL$259))*AVERAGE((AJ$258+AJ$259)/AJ$14,(AK$258+AK$259)/AK$14,(AL$258+AL$259)/AL$14),AL$258/AL$14)*AM$14</f>
        <v>35.88327550230143</v>
      </c>
      <c r="AN258" s="7">
        <f ca="1">IF(AN$6=OFFSET(Assumptions!$B$8,0,$C$1),AVERAGE(AK$258/(AK$258+AK$259),AL$258/(AL$258+AL$259),AM$258/(AM$258+AM$259))*AVERAGE((AK$258+AK$259)/AK$14,(AL$258+AL$259)/AL$14,(AM$258+AM$259)/AM$14),AM$258/AM$14)*AN$14</f>
        <v>37.301104331279319</v>
      </c>
      <c r="AO258" s="7">
        <f ca="1">IF(AO$6=OFFSET(Assumptions!$B$8,0,$C$1),AVERAGE(AL$258/(AL$258+AL$259),AM$258/(AM$258+AM$259),AN$258/(AN$258+AN$259))*AVERAGE((AL$258+AL$259)/AL$14,(AM$258+AM$259)/AM$14,(AN$258+AN$259)/AN$14),AN$258/AN$14)*AO$14</f>
        <v>38.761650270046381</v>
      </c>
      <c r="AP258" s="7">
        <f ca="1">IF(AP$6=OFFSET(Assumptions!$B$8,0,$C$1),AVERAGE(AM$258/(AM$258+AM$259),AN$258/(AN$258+AN$259),AO$258/(AO$258+AO$259))*AVERAGE((AM$258+AM$259)/AM$14,(AN$258+AN$259)/AN$14,(AO$258+AO$259)/AO$14),AO$258/AO$14)*AP$14</f>
        <v>40.271115519801739</v>
      </c>
      <c r="AQ258" s="7">
        <f ca="1">IF(AQ$6=OFFSET(Assumptions!$B$8,0,$C$1),AVERAGE(AN$258/(AN$258+AN$259),AO$258/(AO$258+AO$259),AP$258/(AP$258+AP$259))*AVERAGE((AN$258+AN$259)/AN$14,(AO$258+AO$259)/AO$14,(AP$258+AP$259)/AP$14),AP$258/AP$14)*AQ$14</f>
        <v>41.825270563679027</v>
      </c>
      <c r="AR258" s="7">
        <f ca="1">IF(AR$6=OFFSET(Assumptions!$B$8,0,$C$1),AVERAGE(AO$258/(AO$258+AO$259),AP$258/(AP$258+AP$259),AQ$258/(AQ$258+AQ$259))*AVERAGE((AO$258+AO$259)/AO$14,(AP$258+AP$259)/AP$14,(AQ$258+AQ$259)/AQ$14),AQ$258/AQ$14)*AR$14</f>
        <v>43.425874983221391</v>
      </c>
      <c r="AS258" s="7">
        <f ca="1">IF(AS$6=OFFSET(Assumptions!$B$8,0,$C$1),AVERAGE(AP$258/(AP$258+AP$259),AQ$258/(AQ$258+AQ$259),AR$258/(AR$258+AR$259))*AVERAGE((AP$258+AP$259)/AP$14,(AQ$258+AQ$259)/AQ$14,(AR$258+AR$259)/AR$14),AR$258/AR$14)*AS$14</f>
        <v>45.076662942371982</v>
      </c>
      <c r="AT258" s="7">
        <f ca="1">IF(AT$6=OFFSET(Assumptions!$B$8,0,$C$1),AVERAGE(AQ$258/(AQ$258+AQ$259),AR$258/(AR$258+AR$259),AS$258/(AS$258+AS$259))*AVERAGE((AQ$258+AQ$259)/AQ$14,(AR$258+AR$259)/AR$14,(AS$258+AS$259)/AS$14),AS$258/AS$14)*AT$14</f>
        <v>46.778952871428444</v>
      </c>
      <c r="AU258" s="7">
        <f ca="1">IF(AU$6=OFFSET(Assumptions!$B$8,0,$C$1),AVERAGE(AR$258/(AR$258+AR$259),AS$258/(AS$258+AS$259),AT$258/(AT$258+AT$259))*AVERAGE((AR$258+AR$259)/AR$14,(AS$258+AS$259)/AS$14,(AT$258+AT$259)/AT$14),AT$258/AT$14)*AU$14</f>
        <v>48.535008435969395</v>
      </c>
      <c r="AV258" s="7">
        <f ca="1">IF(AV$6=OFFSET(Assumptions!$B$8,0,$C$1),AVERAGE(AS$258/(AS$258+AS$259),AT$258/(AT$258+AT$259),AU$258/(AU$258+AU$259))*AVERAGE((AS$258+AS$259)/AS$14,(AT$258+AT$259)/AT$14,(AU$258+AU$259)/AU$14),AU$258/AU$14)*AV$14</f>
        <v>50.350259180796236</v>
      </c>
      <c r="AW258" s="7">
        <f ca="1">IF(AW$6=OFFSET(Assumptions!$B$8,0,$C$1),AVERAGE(AT$258/(AT$258+AT$259),AU$258/(AU$258+AU$259),AV$258/(AV$258+AV$259))*AVERAGE((AT$258+AT$259)/AT$14,(AU$258+AU$259)/AU$14,(AV$258+AV$259)/AV$14),AV$258/AV$14)*AW$14</f>
        <v>52.223680294886371</v>
      </c>
    </row>
    <row r="259" spans="1:49" x14ac:dyDescent="0.2">
      <c r="A259" s="1" t="s">
        <v>530</v>
      </c>
      <c r="B259" s="4" t="str">
        <f t="shared" si="185"/>
        <v>From Fiscal</v>
      </c>
      <c r="D259" s="18">
        <f>Fiscal!D$39-SUM(D$257:D$258)</f>
        <v>-9.1949999999999985</v>
      </c>
      <c r="E259" s="19">
        <f ca="1">Fiscal!E$39-SUM(E$257:E$258)  +IF(OR(OFFSET(Assumptions!$B$72,0,$C$1)="BU",OFFSET(Assumptions!$B$113,0,$C$1)="SND"),Allocate!C$16,0)</f>
        <v>-9.4589999999999979</v>
      </c>
      <c r="F259" s="19">
        <f ca="1">Fiscal!F$39-SUM(F$257:F$258)  +IF(OR(OFFSET(Assumptions!$B$72,0,$C$1)="BU",OFFSET(Assumptions!$B$113,0,$C$1)="SND"),Allocate!D$16,0)</f>
        <v>-9.5100000000000016</v>
      </c>
      <c r="G259" s="19">
        <f ca="1">Fiscal!G$39-SUM(G$257:G$258)  +IF(OR(OFFSET(Assumptions!$B$72,0,$C$1)="BU",OFFSET(Assumptions!$B$113,0,$C$1)="SND"),Allocate!E$16,0)</f>
        <v>-9.5960000000000001</v>
      </c>
      <c r="H259" s="19">
        <f ca="1">Fiscal!H$39-SUM(H$257:H$258)  +IF(OR(OFFSET(Assumptions!$B$72,0,$C$1)="BU",OFFSET(Assumptions!$B$113,0,$C$1)="SND"),Allocate!F$16,0)</f>
        <v>-9.554000000000002</v>
      </c>
      <c r="I259" s="19">
        <f ca="1">Fiscal!I$39-SUM(I$257:I$258)  +IF(OR(OFFSET(Assumptions!$B$72,0,$C$1)="BU",OFFSET(Assumptions!$B$113,0,$C$1)="SND"),Allocate!G$16,0)</f>
        <v>-9.6010000000000026</v>
      </c>
      <c r="J259" s="7">
        <f ca="1">IF(J$6=OFFSET(Assumptions!$B$8,0,$C$1),AVERAGE(G$259/(G$258+G$259),H$259/(H$258+H$259),I$259/(I$258+I$259))*AVERAGE((G$258+G$259)/G$14,(H$258+H$259)/H$14,(I$258+I$259)/I$14),I$259/I$14)*J$14</f>
        <v>-10.433870520944149</v>
      </c>
      <c r="K259" s="7">
        <f ca="1">IF(K$6=OFFSET(Assumptions!$B$8,0,$C$1),AVERAGE(H$259/(H$258+H$259),I$259/(I$258+I$259),J$259/(J$258+J$259))*AVERAGE((H$258+H$259)/H$14,(I$258+I$259)/I$14,(J$258+J$259)/J$14),J$259/J$14)*K$14</f>
        <v>-10.869904029048596</v>
      </c>
      <c r="L259" s="7">
        <f ca="1">IF(L$6=OFFSET(Assumptions!$B$8,0,$C$1),AVERAGE(I$259/(I$258+I$259),J$259/(J$258+J$259),K$259/(K$258+K$259))*AVERAGE((I$258+I$259)/I$14,(J$258+J$259)/J$14,(K$258+K$259)/K$14),K$259/K$14)*L$14</f>
        <v>-11.34106317491911</v>
      </c>
      <c r="M259" s="7">
        <f ca="1">IF(M$6=OFFSET(Assumptions!$B$8,0,$C$1),AVERAGE(J$259/(J$258+J$259),K$259/(K$258+K$259),L$259/(L$258+L$259))*AVERAGE((J$258+J$259)/J$14,(K$258+K$259)/K$14,(L$258+L$259)/L$14),L$259/L$14)*M$14</f>
        <v>-11.831070295835374</v>
      </c>
      <c r="N259" s="7">
        <f ca="1">IF(N$6=OFFSET(Assumptions!$B$8,0,$C$1),AVERAGE(K$259/(K$258+K$259),L$259/(L$258+L$259),M$259/(M$258+M$259))*AVERAGE((K$258+K$259)/K$14,(L$258+L$259)/L$14,(M$258+M$259)/M$14),M$259/M$14)*N$14</f>
        <v>-12.341314502175777</v>
      </c>
      <c r="O259" s="7">
        <f ca="1">IF(O$6=OFFSET(Assumptions!$B$8,0,$C$1),AVERAGE(L$259/(L$258+L$259),M$259/(M$258+M$259),N$259/(N$258+N$259))*AVERAGE((L$258+L$259)/L$14,(M$258+M$259)/M$14,(N$258+N$259)/N$14),N$259/N$14)*O$14</f>
        <v>-12.868124900229049</v>
      </c>
      <c r="P259" s="7">
        <f ca="1">IF(P$6=OFFSET(Assumptions!$B$8,0,$C$1),AVERAGE(M$259/(M$258+M$259),N$259/(N$258+N$259),O$259/(O$258+O$259))*AVERAGE((M$258+M$259)/M$14,(N$258+N$259)/N$14,(O$258+O$259)/O$14),O$259/O$14)*P$14</f>
        <v>-13.412303763048136</v>
      </c>
      <c r="Q259" s="7">
        <f ca="1">IF(Q$6=OFFSET(Assumptions!$B$8,0,$C$1),AVERAGE(N$259/(N$258+N$259),O$259/(O$258+O$259),P$259/(P$258+P$259))*AVERAGE((N$258+N$259)/N$14,(O$258+O$259)/O$14,(P$258+P$259)/P$14),P$259/P$14)*Q$14</f>
        <v>-13.973263277539747</v>
      </c>
      <c r="R259" s="7">
        <f ca="1">IF(R$6=OFFSET(Assumptions!$B$8,0,$C$1),AVERAGE(O$259/(O$258+O$259),P$259/(P$258+P$259),Q$259/(Q$258+Q$259))*AVERAGE((O$258+O$259)/O$14,(P$258+P$259)/P$14,(Q$258+Q$259)/Q$14),Q$259/Q$14)*R$14</f>
        <v>-14.550587089731785</v>
      </c>
      <c r="S259" s="7">
        <f ca="1">IF(S$6=OFFSET(Assumptions!$B$8,0,$C$1),AVERAGE(P$259/(P$258+P$259),Q$259/(Q$258+Q$259),R$259/(R$258+R$259))*AVERAGE((P$258+P$259)/P$14,(Q$258+Q$259)/Q$14,(R$258+R$259)/R$14),R$259/R$14)*S$14</f>
        <v>-15.146109911157779</v>
      </c>
      <c r="T259" s="7">
        <f ca="1">IF(T$6=OFFSET(Assumptions!$B$8,0,$C$1),AVERAGE(Q$259/(Q$258+Q$259),R$259/(R$258+R$259),S$259/(S$258+S$259))*AVERAGE((Q$258+Q$259)/Q$14,(R$258+R$259)/R$14,(S$258+S$259)/S$14),S$259/S$14)*T$14</f>
        <v>-15.760048908828249</v>
      </c>
      <c r="U259" s="7">
        <f ca="1">IF(U$6=OFFSET(Assumptions!$B$8,0,$C$1),AVERAGE(R$259/(R$258+R$259),S$259/(S$258+S$259),T$259/(T$258+T$259))*AVERAGE((R$258+R$259)/R$14,(S$258+S$259)/S$14,(T$258+T$259)/T$14),T$259/T$14)*U$14</f>
        <v>-16.394607493622601</v>
      </c>
      <c r="V259" s="7">
        <f ca="1">IF(V$6=OFFSET(Assumptions!$B$8,0,$C$1),AVERAGE(S$259/(S$258+S$259),T$259/(T$258+T$259),U$259/(U$258+U$259))*AVERAGE((S$258+S$259)/S$14,(T$258+T$259)/T$14,(U$258+U$259)/U$14),U$259/U$14)*V$14</f>
        <v>-17.051352077031854</v>
      </c>
      <c r="W259" s="7">
        <f ca="1">IF(W$6=OFFSET(Assumptions!$B$8,0,$C$1),AVERAGE(T$259/(T$258+T$259),U$259/(U$258+U$259),V$259/(V$258+V$259))*AVERAGE((T$258+T$259)/T$14,(U$258+U$259)/U$14,(V$258+V$259)/V$14),V$259/V$14)*W$14</f>
        <v>-17.732185413769663</v>
      </c>
      <c r="X259" s="7">
        <f ca="1">IF(X$6=OFFSET(Assumptions!$B$8,0,$C$1),AVERAGE(U$259/(U$258+U$259),V$259/(V$258+V$259),W$259/(W$258+W$259))*AVERAGE((U$258+U$259)/U$14,(V$258+V$259)/V$14,(W$258+W$259)/W$14),W$259/W$14)*X$14</f>
        <v>-18.439264014378786</v>
      </c>
      <c r="Y259" s="7">
        <f ca="1">IF(Y$6=OFFSET(Assumptions!$B$8,0,$C$1),AVERAGE(V$259/(V$258+V$259),W$259/(W$258+W$259),X$259/(X$258+X$259))*AVERAGE((V$258+V$259)/V$14,(W$258+W$259)/W$14,(X$258+X$259)/X$14),X$259/X$14)*Y$14</f>
        <v>-19.1725155920143</v>
      </c>
      <c r="Z259" s="7">
        <f ca="1">IF(Z$6=OFFSET(Assumptions!$B$8,0,$C$1),AVERAGE(W$259/(W$258+W$259),X$259/(X$258+X$259),Y$259/(Y$258+Y$259))*AVERAGE((W$258+W$259)/W$14,(X$258+X$259)/X$14,(Y$258+Y$259)/Y$14),Y$259/Y$14)*Z$14</f>
        <v>-19.935651603946564</v>
      </c>
      <c r="AA259" s="7">
        <f ca="1">IF(AA$6=OFFSET(Assumptions!$B$8,0,$C$1),AVERAGE(X$259/(X$258+X$259),Y$259/(Y$258+Y$259),Z$259/(Z$258+Z$259))*AVERAGE((X$258+X$259)/X$14,(Y$258+Y$259)/Y$14,(Z$258+Z$259)/Z$14),Z$259/Z$14)*AA$14</f>
        <v>-20.729906806874567</v>
      </c>
      <c r="AB259" s="7">
        <f ca="1">IF(AB$6=OFFSET(Assumptions!$B$8,0,$C$1),AVERAGE(Y$259/(Y$258+Y$259),Z$259/(Z$258+Z$259),AA$259/(AA$258+AA$259))*AVERAGE((Y$258+Y$259)/Y$14,(Z$258+Z$259)/Z$14,(AA$258+AA$259)/AA$14),AA$259/AA$14)*AB$14</f>
        <v>-21.557666422523159</v>
      </c>
      <c r="AC259" s="7">
        <f ca="1">IF(AC$6=OFFSET(Assumptions!$B$8,0,$C$1),AVERAGE(Z$259/(Z$258+Z$259),AA$259/(AA$258+AA$259),AB$259/(AB$258+AB$259))*AVERAGE((Z$258+Z$259)/Z$14,(AA$258+AA$259)/AA$14,(AB$258+AB$259)/AB$14),AB$259/AB$14)*AC$14</f>
        <v>-22.422055355770382</v>
      </c>
      <c r="AD259" s="7">
        <f ca="1">IF(AD$6=OFFSET(Assumptions!$B$8,0,$C$1),AVERAGE(AA$259/(AA$258+AA$259),AB$259/(AB$258+AB$259),AC$259/(AC$258+AC$259))*AVERAGE((AA$258+AA$259)/AA$14,(AB$258+AB$259)/AB$14,(AC$258+AC$259)/AC$14),AC$259/AC$14)*AD$14</f>
        <v>-23.323984683214714</v>
      </c>
      <c r="AE259" s="7">
        <f ca="1">IF(AE$6=OFFSET(Assumptions!$B$8,0,$C$1),AVERAGE(AB$259/(AB$258+AB$259),AC$259/(AC$258+AC$259),AD$259/(AD$258+AD$259))*AVERAGE((AB$258+AB$259)/AB$14,(AC$258+AC$259)/AC$14,(AD$258+AD$259)/AD$14),AD$259/AD$14)*AE$14</f>
        <v>-24.262626102983798</v>
      </c>
      <c r="AF259" s="7">
        <f ca="1">IF(AF$6=OFFSET(Assumptions!$B$8,0,$C$1),AVERAGE(AC$259/(AC$258+AC$259),AD$259/(AD$258+AD$259),AE$259/(AE$258+AE$259))*AVERAGE((AC$258+AC$259)/AC$14,(AD$258+AD$259)/AD$14,(AE$258+AE$259)/AE$14),AE$259/AE$14)*AF$14</f>
        <v>-25.240576460053184</v>
      </c>
      <c r="AG259" s="7">
        <f ca="1">IF(AG$6=OFFSET(Assumptions!$B$8,0,$C$1),AVERAGE(AD$259/(AD$258+AD$259),AE$259/(AE$258+AE$259),AF$259/(AF$258+AF$259))*AVERAGE((AD$258+AD$259)/AD$14,(AE$258+AE$259)/AE$14,(AF$258+AF$259)/AF$14),AF$259/AF$14)*AG$14</f>
        <v>-26.258382583369148</v>
      </c>
      <c r="AH259" s="7">
        <f ca="1">IF(AH$6=OFFSET(Assumptions!$B$8,0,$C$1),AVERAGE(AE$259/(AE$258+AE$259),AF$259/(AF$258+AF$259),AG$259/(AG$258+AG$259))*AVERAGE((AE$258+AE$259)/AE$14,(AF$258+AF$259)/AF$14,(AG$258+AG$259)/AG$14),AG$259/AG$14)*AH$14</f>
        <v>-27.317676595672232</v>
      </c>
      <c r="AI259" s="7">
        <f ca="1">IF(AI$6=OFFSET(Assumptions!$B$8,0,$C$1),AVERAGE(AF$259/(AF$258+AF$259),AG$259/(AG$258+AG$259),AH$259/(AH$258+AH$259))*AVERAGE((AF$258+AF$259)/AF$14,(AG$258+AG$259)/AG$14,(AH$258+AH$259)/AH$14),AH$259/AH$14)*AI$14</f>
        <v>-28.416607559661049</v>
      </c>
      <c r="AJ259" s="7">
        <f ca="1">IF(AJ$6=OFFSET(Assumptions!$B$8,0,$C$1),AVERAGE(AG$259/(AG$258+AG$259),AH$259/(AH$258+AH$259),AI$259/(AI$258+AI$259))*AVERAGE((AG$258+AG$259)/AG$14,(AH$258+AH$259)/AH$14,(AI$258+AI$259)/AI$14),AI$259/AI$14)*AJ$14</f>
        <v>-29.558695898737472</v>
      </c>
      <c r="AK259" s="7">
        <f ca="1">IF(AK$6=OFFSET(Assumptions!$B$8,0,$C$1),AVERAGE(AH$259/(AH$258+AH$259),AI$259/(AI$258+AI$259),AJ$259/(AJ$258+AJ$259))*AVERAGE((AH$258+AH$259)/AH$14,(AI$258+AI$259)/AI$14,(AJ$258+AJ$259)/AJ$14),AJ$259/AJ$14)*AK$14</f>
        <v>-30.74300209585337</v>
      </c>
      <c r="AL259" s="7">
        <f ca="1">IF(AL$6=OFFSET(Assumptions!$B$8,0,$C$1),AVERAGE(AI$259/(AI$258+AI$259),AJ$259/(AJ$258+AJ$259),AK$259/(AK$258+AK$259))*AVERAGE((AI$258+AI$259)/AI$14,(AJ$258+AJ$259)/AJ$14,(AK$258+AK$259)/AK$14),AK$259/AK$14)*AL$14</f>
        <v>-31.968593240344433</v>
      </c>
      <c r="AM259" s="7">
        <f ca="1">IF(AM$6=OFFSET(Assumptions!$B$8,0,$C$1),AVERAGE(AJ$259/(AJ$258+AJ$259),AK$259/(AK$258+AK$259),AL$259/(AL$258+AL$259))*AVERAGE((AJ$258+AJ$259)/AJ$14,(AK$258+AK$259)/AK$14,(AL$258+AL$259)/AL$14),AL$259/AL$14)*AM$14</f>
        <v>-33.237143649310852</v>
      </c>
      <c r="AN259" s="7">
        <f ca="1">IF(AN$6=OFFSET(Assumptions!$B$8,0,$C$1),AVERAGE(AK$259/(AK$258+AK$259),AL$259/(AL$258+AL$259),AM$259/(AM$258+AM$259))*AVERAGE((AK$258+AK$259)/AK$14,(AL$258+AL$259)/AL$14,(AM$258+AM$259)/AM$14),AM$259/AM$14)*AN$14</f>
        <v>-34.550417864086761</v>
      </c>
      <c r="AO259" s="7">
        <f ca="1">IF(AO$6=OFFSET(Assumptions!$B$8,0,$C$1),AVERAGE(AL$259/(AL$258+AL$259),AM$259/(AM$258+AM$259),AN$259/(AN$258+AN$259))*AVERAGE((AL$258+AL$259)/AL$14,(AM$258+AM$259)/AM$14,(AN$258+AN$259)/AN$14),AN$259/AN$14)*AO$14</f>
        <v>-35.903259110981985</v>
      </c>
      <c r="AP259" s="7">
        <f ca="1">IF(AP$6=OFFSET(Assumptions!$B$8,0,$C$1),AVERAGE(AM$259/(AM$258+AM$259),AN$259/(AN$258+AN$259),AO$259/(AO$258+AO$259))*AVERAGE((AM$258+AM$259)/AM$14,(AN$258+AN$259)/AN$14,(AO$258+AO$259)/AO$14),AO$259/AO$14)*AP$14</f>
        <v>-37.301412223747398</v>
      </c>
      <c r="AQ259" s="7">
        <f ca="1">IF(AQ$6=OFFSET(Assumptions!$B$8,0,$C$1),AVERAGE(AN$259/(AN$258+AN$259),AO$259/(AO$258+AO$259),AP$259/(AP$258+AP$259))*AVERAGE((AN$258+AN$259)/AN$14,(AO$258+AO$259)/AO$14,(AP$258+AP$259)/AP$14),AP$259/AP$14)*AQ$14</f>
        <v>-38.740959581773211</v>
      </c>
      <c r="AR259" s="7">
        <f ca="1">IF(AR$6=OFFSET(Assumptions!$B$8,0,$C$1),AVERAGE(AO$259/(AO$258+AO$259),AP$259/(AP$258+AP$259),AQ$259/(AQ$258+AQ$259))*AVERAGE((AO$258+AO$259)/AO$14,(AP$258+AP$259)/AP$14,(AQ$258+AQ$259)/AQ$14),AQ$259/AQ$14)*AR$14</f>
        <v>-40.223531010199231</v>
      </c>
      <c r="AS259" s="7">
        <f ca="1">IF(AS$6=OFFSET(Assumptions!$B$8,0,$C$1),AVERAGE(AP$259/(AP$258+AP$259),AQ$259/(AQ$258+AQ$259),AR$259/(AR$258+AR$259))*AVERAGE((AP$258+AP$259)/AP$14,(AQ$258+AQ$259)/AQ$14,(AR$258+AR$259)/AR$14),AR$259/AR$14)*AS$14</f>
        <v>-41.752585305404857</v>
      </c>
      <c r="AT259" s="7">
        <f ca="1">IF(AT$6=OFFSET(Assumptions!$B$8,0,$C$1),AVERAGE(AQ$259/(AQ$258+AQ$259),AR$259/(AR$258+AR$259),AS$259/(AS$258+AS$259))*AVERAGE((AQ$258+AQ$259)/AQ$14,(AR$258+AR$259)/AR$14,(AS$258+AS$259)/AS$14),AS$259/AS$14)*AT$14</f>
        <v>-43.329343672995805</v>
      </c>
      <c r="AU259" s="7">
        <f ca="1">IF(AU$6=OFFSET(Assumptions!$B$8,0,$C$1),AVERAGE(AR$259/(AR$258+AR$259),AS$259/(AS$258+AS$259),AT$259/(AT$258+AT$259))*AVERAGE((AR$258+AR$259)/AR$14,(AS$258+AS$259)/AS$14,(AT$258+AT$259)/AT$14),AT$259/AT$14)*AU$14</f>
        <v>-44.955902849598168</v>
      </c>
      <c r="AV259" s="7">
        <f ca="1">IF(AV$6=OFFSET(Assumptions!$B$8,0,$C$1),AVERAGE(AS$259/(AS$258+AS$259),AT$259/(AT$258+AT$259),AU$259/(AU$258+AU$259))*AVERAGE((AS$258+AS$259)/AS$14,(AT$258+AT$259)/AT$14,(AU$258+AU$259)/AU$14),AU$259/AU$14)*AV$14</f>
        <v>-46.63729199038211</v>
      </c>
      <c r="AW259" s="7">
        <f ca="1">IF(AW$6=OFFSET(Assumptions!$B$8,0,$C$1),AVERAGE(AT$259/(AT$258+AT$259),AU$259/(AU$258+AU$259),AV$259/(AV$258+AV$259))*AVERAGE((AT$258+AT$259)/AT$14,(AU$258+AU$259)/AU$14,(AV$258+AV$259)/AV$14),AV$259/AV$14)*AW$14</f>
        <v>-48.372561856720601</v>
      </c>
    </row>
    <row r="260" spans="1:49" ht="15" x14ac:dyDescent="0.25">
      <c r="A260" s="2" t="s">
        <v>551</v>
      </c>
      <c r="D260" s="40">
        <f t="shared" ref="D260" si="186">SUM(D$257:D$259)</f>
        <v>13.537000000000001</v>
      </c>
      <c r="E260" s="39">
        <f t="shared" ref="E260:AW260" ca="1" si="187">SUM(E$257:E$259)</f>
        <v>13.792</v>
      </c>
      <c r="F260" s="39">
        <f t="shared" ca="1" si="187"/>
        <v>14.09</v>
      </c>
      <c r="G260" s="39">
        <f t="shared" ca="1" si="187"/>
        <v>14.763999999999999</v>
      </c>
      <c r="H260" s="39">
        <f t="shared" ca="1" si="187"/>
        <v>15.317</v>
      </c>
      <c r="I260" s="39">
        <f t="shared" ca="1" si="187"/>
        <v>15.928000000000001</v>
      </c>
      <c r="J260" s="43">
        <f t="shared" ca="1" si="187"/>
        <v>17.080986180060449</v>
      </c>
      <c r="K260" s="43">
        <f t="shared" ca="1" si="187"/>
        <v>18.198136311722294</v>
      </c>
      <c r="L260" s="43">
        <f t="shared" ca="1" si="187"/>
        <v>19.159803035058172</v>
      </c>
      <c r="M260" s="43">
        <f t="shared" ca="1" si="187"/>
        <v>20.081502489036367</v>
      </c>
      <c r="N260" s="43">
        <f t="shared" ca="1" si="187"/>
        <v>20.940005771264808</v>
      </c>
      <c r="O260" s="43">
        <f t="shared" ca="1" si="187"/>
        <v>21.830561820551843</v>
      </c>
      <c r="P260" s="43">
        <f t="shared" ca="1" si="187"/>
        <v>22.751203736615246</v>
      </c>
      <c r="Q260" s="43">
        <f t="shared" ca="1" si="187"/>
        <v>23.689844903250151</v>
      </c>
      <c r="R260" s="43">
        <f t="shared" ca="1" si="187"/>
        <v>24.656519668642339</v>
      </c>
      <c r="S260" s="43">
        <f t="shared" ca="1" si="187"/>
        <v>25.667892430743308</v>
      </c>
      <c r="T260" s="43">
        <f t="shared" ca="1" si="187"/>
        <v>26.729353911171803</v>
      </c>
      <c r="U260" s="43">
        <f t="shared" ca="1" si="187"/>
        <v>27.830436883554903</v>
      </c>
      <c r="V260" s="43">
        <f t="shared" ca="1" si="187"/>
        <v>28.973842639057803</v>
      </c>
      <c r="W260" s="43">
        <f t="shared" ca="1" si="187"/>
        <v>30.176207995119718</v>
      </c>
      <c r="X260" s="43">
        <f t="shared" ca="1" si="187"/>
        <v>31.423543549805039</v>
      </c>
      <c r="Y260" s="43">
        <f t="shared" ca="1" si="187"/>
        <v>32.724102303074979</v>
      </c>
      <c r="Z260" s="43">
        <f t="shared" ca="1" si="187"/>
        <v>34.080683367780239</v>
      </c>
      <c r="AA260" s="43">
        <f t="shared" ca="1" si="187"/>
        <v>35.493487257793305</v>
      </c>
      <c r="AB260" s="43">
        <f t="shared" ca="1" si="187"/>
        <v>36.977286117956282</v>
      </c>
      <c r="AC260" s="43">
        <f t="shared" ca="1" si="187"/>
        <v>38.525368113126987</v>
      </c>
      <c r="AD260" s="43">
        <f t="shared" ca="1" si="187"/>
        <v>40.12760419104157</v>
      </c>
      <c r="AE260" s="43">
        <f t="shared" ca="1" si="187"/>
        <v>41.793012624440777</v>
      </c>
      <c r="AF260" s="43">
        <f t="shared" ca="1" si="187"/>
        <v>43.516842324442898</v>
      </c>
      <c r="AG260" s="43">
        <f t="shared" ca="1" si="187"/>
        <v>45.302696550065654</v>
      </c>
      <c r="AH260" s="43">
        <f t="shared" ca="1" si="187"/>
        <v>47.164564739131357</v>
      </c>
      <c r="AI260" s="43">
        <f t="shared" ca="1" si="187"/>
        <v>49.090103797279895</v>
      </c>
      <c r="AJ260" s="43">
        <f t="shared" ca="1" si="187"/>
        <v>51.077892608325428</v>
      </c>
      <c r="AK260" s="43">
        <f t="shared" ca="1" si="187"/>
        <v>53.1332564225699</v>
      </c>
      <c r="AL260" s="43">
        <f t="shared" ca="1" si="187"/>
        <v>55.271255290599612</v>
      </c>
      <c r="AM260" s="43">
        <f t="shared" ca="1" si="187"/>
        <v>57.492895579270424</v>
      </c>
      <c r="AN260" s="43">
        <f t="shared" ca="1" si="187"/>
        <v>59.817409105546751</v>
      </c>
      <c r="AO260" s="43">
        <f t="shared" ca="1" si="187"/>
        <v>62.243396581810153</v>
      </c>
      <c r="AP260" s="43">
        <f t="shared" ca="1" si="187"/>
        <v>64.771393119723058</v>
      </c>
      <c r="AQ260" s="43">
        <f t="shared" ca="1" si="187"/>
        <v>67.418926489818233</v>
      </c>
      <c r="AR260" s="43">
        <f t="shared" ca="1" si="187"/>
        <v>70.177617947552903</v>
      </c>
      <c r="AS260" s="43">
        <f t="shared" ca="1" si="187"/>
        <v>73.050800710005831</v>
      </c>
      <c r="AT260" s="43">
        <f t="shared" ca="1" si="187"/>
        <v>76.047068496882204</v>
      </c>
      <c r="AU260" s="43">
        <f t="shared" ca="1" si="187"/>
        <v>79.16897530278149</v>
      </c>
      <c r="AV260" s="43">
        <f t="shared" ca="1" si="187"/>
        <v>82.42245012317268</v>
      </c>
      <c r="AW260" s="43">
        <f t="shared" ca="1" si="187"/>
        <v>85.802998267075935</v>
      </c>
    </row>
    <row r="261" spans="1:49" ht="15" x14ac:dyDescent="0.25">
      <c r="A261" s="1" t="s">
        <v>852</v>
      </c>
      <c r="B261" s="4" t="str">
        <f>$B$65</f>
        <v>Projected Years only</v>
      </c>
      <c r="D261" s="56"/>
      <c r="E261" s="56"/>
      <c r="F261" s="56"/>
      <c r="G261" s="56"/>
      <c r="H261" s="56"/>
      <c r="I261" s="56"/>
      <c r="J261" s="72">
        <f ca="1">(1+OFFSET(Assumptions!$B$105,0,$C$1)*J$34)*(1+OFFSET(Assumptions!$B$106,0,$C$1)*J$29)/(1+OFFSET(Assumptions!$B$107,0,$C$1))-1</f>
        <v>3.83688900000001E-2</v>
      </c>
      <c r="K261" s="72">
        <f ca="1">(1+OFFSET(Assumptions!$B$105,0,$C$1)*K$34)*(1+OFFSET(Assumptions!$B$106,0,$C$1)*K$29)/(1+OFFSET(Assumptions!$B$107,0,$C$1))-1</f>
        <v>4.0217490000000078E-2</v>
      </c>
      <c r="L261" s="72">
        <f ca="1">(1+OFFSET(Assumptions!$B$105,0,$C$1)*L$34)*(1+OFFSET(Assumptions!$B$106,0,$C$1)*L$29)/(1+OFFSET(Assumptions!$B$107,0,$C$1))-1</f>
        <v>4.0864500000000303E-2</v>
      </c>
      <c r="M261" s="72">
        <f ca="1">(1+OFFSET(Assumptions!$B$105,0,$C$1)*M$34)*(1+OFFSET(Assumptions!$B$106,0,$C$1)*M$29)/(1+OFFSET(Assumptions!$B$107,0,$C$1))-1</f>
        <v>4.0864500000000303E-2</v>
      </c>
      <c r="N261" s="72">
        <f ca="1">(1+OFFSET(Assumptions!$B$105,0,$C$1)*N$34)*(1+OFFSET(Assumptions!$B$106,0,$C$1)*N$29)/(1+OFFSET(Assumptions!$B$107,0,$C$1))-1</f>
        <v>4.0864500000000303E-2</v>
      </c>
      <c r="O261" s="72">
        <f ca="1">(1+OFFSET(Assumptions!$B$105,0,$C$1)*O$34)*(1+OFFSET(Assumptions!$B$106,0,$C$1)*O$29)/(1+OFFSET(Assumptions!$B$107,0,$C$1))-1</f>
        <v>4.0864500000000303E-2</v>
      </c>
      <c r="P261" s="72">
        <f ca="1">(1+OFFSET(Assumptions!$B$105,0,$C$1)*P$34)*(1+OFFSET(Assumptions!$B$106,0,$C$1)*P$29)/(1+OFFSET(Assumptions!$B$107,0,$C$1))-1</f>
        <v>4.0864500000000303E-2</v>
      </c>
      <c r="Q261" s="72">
        <f ca="1">(1+OFFSET(Assumptions!$B$105,0,$C$1)*Q$34)*(1+OFFSET(Assumptions!$B$106,0,$C$1)*Q$29)/(1+OFFSET(Assumptions!$B$107,0,$C$1))-1</f>
        <v>4.0864500000000303E-2</v>
      </c>
      <c r="R261" s="72">
        <f ca="1">(1+OFFSET(Assumptions!$B$105,0,$C$1)*R$34)*(1+OFFSET(Assumptions!$B$106,0,$C$1)*R$29)/(1+OFFSET(Assumptions!$B$107,0,$C$1))-1</f>
        <v>4.0864500000000303E-2</v>
      </c>
      <c r="S261" s="72">
        <f ca="1">(1+OFFSET(Assumptions!$B$105,0,$C$1)*S$34)*(1+OFFSET(Assumptions!$B$106,0,$C$1)*S$29)/(1+OFFSET(Assumptions!$B$107,0,$C$1))-1</f>
        <v>4.0864500000000303E-2</v>
      </c>
      <c r="T261" s="72">
        <f ca="1">(1+OFFSET(Assumptions!$B$105,0,$C$1)*T$34)*(1+OFFSET(Assumptions!$B$106,0,$C$1)*T$29)/(1+OFFSET(Assumptions!$B$107,0,$C$1))-1</f>
        <v>4.0864500000000303E-2</v>
      </c>
      <c r="U261" s="72">
        <f ca="1">(1+OFFSET(Assumptions!$B$105,0,$C$1)*U$34)*(1+OFFSET(Assumptions!$B$106,0,$C$1)*U$29)/(1+OFFSET(Assumptions!$B$107,0,$C$1))-1</f>
        <v>4.0864500000000303E-2</v>
      </c>
      <c r="V261" s="72">
        <f ca="1">(1+OFFSET(Assumptions!$B$105,0,$C$1)*V$34)*(1+OFFSET(Assumptions!$B$106,0,$C$1)*V$29)/(1+OFFSET(Assumptions!$B$107,0,$C$1))-1</f>
        <v>4.0864500000000303E-2</v>
      </c>
      <c r="W261" s="72">
        <f ca="1">(1+OFFSET(Assumptions!$B$105,0,$C$1)*W$34)*(1+OFFSET(Assumptions!$B$106,0,$C$1)*W$29)/(1+OFFSET(Assumptions!$B$107,0,$C$1))-1</f>
        <v>4.0864500000000303E-2</v>
      </c>
      <c r="X261" s="72">
        <f ca="1">(1+OFFSET(Assumptions!$B$105,0,$C$1)*X$34)*(1+OFFSET(Assumptions!$B$106,0,$C$1)*X$29)/(1+OFFSET(Assumptions!$B$107,0,$C$1))-1</f>
        <v>4.0864500000000303E-2</v>
      </c>
      <c r="Y261" s="72">
        <f ca="1">(1+OFFSET(Assumptions!$B$105,0,$C$1)*Y$34)*(1+OFFSET(Assumptions!$B$106,0,$C$1)*Y$29)/(1+OFFSET(Assumptions!$B$107,0,$C$1))-1</f>
        <v>4.0864500000000303E-2</v>
      </c>
      <c r="Z261" s="72">
        <f ca="1">(1+OFFSET(Assumptions!$B$105,0,$C$1)*Z$34)*(1+OFFSET(Assumptions!$B$106,0,$C$1)*Z$29)/(1+OFFSET(Assumptions!$B$107,0,$C$1))-1</f>
        <v>4.0864500000000303E-2</v>
      </c>
      <c r="AA261" s="72">
        <f ca="1">(1+OFFSET(Assumptions!$B$105,0,$C$1)*AA$34)*(1+OFFSET(Assumptions!$B$106,0,$C$1)*AA$29)/(1+OFFSET(Assumptions!$B$107,0,$C$1))-1</f>
        <v>4.0864500000000303E-2</v>
      </c>
      <c r="AB261" s="72">
        <f ca="1">(1+OFFSET(Assumptions!$B$105,0,$C$1)*AB$34)*(1+OFFSET(Assumptions!$B$106,0,$C$1)*AB$29)/(1+OFFSET(Assumptions!$B$107,0,$C$1))-1</f>
        <v>4.0864500000000303E-2</v>
      </c>
      <c r="AC261" s="72">
        <f ca="1">(1+OFFSET(Assumptions!$B$105,0,$C$1)*AC$34)*(1+OFFSET(Assumptions!$B$106,0,$C$1)*AC$29)/(1+OFFSET(Assumptions!$B$107,0,$C$1))-1</f>
        <v>4.0864500000000303E-2</v>
      </c>
      <c r="AD261" s="72">
        <f ca="1">(1+OFFSET(Assumptions!$B$105,0,$C$1)*AD$34)*(1+OFFSET(Assumptions!$B$106,0,$C$1)*AD$29)/(1+OFFSET(Assumptions!$B$107,0,$C$1))-1</f>
        <v>4.0864500000000303E-2</v>
      </c>
      <c r="AE261" s="72">
        <f ca="1">(1+OFFSET(Assumptions!$B$105,0,$C$1)*AE$34)*(1+OFFSET(Assumptions!$B$106,0,$C$1)*AE$29)/(1+OFFSET(Assumptions!$B$107,0,$C$1))-1</f>
        <v>4.0864500000000303E-2</v>
      </c>
      <c r="AF261" s="72">
        <f ca="1">(1+OFFSET(Assumptions!$B$105,0,$C$1)*AF$34)*(1+OFFSET(Assumptions!$B$106,0,$C$1)*AF$29)/(1+OFFSET(Assumptions!$B$107,0,$C$1))-1</f>
        <v>4.0864500000000303E-2</v>
      </c>
      <c r="AG261" s="72">
        <f ca="1">(1+OFFSET(Assumptions!$B$105,0,$C$1)*AG$34)*(1+OFFSET(Assumptions!$B$106,0,$C$1)*AG$29)/(1+OFFSET(Assumptions!$B$107,0,$C$1))-1</f>
        <v>4.0864500000000303E-2</v>
      </c>
      <c r="AH261" s="72">
        <f ca="1">(1+OFFSET(Assumptions!$B$105,0,$C$1)*AH$34)*(1+OFFSET(Assumptions!$B$106,0,$C$1)*AH$29)/(1+OFFSET(Assumptions!$B$107,0,$C$1))-1</f>
        <v>4.0864500000000303E-2</v>
      </c>
      <c r="AI261" s="72">
        <f ca="1">(1+OFFSET(Assumptions!$B$105,0,$C$1)*AI$34)*(1+OFFSET(Assumptions!$B$106,0,$C$1)*AI$29)/(1+OFFSET(Assumptions!$B$107,0,$C$1))-1</f>
        <v>4.0864500000000303E-2</v>
      </c>
      <c r="AJ261" s="72">
        <f ca="1">(1+OFFSET(Assumptions!$B$105,0,$C$1)*AJ$34)*(1+OFFSET(Assumptions!$B$106,0,$C$1)*AJ$29)/(1+OFFSET(Assumptions!$B$107,0,$C$1))-1</f>
        <v>4.0864500000000303E-2</v>
      </c>
      <c r="AK261" s="72">
        <f ca="1">(1+OFFSET(Assumptions!$B$105,0,$C$1)*AK$34)*(1+OFFSET(Assumptions!$B$106,0,$C$1)*AK$29)/(1+OFFSET(Assumptions!$B$107,0,$C$1))-1</f>
        <v>4.0864500000000303E-2</v>
      </c>
      <c r="AL261" s="72">
        <f ca="1">(1+OFFSET(Assumptions!$B$105,0,$C$1)*AL$34)*(1+OFFSET(Assumptions!$B$106,0,$C$1)*AL$29)/(1+OFFSET(Assumptions!$B$107,0,$C$1))-1</f>
        <v>4.0864500000000303E-2</v>
      </c>
      <c r="AM261" s="72">
        <f ca="1">(1+OFFSET(Assumptions!$B$105,0,$C$1)*AM$34)*(1+OFFSET(Assumptions!$B$106,0,$C$1)*AM$29)/(1+OFFSET(Assumptions!$B$107,0,$C$1))-1</f>
        <v>4.0864500000000303E-2</v>
      </c>
      <c r="AN261" s="72">
        <f ca="1">(1+OFFSET(Assumptions!$B$105,0,$C$1)*AN$34)*(1+OFFSET(Assumptions!$B$106,0,$C$1)*AN$29)/(1+OFFSET(Assumptions!$B$107,0,$C$1))-1</f>
        <v>4.0864500000000303E-2</v>
      </c>
      <c r="AO261" s="72">
        <f ca="1">(1+OFFSET(Assumptions!$B$105,0,$C$1)*AO$34)*(1+OFFSET(Assumptions!$B$106,0,$C$1)*AO$29)/(1+OFFSET(Assumptions!$B$107,0,$C$1))-1</f>
        <v>4.0864500000000303E-2</v>
      </c>
      <c r="AP261" s="72">
        <f ca="1">(1+OFFSET(Assumptions!$B$105,0,$C$1)*AP$34)*(1+OFFSET(Assumptions!$B$106,0,$C$1)*AP$29)/(1+OFFSET(Assumptions!$B$107,0,$C$1))-1</f>
        <v>4.0864500000000303E-2</v>
      </c>
      <c r="AQ261" s="72">
        <f ca="1">(1+OFFSET(Assumptions!$B$105,0,$C$1)*AQ$34)*(1+OFFSET(Assumptions!$B$106,0,$C$1)*AQ$29)/(1+OFFSET(Assumptions!$B$107,0,$C$1))-1</f>
        <v>4.0864500000000303E-2</v>
      </c>
      <c r="AR261" s="72">
        <f ca="1">(1+OFFSET(Assumptions!$B$105,0,$C$1)*AR$34)*(1+OFFSET(Assumptions!$B$106,0,$C$1)*AR$29)/(1+OFFSET(Assumptions!$B$107,0,$C$1))-1</f>
        <v>4.0864500000000303E-2</v>
      </c>
      <c r="AS261" s="72">
        <f ca="1">(1+OFFSET(Assumptions!$B$105,0,$C$1)*AS$34)*(1+OFFSET(Assumptions!$B$106,0,$C$1)*AS$29)/(1+OFFSET(Assumptions!$B$107,0,$C$1))-1</f>
        <v>4.0864500000000303E-2</v>
      </c>
      <c r="AT261" s="72">
        <f ca="1">(1+OFFSET(Assumptions!$B$105,0,$C$1)*AT$34)*(1+OFFSET(Assumptions!$B$106,0,$C$1)*AT$29)/(1+OFFSET(Assumptions!$B$107,0,$C$1))-1</f>
        <v>4.0864500000000303E-2</v>
      </c>
      <c r="AU261" s="72">
        <f ca="1">(1+OFFSET(Assumptions!$B$105,0,$C$1)*AU$34)*(1+OFFSET(Assumptions!$B$106,0,$C$1)*AU$29)/(1+OFFSET(Assumptions!$B$107,0,$C$1))-1</f>
        <v>4.0864500000000303E-2</v>
      </c>
      <c r="AV261" s="72">
        <f ca="1">(1+OFFSET(Assumptions!$B$105,0,$C$1)*AV$34)*(1+OFFSET(Assumptions!$B$106,0,$C$1)*AV$29)/(1+OFFSET(Assumptions!$B$107,0,$C$1))-1</f>
        <v>4.0864500000000303E-2</v>
      </c>
      <c r="AW261" s="72">
        <f ca="1">(1+OFFSET(Assumptions!$B$105,0,$C$1)*AW$34)*(1+OFFSET(Assumptions!$B$106,0,$C$1)*AW$29)/(1+OFFSET(Assumptions!$B$107,0,$C$1))-1</f>
        <v>4.0864500000000303E-2</v>
      </c>
    </row>
    <row r="262" spans="1:49" x14ac:dyDescent="0.2">
      <c r="A262" s="1" t="s">
        <v>861</v>
      </c>
      <c r="D262" s="73">
        <f>SUM(Exogenous!$B$59*Popn!K$10/Popn!J$10,Exogenous!$C$59*Popn!K$110/Popn!J$110,Exogenous!$B$60*Popn!K$11/Popn!J$11,Exogenous!$C$60*Popn!K$111/Popn!J$111,Exogenous!$B$61*Popn!K$12/Popn!J$12,Exogenous!$C$61*Popn!K$112/Popn!J$112,Exogenous!$B$62*Popn!K$13/Popn!J$13,Exogenous!$C$62*Popn!K$113/Popn!J$113,Exogenous!$B$63*Popn!K$14/Popn!J$14,Exogenous!$C$63*Popn!K$114/Popn!J$114,Exogenous!$B$64*Popn!K$15/Popn!J$15,Exogenous!$C$64*Popn!K$115/Popn!J$115)-1</f>
        <v>-1.3921473946217011E-2</v>
      </c>
      <c r="E262" s="74">
        <f>SUM(Exogenous!$B$59*Popn!L$10/Popn!K$10,Exogenous!$C$59*Popn!L$110/Popn!K$110,Exogenous!$B$60*Popn!L$11/Popn!K$11,Exogenous!$C$60*Popn!L$111/Popn!K$111,Exogenous!$B$61*Popn!L$12/Popn!K$12,Exogenous!$C$61*Popn!L$112/Popn!K$112,Exogenous!$B$62*Popn!L$13/Popn!K$13,Exogenous!$C$62*Popn!L$113/Popn!K$113,Exogenous!$B$63*Popn!L$14/Popn!K$14,Exogenous!$C$63*Popn!L$114/Popn!K$114,Exogenous!$B$64*Popn!L$15/Popn!K$15,Exogenous!$C$64*Popn!L$115/Popn!K$115)-1</f>
        <v>-1.4508374400921897E-2</v>
      </c>
      <c r="F262" s="74">
        <f>SUM(Exogenous!$B$59*Popn!M$10/Popn!L$10,Exogenous!$C$59*Popn!M$110/Popn!L$110,Exogenous!$B$60*Popn!M$11/Popn!L$11,Exogenous!$C$60*Popn!M$111/Popn!L$111,Exogenous!$B$61*Popn!M$12/Popn!L$12,Exogenous!$C$61*Popn!M$112/Popn!L$112,Exogenous!$B$62*Popn!M$13/Popn!L$13,Exogenous!$C$62*Popn!M$113/Popn!L$113,Exogenous!$B$63*Popn!M$14/Popn!L$14,Exogenous!$C$63*Popn!M$114/Popn!L$114,Exogenous!$B$64*Popn!M$15/Popn!L$15,Exogenous!$C$64*Popn!M$115/Popn!L$115)-1</f>
        <v>-1.5362402765988215E-2</v>
      </c>
      <c r="G262" s="74">
        <f>SUM(Exogenous!$B$59*Popn!N$10/Popn!M$10,Exogenous!$C$59*Popn!N$110/Popn!M$110,Exogenous!$B$60*Popn!N$11/Popn!M$11,Exogenous!$C$60*Popn!N$111/Popn!M$111,Exogenous!$B$61*Popn!N$12/Popn!M$12,Exogenous!$C$61*Popn!N$112/Popn!M$112,Exogenous!$B$62*Popn!N$13/Popn!M$13,Exogenous!$C$62*Popn!N$113/Popn!M$113,Exogenous!$B$63*Popn!N$14/Popn!M$14,Exogenous!$C$63*Popn!N$114/Popn!M$114,Exogenous!$B$64*Popn!N$15/Popn!M$15,Exogenous!$C$64*Popn!N$115/Popn!M$115)-1</f>
        <v>-9.2429476409983113E-3</v>
      </c>
      <c r="H262" s="74">
        <f>SUM(Exogenous!$B$59*Popn!O$10/Popn!N$10,Exogenous!$C$59*Popn!O$110/Popn!N$110,Exogenous!$B$60*Popn!O$11/Popn!N$11,Exogenous!$C$60*Popn!O$111/Popn!N$111,Exogenous!$B$61*Popn!O$12/Popn!N$12,Exogenous!$C$61*Popn!O$112/Popn!N$112,Exogenous!$B$62*Popn!O$13/Popn!N$13,Exogenous!$C$62*Popn!O$113/Popn!N$113,Exogenous!$B$63*Popn!O$14/Popn!N$14,Exogenous!$C$63*Popn!O$114/Popn!N$114,Exogenous!$B$64*Popn!O$15/Popn!N$15,Exogenous!$C$64*Popn!O$115/Popn!N$115)-1</f>
        <v>3.1502489710177883E-3</v>
      </c>
      <c r="I262" s="74">
        <f>SUM(Exogenous!$B$59*Popn!P$10/Popn!O$10,Exogenous!$C$59*Popn!P$110/Popn!O$110,Exogenous!$B$60*Popn!P$11/Popn!O$11,Exogenous!$C$60*Popn!P$111/Popn!O$111,Exogenous!$B$61*Popn!P$12/Popn!O$12,Exogenous!$C$61*Popn!P$112/Popn!O$112,Exogenous!$B$62*Popn!P$13/Popn!O$13,Exogenous!$C$62*Popn!P$113/Popn!O$113,Exogenous!$B$63*Popn!P$14/Popn!O$14,Exogenous!$C$63*Popn!P$114/Popn!O$114,Exogenous!$B$64*Popn!P$15/Popn!O$15,Exogenous!$C$64*Popn!P$115/Popn!O$115)-1</f>
        <v>1.061507016457397E-2</v>
      </c>
      <c r="J262" s="72">
        <f>SUM(Exogenous!$B$59*Popn!Q$10/Popn!P$10,Exogenous!$C$59*Popn!Q$110/Popn!P$110,Exogenous!$B$60*Popn!Q$11/Popn!P$11,Exogenous!$C$60*Popn!Q$111/Popn!P$111,Exogenous!$B$61*Popn!Q$12/Popn!P$12,Exogenous!$C$61*Popn!Q$112/Popn!P$112,Exogenous!$B$62*Popn!Q$13/Popn!P$13,Exogenous!$C$62*Popn!Q$113/Popn!P$113,Exogenous!$B$63*Popn!Q$14/Popn!P$14,Exogenous!$C$63*Popn!Q$114/Popn!P$114,Exogenous!$B$64*Popn!Q$15/Popn!P$15,Exogenous!$C$64*Popn!Q$115/Popn!P$115)-1</f>
        <v>9.5868977283435353E-3</v>
      </c>
      <c r="K262" s="72">
        <f>SUM(Exogenous!$B$59*Popn!R$10/Popn!Q$10,Exogenous!$C$59*Popn!R$110/Popn!Q$110,Exogenous!$B$60*Popn!R$11/Popn!Q$11,Exogenous!$C$60*Popn!R$111/Popn!Q$111,Exogenous!$B$61*Popn!R$12/Popn!Q$12,Exogenous!$C$61*Popn!R$112/Popn!Q$112,Exogenous!$B$62*Popn!R$13/Popn!Q$13,Exogenous!$C$62*Popn!R$113/Popn!Q$113,Exogenous!$B$63*Popn!R$14/Popn!Q$14,Exogenous!$C$63*Popn!R$114/Popn!Q$114,Exogenous!$B$64*Popn!R$15/Popn!Q$15,Exogenous!$C$64*Popn!R$115/Popn!Q$115)-1</f>
        <v>8.5792187963535937E-3</v>
      </c>
      <c r="L262" s="72">
        <f>SUM(Exogenous!$B$59*Popn!S$10/Popn!R$10,Exogenous!$C$59*Popn!S$110/Popn!R$110,Exogenous!$B$60*Popn!S$11/Popn!R$11,Exogenous!$C$60*Popn!S$111/Popn!R$111,Exogenous!$B$61*Popn!S$12/Popn!R$12,Exogenous!$C$61*Popn!S$112/Popn!R$112,Exogenous!$B$62*Popn!S$13/Popn!R$13,Exogenous!$C$62*Popn!S$113/Popn!R$113,Exogenous!$B$63*Popn!S$14/Popn!R$14,Exogenous!$C$63*Popn!S$114/Popn!R$114,Exogenous!$B$64*Popn!S$15/Popn!R$15,Exogenous!$C$64*Popn!S$115/Popn!R$115)-1</f>
        <v>8.079880079652435E-3</v>
      </c>
      <c r="M262" s="72">
        <f>SUM(Exogenous!$B$59*Popn!T$10/Popn!S$10,Exogenous!$C$59*Popn!T$110/Popn!S$110,Exogenous!$B$60*Popn!T$11/Popn!S$11,Exogenous!$C$60*Popn!T$111/Popn!S$111,Exogenous!$B$61*Popn!T$12/Popn!S$12,Exogenous!$C$61*Popn!T$112/Popn!S$112,Exogenous!$B$62*Popn!T$13/Popn!S$13,Exogenous!$C$62*Popn!T$113/Popn!S$113,Exogenous!$B$63*Popn!T$14/Popn!S$14,Exogenous!$C$63*Popn!T$114/Popn!S$114,Exogenous!$B$64*Popn!T$15/Popn!S$15,Exogenous!$C$64*Popn!T$115/Popn!S$115)-1</f>
        <v>7.2789839065539041E-3</v>
      </c>
      <c r="N262" s="72">
        <f>SUM(Exogenous!$B$59*Popn!U$10/Popn!T$10,Exogenous!$C$59*Popn!U$110/Popn!T$110,Exogenous!$B$60*Popn!U$11/Popn!T$11,Exogenous!$C$60*Popn!U$111/Popn!T$111,Exogenous!$B$61*Popn!U$12/Popn!T$12,Exogenous!$C$61*Popn!U$112/Popn!T$112,Exogenous!$B$62*Popn!U$13/Popn!T$13,Exogenous!$C$62*Popn!U$113/Popn!T$113,Exogenous!$B$63*Popn!U$14/Popn!T$14,Exogenous!$C$63*Popn!U$114/Popn!T$114,Exogenous!$B$64*Popn!U$15/Popn!T$15,Exogenous!$C$64*Popn!U$115/Popn!T$115)-1</f>
        <v>6.1915052817607119E-3</v>
      </c>
      <c r="O262" s="72">
        <f>SUM(Exogenous!$B$59*Popn!V$10/Popn!U$10,Exogenous!$C$59*Popn!V$110/Popn!U$110,Exogenous!$B$60*Popn!V$11/Popn!U$11,Exogenous!$C$60*Popn!V$111/Popn!U$111,Exogenous!$B$61*Popn!V$12/Popn!U$12,Exogenous!$C$61*Popn!V$112/Popn!U$112,Exogenous!$B$62*Popn!V$13/Popn!U$13,Exogenous!$C$62*Popn!V$113/Popn!U$113,Exogenous!$B$63*Popn!V$14/Popn!U$14,Exogenous!$C$63*Popn!V$114/Popn!U$114,Exogenous!$B$64*Popn!V$15/Popn!U$15,Exogenous!$C$64*Popn!V$115/Popn!U$115)-1</f>
        <v>5.0960277932718956E-3</v>
      </c>
      <c r="P262" s="72">
        <f>SUM(Exogenous!$B$59*Popn!W$10/Popn!V$10,Exogenous!$C$59*Popn!W$110/Popn!V$110,Exogenous!$B$60*Popn!W$11/Popn!V$11,Exogenous!$C$60*Popn!W$111/Popn!V$111,Exogenous!$B$61*Popn!W$12/Popn!V$12,Exogenous!$C$61*Popn!W$112/Popn!V$112,Exogenous!$B$62*Popn!W$13/Popn!V$13,Exogenous!$C$62*Popn!W$113/Popn!V$113,Exogenous!$B$63*Popn!W$14/Popn!V$14,Exogenous!$C$63*Popn!W$114/Popn!V$114,Exogenous!$B$64*Popn!W$15/Popn!V$15,Exogenous!$C$64*Popn!W$115/Popn!V$115)-1</f>
        <v>4.0404517116001681E-3</v>
      </c>
      <c r="Q262" s="72">
        <f>SUM(Exogenous!$B$59*Popn!X$10/Popn!W$10,Exogenous!$C$59*Popn!X$110/Popn!W$110,Exogenous!$B$60*Popn!X$11/Popn!W$11,Exogenous!$C$60*Popn!X$111/Popn!W$111,Exogenous!$B$61*Popn!X$12/Popn!W$12,Exogenous!$C$61*Popn!X$112/Popn!W$112,Exogenous!$B$62*Popn!X$13/Popn!W$13,Exogenous!$C$62*Popn!X$113/Popn!W$113,Exogenous!$B$63*Popn!X$14/Popn!W$14,Exogenous!$C$63*Popn!X$114/Popn!W$114,Exogenous!$B$64*Popn!X$15/Popn!W$15,Exogenous!$C$64*Popn!X$115/Popn!W$115)-1</f>
        <v>3.0382726562039331E-3</v>
      </c>
      <c r="R262" s="72">
        <f>SUM(Exogenous!$B$59*Popn!Y$10/Popn!X$10,Exogenous!$C$59*Popn!Y$110/Popn!X$110,Exogenous!$B$60*Popn!Y$11/Popn!X$11,Exogenous!$C$60*Popn!Y$111/Popn!X$111,Exogenous!$B$61*Popn!Y$12/Popn!X$12,Exogenous!$C$61*Popn!Y$112/Popn!X$112,Exogenous!$B$62*Popn!Y$13/Popn!X$13,Exogenous!$C$62*Popn!Y$113/Popn!X$113,Exogenous!$B$63*Popn!Y$14/Popn!X$14,Exogenous!$C$63*Popn!Y$114/Popn!X$114,Exogenous!$B$64*Popn!Y$15/Popn!X$15,Exogenous!$C$64*Popn!Y$115/Popn!X$115)-1</f>
        <v>1.9309193155359061E-3</v>
      </c>
      <c r="S262" s="72">
        <f>SUM(Exogenous!$B$59*Popn!Z$10/Popn!Y$10,Exogenous!$C$59*Popn!Z$110/Popn!Y$110,Exogenous!$B$60*Popn!Z$11/Popn!Y$11,Exogenous!$C$60*Popn!Z$111/Popn!Y$111,Exogenous!$B$61*Popn!Z$12/Popn!Y$12,Exogenous!$C$61*Popn!Z$112/Popn!Y$112,Exogenous!$B$62*Popn!Z$13/Popn!Y$13,Exogenous!$C$62*Popn!Z$113/Popn!Y$113,Exogenous!$B$63*Popn!Z$14/Popn!Y$14,Exogenous!$C$63*Popn!Z$114/Popn!Y$114,Exogenous!$B$64*Popn!Z$15/Popn!Y$15,Exogenous!$C$64*Popn!Z$115/Popn!Y$115)-1</f>
        <v>8.7764150126679041E-4</v>
      </c>
      <c r="T262" s="72">
        <f>SUM(Exogenous!$B$59*Popn!AA$10/Popn!Z$10,Exogenous!$C$59*Popn!AA$110/Popn!Z$110,Exogenous!$B$60*Popn!AA$11/Popn!Z$11,Exogenous!$C$60*Popn!AA$111/Popn!Z$111,Exogenous!$B$61*Popn!AA$12/Popn!Z$12,Exogenous!$C$61*Popn!AA$112/Popn!Z$112,Exogenous!$B$62*Popn!AA$13/Popn!Z$13,Exogenous!$C$62*Popn!AA$113/Popn!Z$113,Exogenous!$B$63*Popn!AA$14/Popn!Z$14,Exogenous!$C$63*Popn!AA$114/Popn!Z$114,Exogenous!$B$64*Popn!AA$15/Popn!Z$15,Exogenous!$C$64*Popn!AA$115/Popn!Z$115)-1</f>
        <v>-4.6504187839468969E-5</v>
      </c>
      <c r="U262" s="72">
        <f>SUM(Exogenous!$B$59*Popn!AB$10/Popn!AA$10,Exogenous!$C$59*Popn!AB$110/Popn!AA$110,Exogenous!$B$60*Popn!AB$11/Popn!AA$11,Exogenous!$C$60*Popn!AB$111/Popn!AA$111,Exogenous!$B$61*Popn!AB$12/Popn!AA$12,Exogenous!$C$61*Popn!AB$112/Popn!AA$112,Exogenous!$B$62*Popn!AB$13/Popn!AA$13,Exogenous!$C$62*Popn!AB$113/Popn!AA$113,Exogenous!$B$63*Popn!AB$14/Popn!AA$14,Exogenous!$C$63*Popn!AB$114/Popn!AA$114,Exogenous!$B$64*Popn!AB$15/Popn!AA$15,Exogenous!$C$64*Popn!AB$115/Popn!AA$115)-1</f>
        <v>-9.1791205390934216E-4</v>
      </c>
      <c r="V262" s="72">
        <f>SUM(Exogenous!$B$59*Popn!AC$10/Popn!AB$10,Exogenous!$C$59*Popn!AC$110/Popn!AB$110,Exogenous!$B$60*Popn!AC$11/Popn!AB$11,Exogenous!$C$60*Popn!AC$111/Popn!AB$111,Exogenous!$B$61*Popn!AC$12/Popn!AB$12,Exogenous!$C$61*Popn!AC$112/Popn!AB$112,Exogenous!$B$62*Popn!AC$13/Popn!AB$13,Exogenous!$C$62*Popn!AC$113/Popn!AB$113,Exogenous!$B$63*Popn!AC$14/Popn!AB$14,Exogenous!$C$63*Popn!AC$114/Popn!AB$114,Exogenous!$B$64*Popn!AC$15/Popn!AB$15,Exogenous!$C$64*Popn!AC$115/Popn!AB$115)-1</f>
        <v>-1.748633483192541E-3</v>
      </c>
      <c r="W262" s="72">
        <f>SUM(Exogenous!$B$59*Popn!AD$10/Popn!AC$10,Exogenous!$C$59*Popn!AD$110/Popn!AC$110,Exogenous!$B$60*Popn!AD$11/Popn!AC$11,Exogenous!$C$60*Popn!AD$111/Popn!AC$111,Exogenous!$B$61*Popn!AD$12/Popn!AC$12,Exogenous!$C$61*Popn!AD$112/Popn!AC$112,Exogenous!$B$62*Popn!AD$13/Popn!AC$13,Exogenous!$C$62*Popn!AD$113/Popn!AC$113,Exogenous!$B$63*Popn!AD$14/Popn!AC$14,Exogenous!$C$63*Popn!AD$114/Popn!AC$114,Exogenous!$B$64*Popn!AD$15/Popn!AC$15,Exogenous!$C$64*Popn!AD$115/Popn!AC$115)-1</f>
        <v>-2.2449773166101084E-3</v>
      </c>
      <c r="X262" s="72">
        <f>SUM(Exogenous!$B$59*Popn!AE$10/Popn!AD$10,Exogenous!$C$59*Popn!AE$110/Popn!AD$110,Exogenous!$B$60*Popn!AE$11/Popn!AD$11,Exogenous!$C$60*Popn!AE$111/Popn!AD$111,Exogenous!$B$61*Popn!AE$12/Popn!AD$12,Exogenous!$C$61*Popn!AE$112/Popn!AD$112,Exogenous!$B$62*Popn!AE$13/Popn!AD$13,Exogenous!$C$62*Popn!AE$113/Popn!AD$113,Exogenous!$B$63*Popn!AE$14/Popn!AD$14,Exogenous!$C$63*Popn!AE$114/Popn!AD$114,Exogenous!$B$64*Popn!AE$15/Popn!AD$15,Exogenous!$C$64*Popn!AE$115/Popn!AD$115)-1</f>
        <v>-2.4085858728053466E-3</v>
      </c>
      <c r="Y262" s="72">
        <f>SUM(Exogenous!$B$59*Popn!AF$10/Popn!AE$10,Exogenous!$C$59*Popn!AF$110/Popn!AE$110,Exogenous!$B$60*Popn!AF$11/Popn!AE$11,Exogenous!$C$60*Popn!AF$111/Popn!AE$111,Exogenous!$B$61*Popn!AF$12/Popn!AE$12,Exogenous!$C$61*Popn!AF$112/Popn!AE$112,Exogenous!$B$62*Popn!AF$13/Popn!AE$13,Exogenous!$C$62*Popn!AF$113/Popn!AE$113,Exogenous!$B$63*Popn!AF$14/Popn!AE$14,Exogenous!$C$63*Popn!AF$114/Popn!AE$114,Exogenous!$B$64*Popn!AF$15/Popn!AE$15,Exogenous!$C$64*Popn!AF$115/Popn!AE$115)-1</f>
        <v>-2.4445313263996571E-3</v>
      </c>
      <c r="Z262" s="72">
        <f>SUM(Exogenous!$B$59*Popn!AG$10/Popn!AF$10,Exogenous!$C$59*Popn!AG$110/Popn!AF$110,Exogenous!$B$60*Popn!AG$11/Popn!AF$11,Exogenous!$C$60*Popn!AG$111/Popn!AF$111,Exogenous!$B$61*Popn!AG$12/Popn!AF$12,Exogenous!$C$61*Popn!AG$112/Popn!AF$112,Exogenous!$B$62*Popn!AG$13/Popn!AF$13,Exogenous!$C$62*Popn!AG$113/Popn!AF$113,Exogenous!$B$63*Popn!AG$14/Popn!AF$14,Exogenous!$C$63*Popn!AG$114/Popn!AF$114,Exogenous!$B$64*Popn!AG$15/Popn!AF$15,Exogenous!$C$64*Popn!AG$115/Popn!AF$115)-1</f>
        <v>-2.0397578325119792E-3</v>
      </c>
      <c r="AA262" s="72">
        <f>SUM(Exogenous!$B$59*Popn!AH$10/Popn!AG$10,Exogenous!$C$59*Popn!AH$110/Popn!AG$110,Exogenous!$B$60*Popn!AH$11/Popn!AG$11,Exogenous!$C$60*Popn!AH$111/Popn!AG$111,Exogenous!$B$61*Popn!AH$12/Popn!AG$12,Exogenous!$C$61*Popn!AH$112/Popn!AG$112,Exogenous!$B$62*Popn!AH$13/Popn!AG$13,Exogenous!$C$62*Popn!AH$113/Popn!AG$113,Exogenous!$B$63*Popn!AH$14/Popn!AG$14,Exogenous!$C$63*Popn!AH$114/Popn!AG$114,Exogenous!$B$64*Popn!AH$15/Popn!AG$15,Exogenous!$C$64*Popn!AH$115/Popn!AG$115)-1</f>
        <v>-1.4182401906629449E-3</v>
      </c>
      <c r="AB262" s="72">
        <f>SUM(Exogenous!$B$59*Popn!AI$10/Popn!AH$10,Exogenous!$C$59*Popn!AI$110/Popn!AH$110,Exogenous!$B$60*Popn!AI$11/Popn!AH$11,Exogenous!$C$60*Popn!AI$111/Popn!AH$111,Exogenous!$B$61*Popn!AI$12/Popn!AH$12,Exogenous!$C$61*Popn!AI$112/Popn!AH$112,Exogenous!$B$62*Popn!AI$13/Popn!AH$13,Exogenous!$C$62*Popn!AI$113/Popn!AH$113,Exogenous!$B$63*Popn!AI$14/Popn!AH$14,Exogenous!$C$63*Popn!AI$114/Popn!AH$114,Exogenous!$B$64*Popn!AI$15/Popn!AH$15,Exogenous!$C$64*Popn!AI$115/Popn!AH$115)-1</f>
        <v>-7.8161129487330783E-4</v>
      </c>
      <c r="AC262" s="72">
        <f>SUM(Exogenous!$B$59*Popn!AJ$10/Popn!AI$10,Exogenous!$C$59*Popn!AJ$110/Popn!AI$110,Exogenous!$B$60*Popn!AJ$11/Popn!AI$11,Exogenous!$C$60*Popn!AJ$111/Popn!AI$111,Exogenous!$B$61*Popn!AJ$12/Popn!AI$12,Exogenous!$C$61*Popn!AJ$112/Popn!AI$112,Exogenous!$B$62*Popn!AJ$13/Popn!AI$13,Exogenous!$C$62*Popn!AJ$113/Popn!AI$113,Exogenous!$B$63*Popn!AJ$14/Popn!AI$14,Exogenous!$C$63*Popn!AJ$114/Popn!AI$114,Exogenous!$B$64*Popn!AJ$15/Popn!AI$15,Exogenous!$C$64*Popn!AJ$115/Popn!AI$115)-1</f>
        <v>-5.249479211621999E-5</v>
      </c>
      <c r="AD262" s="72">
        <f>SUM(Exogenous!$B$59*Popn!AK$10/Popn!AJ$10,Exogenous!$C$59*Popn!AK$110/Popn!AJ$110,Exogenous!$B$60*Popn!AK$11/Popn!AJ$11,Exogenous!$C$60*Popn!AK$111/Popn!AJ$111,Exogenous!$B$61*Popn!AK$12/Popn!AJ$12,Exogenous!$C$61*Popn!AK$112/Popn!AJ$112,Exogenous!$B$62*Popn!AK$13/Popn!AJ$13,Exogenous!$C$62*Popn!AK$113/Popn!AJ$113,Exogenous!$B$63*Popn!AK$14/Popn!AJ$14,Exogenous!$C$63*Popn!AK$114/Popn!AJ$114,Exogenous!$B$64*Popn!AK$15/Popn!AJ$15,Exogenous!$C$64*Popn!AK$115/Popn!AJ$115)-1</f>
        <v>5.651860550290877E-4</v>
      </c>
      <c r="AE262" s="72">
        <f>SUM(Exogenous!$B$59*Popn!AL$10/Popn!AK$10,Exogenous!$C$59*Popn!AL$110/Popn!AK$110,Exogenous!$B$60*Popn!AL$11/Popn!AK$11,Exogenous!$C$60*Popn!AL$111/Popn!AK$111,Exogenous!$B$61*Popn!AL$12/Popn!AK$12,Exogenous!$C$61*Popn!AL$112/Popn!AK$112,Exogenous!$B$62*Popn!AL$13/Popn!AK$13,Exogenous!$C$62*Popn!AL$113/Popn!AK$113,Exogenous!$B$63*Popn!AL$14/Popn!AK$14,Exogenous!$C$63*Popn!AL$114/Popn!AK$114,Exogenous!$B$64*Popn!AL$15/Popn!AK$15,Exogenous!$C$64*Popn!AL$115/Popn!AK$115)-1</f>
        <v>9.5654092958930015E-4</v>
      </c>
      <c r="AF262" s="72">
        <f>SUM(Exogenous!$B$59*Popn!AM$10/Popn!AL$10,Exogenous!$C$59*Popn!AM$110/Popn!AL$110,Exogenous!$B$60*Popn!AM$11/Popn!AL$11,Exogenous!$C$60*Popn!AM$111/Popn!AL$111,Exogenous!$B$61*Popn!AM$12/Popn!AL$12,Exogenous!$C$61*Popn!AM$112/Popn!AL$112,Exogenous!$B$62*Popn!AM$13/Popn!AL$13,Exogenous!$C$62*Popn!AM$113/Popn!AL$113,Exogenous!$B$63*Popn!AM$14/Popn!AL$14,Exogenous!$C$63*Popn!AM$114/Popn!AL$114,Exogenous!$B$64*Popn!AM$15/Popn!AL$15,Exogenous!$C$64*Popn!AM$115/Popn!AL$115)-1</f>
        <v>1.1823365058039048E-3</v>
      </c>
      <c r="AG262" s="72">
        <f>SUM(Exogenous!$B$59*Popn!AN$10/Popn!AM$10,Exogenous!$C$59*Popn!AN$110/Popn!AM$110,Exogenous!$B$60*Popn!AN$11/Popn!AM$11,Exogenous!$C$60*Popn!AN$111/Popn!AM$111,Exogenous!$B$61*Popn!AN$12/Popn!AM$12,Exogenous!$C$61*Popn!AN$112/Popn!AM$112,Exogenous!$B$62*Popn!AN$13/Popn!AM$13,Exogenous!$C$62*Popn!AN$113/Popn!AM$113,Exogenous!$B$63*Popn!AN$14/Popn!AM$14,Exogenous!$C$63*Popn!AN$114/Popn!AM$114,Exogenous!$B$64*Popn!AN$15/Popn!AM$15,Exogenous!$C$64*Popn!AN$115/Popn!AM$115)-1</f>
        <v>1.3106779073146502E-3</v>
      </c>
      <c r="AH262" s="72">
        <f>SUM(Exogenous!$B$59*Popn!AO$10/Popn!AN$10,Exogenous!$C$59*Popn!AO$110/Popn!AN$110,Exogenous!$B$60*Popn!AO$11/Popn!AN$11,Exogenous!$C$60*Popn!AO$111/Popn!AN$111,Exogenous!$B$61*Popn!AO$12/Popn!AN$12,Exogenous!$C$61*Popn!AO$112/Popn!AN$112,Exogenous!$B$62*Popn!AO$13/Popn!AN$13,Exogenous!$C$62*Popn!AO$113/Popn!AN$113,Exogenous!$B$63*Popn!AO$14/Popn!AN$14,Exogenous!$C$63*Popn!AO$114/Popn!AN$114,Exogenous!$B$64*Popn!AO$15/Popn!AN$15,Exogenous!$C$64*Popn!AO$115/Popn!AN$115)-1</f>
        <v>1.2609474415079536E-3</v>
      </c>
      <c r="AI262" s="72">
        <f>SUM(Exogenous!$B$59*Popn!AP$10/Popn!AO$10,Exogenous!$C$59*Popn!AP$110/Popn!AO$110,Exogenous!$B$60*Popn!AP$11/Popn!AO$11,Exogenous!$C$60*Popn!AP$111/Popn!AO$111,Exogenous!$B$61*Popn!AP$12/Popn!AO$12,Exogenous!$C$61*Popn!AP$112/Popn!AO$112,Exogenous!$B$62*Popn!AP$13/Popn!AO$13,Exogenous!$C$62*Popn!AP$113/Popn!AO$113,Exogenous!$B$63*Popn!AP$14/Popn!AO$14,Exogenous!$C$63*Popn!AP$114/Popn!AO$114,Exogenous!$B$64*Popn!AP$15/Popn!AO$15,Exogenous!$C$64*Popn!AP$115/Popn!AO$115)-1</f>
        <v>1.116055593188614E-3</v>
      </c>
      <c r="AJ262" s="72">
        <f>SUM(Exogenous!$B$59*Popn!AQ$10/Popn!AP$10,Exogenous!$C$59*Popn!AQ$110/Popn!AP$110,Exogenous!$B$60*Popn!AQ$11/Popn!AP$11,Exogenous!$C$60*Popn!AQ$111/Popn!AP$111,Exogenous!$B$61*Popn!AQ$12/Popn!AP$12,Exogenous!$C$61*Popn!AQ$112/Popn!AP$112,Exogenous!$B$62*Popn!AQ$13/Popn!AP$13,Exogenous!$C$62*Popn!AQ$113/Popn!AP$113,Exogenous!$B$63*Popn!AQ$14/Popn!AP$14,Exogenous!$C$63*Popn!AQ$114/Popn!AP$114,Exogenous!$B$64*Popn!AQ$15/Popn!AP$15,Exogenous!$C$64*Popn!AQ$115/Popn!AP$115)-1</f>
        <v>8.3078572476646961E-4</v>
      </c>
      <c r="AK262" s="72">
        <f>SUM(Exogenous!$B$59*Popn!AR$10/Popn!AQ$10,Exogenous!$C$59*Popn!AR$110/Popn!AQ$110,Exogenous!$B$60*Popn!AR$11/Popn!AQ$11,Exogenous!$C$60*Popn!AR$111/Popn!AQ$111,Exogenous!$B$61*Popn!AR$12/Popn!AQ$12,Exogenous!$C$61*Popn!AR$112/Popn!AQ$112,Exogenous!$B$62*Popn!AR$13/Popn!AQ$13,Exogenous!$C$62*Popn!AR$113/Popn!AQ$113,Exogenous!$B$63*Popn!AR$14/Popn!AQ$14,Exogenous!$C$63*Popn!AR$114/Popn!AQ$114,Exogenous!$B$64*Popn!AR$15/Popn!AQ$15,Exogenous!$C$64*Popn!AR$115/Popn!AQ$115)-1</f>
        <v>6.5170179901707925E-4</v>
      </c>
      <c r="AL262" s="72">
        <f>SUM(Exogenous!$B$59*Popn!AS$10/Popn!AR$10,Exogenous!$C$59*Popn!AS$110/Popn!AR$110,Exogenous!$B$60*Popn!AS$11/Popn!AR$11,Exogenous!$C$60*Popn!AS$111/Popn!AR$111,Exogenous!$B$61*Popn!AS$12/Popn!AR$12,Exogenous!$C$61*Popn!AS$112/Popn!AR$112,Exogenous!$B$62*Popn!AS$13/Popn!AR$13,Exogenous!$C$62*Popn!AS$113/Popn!AR$113,Exogenous!$B$63*Popn!AS$14/Popn!AR$14,Exogenous!$C$63*Popn!AS$114/Popn!AR$114,Exogenous!$B$64*Popn!AS$15/Popn!AR$15,Exogenous!$C$64*Popn!AS$115/Popn!AR$115)-1</f>
        <v>4.8102369538671752E-4</v>
      </c>
      <c r="AM262" s="72">
        <f>SUM(Exogenous!$B$59*Popn!AT$10/Popn!AS$10,Exogenous!$C$59*Popn!AT$110/Popn!AS$110,Exogenous!$B$60*Popn!AT$11/Popn!AS$11,Exogenous!$C$60*Popn!AT$111/Popn!AS$111,Exogenous!$B$61*Popn!AT$12/Popn!AS$12,Exogenous!$C$61*Popn!AT$112/Popn!AS$112,Exogenous!$B$62*Popn!AT$13/Popn!AS$13,Exogenous!$C$62*Popn!AT$113/Popn!AS$113,Exogenous!$B$63*Popn!AT$14/Popn!AS$14,Exogenous!$C$63*Popn!AT$114/Popn!AS$114,Exogenous!$B$64*Popn!AT$15/Popn!AS$15,Exogenous!$C$64*Popn!AT$115/Popn!AS$115)-1</f>
        <v>4.9725629263863702E-4</v>
      </c>
      <c r="AN262" s="72">
        <f>SUM(Exogenous!$B$59*Popn!AU$10/Popn!AT$10,Exogenous!$C$59*Popn!AU$110/Popn!AT$110,Exogenous!$B$60*Popn!AU$11/Popn!AT$11,Exogenous!$C$60*Popn!AU$111/Popn!AT$111,Exogenous!$B$61*Popn!AU$12/Popn!AT$12,Exogenous!$C$61*Popn!AU$112/Popn!AT$112,Exogenous!$B$62*Popn!AU$13/Popn!AT$13,Exogenous!$C$62*Popn!AU$113/Popn!AT$113,Exogenous!$B$63*Popn!AU$14/Popn!AT$14,Exogenous!$C$63*Popn!AU$114/Popn!AT$114,Exogenous!$B$64*Popn!AU$15/Popn!AT$15,Exogenous!$C$64*Popn!AU$115/Popn!AT$115)-1</f>
        <v>6.0798546437235146E-4</v>
      </c>
      <c r="AO262" s="72">
        <f>SUM(Exogenous!$B$59*Popn!AV$10/Popn!AU$10,Exogenous!$C$59*Popn!AV$110/Popn!AU$110,Exogenous!$B$60*Popn!AV$11/Popn!AU$11,Exogenous!$C$60*Popn!AV$111/Popn!AU$111,Exogenous!$B$61*Popn!AV$12/Popn!AU$12,Exogenous!$C$61*Popn!AV$112/Popn!AU$112,Exogenous!$B$62*Popn!AV$13/Popn!AU$13,Exogenous!$C$62*Popn!AV$113/Popn!AU$113,Exogenous!$B$63*Popn!AV$14/Popn!AU$14,Exogenous!$C$63*Popn!AV$114/Popn!AU$114,Exogenous!$B$64*Popn!AV$15/Popn!AU$15,Exogenous!$C$64*Popn!AV$115/Popn!AU$115)-1</f>
        <v>6.682243765732121E-4</v>
      </c>
      <c r="AP262" s="72">
        <f>SUM(Exogenous!$B$59*Popn!AW$10/Popn!AV$10,Exogenous!$C$59*Popn!AW$110/Popn!AV$110,Exogenous!$B$60*Popn!AW$11/Popn!AV$11,Exogenous!$C$60*Popn!AW$111/Popn!AV$111,Exogenous!$B$61*Popn!AW$12/Popn!AV$12,Exogenous!$C$61*Popn!AW$112/Popn!AV$112,Exogenous!$B$62*Popn!AW$13/Popn!AV$13,Exogenous!$C$62*Popn!AW$113/Popn!AV$113,Exogenous!$B$63*Popn!AW$14/Popn!AV$14,Exogenous!$C$63*Popn!AW$114/Popn!AV$114,Exogenous!$B$64*Popn!AW$15/Popn!AV$15,Exogenous!$C$64*Popn!AW$115/Popn!AV$115)-1</f>
        <v>9.9961158265449157E-4</v>
      </c>
      <c r="AQ262" s="72">
        <f>SUM(Exogenous!$B$59*Popn!AX$10/Popn!AW$10,Exogenous!$C$59*Popn!AX$110/Popn!AW$110,Exogenous!$B$60*Popn!AX$11/Popn!AW$11,Exogenous!$C$60*Popn!AX$111/Popn!AW$111,Exogenous!$B$61*Popn!AX$12/Popn!AW$12,Exogenous!$C$61*Popn!AX$112/Popn!AW$112,Exogenous!$B$62*Popn!AX$13/Popn!AW$13,Exogenous!$C$62*Popn!AX$113/Popn!AW$113,Exogenous!$B$63*Popn!AX$14/Popn!AW$14,Exogenous!$C$63*Popn!AX$114/Popn!AW$114,Exogenous!$B$64*Popn!AX$15/Popn!AW$15,Exogenous!$C$64*Popn!AX$115/Popn!AW$115)-1</f>
        <v>1.2831586255355187E-3</v>
      </c>
      <c r="AR262" s="72">
        <f>SUM(Exogenous!$B$59*Popn!AY$10/Popn!AX$10,Exogenous!$C$59*Popn!AY$110/Popn!AX$110,Exogenous!$B$60*Popn!AY$11/Popn!AX$11,Exogenous!$C$60*Popn!AY$111/Popn!AX$111,Exogenous!$B$61*Popn!AY$12/Popn!AX$12,Exogenous!$C$61*Popn!AY$112/Popn!AX$112,Exogenous!$B$62*Popn!AY$13/Popn!AX$13,Exogenous!$C$62*Popn!AY$113/Popn!AX$113,Exogenous!$B$63*Popn!AY$14/Popn!AX$14,Exogenous!$C$63*Popn!AY$114/Popn!AX$114,Exogenous!$B$64*Popn!AY$15/Popn!AX$15,Exogenous!$C$64*Popn!AY$115/Popn!AX$115)-1</f>
        <v>1.6482086715858824E-3</v>
      </c>
      <c r="AS262" s="72">
        <f>SUM(Exogenous!$B$59*Popn!AZ$10/Popn!AY$10,Exogenous!$C$59*Popn!AZ$110/Popn!AY$110,Exogenous!$B$60*Popn!AZ$11/Popn!AY$11,Exogenous!$C$60*Popn!AZ$111/Popn!AY$111,Exogenous!$B$61*Popn!AZ$12/Popn!AY$12,Exogenous!$C$61*Popn!AZ$112/Popn!AY$112,Exogenous!$B$62*Popn!AZ$13/Popn!AY$13,Exogenous!$C$62*Popn!AZ$113/Popn!AY$113,Exogenous!$B$63*Popn!AZ$14/Popn!AY$14,Exogenous!$C$63*Popn!AZ$114/Popn!AY$114,Exogenous!$B$64*Popn!AZ$15/Popn!AY$15,Exogenous!$C$64*Popn!AZ$115/Popn!AY$115)-1</f>
        <v>2.0090824134020302E-3</v>
      </c>
      <c r="AT262" s="72">
        <f>SUM(Exogenous!$B$59*Popn!BA$10/Popn!AZ$10,Exogenous!$C$59*Popn!BA$110/Popn!AZ$110,Exogenous!$B$60*Popn!BA$11/Popn!AZ$11,Exogenous!$C$60*Popn!BA$111/Popn!AZ$111,Exogenous!$B$61*Popn!BA$12/Popn!AZ$12,Exogenous!$C$61*Popn!BA$112/Popn!AZ$112,Exogenous!$B$62*Popn!BA$13/Popn!AZ$13,Exogenous!$C$62*Popn!BA$113/Popn!AZ$113,Exogenous!$B$63*Popn!BA$14/Popn!AZ$14,Exogenous!$C$63*Popn!BA$114/Popn!AZ$114,Exogenous!$B$64*Popn!BA$15/Popn!AZ$15,Exogenous!$C$64*Popn!BA$115/Popn!AZ$115)-1</f>
        <v>2.0901814856384426E-3</v>
      </c>
      <c r="AU262" s="72">
        <f>SUM(Exogenous!$B$59*Popn!BB$10/Popn!BA$10,Exogenous!$C$59*Popn!BB$110/Popn!BA$110,Exogenous!$B$60*Popn!BB$11/Popn!BA$11,Exogenous!$C$60*Popn!BB$111/Popn!BA$111,Exogenous!$B$61*Popn!BB$12/Popn!BA$12,Exogenous!$C$61*Popn!BB$112/Popn!BA$112,Exogenous!$B$62*Popn!BB$13/Popn!BA$13,Exogenous!$C$62*Popn!BB$113/Popn!BA$113,Exogenous!$B$63*Popn!BB$14/Popn!BA$14,Exogenous!$C$63*Popn!BB$114/Popn!BA$114,Exogenous!$B$64*Popn!BB$15/Popn!BA$15,Exogenous!$C$64*Popn!BB$115/Popn!BA$115)-1</f>
        <v>2.1677975823328755E-3</v>
      </c>
      <c r="AV262" s="72">
        <f>SUM(Exogenous!$B$59*Popn!BC$10/Popn!BB$10,Exogenous!$C$59*Popn!BC$110/Popn!BB$110,Exogenous!$B$60*Popn!BC$11/Popn!BB$11,Exogenous!$C$60*Popn!BC$111/Popn!BB$111,Exogenous!$B$61*Popn!BC$12/Popn!BB$12,Exogenous!$C$61*Popn!BC$112/Popn!BB$112,Exogenous!$B$62*Popn!BC$13/Popn!BB$13,Exogenous!$C$62*Popn!BC$113/Popn!BB$113,Exogenous!$B$63*Popn!BC$14/Popn!BB$14,Exogenous!$C$63*Popn!BC$114/Popn!BB$114,Exogenous!$B$64*Popn!BC$15/Popn!BB$15,Exogenous!$C$64*Popn!BC$115/Popn!BB$115)-1</f>
        <v>1.9874849372258918E-3</v>
      </c>
      <c r="AW262" s="72">
        <f>SUM(Exogenous!$B$59*Popn!BD$10/Popn!BC$10,Exogenous!$C$59*Popn!BD$110/Popn!BC$110,Exogenous!$B$60*Popn!BD$11/Popn!BC$11,Exogenous!$C$60*Popn!BD$111/Popn!BC$111,Exogenous!$B$61*Popn!BD$12/Popn!BC$12,Exogenous!$C$61*Popn!BD$112/Popn!BC$112,Exogenous!$B$62*Popn!BD$13/Popn!BC$13,Exogenous!$C$62*Popn!BD$113/Popn!BC$113,Exogenous!$B$63*Popn!BD$14/Popn!BC$14,Exogenous!$C$63*Popn!BD$114/Popn!BC$114,Exogenous!$B$64*Popn!BD$15/Popn!BC$15,Exogenous!$C$64*Popn!BD$115/Popn!BC$115)-1</f>
        <v>1.9895314892626192E-3</v>
      </c>
    </row>
    <row r="263" spans="1:49" x14ac:dyDescent="0.2">
      <c r="A263" s="1" t="s">
        <v>862</v>
      </c>
      <c r="D263" s="73">
        <f>SUM(Exogenous!$H$59*Popn!K$15/Popn!J$15,Exogenous!$I$59*Popn!K$115/Popn!J$115,Exogenous!$H$60*Popn!K$16/Popn!J$16,Exogenous!$I$60*Popn!K$116/Popn!J$116,Exogenous!$H$61*Popn!K$17/Popn!J$17,Exogenous!$I$61*Popn!K$117/Popn!J$117,Exogenous!$H$62*Popn!K$18/Popn!J$18,Exogenous!$I$62*Popn!K$118/Popn!J$118,Exogenous!$H$63*Popn!K$19/Popn!J$19,Exogenous!$I$63*Popn!K$119/Popn!J$119,Exogenous!$H$64*Popn!K$20/Popn!J$20,Exogenous!$I$64*Popn!K$120/Popn!J$120,Exogenous!$H$65*Popn!K$21/Popn!J$21,Exogenous!$I$65*Popn!K$121/Popn!J$121,Exogenous!$H$66*Popn!K$22/Popn!J$22,Exogenous!$I$66*Popn!K$122/Popn!J$122,Exogenous!$H$67*Popn!K$23/Popn!J$23,Exogenous!$I$67*Popn!K$123/Popn!J$123)-1</f>
        <v>2.0118749064736319E-2</v>
      </c>
      <c r="E263" s="74">
        <f>SUM(Exogenous!$H$59*Popn!L$15/Popn!K$15,Exogenous!$I$59*Popn!L$115/Popn!K$115,Exogenous!$H$60*Popn!L$16/Popn!K$16,Exogenous!$I$60*Popn!L$116/Popn!K$116,Exogenous!$H$61*Popn!L$17/Popn!K$17,Exogenous!$I$61*Popn!L$117/Popn!K$117,Exogenous!$H$62*Popn!L$18/Popn!K$18,Exogenous!$I$62*Popn!L$118/Popn!K$118,Exogenous!$H$63*Popn!L$19/Popn!K$19,Exogenous!$I$63*Popn!L$119/Popn!K$119,Exogenous!$H$64*Popn!L$20/Popn!K$20,Exogenous!$I$64*Popn!L$120/Popn!K$120,Exogenous!$H$65*Popn!L$21/Popn!K$21,Exogenous!$I$65*Popn!L$121/Popn!K$121,Exogenous!$H$66*Popn!L$22/Popn!K$22,Exogenous!$I$66*Popn!L$122/Popn!K$122,Exogenous!$H$67*Popn!L$23/Popn!K$23,Exogenous!$I$67*Popn!L$123/Popn!K$123)-1</f>
        <v>1.5276251193280466E-2</v>
      </c>
      <c r="F263" s="74">
        <f>SUM(Exogenous!$H$59*Popn!M$15/Popn!L$15,Exogenous!$I$59*Popn!M$115/Popn!L$115,Exogenous!$H$60*Popn!M$16/Popn!L$16,Exogenous!$I$60*Popn!M$116/Popn!L$116,Exogenous!$H$61*Popn!M$17/Popn!L$17,Exogenous!$I$61*Popn!M$117/Popn!L$117,Exogenous!$H$62*Popn!M$18/Popn!L$18,Exogenous!$I$62*Popn!M$118/Popn!L$118,Exogenous!$H$63*Popn!M$19/Popn!L$19,Exogenous!$I$63*Popn!M$119/Popn!L$119,Exogenous!$H$64*Popn!M$20/Popn!L$20,Exogenous!$I$64*Popn!M$120/Popn!L$120,Exogenous!$H$65*Popn!M$21/Popn!L$21,Exogenous!$I$65*Popn!M$121/Popn!L$121,Exogenous!$H$66*Popn!M$22/Popn!L$22,Exogenous!$I$66*Popn!M$122/Popn!L$122,Exogenous!$H$67*Popn!M$23/Popn!L$23,Exogenous!$I$67*Popn!M$123/Popn!L$123)-1</f>
        <v>7.9157789001196299E-3</v>
      </c>
      <c r="G263" s="74">
        <f>SUM(Exogenous!$H$59*Popn!N$15/Popn!M$15,Exogenous!$I$59*Popn!N$115/Popn!M$115,Exogenous!$H$60*Popn!N$16/Popn!M$16,Exogenous!$I$60*Popn!N$116/Popn!M$116,Exogenous!$H$61*Popn!N$17/Popn!M$17,Exogenous!$I$61*Popn!N$117/Popn!M$117,Exogenous!$H$62*Popn!N$18/Popn!M$18,Exogenous!$I$62*Popn!N$118/Popn!M$118,Exogenous!$H$63*Popn!N$19/Popn!M$19,Exogenous!$I$63*Popn!N$119/Popn!M$119,Exogenous!$H$64*Popn!N$20/Popn!M$20,Exogenous!$I$64*Popn!N$120/Popn!M$120,Exogenous!$H$65*Popn!N$21/Popn!M$21,Exogenous!$I$65*Popn!N$121/Popn!M$121,Exogenous!$H$66*Popn!N$22/Popn!M$22,Exogenous!$I$66*Popn!N$122/Popn!M$122,Exogenous!$H$67*Popn!N$23/Popn!M$23,Exogenous!$I$67*Popn!N$123/Popn!M$123)-1</f>
        <v>5.5963383158639246E-3</v>
      </c>
      <c r="H263" s="74">
        <f>SUM(Exogenous!$H$59*Popn!O$15/Popn!N$15,Exogenous!$I$59*Popn!O$115/Popn!N$115,Exogenous!$H$60*Popn!O$16/Popn!N$16,Exogenous!$I$60*Popn!O$116/Popn!N$116,Exogenous!$H$61*Popn!O$17/Popn!N$17,Exogenous!$I$61*Popn!O$117/Popn!N$117,Exogenous!$H$62*Popn!O$18/Popn!N$18,Exogenous!$I$62*Popn!O$118/Popn!N$118,Exogenous!$H$63*Popn!O$19/Popn!N$19,Exogenous!$I$63*Popn!O$119/Popn!N$119,Exogenous!$H$64*Popn!O$20/Popn!N$20,Exogenous!$I$64*Popn!O$120/Popn!N$120,Exogenous!$H$65*Popn!O$21/Popn!N$21,Exogenous!$I$65*Popn!O$121/Popn!N$121,Exogenous!$H$66*Popn!O$22/Popn!N$22,Exogenous!$I$66*Popn!O$122/Popn!N$122,Exogenous!$H$67*Popn!O$23/Popn!N$23,Exogenous!$I$67*Popn!O$123/Popn!N$123)-1</f>
        <v>9.0962377775372083E-4</v>
      </c>
      <c r="I263" s="74">
        <f>SUM(Exogenous!$H$59*Popn!P$15/Popn!O$15,Exogenous!$I$59*Popn!P$115/Popn!O$115,Exogenous!$H$60*Popn!P$16/Popn!O$16,Exogenous!$I$60*Popn!P$116/Popn!O$116,Exogenous!$H$61*Popn!P$17/Popn!O$17,Exogenous!$I$61*Popn!P$117/Popn!O$117,Exogenous!$H$62*Popn!P$18/Popn!O$18,Exogenous!$I$62*Popn!P$118/Popn!O$118,Exogenous!$H$63*Popn!P$19/Popn!O$19,Exogenous!$I$63*Popn!P$119/Popn!O$119,Exogenous!$H$64*Popn!P$20/Popn!O$20,Exogenous!$I$64*Popn!P$120/Popn!O$120,Exogenous!$H$65*Popn!P$21/Popn!O$21,Exogenous!$I$65*Popn!P$121/Popn!O$121,Exogenous!$H$66*Popn!P$22/Popn!O$22,Exogenous!$I$66*Popn!P$122/Popn!O$122,Exogenous!$H$67*Popn!P$23/Popn!O$23,Exogenous!$I$67*Popn!P$123/Popn!O$123)-1</f>
        <v>-5.1176073694562119E-3</v>
      </c>
      <c r="J263" s="72">
        <f>SUM(Exogenous!$H$59*Popn!Q$15/Popn!P$15,Exogenous!$I$59*Popn!Q$115/Popn!P$115,Exogenous!$H$60*Popn!Q$16/Popn!P$16,Exogenous!$I$60*Popn!Q$116/Popn!P$116,Exogenous!$H$61*Popn!Q$17/Popn!P$17,Exogenous!$I$61*Popn!Q$117/Popn!P$117,Exogenous!$H$62*Popn!Q$18/Popn!P$18,Exogenous!$I$62*Popn!Q$118/Popn!P$118,Exogenous!$H$63*Popn!Q$19/Popn!P$19,Exogenous!$I$63*Popn!Q$119/Popn!P$119,Exogenous!$H$64*Popn!Q$20/Popn!P$20,Exogenous!$I$64*Popn!Q$120/Popn!P$120,Exogenous!$H$65*Popn!Q$21/Popn!P$21,Exogenous!$I$65*Popn!Q$121/Popn!P$121,Exogenous!$H$66*Popn!Q$22/Popn!P$22,Exogenous!$I$66*Popn!Q$122/Popn!P$122,Exogenous!$H$67*Popn!Q$23/Popn!P$23,Exogenous!$I$67*Popn!Q$123/Popn!P$123)-1</f>
        <v>-8.444264918276212E-3</v>
      </c>
      <c r="K263" s="72">
        <f>SUM(Exogenous!$H$59*Popn!R$15/Popn!Q$15,Exogenous!$I$59*Popn!R$115/Popn!Q$115,Exogenous!$H$60*Popn!R$16/Popn!Q$16,Exogenous!$I$60*Popn!R$116/Popn!Q$116,Exogenous!$H$61*Popn!R$17/Popn!Q$17,Exogenous!$I$61*Popn!R$117/Popn!Q$117,Exogenous!$H$62*Popn!R$18/Popn!Q$18,Exogenous!$I$62*Popn!R$118/Popn!Q$118,Exogenous!$H$63*Popn!R$19/Popn!Q$19,Exogenous!$I$63*Popn!R$119/Popn!Q$119,Exogenous!$H$64*Popn!R$20/Popn!Q$20,Exogenous!$I$64*Popn!R$120/Popn!Q$120,Exogenous!$H$65*Popn!R$21/Popn!Q$21,Exogenous!$I$65*Popn!R$121/Popn!Q$121,Exogenous!$H$66*Popn!R$22/Popn!Q$22,Exogenous!$I$66*Popn!R$122/Popn!Q$122,Exogenous!$H$67*Popn!R$23/Popn!Q$23,Exogenous!$I$67*Popn!R$123/Popn!Q$123)-1</f>
        <v>-8.2737901750108422E-3</v>
      </c>
      <c r="L263" s="72">
        <f>SUM(Exogenous!$H$59*Popn!S$15/Popn!R$15,Exogenous!$I$59*Popn!S$115/Popn!R$115,Exogenous!$H$60*Popn!S$16/Popn!R$16,Exogenous!$I$60*Popn!S$116/Popn!R$116,Exogenous!$H$61*Popn!S$17/Popn!R$17,Exogenous!$I$61*Popn!S$117/Popn!R$117,Exogenous!$H$62*Popn!S$18/Popn!R$18,Exogenous!$I$62*Popn!S$118/Popn!R$118,Exogenous!$H$63*Popn!S$19/Popn!R$19,Exogenous!$I$63*Popn!S$119/Popn!R$119,Exogenous!$H$64*Popn!S$20/Popn!R$20,Exogenous!$I$64*Popn!S$120/Popn!R$120,Exogenous!$H$65*Popn!S$21/Popn!R$21,Exogenous!$I$65*Popn!S$121/Popn!R$121,Exogenous!$H$66*Popn!S$22/Popn!R$22,Exogenous!$I$66*Popn!S$122/Popn!R$122,Exogenous!$H$67*Popn!S$23/Popn!R$23,Exogenous!$I$67*Popn!S$123/Popn!R$123)-1</f>
        <v>-8.0660381352004595E-3</v>
      </c>
      <c r="M263" s="72">
        <f>SUM(Exogenous!$H$59*Popn!T$15/Popn!S$15,Exogenous!$I$59*Popn!T$115/Popn!S$115,Exogenous!$H$60*Popn!T$16/Popn!S$16,Exogenous!$I$60*Popn!T$116/Popn!S$116,Exogenous!$H$61*Popn!T$17/Popn!S$17,Exogenous!$I$61*Popn!T$117/Popn!S$117,Exogenous!$H$62*Popn!T$18/Popn!S$18,Exogenous!$I$62*Popn!T$118/Popn!S$118,Exogenous!$H$63*Popn!T$19/Popn!S$19,Exogenous!$I$63*Popn!T$119/Popn!S$119,Exogenous!$H$64*Popn!T$20/Popn!S$20,Exogenous!$I$64*Popn!T$120/Popn!S$120,Exogenous!$H$65*Popn!T$21/Popn!S$21,Exogenous!$I$65*Popn!T$121/Popn!S$121,Exogenous!$H$66*Popn!T$22/Popn!S$22,Exogenous!$I$66*Popn!T$122/Popn!S$122,Exogenous!$H$67*Popn!T$23/Popn!S$23,Exogenous!$I$67*Popn!T$123/Popn!S$123)-1</f>
        <v>-5.4077136264022441E-3</v>
      </c>
      <c r="N263" s="72">
        <f>SUM(Exogenous!$H$59*Popn!U$15/Popn!T$15,Exogenous!$I$59*Popn!U$115/Popn!T$115,Exogenous!$H$60*Popn!U$16/Popn!T$16,Exogenous!$I$60*Popn!U$116/Popn!T$116,Exogenous!$H$61*Popn!U$17/Popn!T$17,Exogenous!$I$61*Popn!U$117/Popn!T$117,Exogenous!$H$62*Popn!U$18/Popn!T$18,Exogenous!$I$62*Popn!U$118/Popn!T$118,Exogenous!$H$63*Popn!U$19/Popn!T$19,Exogenous!$I$63*Popn!U$119/Popn!T$119,Exogenous!$H$64*Popn!U$20/Popn!T$20,Exogenous!$I$64*Popn!U$120/Popn!T$120,Exogenous!$H$65*Popn!U$21/Popn!T$21,Exogenous!$I$65*Popn!U$121/Popn!T$121,Exogenous!$H$66*Popn!U$22/Popn!T$22,Exogenous!$I$66*Popn!U$122/Popn!T$122,Exogenous!$H$67*Popn!U$23/Popn!T$23,Exogenous!$I$67*Popn!U$123/Popn!T$123)-1</f>
        <v>-2.0277460204072284E-3</v>
      </c>
      <c r="O263" s="72">
        <f>SUM(Exogenous!$H$59*Popn!V$15/Popn!U$15,Exogenous!$I$59*Popn!V$115/Popn!U$115,Exogenous!$H$60*Popn!V$16/Popn!U$16,Exogenous!$I$60*Popn!V$116/Popn!U$116,Exogenous!$H$61*Popn!V$17/Popn!U$17,Exogenous!$I$61*Popn!V$117/Popn!U$117,Exogenous!$H$62*Popn!V$18/Popn!U$18,Exogenous!$I$62*Popn!V$118/Popn!U$118,Exogenous!$H$63*Popn!V$19/Popn!U$19,Exogenous!$I$63*Popn!V$119/Popn!U$119,Exogenous!$H$64*Popn!V$20/Popn!U$20,Exogenous!$I$64*Popn!V$120/Popn!U$120,Exogenous!$H$65*Popn!V$21/Popn!U$21,Exogenous!$I$65*Popn!V$121/Popn!U$121,Exogenous!$H$66*Popn!V$22/Popn!U$22,Exogenous!$I$66*Popn!V$122/Popn!U$122,Exogenous!$H$67*Popn!V$23/Popn!U$23,Exogenous!$I$67*Popn!V$123/Popn!U$123)-1</f>
        <v>1.1542181247943262E-3</v>
      </c>
      <c r="P263" s="72">
        <f>SUM(Exogenous!$H$59*Popn!W$15/Popn!V$15,Exogenous!$I$59*Popn!W$115/Popn!V$115,Exogenous!$H$60*Popn!W$16/Popn!V$16,Exogenous!$I$60*Popn!W$116/Popn!V$116,Exogenous!$H$61*Popn!W$17/Popn!V$17,Exogenous!$I$61*Popn!W$117/Popn!V$117,Exogenous!$H$62*Popn!W$18/Popn!V$18,Exogenous!$I$62*Popn!W$118/Popn!V$118,Exogenous!$H$63*Popn!W$19/Popn!V$19,Exogenous!$I$63*Popn!W$119/Popn!V$119,Exogenous!$H$64*Popn!W$20/Popn!V$20,Exogenous!$I$64*Popn!W$120/Popn!V$120,Exogenous!$H$65*Popn!W$21/Popn!V$21,Exogenous!$I$65*Popn!W$121/Popn!V$121,Exogenous!$H$66*Popn!W$22/Popn!V$22,Exogenous!$I$66*Popn!W$122/Popn!V$122,Exogenous!$H$67*Popn!W$23/Popn!V$23,Exogenous!$I$67*Popn!W$123/Popn!V$123)-1</f>
        <v>5.0172522661309227E-3</v>
      </c>
      <c r="Q263" s="72">
        <f>SUM(Exogenous!$H$59*Popn!X$15/Popn!W$15,Exogenous!$I$59*Popn!X$115/Popn!W$115,Exogenous!$H$60*Popn!X$16/Popn!W$16,Exogenous!$I$60*Popn!X$116/Popn!W$116,Exogenous!$H$61*Popn!X$17/Popn!W$17,Exogenous!$I$61*Popn!X$117/Popn!W$117,Exogenous!$H$62*Popn!X$18/Popn!W$18,Exogenous!$I$62*Popn!X$118/Popn!W$118,Exogenous!$H$63*Popn!X$19/Popn!W$19,Exogenous!$I$63*Popn!X$119/Popn!W$119,Exogenous!$H$64*Popn!X$20/Popn!W$20,Exogenous!$I$64*Popn!X$120/Popn!W$120,Exogenous!$H$65*Popn!X$21/Popn!W$21,Exogenous!$I$65*Popn!X$121/Popn!W$121,Exogenous!$H$66*Popn!X$22/Popn!W$22,Exogenous!$I$66*Popn!X$122/Popn!W$122,Exogenous!$H$67*Popn!X$23/Popn!W$23,Exogenous!$I$67*Popn!X$123/Popn!W$123)-1</f>
        <v>7.8664582730407773E-3</v>
      </c>
      <c r="R263" s="72">
        <f>SUM(Exogenous!$H$59*Popn!Y$15/Popn!X$15,Exogenous!$I$59*Popn!Y$115/Popn!X$115,Exogenous!$H$60*Popn!Y$16/Popn!X$16,Exogenous!$I$60*Popn!Y$116/Popn!X$116,Exogenous!$H$61*Popn!Y$17/Popn!X$17,Exogenous!$I$61*Popn!Y$117/Popn!X$117,Exogenous!$H$62*Popn!Y$18/Popn!X$18,Exogenous!$I$62*Popn!Y$118/Popn!X$118,Exogenous!$H$63*Popn!Y$19/Popn!X$19,Exogenous!$I$63*Popn!Y$119/Popn!X$119,Exogenous!$H$64*Popn!Y$20/Popn!X$20,Exogenous!$I$64*Popn!Y$120/Popn!X$120,Exogenous!$H$65*Popn!Y$21/Popn!X$21,Exogenous!$I$65*Popn!Y$121/Popn!X$121,Exogenous!$H$66*Popn!Y$22/Popn!X$22,Exogenous!$I$66*Popn!Y$122/Popn!X$122,Exogenous!$H$67*Popn!Y$23/Popn!X$23,Exogenous!$I$67*Popn!Y$123/Popn!X$123)-1</f>
        <v>7.9137731789453714E-3</v>
      </c>
      <c r="S263" s="72">
        <f>SUM(Exogenous!$H$59*Popn!Z$15/Popn!Y$15,Exogenous!$I$59*Popn!Z$115/Popn!Y$115,Exogenous!$H$60*Popn!Z$16/Popn!Y$16,Exogenous!$I$60*Popn!Z$116/Popn!Y$116,Exogenous!$H$61*Popn!Z$17/Popn!Y$17,Exogenous!$I$61*Popn!Z$117/Popn!Y$117,Exogenous!$H$62*Popn!Z$18/Popn!Y$18,Exogenous!$I$62*Popn!Z$118/Popn!Y$118,Exogenous!$H$63*Popn!Z$19/Popn!Y$19,Exogenous!$I$63*Popn!Z$119/Popn!Y$119,Exogenous!$H$64*Popn!Z$20/Popn!Y$20,Exogenous!$I$64*Popn!Z$120/Popn!Y$120,Exogenous!$H$65*Popn!Z$21/Popn!Y$21,Exogenous!$I$65*Popn!Z$121/Popn!Y$121,Exogenous!$H$66*Popn!Z$22/Popn!Y$22,Exogenous!$I$66*Popn!Z$122/Popn!Y$122,Exogenous!$H$67*Popn!Z$23/Popn!Y$23,Exogenous!$I$67*Popn!Z$123/Popn!Y$123)-1</f>
        <v>6.8208488099694708E-3</v>
      </c>
      <c r="T263" s="72">
        <f>SUM(Exogenous!$H$59*Popn!AA$15/Popn!Z$15,Exogenous!$I$59*Popn!AA$115/Popn!Z$115,Exogenous!$H$60*Popn!AA$16/Popn!Z$16,Exogenous!$I$60*Popn!AA$116/Popn!Z$116,Exogenous!$H$61*Popn!AA$17/Popn!Z$17,Exogenous!$I$61*Popn!AA$117/Popn!Z$117,Exogenous!$H$62*Popn!AA$18/Popn!Z$18,Exogenous!$I$62*Popn!AA$118/Popn!Z$118,Exogenous!$H$63*Popn!AA$19/Popn!Z$19,Exogenous!$I$63*Popn!AA$119/Popn!Z$119,Exogenous!$H$64*Popn!AA$20/Popn!Z$20,Exogenous!$I$64*Popn!AA$120/Popn!Z$120,Exogenous!$H$65*Popn!AA$21/Popn!Z$21,Exogenous!$I$65*Popn!AA$121/Popn!Z$121,Exogenous!$H$66*Popn!AA$22/Popn!Z$22,Exogenous!$I$66*Popn!AA$122/Popn!Z$122,Exogenous!$H$67*Popn!AA$23/Popn!Z$23,Exogenous!$I$67*Popn!AA$123/Popn!Z$123)-1</f>
        <v>5.9928960384725283E-3</v>
      </c>
      <c r="U263" s="72">
        <f>SUM(Exogenous!$H$59*Popn!AB$15/Popn!AA$15,Exogenous!$I$59*Popn!AB$115/Popn!AA$115,Exogenous!$H$60*Popn!AB$16/Popn!AA$16,Exogenous!$I$60*Popn!AB$116/Popn!AA$116,Exogenous!$H$61*Popn!AB$17/Popn!AA$17,Exogenous!$I$61*Popn!AB$117/Popn!AA$117,Exogenous!$H$62*Popn!AB$18/Popn!AA$18,Exogenous!$I$62*Popn!AB$118/Popn!AA$118,Exogenous!$H$63*Popn!AB$19/Popn!AA$19,Exogenous!$I$63*Popn!AB$119/Popn!AA$119,Exogenous!$H$64*Popn!AB$20/Popn!AA$20,Exogenous!$I$64*Popn!AB$120/Popn!AA$120,Exogenous!$H$65*Popn!AB$21/Popn!AA$21,Exogenous!$I$65*Popn!AB$121/Popn!AA$121,Exogenous!$H$66*Popn!AB$22/Popn!AA$22,Exogenous!$I$66*Popn!AB$122/Popn!AA$122,Exogenous!$H$67*Popn!AB$23/Popn!AA$23,Exogenous!$I$67*Popn!AB$123/Popn!AA$123)-1</f>
        <v>5.049143656026267E-3</v>
      </c>
      <c r="V263" s="72">
        <f>SUM(Exogenous!$H$59*Popn!AC$15/Popn!AB$15,Exogenous!$I$59*Popn!AC$115/Popn!AB$115,Exogenous!$H$60*Popn!AC$16/Popn!AB$16,Exogenous!$I$60*Popn!AC$116/Popn!AB$116,Exogenous!$H$61*Popn!AC$17/Popn!AB$17,Exogenous!$I$61*Popn!AC$117/Popn!AB$117,Exogenous!$H$62*Popn!AC$18/Popn!AB$18,Exogenous!$I$62*Popn!AC$118/Popn!AB$118,Exogenous!$H$63*Popn!AC$19/Popn!AB$19,Exogenous!$I$63*Popn!AC$119/Popn!AB$119,Exogenous!$H$64*Popn!AC$20/Popn!AB$20,Exogenous!$I$64*Popn!AC$120/Popn!AB$120,Exogenous!$H$65*Popn!AC$21/Popn!AB$21,Exogenous!$I$65*Popn!AC$121/Popn!AB$121,Exogenous!$H$66*Popn!AC$22/Popn!AB$22,Exogenous!$I$66*Popn!AC$122/Popn!AB$122,Exogenous!$H$67*Popn!AC$23/Popn!AB$23,Exogenous!$I$67*Popn!AC$123/Popn!AB$123)-1</f>
        <v>3.9825760022988987E-3</v>
      </c>
      <c r="W263" s="72">
        <f>SUM(Exogenous!$H$59*Popn!AD$15/Popn!AC$15,Exogenous!$I$59*Popn!AD$115/Popn!AC$115,Exogenous!$H$60*Popn!AD$16/Popn!AC$16,Exogenous!$I$60*Popn!AD$116/Popn!AC$116,Exogenous!$H$61*Popn!AD$17/Popn!AC$17,Exogenous!$I$61*Popn!AD$117/Popn!AC$117,Exogenous!$H$62*Popn!AD$18/Popn!AC$18,Exogenous!$I$62*Popn!AD$118/Popn!AC$118,Exogenous!$H$63*Popn!AD$19/Popn!AC$19,Exogenous!$I$63*Popn!AD$119/Popn!AC$119,Exogenous!$H$64*Popn!AD$20/Popn!AC$20,Exogenous!$I$64*Popn!AD$120/Popn!AC$120,Exogenous!$H$65*Popn!AD$21/Popn!AC$21,Exogenous!$I$65*Popn!AD$121/Popn!AC$121,Exogenous!$H$66*Popn!AD$22/Popn!AC$22,Exogenous!$I$66*Popn!AD$122/Popn!AC$122,Exogenous!$H$67*Popn!AD$23/Popn!AC$23,Exogenous!$I$67*Popn!AD$123/Popn!AC$123)-1</f>
        <v>2.9490896781907416E-3</v>
      </c>
      <c r="X263" s="72">
        <f>SUM(Exogenous!$H$59*Popn!AE$15/Popn!AD$15,Exogenous!$I$59*Popn!AE$115/Popn!AD$115,Exogenous!$H$60*Popn!AE$16/Popn!AD$16,Exogenous!$I$60*Popn!AE$116/Popn!AD$116,Exogenous!$H$61*Popn!AE$17/Popn!AD$17,Exogenous!$I$61*Popn!AE$117/Popn!AD$117,Exogenous!$H$62*Popn!AE$18/Popn!AD$18,Exogenous!$I$62*Popn!AE$118/Popn!AD$118,Exogenous!$H$63*Popn!AE$19/Popn!AD$19,Exogenous!$I$63*Popn!AE$119/Popn!AD$119,Exogenous!$H$64*Popn!AE$20/Popn!AD$20,Exogenous!$I$64*Popn!AE$120/Popn!AD$120,Exogenous!$H$65*Popn!AE$21/Popn!AD$21,Exogenous!$I$65*Popn!AE$121/Popn!AD$121,Exogenous!$H$66*Popn!AE$22/Popn!AD$22,Exogenous!$I$66*Popn!AE$122/Popn!AD$122,Exogenous!$H$67*Popn!AE$23/Popn!AD$23,Exogenous!$I$67*Popn!AE$123/Popn!AD$123)-1</f>
        <v>1.9546920515798316E-3</v>
      </c>
      <c r="Y263" s="72">
        <f>SUM(Exogenous!$H$59*Popn!AF$15/Popn!AE$15,Exogenous!$I$59*Popn!AF$115/Popn!AE$115,Exogenous!$H$60*Popn!AF$16/Popn!AE$16,Exogenous!$I$60*Popn!AF$116/Popn!AE$116,Exogenous!$H$61*Popn!AF$17/Popn!AE$17,Exogenous!$I$61*Popn!AF$117/Popn!AE$117,Exogenous!$H$62*Popn!AF$18/Popn!AE$18,Exogenous!$I$62*Popn!AF$118/Popn!AE$118,Exogenous!$H$63*Popn!AF$19/Popn!AE$19,Exogenous!$I$63*Popn!AF$119/Popn!AE$119,Exogenous!$H$64*Popn!AF$20/Popn!AE$20,Exogenous!$I$64*Popn!AF$120/Popn!AE$120,Exogenous!$H$65*Popn!AF$21/Popn!AE$21,Exogenous!$I$65*Popn!AF$121/Popn!AE$121,Exogenous!$H$66*Popn!AF$22/Popn!AE$22,Exogenous!$I$66*Popn!AF$122/Popn!AE$122,Exogenous!$H$67*Popn!AF$23/Popn!AE$23,Exogenous!$I$67*Popn!AF$123/Popn!AE$123)-1</f>
        <v>1.0014041158170617E-3</v>
      </c>
      <c r="Z263" s="72">
        <f>SUM(Exogenous!$H$59*Popn!AG$15/Popn!AF$15,Exogenous!$I$59*Popn!AG$115/Popn!AF$115,Exogenous!$H$60*Popn!AG$16/Popn!AF$16,Exogenous!$I$60*Popn!AG$116/Popn!AF$116,Exogenous!$H$61*Popn!AG$17/Popn!AF$17,Exogenous!$I$61*Popn!AG$117/Popn!AF$117,Exogenous!$H$62*Popn!AG$18/Popn!AF$18,Exogenous!$I$62*Popn!AG$118/Popn!AF$118,Exogenous!$H$63*Popn!AG$19/Popn!AF$19,Exogenous!$I$63*Popn!AG$119/Popn!AF$119,Exogenous!$H$64*Popn!AG$20/Popn!AF$20,Exogenous!$I$64*Popn!AG$120/Popn!AF$120,Exogenous!$H$65*Popn!AG$21/Popn!AF$21,Exogenous!$I$65*Popn!AG$121/Popn!AF$121,Exogenous!$H$66*Popn!AG$22/Popn!AF$22,Exogenous!$I$66*Popn!AG$122/Popn!AF$122,Exogenous!$H$67*Popn!AG$23/Popn!AF$23,Exogenous!$I$67*Popn!AG$123/Popn!AF$123)-1</f>
        <v>5.8418090524092747E-5</v>
      </c>
      <c r="AA263" s="72">
        <f>SUM(Exogenous!$H$59*Popn!AH$15/Popn!AG$15,Exogenous!$I$59*Popn!AH$115/Popn!AG$115,Exogenous!$H$60*Popn!AH$16/Popn!AG$16,Exogenous!$I$60*Popn!AH$116/Popn!AG$116,Exogenous!$H$61*Popn!AH$17/Popn!AG$17,Exogenous!$I$61*Popn!AH$117/Popn!AG$117,Exogenous!$H$62*Popn!AH$18/Popn!AG$18,Exogenous!$I$62*Popn!AH$118/Popn!AG$118,Exogenous!$H$63*Popn!AH$19/Popn!AG$19,Exogenous!$I$63*Popn!AH$119/Popn!AG$119,Exogenous!$H$64*Popn!AH$20/Popn!AG$20,Exogenous!$I$64*Popn!AH$120/Popn!AG$120,Exogenous!$H$65*Popn!AH$21/Popn!AG$21,Exogenous!$I$65*Popn!AH$121/Popn!AG$121,Exogenous!$H$66*Popn!AH$22/Popn!AG$22,Exogenous!$I$66*Popn!AH$122/Popn!AG$122,Exogenous!$H$67*Popn!AH$23/Popn!AG$23,Exogenous!$I$67*Popn!AH$123/Popn!AG$123)-1</f>
        <v>-6.3296511107469033E-4</v>
      </c>
      <c r="AB263" s="72">
        <f>SUM(Exogenous!$H$59*Popn!AI$15/Popn!AH$15,Exogenous!$I$59*Popn!AI$115/Popn!AH$115,Exogenous!$H$60*Popn!AI$16/Popn!AH$16,Exogenous!$I$60*Popn!AI$116/Popn!AH$116,Exogenous!$H$61*Popn!AI$17/Popn!AH$17,Exogenous!$I$61*Popn!AI$117/Popn!AH$117,Exogenous!$H$62*Popn!AI$18/Popn!AH$18,Exogenous!$I$62*Popn!AI$118/Popn!AH$118,Exogenous!$H$63*Popn!AI$19/Popn!AH$19,Exogenous!$I$63*Popn!AI$119/Popn!AH$119,Exogenous!$H$64*Popn!AI$20/Popn!AH$20,Exogenous!$I$64*Popn!AI$120/Popn!AH$120,Exogenous!$H$65*Popn!AI$21/Popn!AH$21,Exogenous!$I$65*Popn!AI$121/Popn!AH$121,Exogenous!$H$66*Popn!AI$22/Popn!AH$22,Exogenous!$I$66*Popn!AI$122/Popn!AH$122,Exogenous!$H$67*Popn!AI$23/Popn!AH$23,Exogenous!$I$67*Popn!AI$123/Popn!AH$123)-1</f>
        <v>-1.3083234392219367E-3</v>
      </c>
      <c r="AC263" s="72">
        <f>SUM(Exogenous!$H$59*Popn!AJ$15/Popn!AI$15,Exogenous!$I$59*Popn!AJ$115/Popn!AI$115,Exogenous!$H$60*Popn!AJ$16/Popn!AI$16,Exogenous!$I$60*Popn!AJ$116/Popn!AI$116,Exogenous!$H$61*Popn!AJ$17/Popn!AI$17,Exogenous!$I$61*Popn!AJ$117/Popn!AI$117,Exogenous!$H$62*Popn!AJ$18/Popn!AI$18,Exogenous!$I$62*Popn!AJ$118/Popn!AI$118,Exogenous!$H$63*Popn!AJ$19/Popn!AI$19,Exogenous!$I$63*Popn!AJ$119/Popn!AI$119,Exogenous!$H$64*Popn!AJ$20/Popn!AI$20,Exogenous!$I$64*Popn!AJ$120/Popn!AI$120,Exogenous!$H$65*Popn!AJ$21/Popn!AI$21,Exogenous!$I$65*Popn!AJ$121/Popn!AI$121,Exogenous!$H$66*Popn!AJ$22/Popn!AI$22,Exogenous!$I$66*Popn!AJ$122/Popn!AI$122,Exogenous!$H$67*Popn!AJ$23/Popn!AI$23,Exogenous!$I$67*Popn!AJ$123/Popn!AI$123)-1</f>
        <v>-1.6416079700611874E-3</v>
      </c>
      <c r="AD263" s="72">
        <f>SUM(Exogenous!$H$59*Popn!AK$15/Popn!AJ$15,Exogenous!$I$59*Popn!AK$115/Popn!AJ$115,Exogenous!$H$60*Popn!AK$16/Popn!AJ$16,Exogenous!$I$60*Popn!AK$116/Popn!AJ$116,Exogenous!$H$61*Popn!AK$17/Popn!AJ$17,Exogenous!$I$61*Popn!AK$117/Popn!AJ$117,Exogenous!$H$62*Popn!AK$18/Popn!AJ$18,Exogenous!$I$62*Popn!AK$118/Popn!AJ$118,Exogenous!$H$63*Popn!AK$19/Popn!AJ$19,Exogenous!$I$63*Popn!AK$119/Popn!AJ$119,Exogenous!$H$64*Popn!AK$20/Popn!AJ$20,Exogenous!$I$64*Popn!AK$120/Popn!AJ$120,Exogenous!$H$65*Popn!AK$21/Popn!AJ$21,Exogenous!$I$65*Popn!AK$121/Popn!AJ$121,Exogenous!$H$66*Popn!AK$22/Popn!AJ$22,Exogenous!$I$66*Popn!AK$122/Popn!AJ$122,Exogenous!$H$67*Popn!AK$23/Popn!AJ$23,Exogenous!$I$67*Popn!AK$123/Popn!AJ$123)-1</f>
        <v>-1.7746582361968244E-3</v>
      </c>
      <c r="AE263" s="72">
        <f>SUM(Exogenous!$H$59*Popn!AL$15/Popn!AK$15,Exogenous!$I$59*Popn!AL$115/Popn!AK$115,Exogenous!$H$60*Popn!AL$16/Popn!AK$16,Exogenous!$I$60*Popn!AL$116/Popn!AK$116,Exogenous!$H$61*Popn!AL$17/Popn!AK$17,Exogenous!$I$61*Popn!AL$117/Popn!AK$117,Exogenous!$H$62*Popn!AL$18/Popn!AK$18,Exogenous!$I$62*Popn!AL$118/Popn!AK$118,Exogenous!$H$63*Popn!AL$19/Popn!AK$19,Exogenous!$I$63*Popn!AL$119/Popn!AK$119,Exogenous!$H$64*Popn!AL$20/Popn!AK$20,Exogenous!$I$64*Popn!AL$120/Popn!AK$120,Exogenous!$H$65*Popn!AL$21/Popn!AK$21,Exogenous!$I$65*Popn!AL$121/Popn!AK$121,Exogenous!$H$66*Popn!AL$22/Popn!AK$22,Exogenous!$I$66*Popn!AL$122/Popn!AK$122,Exogenous!$H$67*Popn!AL$23/Popn!AK$23,Exogenous!$I$67*Popn!AL$123/Popn!AK$123)-1</f>
        <v>-1.7609719121971512E-3</v>
      </c>
      <c r="AF263" s="72">
        <f>SUM(Exogenous!$H$59*Popn!AM$15/Popn!AL$15,Exogenous!$I$59*Popn!AM$115/Popn!AL$115,Exogenous!$H$60*Popn!AM$16/Popn!AL$16,Exogenous!$I$60*Popn!AM$116/Popn!AL$116,Exogenous!$H$61*Popn!AM$17/Popn!AL$17,Exogenous!$I$61*Popn!AM$117/Popn!AL$117,Exogenous!$H$62*Popn!AM$18/Popn!AL$18,Exogenous!$I$62*Popn!AM$118/Popn!AL$118,Exogenous!$H$63*Popn!AM$19/Popn!AL$19,Exogenous!$I$63*Popn!AM$119/Popn!AL$119,Exogenous!$H$64*Popn!AM$20/Popn!AL$20,Exogenous!$I$64*Popn!AM$120/Popn!AL$120,Exogenous!$H$65*Popn!AM$21/Popn!AL$21,Exogenous!$I$65*Popn!AM$121/Popn!AL$121,Exogenous!$H$66*Popn!AM$22/Popn!AL$22,Exogenous!$I$66*Popn!AM$122/Popn!AL$122,Exogenous!$H$67*Popn!AM$23/Popn!AL$23,Exogenous!$I$67*Popn!AM$123/Popn!AL$123)-1</f>
        <v>-1.4854923132381348E-3</v>
      </c>
      <c r="AG263" s="72">
        <f>SUM(Exogenous!$H$59*Popn!AN$15/Popn!AM$15,Exogenous!$I$59*Popn!AN$115/Popn!AM$115,Exogenous!$H$60*Popn!AN$16/Popn!AM$16,Exogenous!$I$60*Popn!AN$116/Popn!AM$116,Exogenous!$H$61*Popn!AN$17/Popn!AM$17,Exogenous!$I$61*Popn!AN$117/Popn!AM$117,Exogenous!$H$62*Popn!AN$18/Popn!AM$18,Exogenous!$I$62*Popn!AN$118/Popn!AM$118,Exogenous!$H$63*Popn!AN$19/Popn!AM$19,Exogenous!$I$63*Popn!AN$119/Popn!AM$119,Exogenous!$H$64*Popn!AN$20/Popn!AM$20,Exogenous!$I$64*Popn!AN$120/Popn!AM$120,Exogenous!$H$65*Popn!AN$21/Popn!AM$21,Exogenous!$I$65*Popn!AN$121/Popn!AM$121,Exogenous!$H$66*Popn!AN$22/Popn!AM$22,Exogenous!$I$66*Popn!AN$122/Popn!AM$122,Exogenous!$H$67*Popn!AN$23/Popn!AM$23,Exogenous!$I$67*Popn!AN$123/Popn!AM$123)-1</f>
        <v>-1.1918598690876525E-3</v>
      </c>
      <c r="AH263" s="72">
        <f>SUM(Exogenous!$H$59*Popn!AO$15/Popn!AN$15,Exogenous!$I$59*Popn!AO$115/Popn!AN$115,Exogenous!$H$60*Popn!AO$16/Popn!AN$16,Exogenous!$I$60*Popn!AO$116/Popn!AN$116,Exogenous!$H$61*Popn!AO$17/Popn!AN$17,Exogenous!$I$61*Popn!AO$117/Popn!AN$117,Exogenous!$H$62*Popn!AO$18/Popn!AN$18,Exogenous!$I$62*Popn!AO$118/Popn!AN$118,Exogenous!$H$63*Popn!AO$19/Popn!AN$19,Exogenous!$I$63*Popn!AO$119/Popn!AN$119,Exogenous!$H$64*Popn!AO$20/Popn!AN$20,Exogenous!$I$64*Popn!AO$120/Popn!AN$120,Exogenous!$H$65*Popn!AO$21/Popn!AN$21,Exogenous!$I$65*Popn!AO$121/Popn!AN$121,Exogenous!$H$66*Popn!AO$22/Popn!AN$22,Exogenous!$I$66*Popn!AO$122/Popn!AN$122,Exogenous!$H$67*Popn!AO$23/Popn!AN$23,Exogenous!$I$67*Popn!AO$123/Popn!AN$123)-1</f>
        <v>-6.6909355689825922E-4</v>
      </c>
      <c r="AI263" s="72">
        <f>SUM(Exogenous!$H$59*Popn!AP$15/Popn!AO$15,Exogenous!$I$59*Popn!AP$115/Popn!AO$115,Exogenous!$H$60*Popn!AP$16/Popn!AO$16,Exogenous!$I$60*Popn!AP$116/Popn!AO$116,Exogenous!$H$61*Popn!AP$17/Popn!AO$17,Exogenous!$I$61*Popn!AP$117/Popn!AO$117,Exogenous!$H$62*Popn!AP$18/Popn!AO$18,Exogenous!$I$62*Popn!AP$118/Popn!AO$118,Exogenous!$H$63*Popn!AP$19/Popn!AO$19,Exogenous!$I$63*Popn!AP$119/Popn!AO$119,Exogenous!$H$64*Popn!AP$20/Popn!AO$20,Exogenous!$I$64*Popn!AP$120/Popn!AO$120,Exogenous!$H$65*Popn!AP$21/Popn!AO$21,Exogenous!$I$65*Popn!AP$121/Popn!AO$121,Exogenous!$H$66*Popn!AP$22/Popn!AO$22,Exogenous!$I$66*Popn!AP$122/Popn!AO$122,Exogenous!$H$67*Popn!AP$23/Popn!AO$23,Exogenous!$I$67*Popn!AP$123/Popn!AO$123)-1</f>
        <v>-2.259800096140463E-4</v>
      </c>
      <c r="AJ263" s="72">
        <f>SUM(Exogenous!$H$59*Popn!AQ$15/Popn!AP$15,Exogenous!$I$59*Popn!AQ$115/Popn!AP$115,Exogenous!$H$60*Popn!AQ$16/Popn!AP$16,Exogenous!$I$60*Popn!AQ$116/Popn!AP$116,Exogenous!$H$61*Popn!AQ$17/Popn!AP$17,Exogenous!$I$61*Popn!AQ$117/Popn!AP$117,Exogenous!$H$62*Popn!AQ$18/Popn!AP$18,Exogenous!$I$62*Popn!AQ$118/Popn!AP$118,Exogenous!$H$63*Popn!AQ$19/Popn!AP$19,Exogenous!$I$63*Popn!AQ$119/Popn!AP$119,Exogenous!$H$64*Popn!AQ$20/Popn!AP$20,Exogenous!$I$64*Popn!AQ$120/Popn!AP$120,Exogenous!$H$65*Popn!AQ$21/Popn!AP$21,Exogenous!$I$65*Popn!AQ$121/Popn!AP$121,Exogenous!$H$66*Popn!AQ$22/Popn!AP$22,Exogenous!$I$66*Popn!AQ$122/Popn!AP$122,Exogenous!$H$67*Popn!AQ$23/Popn!AP$23,Exogenous!$I$67*Popn!AQ$123/Popn!AP$123)-1</f>
        <v>2.9283632817800331E-4</v>
      </c>
      <c r="AK263" s="72">
        <f>SUM(Exogenous!$H$59*Popn!AR$15/Popn!AQ$15,Exogenous!$I$59*Popn!AR$115/Popn!AQ$115,Exogenous!$H$60*Popn!AR$16/Popn!AQ$16,Exogenous!$I$60*Popn!AR$116/Popn!AQ$116,Exogenous!$H$61*Popn!AR$17/Popn!AQ$17,Exogenous!$I$61*Popn!AR$117/Popn!AQ$117,Exogenous!$H$62*Popn!AR$18/Popn!AQ$18,Exogenous!$I$62*Popn!AR$118/Popn!AQ$118,Exogenous!$H$63*Popn!AR$19/Popn!AQ$19,Exogenous!$I$63*Popn!AR$119/Popn!AQ$119,Exogenous!$H$64*Popn!AR$20/Popn!AQ$20,Exogenous!$I$64*Popn!AR$120/Popn!AQ$120,Exogenous!$H$65*Popn!AR$21/Popn!AQ$21,Exogenous!$I$65*Popn!AR$121/Popn!AQ$121,Exogenous!$H$66*Popn!AR$22/Popn!AQ$22,Exogenous!$I$66*Popn!AR$122/Popn!AQ$122,Exogenous!$H$67*Popn!AR$23/Popn!AQ$23,Exogenous!$I$67*Popn!AR$123/Popn!AQ$123)-1</f>
        <v>5.791024444010695E-4</v>
      </c>
      <c r="AL263" s="72">
        <f>SUM(Exogenous!$H$59*Popn!AS$15/Popn!AR$15,Exogenous!$I$59*Popn!AS$115/Popn!AR$115,Exogenous!$H$60*Popn!AS$16/Popn!AR$16,Exogenous!$I$60*Popn!AS$116/Popn!AR$116,Exogenous!$H$61*Popn!AS$17/Popn!AR$17,Exogenous!$I$61*Popn!AS$117/Popn!AR$117,Exogenous!$H$62*Popn!AS$18/Popn!AR$18,Exogenous!$I$62*Popn!AS$118/Popn!AR$118,Exogenous!$H$63*Popn!AS$19/Popn!AR$19,Exogenous!$I$63*Popn!AS$119/Popn!AR$119,Exogenous!$H$64*Popn!AS$20/Popn!AR$20,Exogenous!$I$64*Popn!AS$120/Popn!AR$120,Exogenous!$H$65*Popn!AS$21/Popn!AR$21,Exogenous!$I$65*Popn!AS$121/Popn!AR$121,Exogenous!$H$66*Popn!AS$22/Popn!AR$22,Exogenous!$I$66*Popn!AS$122/Popn!AR$122,Exogenous!$H$67*Popn!AS$23/Popn!AR$23,Exogenous!$I$67*Popn!AS$123/Popn!AR$123)-1</f>
        <v>8.6363423992530386E-4</v>
      </c>
      <c r="AM263" s="72">
        <f>SUM(Exogenous!$H$59*Popn!AT$15/Popn!AS$15,Exogenous!$I$59*Popn!AT$115/Popn!AS$115,Exogenous!$H$60*Popn!AT$16/Popn!AS$16,Exogenous!$I$60*Popn!AT$116/Popn!AS$116,Exogenous!$H$61*Popn!AT$17/Popn!AS$17,Exogenous!$I$61*Popn!AT$117/Popn!AS$117,Exogenous!$H$62*Popn!AT$18/Popn!AS$18,Exogenous!$I$62*Popn!AT$118/Popn!AS$118,Exogenous!$H$63*Popn!AT$19/Popn!AS$19,Exogenous!$I$63*Popn!AT$119/Popn!AS$119,Exogenous!$H$64*Popn!AT$20/Popn!AS$20,Exogenous!$I$64*Popn!AT$120/Popn!AS$120,Exogenous!$H$65*Popn!AT$21/Popn!AS$21,Exogenous!$I$65*Popn!AT$121/Popn!AS$121,Exogenous!$H$66*Popn!AT$22/Popn!AS$22,Exogenous!$I$66*Popn!AT$122/Popn!AS$122,Exogenous!$H$67*Popn!AT$23/Popn!AS$23,Exogenous!$I$67*Popn!AT$123/Popn!AS$123)-1</f>
        <v>1.0010713356327638E-3</v>
      </c>
      <c r="AN263" s="72">
        <f>SUM(Exogenous!$H$59*Popn!AU$15/Popn!AT$15,Exogenous!$I$59*Popn!AU$115/Popn!AT$115,Exogenous!$H$60*Popn!AU$16/Popn!AT$16,Exogenous!$I$60*Popn!AU$116/Popn!AT$116,Exogenous!$H$61*Popn!AU$17/Popn!AT$17,Exogenous!$I$61*Popn!AU$117/Popn!AT$117,Exogenous!$H$62*Popn!AU$18/Popn!AT$18,Exogenous!$I$62*Popn!AU$118/Popn!AT$118,Exogenous!$H$63*Popn!AU$19/Popn!AT$19,Exogenous!$I$63*Popn!AU$119/Popn!AT$119,Exogenous!$H$64*Popn!AU$20/Popn!AT$20,Exogenous!$I$64*Popn!AU$120/Popn!AT$120,Exogenous!$H$65*Popn!AU$21/Popn!AT$21,Exogenous!$I$65*Popn!AU$121/Popn!AT$121,Exogenous!$H$66*Popn!AU$22/Popn!AT$22,Exogenous!$I$66*Popn!AU$122/Popn!AT$122,Exogenous!$H$67*Popn!AU$23/Popn!AT$23,Exogenous!$I$67*Popn!AU$123/Popn!AT$123)-1</f>
        <v>9.9044155455119132E-4</v>
      </c>
      <c r="AO263" s="72">
        <f>SUM(Exogenous!$H$59*Popn!AV$15/Popn!AU$15,Exogenous!$I$59*Popn!AV$115/Popn!AU$115,Exogenous!$H$60*Popn!AV$16/Popn!AU$16,Exogenous!$I$60*Popn!AV$116/Popn!AU$116,Exogenous!$H$61*Popn!AV$17/Popn!AU$17,Exogenous!$I$61*Popn!AV$117/Popn!AU$117,Exogenous!$H$62*Popn!AV$18/Popn!AU$18,Exogenous!$I$62*Popn!AV$118/Popn!AU$118,Exogenous!$H$63*Popn!AV$19/Popn!AU$19,Exogenous!$I$63*Popn!AV$119/Popn!AU$119,Exogenous!$H$64*Popn!AV$20/Popn!AU$20,Exogenous!$I$64*Popn!AV$120/Popn!AU$120,Exogenous!$H$65*Popn!AV$21/Popn!AU$21,Exogenous!$I$65*Popn!AV$121/Popn!AU$121,Exogenous!$H$66*Popn!AV$22/Popn!AU$22,Exogenous!$I$66*Popn!AV$122/Popn!AU$122,Exogenous!$H$67*Popn!AV$23/Popn!AU$23,Exogenous!$I$67*Popn!AV$123/Popn!AU$123)-1</f>
        <v>1.0068750080374222E-3</v>
      </c>
      <c r="AP263" s="72">
        <f>SUM(Exogenous!$H$59*Popn!AW$15/Popn!AV$15,Exogenous!$I$59*Popn!AW$115/Popn!AV$115,Exogenous!$H$60*Popn!AW$16/Popn!AV$16,Exogenous!$I$60*Popn!AW$116/Popn!AV$116,Exogenous!$H$61*Popn!AW$17/Popn!AV$17,Exogenous!$I$61*Popn!AW$117/Popn!AV$117,Exogenous!$H$62*Popn!AW$18/Popn!AV$18,Exogenous!$I$62*Popn!AW$118/Popn!AV$118,Exogenous!$H$63*Popn!AW$19/Popn!AV$19,Exogenous!$I$63*Popn!AW$119/Popn!AV$119,Exogenous!$H$64*Popn!AW$20/Popn!AV$20,Exogenous!$I$64*Popn!AW$120/Popn!AV$120,Exogenous!$H$65*Popn!AW$21/Popn!AV$21,Exogenous!$I$65*Popn!AW$121/Popn!AV$121,Exogenous!$H$66*Popn!AW$22/Popn!AV$22,Exogenous!$I$66*Popn!AW$122/Popn!AV$122,Exogenous!$H$67*Popn!AW$23/Popn!AV$23,Exogenous!$I$67*Popn!AW$123/Popn!AV$123)-1</f>
        <v>8.746957716805337E-4</v>
      </c>
      <c r="AQ263" s="72">
        <f>SUM(Exogenous!$H$59*Popn!AX$15/Popn!AW$15,Exogenous!$I$59*Popn!AX$115/Popn!AW$115,Exogenous!$H$60*Popn!AX$16/Popn!AW$16,Exogenous!$I$60*Popn!AX$116/Popn!AW$116,Exogenous!$H$61*Popn!AX$17/Popn!AW$17,Exogenous!$I$61*Popn!AX$117/Popn!AW$117,Exogenous!$H$62*Popn!AX$18/Popn!AW$18,Exogenous!$I$62*Popn!AX$118/Popn!AW$118,Exogenous!$H$63*Popn!AX$19/Popn!AW$19,Exogenous!$I$63*Popn!AX$119/Popn!AW$119,Exogenous!$H$64*Popn!AX$20/Popn!AW$20,Exogenous!$I$64*Popn!AX$120/Popn!AW$120,Exogenous!$H$65*Popn!AX$21/Popn!AW$21,Exogenous!$I$65*Popn!AX$121/Popn!AW$121,Exogenous!$H$66*Popn!AX$22/Popn!AW$22,Exogenous!$I$66*Popn!AX$122/Popn!AW$122,Exogenous!$H$67*Popn!AX$23/Popn!AW$23,Exogenous!$I$67*Popn!AX$123/Popn!AW$123)-1</f>
        <v>7.5820149214012034E-4</v>
      </c>
      <c r="AR263" s="72">
        <f>SUM(Exogenous!$H$59*Popn!AY$15/Popn!AX$15,Exogenous!$I$59*Popn!AY$115/Popn!AX$115,Exogenous!$H$60*Popn!AY$16/Popn!AX$16,Exogenous!$I$60*Popn!AY$116/Popn!AX$116,Exogenous!$H$61*Popn!AY$17/Popn!AX$17,Exogenous!$I$61*Popn!AY$117/Popn!AX$117,Exogenous!$H$62*Popn!AY$18/Popn!AX$18,Exogenous!$I$62*Popn!AY$118/Popn!AX$118,Exogenous!$H$63*Popn!AY$19/Popn!AX$19,Exogenous!$I$63*Popn!AY$119/Popn!AX$119,Exogenous!$H$64*Popn!AY$20/Popn!AX$20,Exogenous!$I$64*Popn!AY$120/Popn!AX$120,Exogenous!$H$65*Popn!AY$21/Popn!AX$21,Exogenous!$I$65*Popn!AY$121/Popn!AX$121,Exogenous!$H$66*Popn!AY$22/Popn!AX$22,Exogenous!$I$66*Popn!AY$122/Popn!AX$122,Exogenous!$H$67*Popn!AY$23/Popn!AX$23,Exogenous!$I$67*Popn!AY$123/Popn!AX$123)-1</f>
        <v>7.5189896644412002E-4</v>
      </c>
      <c r="AS263" s="72">
        <f>SUM(Exogenous!$H$59*Popn!AZ$15/Popn!AY$15,Exogenous!$I$59*Popn!AZ$115/Popn!AY$115,Exogenous!$H$60*Popn!AZ$16/Popn!AY$16,Exogenous!$I$60*Popn!AZ$116/Popn!AY$116,Exogenous!$H$61*Popn!AZ$17/Popn!AY$17,Exogenous!$I$61*Popn!AZ$117/Popn!AY$117,Exogenous!$H$62*Popn!AZ$18/Popn!AY$18,Exogenous!$I$62*Popn!AZ$118/Popn!AY$118,Exogenous!$H$63*Popn!AZ$19/Popn!AY$19,Exogenous!$I$63*Popn!AZ$119/Popn!AY$119,Exogenous!$H$64*Popn!AZ$20/Popn!AY$20,Exogenous!$I$64*Popn!AZ$120/Popn!AY$120,Exogenous!$H$65*Popn!AZ$21/Popn!AY$21,Exogenous!$I$65*Popn!AZ$121/Popn!AY$121,Exogenous!$H$66*Popn!AZ$22/Popn!AY$22,Exogenous!$I$66*Popn!AZ$122/Popn!AY$122,Exogenous!$H$67*Popn!AZ$23/Popn!AY$23,Exogenous!$I$67*Popn!AZ$123/Popn!AY$123)-1</f>
        <v>7.0579794752956282E-4</v>
      </c>
      <c r="AT263" s="72">
        <f>SUM(Exogenous!$H$59*Popn!BA$15/Popn!AZ$15,Exogenous!$I$59*Popn!BA$115/Popn!AZ$115,Exogenous!$H$60*Popn!BA$16/Popn!AZ$16,Exogenous!$I$60*Popn!BA$116/Popn!AZ$116,Exogenous!$H$61*Popn!BA$17/Popn!AZ$17,Exogenous!$I$61*Popn!BA$117/Popn!AZ$117,Exogenous!$H$62*Popn!BA$18/Popn!AZ$18,Exogenous!$I$62*Popn!BA$118/Popn!AZ$118,Exogenous!$H$63*Popn!BA$19/Popn!AZ$19,Exogenous!$I$63*Popn!BA$119/Popn!AZ$119,Exogenous!$H$64*Popn!BA$20/Popn!AZ$20,Exogenous!$I$64*Popn!BA$120/Popn!AZ$120,Exogenous!$H$65*Popn!BA$21/Popn!AZ$21,Exogenous!$I$65*Popn!BA$121/Popn!AZ$121,Exogenous!$H$66*Popn!BA$22/Popn!AZ$22,Exogenous!$I$66*Popn!BA$122/Popn!AZ$122,Exogenous!$H$67*Popn!BA$23/Popn!AZ$23,Exogenous!$I$67*Popn!BA$123/Popn!AZ$123)-1</f>
        <v>7.562813049610817E-4</v>
      </c>
      <c r="AU263" s="72">
        <f>SUM(Exogenous!$H$59*Popn!BB$15/Popn!BA$15,Exogenous!$I$59*Popn!BB$115/Popn!BA$115,Exogenous!$H$60*Popn!BB$16/Popn!BA$16,Exogenous!$I$60*Popn!BB$116/Popn!BA$116,Exogenous!$H$61*Popn!BB$17/Popn!BA$17,Exogenous!$I$61*Popn!BB$117/Popn!BA$117,Exogenous!$H$62*Popn!BB$18/Popn!BA$18,Exogenous!$I$62*Popn!BB$118/Popn!BA$118,Exogenous!$H$63*Popn!BB$19/Popn!BA$19,Exogenous!$I$63*Popn!BB$119/Popn!BA$119,Exogenous!$H$64*Popn!BB$20/Popn!BA$20,Exogenous!$I$64*Popn!BB$120/Popn!BA$120,Exogenous!$H$65*Popn!BB$21/Popn!BA$21,Exogenous!$I$65*Popn!BB$121/Popn!BA$121,Exogenous!$H$66*Popn!BB$22/Popn!BA$22,Exogenous!$I$66*Popn!BB$122/Popn!BA$122,Exogenous!$H$67*Popn!BB$23/Popn!BA$23,Exogenous!$I$67*Popn!BB$123/Popn!BA$123)-1</f>
        <v>9.2178233049899916E-4</v>
      </c>
      <c r="AV263" s="72">
        <f>SUM(Exogenous!$H$59*Popn!BC$15/Popn!BB$15,Exogenous!$I$59*Popn!BC$115/Popn!BB$115,Exogenous!$H$60*Popn!BC$16/Popn!BB$16,Exogenous!$I$60*Popn!BC$116/Popn!BB$116,Exogenous!$H$61*Popn!BC$17/Popn!BB$17,Exogenous!$I$61*Popn!BC$117/Popn!BB$117,Exogenous!$H$62*Popn!BC$18/Popn!BB$18,Exogenous!$I$62*Popn!BC$118/Popn!BB$118,Exogenous!$H$63*Popn!BC$19/Popn!BB$19,Exogenous!$I$63*Popn!BC$119/Popn!BB$119,Exogenous!$H$64*Popn!BC$20/Popn!BB$20,Exogenous!$I$64*Popn!BC$120/Popn!BB$120,Exogenous!$H$65*Popn!BC$21/Popn!BB$21,Exogenous!$I$65*Popn!BC$121/Popn!BB$121,Exogenous!$H$66*Popn!BC$22/Popn!BB$22,Exogenous!$I$66*Popn!BC$122/Popn!BB$122,Exogenous!$H$67*Popn!BC$23/Popn!BB$23,Exogenous!$I$67*Popn!BC$123/Popn!BB$123)-1</f>
        <v>1.1495335914786242E-3</v>
      </c>
      <c r="AW263" s="72">
        <f>SUM(Exogenous!$H$59*Popn!BD$15/Popn!BC$15,Exogenous!$I$59*Popn!BD$115/Popn!BC$115,Exogenous!$H$60*Popn!BD$16/Popn!BC$16,Exogenous!$I$60*Popn!BD$116/Popn!BC$116,Exogenous!$H$61*Popn!BD$17/Popn!BC$17,Exogenous!$I$61*Popn!BD$117/Popn!BC$117,Exogenous!$H$62*Popn!BD$18/Popn!BC$18,Exogenous!$I$62*Popn!BD$118/Popn!BC$118,Exogenous!$H$63*Popn!BD$19/Popn!BC$19,Exogenous!$I$63*Popn!BD$119/Popn!BC$119,Exogenous!$H$64*Popn!BD$20/Popn!BC$20,Exogenous!$I$64*Popn!BD$120/Popn!BC$120,Exogenous!$H$65*Popn!BD$21/Popn!BC$21,Exogenous!$I$65*Popn!BD$121/Popn!BC$121,Exogenous!$H$66*Popn!BD$22/Popn!BC$22,Exogenous!$I$66*Popn!BD$122/Popn!BC$122,Exogenous!$H$67*Popn!BD$23/Popn!BC$23,Exogenous!$I$67*Popn!BD$123/Popn!BC$123)-1</f>
        <v>1.3760662184436612E-3</v>
      </c>
    </row>
    <row r="264" spans="1:49" x14ac:dyDescent="0.2">
      <c r="A264" s="1" t="s">
        <v>863</v>
      </c>
      <c r="D264" s="73">
        <f>SUM(Exogenous!$O$59*Popn!K$23/Popn!J$23,Exogenous!$P$59*Popn!K$123/Popn!J$123,Exogenous!$O$60*Popn!K$24/Popn!J$24,Exogenous!$P$60*Popn!K$124/Popn!J$124,Exogenous!$O$61*Popn!K$25/Popn!J$25,Exogenous!$P$61*Popn!K$125/Popn!J$125,Exogenous!$O$62*Popn!K$26/Popn!J$26,Exogenous!$P$62*Popn!K$126/Popn!J$126,Exogenous!$O$63*Popn!K$27/Popn!J$27,Exogenous!$P$63*Popn!K$127/Popn!J$127,Exogenous!$O$64*Popn!K$28/Popn!J$28,Exogenous!$P$64*Popn!K$128/Popn!J$128,Exogenous!$O$65*SUM(Popn!K$29:K$30)/SUM(Popn!J$29:J$30),Exogenous!$P$65*SUM(Popn!K$129:K$130)/SUM(Popn!J$129:J$130))-1</f>
        <v>-1.6687762882959811E-3</v>
      </c>
      <c r="E264" s="74">
        <f>SUM(Exogenous!$O$59*Popn!L$23/Popn!K$23,Exogenous!$P$59*Popn!L$123/Popn!K$123,Exogenous!$O$60*Popn!L$24/Popn!K$24,Exogenous!$P$60*Popn!L$124/Popn!K$124,Exogenous!$O$61*Popn!L$25/Popn!K$25,Exogenous!$P$61*Popn!L$125/Popn!K$125,Exogenous!$O$62*Popn!L$26/Popn!K$26,Exogenous!$P$62*Popn!L$126/Popn!K$126,Exogenous!$O$63*Popn!L$27/Popn!K$27,Exogenous!$P$63*Popn!L$127/Popn!K$127,Exogenous!$O$64*Popn!L$28/Popn!K$28,Exogenous!$P$64*Popn!L$128/Popn!K$128,Exogenous!$O$65*SUM(Popn!L$29:L$30)/SUM(Popn!K$29:K$30),Exogenous!$P$65*SUM(Popn!L$129:L$130)/SUM(Popn!K$129:K$130))-1</f>
        <v>-1.0346893625142517E-2</v>
      </c>
      <c r="F264" s="74">
        <f>SUM(Exogenous!$O$59*Popn!M$23/Popn!L$23,Exogenous!$P$59*Popn!M$123/Popn!L$123,Exogenous!$O$60*Popn!M$24/Popn!L$24,Exogenous!$P$60*Popn!M$124/Popn!L$124,Exogenous!$O$61*Popn!M$25/Popn!L$25,Exogenous!$P$61*Popn!M$125/Popn!L$125,Exogenous!$O$62*Popn!M$26/Popn!L$26,Exogenous!$P$62*Popn!M$126/Popn!L$126,Exogenous!$O$63*Popn!M$27/Popn!L$27,Exogenous!$P$63*Popn!M$127/Popn!L$127,Exogenous!$O$64*Popn!M$28/Popn!L$28,Exogenous!$P$64*Popn!M$128/Popn!L$128,Exogenous!$O$65*SUM(Popn!M$29:M$30)/SUM(Popn!L$29:L$30),Exogenous!$P$65*SUM(Popn!M$129:M$130)/SUM(Popn!L$129:L$130))-1</f>
        <v>-1.0262794628205896E-2</v>
      </c>
      <c r="G264" s="74">
        <f>SUM(Exogenous!$O$59*Popn!N$23/Popn!M$23,Exogenous!$P$59*Popn!N$123/Popn!M$123,Exogenous!$O$60*Popn!N$24/Popn!M$24,Exogenous!$P$60*Popn!N$124/Popn!M$124,Exogenous!$O$61*Popn!N$25/Popn!M$25,Exogenous!$P$61*Popn!N$125/Popn!M$125,Exogenous!$O$62*Popn!N$26/Popn!M$26,Exogenous!$P$62*Popn!N$126/Popn!M$126,Exogenous!$O$63*Popn!N$27/Popn!M$27,Exogenous!$P$63*Popn!N$127/Popn!M$127,Exogenous!$O$64*Popn!N$28/Popn!M$28,Exogenous!$P$64*Popn!N$128/Popn!M$128,Exogenous!$O$65*SUM(Popn!N$29:N$30)/SUM(Popn!M$29:M$30),Exogenous!$P$65*SUM(Popn!N$129:N$130)/SUM(Popn!M$129:M$130))-1</f>
        <v>-9.1859921612054141E-3</v>
      </c>
      <c r="H264" s="74">
        <f>SUM(Exogenous!$O$59*Popn!O$23/Popn!N$23,Exogenous!$P$59*Popn!O$123/Popn!N$123,Exogenous!$O$60*Popn!O$24/Popn!N$24,Exogenous!$P$60*Popn!O$124/Popn!N$124,Exogenous!$O$61*Popn!O$25/Popn!N$25,Exogenous!$P$61*Popn!O$125/Popn!N$125,Exogenous!$O$62*Popn!O$26/Popn!N$26,Exogenous!$P$62*Popn!O$126/Popn!N$126,Exogenous!$O$63*Popn!O$27/Popn!N$27,Exogenous!$P$63*Popn!O$127/Popn!N$127,Exogenous!$O$64*Popn!O$28/Popn!N$28,Exogenous!$P$64*Popn!O$128/Popn!N$128,Exogenous!$O$65*SUM(Popn!O$29:O$30)/SUM(Popn!N$29:N$30),Exogenous!$P$65*SUM(Popn!O$129:O$130)/SUM(Popn!N$129:N$130))-1</f>
        <v>-4.0712186390390315E-3</v>
      </c>
      <c r="I264" s="74">
        <f>SUM(Exogenous!$O$59*Popn!P$23/Popn!O$23,Exogenous!$P$59*Popn!P$123/Popn!O$123,Exogenous!$O$60*Popn!P$24/Popn!O$24,Exogenous!$P$60*Popn!P$124/Popn!O$124,Exogenous!$O$61*Popn!P$25/Popn!O$25,Exogenous!$P$61*Popn!P$125/Popn!O$125,Exogenous!$O$62*Popn!P$26/Popn!O$26,Exogenous!$P$62*Popn!P$126/Popn!O$126,Exogenous!$O$63*Popn!P$27/Popn!O$27,Exogenous!$P$63*Popn!P$127/Popn!O$127,Exogenous!$O$64*Popn!P$28/Popn!O$28,Exogenous!$P$64*Popn!P$128/Popn!O$128,Exogenous!$O$65*SUM(Popn!P$29:P$30)/SUM(Popn!O$29:O$30),Exogenous!$P$65*SUM(Popn!P$129:P$130)/SUM(Popn!O$129:O$130))-1</f>
        <v>9.1913461335302316E-3</v>
      </c>
      <c r="J264" s="72">
        <f>SUM(Exogenous!$O$59*Popn!Q$23/Popn!P$23,Exogenous!$P$59*Popn!Q$123/Popn!P$123,Exogenous!$O$60*Popn!Q$24/Popn!P$24,Exogenous!$P$60*Popn!Q$124/Popn!P$124,Exogenous!$O$61*Popn!Q$25/Popn!P$25,Exogenous!$P$61*Popn!Q$125/Popn!P$125,Exogenous!$O$62*Popn!Q$26/Popn!P$26,Exogenous!$P$62*Popn!Q$126/Popn!P$126,Exogenous!$O$63*Popn!Q$27/Popn!P$27,Exogenous!$P$63*Popn!Q$127/Popn!P$127,Exogenous!$O$64*Popn!Q$28/Popn!P$28,Exogenous!$P$64*Popn!Q$128/Popn!P$128,Exogenous!$O$65*SUM(Popn!Q$29:Q$30)/SUM(Popn!P$29:P$30),Exogenous!$P$65*SUM(Popn!Q$129:Q$130)/SUM(Popn!P$129:P$130))-1</f>
        <v>1.9502463406628756E-2</v>
      </c>
      <c r="K264" s="72">
        <f>SUM(Exogenous!$O$59*Popn!R$23/Popn!Q$23,Exogenous!$P$59*Popn!R$123/Popn!Q$123,Exogenous!$O$60*Popn!R$24/Popn!Q$24,Exogenous!$P$60*Popn!R$124/Popn!Q$124,Exogenous!$O$61*Popn!R$25/Popn!Q$25,Exogenous!$P$61*Popn!R$125/Popn!Q$125,Exogenous!$O$62*Popn!R$26/Popn!Q$26,Exogenous!$P$62*Popn!R$126/Popn!Q$126,Exogenous!$O$63*Popn!R$27/Popn!Q$27,Exogenous!$P$63*Popn!R$127/Popn!Q$127,Exogenous!$O$64*Popn!R$28/Popn!Q$28,Exogenous!$P$64*Popn!R$128/Popn!Q$128,Exogenous!$O$65*SUM(Popn!R$29:R$30)/SUM(Popn!Q$29:Q$30),Exogenous!$P$65*SUM(Popn!R$129:R$130)/SUM(Popn!Q$129:Q$130))-1</f>
        <v>2.1600845995984441E-2</v>
      </c>
      <c r="L264" s="72">
        <f>SUM(Exogenous!$O$59*Popn!S$23/Popn!R$23,Exogenous!$P$59*Popn!S$123/Popn!R$123,Exogenous!$O$60*Popn!S$24/Popn!R$24,Exogenous!$P$60*Popn!S$124/Popn!R$124,Exogenous!$O$61*Popn!S$25/Popn!R$25,Exogenous!$P$61*Popn!S$125/Popn!R$125,Exogenous!$O$62*Popn!S$26/Popn!R$26,Exogenous!$P$62*Popn!S$126/Popn!R$126,Exogenous!$O$63*Popn!S$27/Popn!R$27,Exogenous!$P$63*Popn!S$127/Popn!R$127,Exogenous!$O$64*Popn!S$28/Popn!R$28,Exogenous!$P$64*Popn!S$128/Popn!R$128,Exogenous!$O$65*SUM(Popn!S$29:S$30)/SUM(Popn!R$29:R$30),Exogenous!$P$65*SUM(Popn!S$129:S$130)/SUM(Popn!R$129:R$130))-1</f>
        <v>2.1466265211579572E-2</v>
      </c>
      <c r="M264" s="72">
        <f>SUM(Exogenous!$O$59*Popn!T$23/Popn!S$23,Exogenous!$P$59*Popn!T$123/Popn!S$123,Exogenous!$O$60*Popn!T$24/Popn!S$24,Exogenous!$P$60*Popn!T$124/Popn!S$124,Exogenous!$O$61*Popn!T$25/Popn!S$25,Exogenous!$P$61*Popn!T$125/Popn!S$125,Exogenous!$O$62*Popn!T$26/Popn!S$26,Exogenous!$P$62*Popn!T$126/Popn!S$126,Exogenous!$O$63*Popn!T$27/Popn!S$27,Exogenous!$P$63*Popn!T$127/Popn!S$127,Exogenous!$O$64*Popn!T$28/Popn!S$28,Exogenous!$P$64*Popn!T$128/Popn!S$128,Exogenous!$O$65*SUM(Popn!T$29:T$30)/SUM(Popn!S$29:S$30),Exogenous!$P$65*SUM(Popn!T$129:T$130)/SUM(Popn!S$129:S$130))-1</f>
        <v>1.507247447048643E-2</v>
      </c>
      <c r="N264" s="72">
        <f>SUM(Exogenous!$O$59*Popn!U$23/Popn!T$23,Exogenous!$P$59*Popn!U$123/Popn!T$123,Exogenous!$O$60*Popn!U$24/Popn!T$24,Exogenous!$P$60*Popn!U$124/Popn!T$124,Exogenous!$O$61*Popn!U$25/Popn!T$25,Exogenous!$P$61*Popn!U$125/Popn!T$125,Exogenous!$O$62*Popn!U$26/Popn!T$26,Exogenous!$P$62*Popn!U$126/Popn!T$126,Exogenous!$O$63*Popn!U$27/Popn!T$27,Exogenous!$P$63*Popn!U$127/Popn!T$127,Exogenous!$O$64*Popn!U$28/Popn!T$28,Exogenous!$P$64*Popn!U$128/Popn!T$128,Exogenous!$O$65*SUM(Popn!U$29:U$30)/SUM(Popn!T$29:T$30),Exogenous!$P$65*SUM(Popn!U$129:U$130)/SUM(Popn!T$129:T$130))-1</f>
        <v>2.1689712107100245E-3</v>
      </c>
      <c r="O264" s="72">
        <f>SUM(Exogenous!$O$59*Popn!V$23/Popn!U$23,Exogenous!$P$59*Popn!V$123/Popn!U$123,Exogenous!$O$60*Popn!V$24/Popn!U$24,Exogenous!$P$60*Popn!V$124/Popn!U$124,Exogenous!$O$61*Popn!V$25/Popn!U$25,Exogenous!$P$61*Popn!V$125/Popn!U$125,Exogenous!$O$62*Popn!V$26/Popn!U$26,Exogenous!$P$62*Popn!V$126/Popn!U$126,Exogenous!$O$63*Popn!V$27/Popn!U$27,Exogenous!$P$63*Popn!V$127/Popn!U$127,Exogenous!$O$64*Popn!V$28/Popn!U$28,Exogenous!$P$64*Popn!V$128/Popn!U$128,Exogenous!$O$65*SUM(Popn!V$29:V$30)/SUM(Popn!U$29:U$30),Exogenous!$P$65*SUM(Popn!V$129:V$130)/SUM(Popn!U$129:U$130))-1</f>
        <v>-7.8357760889041783E-3</v>
      </c>
      <c r="P264" s="72">
        <f>SUM(Exogenous!$O$59*Popn!W$23/Popn!V$23,Exogenous!$P$59*Popn!W$123/Popn!V$123,Exogenous!$O$60*Popn!W$24/Popn!V$24,Exogenous!$P$60*Popn!W$124/Popn!V$124,Exogenous!$O$61*Popn!W$25/Popn!V$25,Exogenous!$P$61*Popn!W$125/Popn!V$125,Exogenous!$O$62*Popn!W$26/Popn!V$26,Exogenous!$P$62*Popn!W$126/Popn!V$126,Exogenous!$O$63*Popn!W$27/Popn!V$27,Exogenous!$P$63*Popn!W$127/Popn!V$127,Exogenous!$O$64*Popn!W$28/Popn!V$28,Exogenous!$P$64*Popn!W$128/Popn!V$128,Exogenous!$O$65*SUM(Popn!W$29:W$30)/SUM(Popn!V$29:V$30),Exogenous!$P$65*SUM(Popn!W$129:W$130)/SUM(Popn!V$129:V$130))-1</f>
        <v>-1.4155429592809576E-2</v>
      </c>
      <c r="Q264" s="72">
        <f>SUM(Exogenous!$O$59*Popn!X$23/Popn!W$23,Exogenous!$P$59*Popn!X$123/Popn!W$123,Exogenous!$O$60*Popn!X$24/Popn!W$24,Exogenous!$P$60*Popn!X$124/Popn!W$124,Exogenous!$O$61*Popn!X$25/Popn!W$25,Exogenous!$P$61*Popn!X$125/Popn!W$125,Exogenous!$O$62*Popn!X$26/Popn!W$26,Exogenous!$P$62*Popn!X$126/Popn!W$126,Exogenous!$O$63*Popn!X$27/Popn!W$27,Exogenous!$P$63*Popn!X$127/Popn!W$127,Exogenous!$O$64*Popn!X$28/Popn!W$28,Exogenous!$P$64*Popn!X$128/Popn!W$128,Exogenous!$O$65*SUM(Popn!X$29:X$30)/SUM(Popn!W$29:W$30),Exogenous!$P$65*SUM(Popn!X$129:X$130)/SUM(Popn!W$129:W$130))-1</f>
        <v>-1.9306891060415055E-2</v>
      </c>
      <c r="R264" s="72">
        <f>SUM(Exogenous!$O$59*Popn!Y$23/Popn!X$23,Exogenous!$P$59*Popn!Y$123/Popn!X$123,Exogenous!$O$60*Popn!Y$24/Popn!X$24,Exogenous!$P$60*Popn!Y$124/Popn!X$124,Exogenous!$O$61*Popn!Y$25/Popn!X$25,Exogenous!$P$61*Popn!Y$125/Popn!X$125,Exogenous!$O$62*Popn!Y$26/Popn!X$26,Exogenous!$P$62*Popn!Y$126/Popn!X$126,Exogenous!$O$63*Popn!Y$27/Popn!X$27,Exogenous!$P$63*Popn!Y$127/Popn!X$127,Exogenous!$O$64*Popn!Y$28/Popn!X$28,Exogenous!$P$64*Popn!Y$128/Popn!X$128,Exogenous!$O$65*SUM(Popn!Y$29:Y$30)/SUM(Popn!X$29:X$30),Exogenous!$P$65*SUM(Popn!Y$129:Y$130)/SUM(Popn!X$129:X$130))-1</f>
        <v>-1.5793975593539566E-2</v>
      </c>
      <c r="S264" s="72">
        <f>SUM(Exogenous!$O$59*Popn!Z$23/Popn!Y$23,Exogenous!$P$59*Popn!Z$123/Popn!Y$123,Exogenous!$O$60*Popn!Z$24/Popn!Y$24,Exogenous!$P$60*Popn!Z$124/Popn!Y$124,Exogenous!$O$61*Popn!Z$25/Popn!Y$25,Exogenous!$P$61*Popn!Z$125/Popn!Y$125,Exogenous!$O$62*Popn!Z$26/Popn!Y$26,Exogenous!$P$62*Popn!Z$126/Popn!Y$126,Exogenous!$O$63*Popn!Z$27/Popn!Y$27,Exogenous!$P$63*Popn!Z$127/Popn!Y$127,Exogenous!$O$64*Popn!Z$28/Popn!Y$28,Exogenous!$P$64*Popn!Z$128/Popn!Y$128,Exogenous!$O$65*SUM(Popn!Z$29:Z$30)/SUM(Popn!Y$29:Y$30),Exogenous!$P$65*SUM(Popn!Z$129:Z$130)/SUM(Popn!Y$129:Y$130))-1</f>
        <v>-8.6418303729849377E-3</v>
      </c>
      <c r="T264" s="72">
        <f>SUM(Exogenous!$O$59*Popn!AA$23/Popn!Z$23,Exogenous!$P$59*Popn!AA$123/Popn!Z$123,Exogenous!$O$60*Popn!AA$24/Popn!Z$24,Exogenous!$P$60*Popn!AA$124/Popn!Z$124,Exogenous!$O$61*Popn!AA$25/Popn!Z$25,Exogenous!$P$61*Popn!AA$125/Popn!Z$125,Exogenous!$O$62*Popn!AA$26/Popn!Z$26,Exogenous!$P$62*Popn!AA$126/Popn!Z$126,Exogenous!$O$63*Popn!AA$27/Popn!Z$27,Exogenous!$P$63*Popn!AA$127/Popn!Z$127,Exogenous!$O$64*Popn!AA$28/Popn!Z$28,Exogenous!$P$64*Popn!AA$128/Popn!Z$128,Exogenous!$O$65*SUM(Popn!AA$29:AA$30)/SUM(Popn!Z$29:Z$30),Exogenous!$P$65*SUM(Popn!AA$129:AA$130)/SUM(Popn!Z$129:Z$130))-1</f>
        <v>-1.9310516343066242E-3</v>
      </c>
      <c r="U264" s="72">
        <f>SUM(Exogenous!$O$59*Popn!AB$23/Popn!AA$23,Exogenous!$P$59*Popn!AB$123/Popn!AA$123,Exogenous!$O$60*Popn!AB$24/Popn!AA$24,Exogenous!$P$60*Popn!AB$124/Popn!AA$124,Exogenous!$O$61*Popn!AB$25/Popn!AA$25,Exogenous!$P$61*Popn!AB$125/Popn!AA$125,Exogenous!$O$62*Popn!AB$26/Popn!AA$26,Exogenous!$P$62*Popn!AB$126/Popn!AA$126,Exogenous!$O$63*Popn!AB$27/Popn!AA$27,Exogenous!$P$63*Popn!AB$127/Popn!AA$127,Exogenous!$O$64*Popn!AB$28/Popn!AA$28,Exogenous!$P$64*Popn!AB$128/Popn!AA$128,Exogenous!$O$65*SUM(Popn!AB$29:AB$30)/SUM(Popn!AA$29:AA$30),Exogenous!$P$65*SUM(Popn!AB$129:AB$130)/SUM(Popn!AA$129:AA$130))-1</f>
        <v>4.7510732465008143E-3</v>
      </c>
      <c r="V264" s="72">
        <f>SUM(Exogenous!$O$59*Popn!AC$23/Popn!AB$23,Exogenous!$P$59*Popn!AC$123/Popn!AB$123,Exogenous!$O$60*Popn!AC$24/Popn!AB$24,Exogenous!$P$60*Popn!AC$124/Popn!AB$124,Exogenous!$O$61*Popn!AC$25/Popn!AB$25,Exogenous!$P$61*Popn!AC$125/Popn!AB$125,Exogenous!$O$62*Popn!AC$26/Popn!AB$26,Exogenous!$P$62*Popn!AC$126/Popn!AB$126,Exogenous!$O$63*Popn!AC$27/Popn!AB$27,Exogenous!$P$63*Popn!AC$127/Popn!AB$127,Exogenous!$O$64*Popn!AC$28/Popn!AB$28,Exogenous!$P$64*Popn!AC$128/Popn!AB$128,Exogenous!$O$65*SUM(Popn!AC$29:AC$30)/SUM(Popn!AB$29:AB$30),Exogenous!$P$65*SUM(Popn!AC$129:AC$130)/SUM(Popn!AB$129:AB$130))-1</f>
        <v>8.3850785817813911E-3</v>
      </c>
      <c r="W264" s="72">
        <f>SUM(Exogenous!$O$59*Popn!AD$23/Popn!AC$23,Exogenous!$P$59*Popn!AD$123/Popn!AC$123,Exogenous!$O$60*Popn!AD$24/Popn!AC$24,Exogenous!$P$60*Popn!AD$124/Popn!AC$124,Exogenous!$O$61*Popn!AD$25/Popn!AC$25,Exogenous!$P$61*Popn!AD$125/Popn!AC$125,Exogenous!$O$62*Popn!AD$26/Popn!AC$26,Exogenous!$P$62*Popn!AD$126/Popn!AC$126,Exogenous!$O$63*Popn!AD$27/Popn!AC$27,Exogenous!$P$63*Popn!AD$127/Popn!AC$127,Exogenous!$O$64*Popn!AD$28/Popn!AC$28,Exogenous!$P$64*Popn!AD$128/Popn!AC$128,Exogenous!$O$65*SUM(Popn!AD$29:AD$30)/SUM(Popn!AC$29:AC$30),Exogenous!$P$65*SUM(Popn!AD$129:AD$130)/SUM(Popn!AC$129:AC$130))-1</f>
        <v>8.5005415869592316E-3</v>
      </c>
      <c r="X264" s="72">
        <f>SUM(Exogenous!$O$59*Popn!AE$23/Popn!AD$23,Exogenous!$P$59*Popn!AE$123/Popn!AD$123,Exogenous!$O$60*Popn!AE$24/Popn!AD$24,Exogenous!$P$60*Popn!AE$124/Popn!AD$124,Exogenous!$O$61*Popn!AE$25/Popn!AD$25,Exogenous!$P$61*Popn!AE$125/Popn!AD$125,Exogenous!$O$62*Popn!AE$26/Popn!AD$26,Exogenous!$P$62*Popn!AE$126/Popn!AD$126,Exogenous!$O$63*Popn!AE$27/Popn!AD$27,Exogenous!$P$63*Popn!AE$127/Popn!AD$127,Exogenous!$O$64*Popn!AE$28/Popn!AD$28,Exogenous!$P$64*Popn!AE$128/Popn!AD$128,Exogenous!$O$65*SUM(Popn!AE$29:AE$30)/SUM(Popn!AD$29:AD$30),Exogenous!$P$65*SUM(Popn!AE$129:AE$130)/SUM(Popn!AD$129:AD$130))-1</f>
        <v>8.11685056915179E-3</v>
      </c>
      <c r="Y264" s="72">
        <f>SUM(Exogenous!$O$59*Popn!AF$23/Popn!AE$23,Exogenous!$P$59*Popn!AF$123/Popn!AE$123,Exogenous!$O$60*Popn!AF$24/Popn!AE$24,Exogenous!$P$60*Popn!AF$124/Popn!AE$124,Exogenous!$O$61*Popn!AF$25/Popn!AE$25,Exogenous!$P$61*Popn!AF$125/Popn!AE$125,Exogenous!$O$62*Popn!AF$26/Popn!AE$26,Exogenous!$P$62*Popn!AF$126/Popn!AE$126,Exogenous!$O$63*Popn!AF$27/Popn!AE$27,Exogenous!$P$63*Popn!AF$127/Popn!AE$127,Exogenous!$O$64*Popn!AF$28/Popn!AE$28,Exogenous!$P$64*Popn!AF$128/Popn!AE$128,Exogenous!$O$65*SUM(Popn!AF$29:AF$30)/SUM(Popn!AE$29:AE$30),Exogenous!$P$65*SUM(Popn!AF$129:AF$130)/SUM(Popn!AE$129:AE$130))-1</f>
        <v>7.6103791501711537E-3</v>
      </c>
      <c r="Z264" s="72">
        <f>SUM(Exogenous!$O$59*Popn!AG$23/Popn!AF$23,Exogenous!$P$59*Popn!AG$123/Popn!AF$123,Exogenous!$O$60*Popn!AG$24/Popn!AF$24,Exogenous!$P$60*Popn!AG$124/Popn!AF$124,Exogenous!$O$61*Popn!AG$25/Popn!AF$25,Exogenous!$P$61*Popn!AG$125/Popn!AF$125,Exogenous!$O$62*Popn!AG$26/Popn!AF$26,Exogenous!$P$62*Popn!AG$126/Popn!AF$126,Exogenous!$O$63*Popn!AG$27/Popn!AF$27,Exogenous!$P$63*Popn!AG$127/Popn!AF$127,Exogenous!$O$64*Popn!AG$28/Popn!AF$28,Exogenous!$P$64*Popn!AG$128/Popn!AF$128,Exogenous!$O$65*SUM(Popn!AG$29:AG$30)/SUM(Popn!AF$29:AF$30),Exogenous!$P$65*SUM(Popn!AG$129:AG$130)/SUM(Popn!AF$129:AF$130))-1</f>
        <v>6.656083963764825E-3</v>
      </c>
      <c r="AA264" s="72">
        <f>SUM(Exogenous!$O$59*Popn!AH$23/Popn!AG$23,Exogenous!$P$59*Popn!AH$123/Popn!AG$123,Exogenous!$O$60*Popn!AH$24/Popn!AG$24,Exogenous!$P$60*Popn!AH$124/Popn!AG$124,Exogenous!$O$61*Popn!AH$25/Popn!AG$25,Exogenous!$P$61*Popn!AH$125/Popn!AG$125,Exogenous!$O$62*Popn!AH$26/Popn!AG$26,Exogenous!$P$62*Popn!AH$126/Popn!AG$126,Exogenous!$O$63*Popn!AH$27/Popn!AG$27,Exogenous!$P$63*Popn!AH$127/Popn!AG$127,Exogenous!$O$64*Popn!AH$28/Popn!AG$28,Exogenous!$P$64*Popn!AH$128/Popn!AG$128,Exogenous!$O$65*SUM(Popn!AH$29:AH$30)/SUM(Popn!AG$29:AG$30),Exogenous!$P$65*SUM(Popn!AH$129:AH$130)/SUM(Popn!AG$129:AG$130))-1</f>
        <v>5.5958229954902183E-3</v>
      </c>
      <c r="AB264" s="72">
        <f>SUM(Exogenous!$O$59*Popn!AI$23/Popn!AH$23,Exogenous!$P$59*Popn!AI$123/Popn!AH$123,Exogenous!$O$60*Popn!AI$24/Popn!AH$24,Exogenous!$P$60*Popn!AI$124/Popn!AH$124,Exogenous!$O$61*Popn!AI$25/Popn!AH$25,Exogenous!$P$61*Popn!AI$125/Popn!AH$125,Exogenous!$O$62*Popn!AI$26/Popn!AH$26,Exogenous!$P$62*Popn!AI$126/Popn!AH$126,Exogenous!$O$63*Popn!AI$27/Popn!AH$27,Exogenous!$P$63*Popn!AI$127/Popn!AH$127,Exogenous!$O$64*Popn!AI$28/Popn!AH$28,Exogenous!$P$64*Popn!AI$128/Popn!AH$128,Exogenous!$O$65*SUM(Popn!AI$29:AI$30)/SUM(Popn!AH$29:AH$30),Exogenous!$P$65*SUM(Popn!AI$129:AI$130)/SUM(Popn!AH$129:AH$130))-1</f>
        <v>4.6752391217796951E-3</v>
      </c>
      <c r="AC264" s="72">
        <f>SUM(Exogenous!$O$59*Popn!AJ$23/Popn!AI$23,Exogenous!$P$59*Popn!AJ$123/Popn!AI$123,Exogenous!$O$60*Popn!AJ$24/Popn!AI$24,Exogenous!$P$60*Popn!AJ$124/Popn!AI$124,Exogenous!$O$61*Popn!AJ$25/Popn!AI$25,Exogenous!$P$61*Popn!AJ$125/Popn!AI$125,Exogenous!$O$62*Popn!AJ$26/Popn!AI$26,Exogenous!$P$62*Popn!AJ$126/Popn!AI$126,Exogenous!$O$63*Popn!AJ$27/Popn!AI$27,Exogenous!$P$63*Popn!AJ$127/Popn!AI$127,Exogenous!$O$64*Popn!AJ$28/Popn!AI$28,Exogenous!$P$64*Popn!AJ$128/Popn!AI$128,Exogenous!$O$65*SUM(Popn!AJ$29:AJ$30)/SUM(Popn!AI$29:AI$30),Exogenous!$P$65*SUM(Popn!AJ$129:AJ$130)/SUM(Popn!AI$129:AI$130))-1</f>
        <v>3.4697009225395092E-3</v>
      </c>
      <c r="AD264" s="72">
        <f>SUM(Exogenous!$O$59*Popn!AK$23/Popn!AJ$23,Exogenous!$P$59*Popn!AK$123/Popn!AJ$123,Exogenous!$O$60*Popn!AK$24/Popn!AJ$24,Exogenous!$P$60*Popn!AK$124/Popn!AJ$124,Exogenous!$O$61*Popn!AK$25/Popn!AJ$25,Exogenous!$P$61*Popn!AK$125/Popn!AJ$125,Exogenous!$O$62*Popn!AK$26/Popn!AJ$26,Exogenous!$P$62*Popn!AK$126/Popn!AJ$126,Exogenous!$O$63*Popn!AK$27/Popn!AJ$27,Exogenous!$P$63*Popn!AK$127/Popn!AJ$127,Exogenous!$O$64*Popn!AK$28/Popn!AJ$28,Exogenous!$P$64*Popn!AK$128/Popn!AJ$128,Exogenous!$O$65*SUM(Popn!AK$29:AK$30)/SUM(Popn!AJ$29:AJ$30),Exogenous!$P$65*SUM(Popn!AK$129:AK$130)/SUM(Popn!AJ$129:AJ$130))-1</f>
        <v>2.5080566270629934E-3</v>
      </c>
      <c r="AE264" s="72">
        <f>SUM(Exogenous!$O$59*Popn!AL$23/Popn!AK$23,Exogenous!$P$59*Popn!AL$123/Popn!AK$123,Exogenous!$O$60*Popn!AL$24/Popn!AK$24,Exogenous!$P$60*Popn!AL$124/Popn!AK$124,Exogenous!$O$61*Popn!AL$25/Popn!AK$25,Exogenous!$P$61*Popn!AL$125/Popn!AK$125,Exogenous!$O$62*Popn!AL$26/Popn!AK$26,Exogenous!$P$62*Popn!AL$126/Popn!AK$126,Exogenous!$O$63*Popn!AL$27/Popn!AK$27,Exogenous!$P$63*Popn!AL$127/Popn!AK$127,Exogenous!$O$64*Popn!AL$28/Popn!AK$28,Exogenous!$P$64*Popn!AL$128/Popn!AK$128,Exogenous!$O$65*SUM(Popn!AL$29:AL$30)/SUM(Popn!AK$29:AK$30),Exogenous!$P$65*SUM(Popn!AL$129:AL$130)/SUM(Popn!AK$129:AK$130))-1</f>
        <v>1.5081562719447827E-3</v>
      </c>
      <c r="AF264" s="72">
        <f>SUM(Exogenous!$O$59*Popn!AM$23/Popn!AL$23,Exogenous!$P$59*Popn!AM$123/Popn!AL$123,Exogenous!$O$60*Popn!AM$24/Popn!AL$24,Exogenous!$P$60*Popn!AM$124/Popn!AL$124,Exogenous!$O$61*Popn!AM$25/Popn!AL$25,Exogenous!$P$61*Popn!AM$125/Popn!AL$125,Exogenous!$O$62*Popn!AM$26/Popn!AL$26,Exogenous!$P$62*Popn!AM$126/Popn!AL$126,Exogenous!$O$63*Popn!AM$27/Popn!AL$27,Exogenous!$P$63*Popn!AM$127/Popn!AL$127,Exogenous!$O$64*Popn!AM$28/Popn!AL$28,Exogenous!$P$64*Popn!AM$128/Popn!AL$128,Exogenous!$O$65*SUM(Popn!AM$29:AM$30)/SUM(Popn!AL$29:AL$30),Exogenous!$P$65*SUM(Popn!AM$129:AM$130)/SUM(Popn!AL$129:AL$130))-1</f>
        <v>4.4648659873036678E-4</v>
      </c>
      <c r="AG264" s="72">
        <f>SUM(Exogenous!$O$59*Popn!AN$23/Popn!AM$23,Exogenous!$P$59*Popn!AN$123/Popn!AM$123,Exogenous!$O$60*Popn!AN$24/Popn!AM$24,Exogenous!$P$60*Popn!AN$124/Popn!AM$124,Exogenous!$O$61*Popn!AN$25/Popn!AM$25,Exogenous!$P$61*Popn!AN$125/Popn!AM$125,Exogenous!$O$62*Popn!AN$26/Popn!AM$26,Exogenous!$P$62*Popn!AN$126/Popn!AM$126,Exogenous!$O$63*Popn!AN$27/Popn!AM$27,Exogenous!$P$63*Popn!AN$127/Popn!AM$127,Exogenous!$O$64*Popn!AN$28/Popn!AM$28,Exogenous!$P$64*Popn!AN$128/Popn!AM$128,Exogenous!$O$65*SUM(Popn!AN$29:AN$30)/SUM(Popn!AM$29:AM$30),Exogenous!$P$65*SUM(Popn!AN$129:AN$130)/SUM(Popn!AM$129:AM$130))-1</f>
        <v>-4.3735217024098993E-4</v>
      </c>
      <c r="AH264" s="72">
        <f>SUM(Exogenous!$O$59*Popn!AO$23/Popn!AN$23,Exogenous!$P$59*Popn!AO$123/Popn!AN$123,Exogenous!$O$60*Popn!AO$24/Popn!AN$24,Exogenous!$P$60*Popn!AO$124/Popn!AN$124,Exogenous!$O$61*Popn!AO$25/Popn!AN$25,Exogenous!$P$61*Popn!AO$125/Popn!AN$125,Exogenous!$O$62*Popn!AO$26/Popn!AN$26,Exogenous!$P$62*Popn!AO$126/Popn!AN$126,Exogenous!$O$63*Popn!AO$27/Popn!AN$27,Exogenous!$P$63*Popn!AO$127/Popn!AN$127,Exogenous!$O$64*Popn!AO$28/Popn!AN$28,Exogenous!$P$64*Popn!AO$128/Popn!AN$128,Exogenous!$O$65*SUM(Popn!AO$29:AO$30)/SUM(Popn!AN$29:AN$30),Exogenous!$P$65*SUM(Popn!AO$129:AO$130)/SUM(Popn!AN$129:AN$130))-1</f>
        <v>-1.1897149841514354E-3</v>
      </c>
      <c r="AI264" s="72">
        <f>SUM(Exogenous!$O$59*Popn!AP$23/Popn!AO$23,Exogenous!$P$59*Popn!AP$123/Popn!AO$123,Exogenous!$O$60*Popn!AP$24/Popn!AO$24,Exogenous!$P$60*Popn!AP$124/Popn!AO$124,Exogenous!$O$61*Popn!AP$25/Popn!AO$25,Exogenous!$P$61*Popn!AP$125/Popn!AO$125,Exogenous!$O$62*Popn!AP$26/Popn!AO$26,Exogenous!$P$62*Popn!AP$126/Popn!AO$126,Exogenous!$O$63*Popn!AP$27/Popn!AO$27,Exogenous!$P$63*Popn!AP$127/Popn!AO$127,Exogenous!$O$64*Popn!AP$28/Popn!AO$28,Exogenous!$P$64*Popn!AP$128/Popn!AO$128,Exogenous!$O$65*SUM(Popn!AP$29:AP$30)/SUM(Popn!AO$29:AO$30),Exogenous!$P$65*SUM(Popn!AP$129:AP$130)/SUM(Popn!AO$129:AO$130))-1</f>
        <v>-1.8971668676263098E-3</v>
      </c>
      <c r="AJ264" s="72">
        <f>SUM(Exogenous!$O$59*Popn!AQ$23/Popn!AP$23,Exogenous!$P$59*Popn!AQ$123/Popn!AP$123,Exogenous!$O$60*Popn!AQ$24/Popn!AP$24,Exogenous!$P$60*Popn!AQ$124/Popn!AP$124,Exogenous!$O$61*Popn!AQ$25/Popn!AP$25,Exogenous!$P$61*Popn!AQ$125/Popn!AP$125,Exogenous!$O$62*Popn!AQ$26/Popn!AP$26,Exogenous!$P$62*Popn!AQ$126/Popn!AP$126,Exogenous!$O$63*Popn!AQ$27/Popn!AP$27,Exogenous!$P$63*Popn!AQ$127/Popn!AP$127,Exogenous!$O$64*Popn!AQ$28/Popn!AP$28,Exogenous!$P$64*Popn!AQ$128/Popn!AP$128,Exogenous!$O$65*SUM(Popn!AQ$29:AQ$30)/SUM(Popn!AP$29:AP$30),Exogenous!$P$65*SUM(Popn!AQ$129:AQ$130)/SUM(Popn!AP$129:AP$130))-1</f>
        <v>-2.2591148925023008E-3</v>
      </c>
      <c r="AK264" s="72">
        <f>SUM(Exogenous!$O$59*Popn!AR$23/Popn!AQ$23,Exogenous!$P$59*Popn!AR$123/Popn!AQ$123,Exogenous!$O$60*Popn!AR$24/Popn!AQ$24,Exogenous!$P$60*Popn!AR$124/Popn!AQ$124,Exogenous!$O$61*Popn!AR$25/Popn!AQ$25,Exogenous!$P$61*Popn!AR$125/Popn!AQ$125,Exogenous!$O$62*Popn!AR$26/Popn!AQ$26,Exogenous!$P$62*Popn!AR$126/Popn!AQ$126,Exogenous!$O$63*Popn!AR$27/Popn!AQ$27,Exogenous!$P$63*Popn!AR$127/Popn!AQ$127,Exogenous!$O$64*Popn!AR$28/Popn!AQ$28,Exogenous!$P$64*Popn!AR$128/Popn!AQ$128,Exogenous!$O$65*SUM(Popn!AR$29:AR$30)/SUM(Popn!AQ$29:AQ$30),Exogenous!$P$65*SUM(Popn!AR$129:AR$130)/SUM(Popn!AQ$129:AQ$130))-1</f>
        <v>-2.2905915331851157E-3</v>
      </c>
      <c r="AL264" s="72">
        <f>SUM(Exogenous!$O$59*Popn!AS$23/Popn!AR$23,Exogenous!$P$59*Popn!AS$123/Popn!AR$123,Exogenous!$O$60*Popn!AS$24/Popn!AR$24,Exogenous!$P$60*Popn!AS$124/Popn!AR$124,Exogenous!$O$61*Popn!AS$25/Popn!AR$25,Exogenous!$P$61*Popn!AS$125/Popn!AR$125,Exogenous!$O$62*Popn!AS$26/Popn!AR$26,Exogenous!$P$62*Popn!AS$126/Popn!AR$126,Exogenous!$O$63*Popn!AS$27/Popn!AR$27,Exogenous!$P$63*Popn!AS$127/Popn!AR$127,Exogenous!$O$64*Popn!AS$28/Popn!AR$28,Exogenous!$P$64*Popn!AS$128/Popn!AR$128,Exogenous!$O$65*SUM(Popn!AS$29:AS$30)/SUM(Popn!AR$29:AR$30),Exogenous!$P$65*SUM(Popn!AS$129:AS$130)/SUM(Popn!AR$129:AR$130))-1</f>
        <v>-2.0474567121867571E-3</v>
      </c>
      <c r="AM264" s="72">
        <f>SUM(Exogenous!$O$59*Popn!AT$23/Popn!AS$23,Exogenous!$P$59*Popn!AT$123/Popn!AS$123,Exogenous!$O$60*Popn!AT$24/Popn!AS$24,Exogenous!$P$60*Popn!AT$124/Popn!AS$124,Exogenous!$O$61*Popn!AT$25/Popn!AS$25,Exogenous!$P$61*Popn!AT$125/Popn!AS$125,Exogenous!$O$62*Popn!AT$26/Popn!AS$26,Exogenous!$P$62*Popn!AT$126/Popn!AS$126,Exogenous!$O$63*Popn!AT$27/Popn!AS$27,Exogenous!$P$63*Popn!AT$127/Popn!AS$127,Exogenous!$O$64*Popn!AT$28/Popn!AS$28,Exogenous!$P$64*Popn!AT$128/Popn!AS$128,Exogenous!$O$65*SUM(Popn!AT$29:AT$30)/SUM(Popn!AS$29:AS$30),Exogenous!$P$65*SUM(Popn!AT$129:AT$130)/SUM(Popn!AS$129:AS$130))-1</f>
        <v>-1.6480014679346455E-3</v>
      </c>
      <c r="AN264" s="72">
        <f>SUM(Exogenous!$O$59*Popn!AU$23/Popn!AT$23,Exogenous!$P$59*Popn!AU$123/Popn!AT$123,Exogenous!$O$60*Popn!AU$24/Popn!AT$24,Exogenous!$P$60*Popn!AU$124/Popn!AT$124,Exogenous!$O$61*Popn!AU$25/Popn!AT$25,Exogenous!$P$61*Popn!AU$125/Popn!AT$125,Exogenous!$O$62*Popn!AU$26/Popn!AT$26,Exogenous!$P$62*Popn!AU$126/Popn!AT$126,Exogenous!$O$63*Popn!AU$27/Popn!AT$27,Exogenous!$P$63*Popn!AU$127/Popn!AT$127,Exogenous!$O$64*Popn!AU$28/Popn!AT$28,Exogenous!$P$64*Popn!AU$128/Popn!AT$128,Exogenous!$O$65*SUM(Popn!AU$29:AU$30)/SUM(Popn!AT$29:AT$30),Exogenous!$P$65*SUM(Popn!AU$129:AU$130)/SUM(Popn!AT$129:AT$130))-1</f>
        <v>-1.019708399175423E-3</v>
      </c>
      <c r="AO264" s="72">
        <f>SUM(Exogenous!$O$59*Popn!AV$23/Popn!AU$23,Exogenous!$P$59*Popn!AV$123/Popn!AU$123,Exogenous!$O$60*Popn!AV$24/Popn!AU$24,Exogenous!$P$60*Popn!AV$124/Popn!AU$124,Exogenous!$O$61*Popn!AV$25/Popn!AU$25,Exogenous!$P$61*Popn!AV$125/Popn!AU$125,Exogenous!$O$62*Popn!AV$26/Popn!AU$26,Exogenous!$P$62*Popn!AV$126/Popn!AU$126,Exogenous!$O$63*Popn!AV$27/Popn!AU$27,Exogenous!$P$63*Popn!AV$127/Popn!AU$127,Exogenous!$O$64*Popn!AV$28/Popn!AU$28,Exogenous!$P$64*Popn!AV$128/Popn!AU$128,Exogenous!$O$65*SUM(Popn!AV$29:AV$30)/SUM(Popn!AU$29:AU$30),Exogenous!$P$65*SUM(Popn!AV$129:AV$130)/SUM(Popn!AU$129:AU$130))-1</f>
        <v>-3.6942199628609007E-4</v>
      </c>
      <c r="AP264" s="72">
        <f>SUM(Exogenous!$O$59*Popn!AW$23/Popn!AV$23,Exogenous!$P$59*Popn!AW$123/Popn!AV$123,Exogenous!$O$60*Popn!AW$24/Popn!AV$24,Exogenous!$P$60*Popn!AW$124/Popn!AV$124,Exogenous!$O$61*Popn!AW$25/Popn!AV$25,Exogenous!$P$61*Popn!AW$125/Popn!AV$125,Exogenous!$O$62*Popn!AW$26/Popn!AV$26,Exogenous!$P$62*Popn!AW$126/Popn!AV$126,Exogenous!$O$63*Popn!AW$27/Popn!AV$27,Exogenous!$P$63*Popn!AW$127/Popn!AV$127,Exogenous!$O$64*Popn!AW$28/Popn!AV$28,Exogenous!$P$64*Popn!AW$128/Popn!AV$128,Exogenous!$O$65*SUM(Popn!AW$29:AW$30)/SUM(Popn!AV$29:AV$30),Exogenous!$P$65*SUM(Popn!AW$129:AW$130)/SUM(Popn!AV$129:AV$130))-1</f>
        <v>1.8929067109119124E-4</v>
      </c>
      <c r="AQ264" s="72">
        <f>SUM(Exogenous!$O$59*Popn!AX$23/Popn!AW$23,Exogenous!$P$59*Popn!AX$123/Popn!AW$123,Exogenous!$O$60*Popn!AX$24/Popn!AW$24,Exogenous!$P$60*Popn!AX$124/Popn!AW$124,Exogenous!$O$61*Popn!AX$25/Popn!AW$25,Exogenous!$P$61*Popn!AX$125/Popn!AW$125,Exogenous!$O$62*Popn!AX$26/Popn!AW$26,Exogenous!$P$62*Popn!AX$126/Popn!AW$126,Exogenous!$O$63*Popn!AX$27/Popn!AW$27,Exogenous!$P$63*Popn!AX$127/Popn!AW$127,Exogenous!$O$64*Popn!AX$28/Popn!AW$28,Exogenous!$P$64*Popn!AX$128/Popn!AW$128,Exogenous!$O$65*SUM(Popn!AX$29:AX$30)/SUM(Popn!AW$29:AW$30),Exogenous!$P$65*SUM(Popn!AX$129:AX$130)/SUM(Popn!AW$129:AW$130))-1</f>
        <v>7.7095069104626823E-4</v>
      </c>
      <c r="AR264" s="72">
        <f>SUM(Exogenous!$O$59*Popn!AY$23/Popn!AX$23,Exogenous!$P$59*Popn!AY$123/Popn!AX$123,Exogenous!$O$60*Popn!AY$24/Popn!AX$24,Exogenous!$P$60*Popn!AY$124/Popn!AX$124,Exogenous!$O$61*Popn!AY$25/Popn!AX$25,Exogenous!$P$61*Popn!AY$125/Popn!AX$125,Exogenous!$O$62*Popn!AY$26/Popn!AX$26,Exogenous!$P$62*Popn!AY$126/Popn!AX$126,Exogenous!$O$63*Popn!AY$27/Popn!AX$27,Exogenous!$P$63*Popn!AY$127/Popn!AX$127,Exogenous!$O$64*Popn!AY$28/Popn!AX$28,Exogenous!$P$64*Popn!AY$128/Popn!AX$128,Exogenous!$O$65*SUM(Popn!AY$29:AY$30)/SUM(Popn!AX$29:AX$30),Exogenous!$P$65*SUM(Popn!AY$129:AY$130)/SUM(Popn!AX$129:AX$130))-1</f>
        <v>1.0317939324182568E-3</v>
      </c>
      <c r="AS264" s="72">
        <f>SUM(Exogenous!$O$59*Popn!AZ$23/Popn!AY$23,Exogenous!$P$59*Popn!AZ$123/Popn!AY$123,Exogenous!$O$60*Popn!AZ$24/Popn!AY$24,Exogenous!$P$60*Popn!AZ$124/Popn!AY$124,Exogenous!$O$61*Popn!AZ$25/Popn!AY$25,Exogenous!$P$61*Popn!AZ$125/Popn!AY$125,Exogenous!$O$62*Popn!AZ$26/Popn!AY$26,Exogenous!$P$62*Popn!AZ$126/Popn!AY$126,Exogenous!$O$63*Popn!AZ$27/Popn!AY$27,Exogenous!$P$63*Popn!AZ$127/Popn!AY$127,Exogenous!$O$64*Popn!AZ$28/Popn!AY$28,Exogenous!$P$64*Popn!AZ$128/Popn!AY$128,Exogenous!$O$65*SUM(Popn!AZ$29:AZ$30)/SUM(Popn!AY$29:AY$30),Exogenous!$P$65*SUM(Popn!AZ$129:AZ$130)/SUM(Popn!AY$129:AY$130))-1</f>
        <v>1.1492055375519339E-3</v>
      </c>
      <c r="AT264" s="72">
        <f>SUM(Exogenous!$O$59*Popn!BA$23/Popn!AZ$23,Exogenous!$P$59*Popn!BA$123/Popn!AZ$123,Exogenous!$O$60*Popn!BA$24/Popn!AZ$24,Exogenous!$P$60*Popn!BA$124/Popn!AZ$124,Exogenous!$O$61*Popn!BA$25/Popn!AZ$25,Exogenous!$P$61*Popn!BA$125/Popn!AZ$125,Exogenous!$O$62*Popn!BA$26/Popn!AZ$26,Exogenous!$P$62*Popn!BA$126/Popn!AZ$126,Exogenous!$O$63*Popn!BA$27/Popn!AZ$27,Exogenous!$P$63*Popn!BA$127/Popn!AZ$127,Exogenous!$O$64*Popn!BA$28/Popn!AZ$28,Exogenous!$P$64*Popn!BA$128/Popn!AZ$128,Exogenous!$O$65*SUM(Popn!BA$29:BA$30)/SUM(Popn!AZ$29:AZ$30),Exogenous!$P$65*SUM(Popn!BA$129:BA$130)/SUM(Popn!AZ$129:AZ$130))-1</f>
        <v>1.2563089802970495E-3</v>
      </c>
      <c r="AU264" s="72">
        <f>SUM(Exogenous!$O$59*Popn!BB$23/Popn!BA$23,Exogenous!$P$59*Popn!BB$123/Popn!BA$123,Exogenous!$O$60*Popn!BB$24/Popn!BA$24,Exogenous!$P$60*Popn!BB$124/Popn!BA$124,Exogenous!$O$61*Popn!BB$25/Popn!BA$25,Exogenous!$P$61*Popn!BB$125/Popn!BA$125,Exogenous!$O$62*Popn!BB$26/Popn!BA$26,Exogenous!$P$62*Popn!BB$126/Popn!BA$126,Exogenous!$O$63*Popn!BB$27/Popn!BA$27,Exogenous!$P$63*Popn!BB$127/Popn!BA$127,Exogenous!$O$64*Popn!BB$28/Popn!BA$28,Exogenous!$P$64*Popn!BB$128/Popn!BA$128,Exogenous!$O$65*SUM(Popn!BB$29:BB$30)/SUM(Popn!BA$29:BA$30),Exogenous!$P$65*SUM(Popn!BB$129:BB$130)/SUM(Popn!BA$129:BA$130))-1</f>
        <v>1.1467016482904491E-3</v>
      </c>
      <c r="AV264" s="72">
        <f>SUM(Exogenous!$O$59*Popn!BC$23/Popn!BB$23,Exogenous!$P$59*Popn!BC$123/Popn!BB$123,Exogenous!$O$60*Popn!BC$24/Popn!BB$24,Exogenous!$P$60*Popn!BC$124/Popn!BB$124,Exogenous!$O$61*Popn!BC$25/Popn!BB$25,Exogenous!$P$61*Popn!BC$125/Popn!BB$125,Exogenous!$O$62*Popn!BC$26/Popn!BB$26,Exogenous!$P$62*Popn!BC$126/Popn!BB$126,Exogenous!$O$63*Popn!BC$27/Popn!BB$27,Exogenous!$P$63*Popn!BC$127/Popn!BB$127,Exogenous!$O$64*Popn!BC$28/Popn!BB$28,Exogenous!$P$64*Popn!BC$128/Popn!BB$128,Exogenous!$O$65*SUM(Popn!BC$29:BC$30)/SUM(Popn!BB$29:BB$30),Exogenous!$P$65*SUM(Popn!BC$129:BC$130)/SUM(Popn!BB$129:BB$130))-1</f>
        <v>9.2080244305514647E-4</v>
      </c>
      <c r="AW264" s="72">
        <f>SUM(Exogenous!$O$59*Popn!BD$23/Popn!BC$23,Exogenous!$P$59*Popn!BD$123/Popn!BC$123,Exogenous!$O$60*Popn!BD$24/Popn!BC$24,Exogenous!$P$60*Popn!BD$124/Popn!BC$124,Exogenous!$O$61*Popn!BD$25/Popn!BC$25,Exogenous!$P$61*Popn!BD$125/Popn!BC$125,Exogenous!$O$62*Popn!BD$26/Popn!BC$26,Exogenous!$P$62*Popn!BD$126/Popn!BC$126,Exogenous!$O$63*Popn!BD$27/Popn!BC$27,Exogenous!$P$63*Popn!BD$127/Popn!BC$127,Exogenous!$O$64*Popn!BD$28/Popn!BC$28,Exogenous!$P$64*Popn!BD$128/Popn!BC$128,Exogenous!$O$65*SUM(Popn!BD$29:BD$30)/SUM(Popn!BC$29:BC$30),Exogenous!$P$65*SUM(Popn!BD$129:BD$130)/SUM(Popn!BC$129:BC$130))-1</f>
        <v>8.1863283903360617E-4</v>
      </c>
    </row>
    <row r="265" spans="1:49" x14ac:dyDescent="0.2">
      <c r="A265" s="1" t="s">
        <v>864</v>
      </c>
      <c r="D265" s="73">
        <f>SUM(Exogenous!$V$59*Popn!K$27/Popn!J$27,Exogenous!$W$59*Popn!K$127/Popn!J$127,Exogenous!$V$60*SUM(Popn!K$28:K$29)/SUM(Popn!J$28:J$29),Exogenous!$W$60*SUM(Popn!K$128:K$129)/SUM(Popn!J$128:J$129),Exogenous!$V$61*SUM(Popn!K$30:K$34)/SUM(Popn!J$30:J$34),Exogenous!$W$61*SUM(Popn!K$130:K$134)/SUM(Popn!J$130:J$134),Exogenous!$V$62*SUM(Popn!K$35:K$49)/SUM(Popn!J$35:J$49),Exogenous!$W$62*SUM(Popn!K$135:K$149)/SUM(Popn!J$135:J$149),Exogenous!$V$63*SUM(Popn!K$50:K$85)/SUM(Popn!J$50:J$85),Exogenous!$W$63*SUM(Popn!K$150:K$185)/SUM(Popn!J$150:J$185))-1</f>
        <v>2.2802653595345834E-2</v>
      </c>
      <c r="E265" s="74">
        <f>SUM(Exogenous!$V$59*Popn!L$27/Popn!K$27,Exogenous!$W$59*Popn!L$127/Popn!K$127,Exogenous!$V$60*SUM(Popn!L$28:L$29)/SUM(Popn!K$28:K$29),Exogenous!$W$60*SUM(Popn!L$128:L$129)/SUM(Popn!K$128:K$129),Exogenous!$V$61*SUM(Popn!L$30:L$34)/SUM(Popn!K$30:K$34),Exogenous!$W$61*SUM(Popn!L$130:L$134)/SUM(Popn!K$130:K$134),Exogenous!$V$62*SUM(Popn!L$35:L$49)/SUM(Popn!K$35:K$49),Exogenous!$W$62*SUM(Popn!L$135:L$149)/SUM(Popn!K$135:K$149),Exogenous!$V$63*SUM(Popn!L$50:L$85)/SUM(Popn!K$50:K$85),Exogenous!$W$63*SUM(Popn!L$150:L$185)/SUM(Popn!K$150:K$185))-1</f>
        <v>1.0024172885809035E-2</v>
      </c>
      <c r="F265" s="74">
        <f>SUM(Exogenous!$V$59*Popn!M$27/Popn!L$27,Exogenous!$W$59*Popn!M$127/Popn!L$127,Exogenous!$V$60*SUM(Popn!M$28:M$29)/SUM(Popn!L$28:L$29),Exogenous!$W$60*SUM(Popn!M$128:M$129)/SUM(Popn!L$128:L$129),Exogenous!$V$61*SUM(Popn!M$30:M$34)/SUM(Popn!L$30:L$34),Exogenous!$W$61*SUM(Popn!M$130:M$134)/SUM(Popn!L$130:L$134),Exogenous!$V$62*SUM(Popn!M$35:M$49)/SUM(Popn!L$35:L$49),Exogenous!$W$62*SUM(Popn!M$135:M$149)/SUM(Popn!L$135:L$149),Exogenous!$V$63*SUM(Popn!M$50:M$85)/SUM(Popn!L$50:L$85),Exogenous!$W$63*SUM(Popn!M$150:M$185)/SUM(Popn!L$150:L$185))-1</f>
        <v>1.3539285637844678E-3</v>
      </c>
      <c r="G265" s="74">
        <f>SUM(Exogenous!$V$59*Popn!N$27/Popn!M$27,Exogenous!$W$59*Popn!N$127/Popn!M$127,Exogenous!$V$60*SUM(Popn!N$28:N$29)/SUM(Popn!M$28:M$29),Exogenous!$W$60*SUM(Popn!N$128:N$129)/SUM(Popn!M$128:M$129),Exogenous!$V$61*SUM(Popn!N$30:N$34)/SUM(Popn!M$30:M$34),Exogenous!$W$61*SUM(Popn!N$130:N$134)/SUM(Popn!M$130:M$134),Exogenous!$V$62*SUM(Popn!N$35:N$49)/SUM(Popn!M$35:M$49),Exogenous!$W$62*SUM(Popn!N$135:N$149)/SUM(Popn!M$135:M$149),Exogenous!$V$63*SUM(Popn!N$50:N$85)/SUM(Popn!M$50:M$85),Exogenous!$W$63*SUM(Popn!N$150:N$185)/SUM(Popn!M$150:M$185))-1</f>
        <v>2.8641793802579585E-3</v>
      </c>
      <c r="H265" s="74">
        <f>SUM(Exogenous!$V$59*Popn!O$27/Popn!N$27,Exogenous!$W$59*Popn!O$127/Popn!N$127,Exogenous!$V$60*SUM(Popn!O$28:O$29)/SUM(Popn!N$28:N$29),Exogenous!$W$60*SUM(Popn!O$128:O$129)/SUM(Popn!N$128:N$129),Exogenous!$V$61*SUM(Popn!O$30:O$34)/SUM(Popn!N$30:N$34),Exogenous!$W$61*SUM(Popn!O$130:O$134)/SUM(Popn!N$130:N$134),Exogenous!$V$62*SUM(Popn!O$35:O$49)/SUM(Popn!N$35:N$49),Exogenous!$W$62*SUM(Popn!O$135:O$149)/SUM(Popn!N$135:N$149),Exogenous!$V$63*SUM(Popn!O$50:O$85)/SUM(Popn!N$50:N$85),Exogenous!$W$63*SUM(Popn!O$150:O$185)/SUM(Popn!N$150:N$185))-1</f>
        <v>1.5931416417935829E-3</v>
      </c>
      <c r="I265" s="74">
        <f>SUM(Exogenous!$V$59*Popn!P$27/Popn!O$27,Exogenous!$W$59*Popn!P$127/Popn!O$127,Exogenous!$V$60*SUM(Popn!P$28:P$29)/SUM(Popn!O$28:O$29),Exogenous!$W$60*SUM(Popn!P$128:P$129)/SUM(Popn!O$128:O$129),Exogenous!$V$61*SUM(Popn!P$30:P$34)/SUM(Popn!O$30:O$34),Exogenous!$W$61*SUM(Popn!P$130:P$134)/SUM(Popn!O$130:O$134),Exogenous!$V$62*SUM(Popn!P$35:P$49)/SUM(Popn!O$35:O$49),Exogenous!$W$62*SUM(Popn!P$135:P$149)/SUM(Popn!O$135:O$149),Exogenous!$V$63*SUM(Popn!P$50:P$85)/SUM(Popn!O$50:O$85),Exogenous!$W$63*SUM(Popn!P$150:P$185)/SUM(Popn!O$150:O$185))-1</f>
        <v>-3.4180128434797563E-3</v>
      </c>
      <c r="J265" s="72">
        <f>SUM(Exogenous!$V$59*Popn!Q$27/Popn!P$27,Exogenous!$W$59*Popn!Q$127/Popn!P$127,Exogenous!$V$60*SUM(Popn!Q$28:Q$29)/SUM(Popn!P$28:P$29),Exogenous!$W$60*SUM(Popn!Q$128:Q$129)/SUM(Popn!P$128:P$129),Exogenous!$V$61*SUM(Popn!Q$30:Q$34)/SUM(Popn!P$30:P$34),Exogenous!$W$61*SUM(Popn!Q$130:Q$134)/SUM(Popn!P$130:P$134),Exogenous!$V$62*SUM(Popn!Q$35:Q$49)/SUM(Popn!P$35:P$49),Exogenous!$W$62*SUM(Popn!Q$135:Q$149)/SUM(Popn!P$135:P$149),Exogenous!$V$63*SUM(Popn!Q$50:Q$85)/SUM(Popn!P$50:P$85),Exogenous!$W$63*SUM(Popn!Q$150:Q$185)/SUM(Popn!P$150:P$185))-1</f>
        <v>-2.0279985036829595E-3</v>
      </c>
      <c r="K265" s="72">
        <f>SUM(Exogenous!$V$59*Popn!R$27/Popn!Q$27,Exogenous!$W$59*Popn!R$127/Popn!Q$127,Exogenous!$V$60*SUM(Popn!R$28:R$29)/SUM(Popn!Q$28:Q$29),Exogenous!$W$60*SUM(Popn!R$128:R$129)/SUM(Popn!Q$128:Q$129),Exogenous!$V$61*SUM(Popn!R$30:R$34)/SUM(Popn!Q$30:Q$34),Exogenous!$W$61*SUM(Popn!R$130:R$134)/SUM(Popn!Q$130:Q$134),Exogenous!$V$62*SUM(Popn!R$35:R$49)/SUM(Popn!Q$35:Q$49),Exogenous!$W$62*SUM(Popn!R$135:R$149)/SUM(Popn!Q$135:Q$149),Exogenous!$V$63*SUM(Popn!R$50:R$85)/SUM(Popn!Q$50:Q$85),Exogenous!$W$63*SUM(Popn!R$150:R$185)/SUM(Popn!Q$150:Q$185))-1</f>
        <v>1.1706539356581835E-3</v>
      </c>
      <c r="L265" s="72">
        <f>SUM(Exogenous!$V$59*Popn!S$27/Popn!R$27,Exogenous!$W$59*Popn!S$127/Popn!R$127,Exogenous!$V$60*SUM(Popn!S$28:S$29)/SUM(Popn!R$28:R$29),Exogenous!$W$60*SUM(Popn!S$128:S$129)/SUM(Popn!R$128:R$129),Exogenous!$V$61*SUM(Popn!S$30:S$34)/SUM(Popn!R$30:R$34),Exogenous!$W$61*SUM(Popn!S$130:S$134)/SUM(Popn!R$130:R$134),Exogenous!$V$62*SUM(Popn!S$35:S$49)/SUM(Popn!R$35:R$49),Exogenous!$W$62*SUM(Popn!S$135:S$149)/SUM(Popn!R$135:R$149),Exogenous!$V$63*SUM(Popn!S$50:S$85)/SUM(Popn!R$50:R$85),Exogenous!$W$63*SUM(Popn!S$150:S$185)/SUM(Popn!R$150:R$185))-1</f>
        <v>1.236411529725201E-3</v>
      </c>
      <c r="M265" s="72">
        <f>SUM(Exogenous!$V$59*Popn!T$27/Popn!S$27,Exogenous!$W$59*Popn!T$127/Popn!S$127,Exogenous!$V$60*SUM(Popn!T$28:T$29)/SUM(Popn!S$28:S$29),Exogenous!$W$60*SUM(Popn!T$128:T$129)/SUM(Popn!S$128:S$129),Exogenous!$V$61*SUM(Popn!T$30:T$34)/SUM(Popn!S$30:S$34),Exogenous!$W$61*SUM(Popn!T$130:T$134)/SUM(Popn!S$130:S$134),Exogenous!$V$62*SUM(Popn!T$35:T$49)/SUM(Popn!S$35:S$49),Exogenous!$W$62*SUM(Popn!T$135:T$149)/SUM(Popn!S$135:S$149),Exogenous!$V$63*SUM(Popn!T$50:T$85)/SUM(Popn!S$50:S$85),Exogenous!$W$63*SUM(Popn!T$150:T$185)/SUM(Popn!S$150:S$185))-1</f>
        <v>4.6433716651403945E-3</v>
      </c>
      <c r="N265" s="72">
        <f>SUM(Exogenous!$V$59*Popn!U$27/Popn!T$27,Exogenous!$W$59*Popn!U$127/Popn!T$127,Exogenous!$V$60*SUM(Popn!U$28:U$29)/SUM(Popn!T$28:T$29),Exogenous!$W$60*SUM(Popn!U$128:U$129)/SUM(Popn!T$128:T$129),Exogenous!$V$61*SUM(Popn!U$30:U$34)/SUM(Popn!T$30:T$34),Exogenous!$W$61*SUM(Popn!U$130:U$134)/SUM(Popn!T$130:T$134),Exogenous!$V$62*SUM(Popn!U$35:U$49)/SUM(Popn!T$35:T$49),Exogenous!$W$62*SUM(Popn!U$135:U$149)/SUM(Popn!T$135:T$149),Exogenous!$V$63*SUM(Popn!U$50:U$85)/SUM(Popn!T$50:T$85),Exogenous!$W$63*SUM(Popn!U$150:U$185)/SUM(Popn!T$150:T$185))-1</f>
        <v>8.1802702812965311E-3</v>
      </c>
      <c r="O265" s="72">
        <f>SUM(Exogenous!$V$59*Popn!V$27/Popn!U$27,Exogenous!$W$59*Popn!V$127/Popn!U$127,Exogenous!$V$60*SUM(Popn!V$28:V$29)/SUM(Popn!U$28:U$29),Exogenous!$W$60*SUM(Popn!V$128:V$129)/SUM(Popn!U$128:U$129),Exogenous!$V$61*SUM(Popn!V$30:V$34)/SUM(Popn!U$30:U$34),Exogenous!$W$61*SUM(Popn!V$130:V$134)/SUM(Popn!U$130:U$134),Exogenous!$V$62*SUM(Popn!V$35:V$49)/SUM(Popn!U$35:U$49),Exogenous!$W$62*SUM(Popn!V$135:V$149)/SUM(Popn!U$135:U$149),Exogenous!$V$63*SUM(Popn!V$50:V$85)/SUM(Popn!U$50:U$85),Exogenous!$W$63*SUM(Popn!V$150:V$185)/SUM(Popn!U$150:U$185))-1</f>
        <v>1.0304704218153438E-2</v>
      </c>
      <c r="P265" s="72">
        <f>SUM(Exogenous!$V$59*Popn!W$27/Popn!V$27,Exogenous!$W$59*Popn!W$127/Popn!V$127,Exogenous!$V$60*SUM(Popn!W$28:W$29)/SUM(Popn!V$28:V$29),Exogenous!$W$60*SUM(Popn!W$128:W$129)/SUM(Popn!V$128:V$129),Exogenous!$V$61*SUM(Popn!W$30:W$34)/SUM(Popn!V$30:V$34),Exogenous!$W$61*SUM(Popn!W$130:W$134)/SUM(Popn!V$130:V$134),Exogenous!$V$62*SUM(Popn!W$35:W$49)/SUM(Popn!V$35:V$49),Exogenous!$W$62*SUM(Popn!W$135:W$149)/SUM(Popn!V$135:V$149),Exogenous!$V$63*SUM(Popn!W$50:W$85)/SUM(Popn!V$50:V$85),Exogenous!$W$63*SUM(Popn!W$150:W$185)/SUM(Popn!V$150:V$185))-1</f>
        <v>1.0156354649508481E-2</v>
      </c>
      <c r="Q265" s="72">
        <f>SUM(Exogenous!$V$59*Popn!X$27/Popn!W$27,Exogenous!$W$59*Popn!X$127/Popn!W$127,Exogenous!$V$60*SUM(Popn!X$28:X$29)/SUM(Popn!W$28:W$29),Exogenous!$W$60*SUM(Popn!X$128:X$129)/SUM(Popn!W$128:W$129),Exogenous!$V$61*SUM(Popn!X$30:X$34)/SUM(Popn!W$30:W$34),Exogenous!$W$61*SUM(Popn!X$130:X$134)/SUM(Popn!W$130:W$134),Exogenous!$V$62*SUM(Popn!X$35:X$49)/SUM(Popn!W$35:W$49),Exogenous!$W$62*SUM(Popn!X$135:X$149)/SUM(Popn!W$135:W$149),Exogenous!$V$63*SUM(Popn!X$50:X$85)/SUM(Popn!W$50:W$85),Exogenous!$W$63*SUM(Popn!X$150:X$185)/SUM(Popn!W$150:W$185))-1</f>
        <v>8.2249893032144694E-3</v>
      </c>
      <c r="R265" s="72">
        <f>SUM(Exogenous!$V$59*Popn!Y$27/Popn!X$27,Exogenous!$W$59*Popn!Y$127/Popn!X$127,Exogenous!$V$60*SUM(Popn!Y$28:Y$29)/SUM(Popn!X$28:X$29),Exogenous!$W$60*SUM(Popn!Y$128:Y$129)/SUM(Popn!X$128:X$129),Exogenous!$V$61*SUM(Popn!Y$30:Y$34)/SUM(Popn!X$30:X$34),Exogenous!$W$61*SUM(Popn!Y$130:Y$134)/SUM(Popn!X$130:X$134),Exogenous!$V$62*SUM(Popn!Y$35:Y$49)/SUM(Popn!X$35:X$49),Exogenous!$W$62*SUM(Popn!Y$135:Y$149)/SUM(Popn!X$135:X$149),Exogenous!$V$63*SUM(Popn!Y$50:Y$85)/SUM(Popn!X$50:X$85),Exogenous!$W$63*SUM(Popn!Y$150:Y$185)/SUM(Popn!X$150:X$185))-1</f>
        <v>4.6933060582934338E-3</v>
      </c>
      <c r="S265" s="72">
        <f>SUM(Exogenous!$V$59*Popn!Z$27/Popn!Y$27,Exogenous!$W$59*Popn!Z$127/Popn!Y$127,Exogenous!$V$60*SUM(Popn!Z$28:Z$29)/SUM(Popn!Y$28:Y$29),Exogenous!$W$60*SUM(Popn!Z$128:Z$129)/SUM(Popn!Y$128:Y$129),Exogenous!$V$61*SUM(Popn!Z$30:Z$34)/SUM(Popn!Y$30:Y$34),Exogenous!$W$61*SUM(Popn!Z$130:Z$134)/SUM(Popn!Y$130:Y$134),Exogenous!$V$62*SUM(Popn!Z$35:Z$49)/SUM(Popn!Y$35:Y$49),Exogenous!$W$62*SUM(Popn!Z$135:Z$149)/SUM(Popn!Y$135:Y$149),Exogenous!$V$63*SUM(Popn!Z$50:Z$85)/SUM(Popn!Y$50:Y$85),Exogenous!$W$63*SUM(Popn!Z$150:Z$185)/SUM(Popn!Y$150:Y$185))-1</f>
        <v>1.7997285820887665E-3</v>
      </c>
      <c r="T265" s="72">
        <f>SUM(Exogenous!$V$59*Popn!AA$27/Popn!Z$27,Exogenous!$W$59*Popn!AA$127/Popn!Z$127,Exogenous!$V$60*SUM(Popn!AA$28:AA$29)/SUM(Popn!Z$28:Z$29),Exogenous!$W$60*SUM(Popn!AA$128:AA$129)/SUM(Popn!Z$128:Z$129),Exogenous!$V$61*SUM(Popn!AA$30:AA$34)/SUM(Popn!Z$30:Z$34),Exogenous!$W$61*SUM(Popn!AA$130:AA$134)/SUM(Popn!Z$130:Z$134),Exogenous!$V$62*SUM(Popn!AA$35:AA$49)/SUM(Popn!Z$35:Z$49),Exogenous!$W$62*SUM(Popn!AA$135:AA$149)/SUM(Popn!Z$135:Z$149),Exogenous!$V$63*SUM(Popn!AA$50:AA$85)/SUM(Popn!Z$50:Z$85),Exogenous!$W$63*SUM(Popn!AA$150:AA$185)/SUM(Popn!Z$150:Z$185))-1</f>
        <v>-1.0135158142994261E-3</v>
      </c>
      <c r="U265" s="72">
        <f>SUM(Exogenous!$V$59*Popn!AB$27/Popn!AA$27,Exogenous!$W$59*Popn!AB$127/Popn!AA$127,Exogenous!$V$60*SUM(Popn!AB$28:AB$29)/SUM(Popn!AA$28:AA$29),Exogenous!$W$60*SUM(Popn!AB$128:AB$129)/SUM(Popn!AA$128:AA$129),Exogenous!$V$61*SUM(Popn!AB$30:AB$34)/SUM(Popn!AA$30:AA$34),Exogenous!$W$61*SUM(Popn!AB$130:AB$134)/SUM(Popn!AA$130:AA$134),Exogenous!$V$62*SUM(Popn!AB$35:AB$49)/SUM(Popn!AA$35:AA$49),Exogenous!$W$62*SUM(Popn!AB$135:AB$149)/SUM(Popn!AA$135:AA$149),Exogenous!$V$63*SUM(Popn!AB$50:AB$85)/SUM(Popn!AA$50:AA$85),Exogenous!$W$63*SUM(Popn!AB$150:AB$185)/SUM(Popn!AA$150:AA$185))-1</f>
        <v>-4.5932569075415319E-3</v>
      </c>
      <c r="V265" s="72">
        <f>SUM(Exogenous!$V$59*Popn!AC$27/Popn!AB$27,Exogenous!$W$59*Popn!AC$127/Popn!AB$127,Exogenous!$V$60*SUM(Popn!AC$28:AC$29)/SUM(Popn!AB$28:AB$29),Exogenous!$W$60*SUM(Popn!AC$128:AC$129)/SUM(Popn!AB$128:AB$129),Exogenous!$V$61*SUM(Popn!AC$30:AC$34)/SUM(Popn!AB$30:AB$34),Exogenous!$W$61*SUM(Popn!AC$130:AC$134)/SUM(Popn!AB$130:AB$134),Exogenous!$V$62*SUM(Popn!AC$35:AC$49)/SUM(Popn!AB$35:AB$49),Exogenous!$W$62*SUM(Popn!AC$135:AC$149)/SUM(Popn!AB$135:AB$149),Exogenous!$V$63*SUM(Popn!AC$50:AC$85)/SUM(Popn!AB$50:AB$85),Exogenous!$W$63*SUM(Popn!AC$150:AC$185)/SUM(Popn!AB$150:AB$185))-1</f>
        <v>-5.967401918775872E-3</v>
      </c>
      <c r="W265" s="72">
        <f>SUM(Exogenous!$V$59*Popn!AD$27/Popn!AC$27,Exogenous!$W$59*Popn!AD$127/Popn!AC$127,Exogenous!$V$60*SUM(Popn!AD$28:AD$29)/SUM(Popn!AC$28:AC$29),Exogenous!$W$60*SUM(Popn!AD$128:AD$129)/SUM(Popn!AC$128:AC$129),Exogenous!$V$61*SUM(Popn!AD$30:AD$34)/SUM(Popn!AC$30:AC$34),Exogenous!$W$61*SUM(Popn!AD$130:AD$134)/SUM(Popn!AC$130:AC$134),Exogenous!$V$62*SUM(Popn!AD$35:AD$49)/SUM(Popn!AC$35:AC$49),Exogenous!$W$62*SUM(Popn!AD$135:AD$149)/SUM(Popn!AC$135:AC$149),Exogenous!$V$63*SUM(Popn!AD$50:AD$85)/SUM(Popn!AC$50:AC$85),Exogenous!$W$63*SUM(Popn!AD$150:AD$185)/SUM(Popn!AC$150:AC$185))-1</f>
        <v>-2.9423640094391468E-3</v>
      </c>
      <c r="X265" s="72">
        <f>SUM(Exogenous!$V$59*Popn!AE$27/Popn!AD$27,Exogenous!$W$59*Popn!AE$127/Popn!AD$127,Exogenous!$V$60*SUM(Popn!AE$28:AE$29)/SUM(Popn!AD$28:AD$29),Exogenous!$W$60*SUM(Popn!AE$128:AE$129)/SUM(Popn!AD$128:AD$129),Exogenous!$V$61*SUM(Popn!AE$30:AE$34)/SUM(Popn!AD$30:AD$34),Exogenous!$W$61*SUM(Popn!AE$130:AE$134)/SUM(Popn!AD$130:AD$134),Exogenous!$V$62*SUM(Popn!AE$35:AE$49)/SUM(Popn!AD$35:AD$49),Exogenous!$W$62*SUM(Popn!AE$135:AE$149)/SUM(Popn!AD$135:AD$149),Exogenous!$V$63*SUM(Popn!AE$50:AE$85)/SUM(Popn!AD$50:AD$85),Exogenous!$W$63*SUM(Popn!AE$150:AE$185)/SUM(Popn!AD$150:AD$185))-1</f>
        <v>-2.1411799736910098E-3</v>
      </c>
      <c r="Y265" s="72">
        <f>SUM(Exogenous!$V$59*Popn!AF$27/Popn!AE$27,Exogenous!$W$59*Popn!AF$127/Popn!AE$127,Exogenous!$V$60*SUM(Popn!AF$28:AF$29)/SUM(Popn!AE$28:AE$29),Exogenous!$W$60*SUM(Popn!AF$128:AF$129)/SUM(Popn!AE$128:AE$129),Exogenous!$V$61*SUM(Popn!AF$30:AF$34)/SUM(Popn!AE$30:AE$34),Exogenous!$W$61*SUM(Popn!AF$130:AF$134)/SUM(Popn!AE$130:AE$134),Exogenous!$V$62*SUM(Popn!AF$35:AF$49)/SUM(Popn!AE$35:AE$49),Exogenous!$W$62*SUM(Popn!AF$135:AF$149)/SUM(Popn!AE$135:AE$149),Exogenous!$V$63*SUM(Popn!AF$50:AF$85)/SUM(Popn!AE$50:AE$85),Exogenous!$W$63*SUM(Popn!AF$150:AF$185)/SUM(Popn!AE$150:AE$185))-1</f>
        <v>-6.7092717221739484E-4</v>
      </c>
      <c r="Z265" s="72">
        <f>SUM(Exogenous!$V$59*Popn!AG$27/Popn!AF$27,Exogenous!$W$59*Popn!AG$127/Popn!AF$127,Exogenous!$V$60*SUM(Popn!AG$28:AG$29)/SUM(Popn!AF$28:AF$29),Exogenous!$W$60*SUM(Popn!AG$128:AG$129)/SUM(Popn!AF$128:AF$129),Exogenous!$V$61*SUM(Popn!AG$30:AG$34)/SUM(Popn!AF$30:AF$34),Exogenous!$W$61*SUM(Popn!AG$130:AG$134)/SUM(Popn!AF$130:AF$134),Exogenous!$V$62*SUM(Popn!AG$35:AG$49)/SUM(Popn!AF$35:AF$49),Exogenous!$W$62*SUM(Popn!AG$135:AG$149)/SUM(Popn!AF$135:AF$149),Exogenous!$V$63*SUM(Popn!AG$50:AG$85)/SUM(Popn!AF$50:AF$85),Exogenous!$W$63*SUM(Popn!AG$150:AG$185)/SUM(Popn!AF$150:AF$185))-1</f>
        <v>5.3319181023492312E-4</v>
      </c>
      <c r="AA265" s="72">
        <f>SUM(Exogenous!$V$59*Popn!AH$27/Popn!AG$27,Exogenous!$W$59*Popn!AH$127/Popn!AG$127,Exogenous!$V$60*SUM(Popn!AH$28:AH$29)/SUM(Popn!AG$28:AG$29),Exogenous!$W$60*SUM(Popn!AH$128:AH$129)/SUM(Popn!AG$128:AG$129),Exogenous!$V$61*SUM(Popn!AH$30:AH$34)/SUM(Popn!AG$30:AG$34),Exogenous!$W$61*SUM(Popn!AH$130:AH$134)/SUM(Popn!AG$130:AG$134),Exogenous!$V$62*SUM(Popn!AH$35:AH$49)/SUM(Popn!AG$35:AG$49),Exogenous!$W$62*SUM(Popn!AH$135:AH$149)/SUM(Popn!AG$135:AG$149),Exogenous!$V$63*SUM(Popn!AH$50:AH$85)/SUM(Popn!AG$50:AG$85),Exogenous!$W$63*SUM(Popn!AH$150:AH$185)/SUM(Popn!AG$150:AG$185))-1</f>
        <v>1.9660384740445291E-3</v>
      </c>
      <c r="AB265" s="72">
        <f>SUM(Exogenous!$V$59*Popn!AI$27/Popn!AH$27,Exogenous!$W$59*Popn!AI$127/Popn!AH$127,Exogenous!$V$60*SUM(Popn!AI$28:AI$29)/SUM(Popn!AH$28:AH$29),Exogenous!$W$60*SUM(Popn!AI$128:AI$129)/SUM(Popn!AH$128:AH$129),Exogenous!$V$61*SUM(Popn!AI$30:AI$34)/SUM(Popn!AH$30:AH$34),Exogenous!$W$61*SUM(Popn!AI$130:AI$134)/SUM(Popn!AH$130:AH$134),Exogenous!$V$62*SUM(Popn!AI$35:AI$49)/SUM(Popn!AH$35:AH$49),Exogenous!$W$62*SUM(Popn!AI$135:AI$149)/SUM(Popn!AH$135:AH$149),Exogenous!$V$63*SUM(Popn!AI$50:AI$85)/SUM(Popn!AH$50:AH$85),Exogenous!$W$63*SUM(Popn!AI$150:AI$185)/SUM(Popn!AH$150:AH$185))-1</f>
        <v>3.960972490768544E-3</v>
      </c>
      <c r="AC265" s="72">
        <f>SUM(Exogenous!$V$59*Popn!AJ$27/Popn!AI$27,Exogenous!$W$59*Popn!AJ$127/Popn!AI$127,Exogenous!$V$60*SUM(Popn!AJ$28:AJ$29)/SUM(Popn!AI$28:AI$29),Exogenous!$W$60*SUM(Popn!AJ$128:AJ$129)/SUM(Popn!AI$128:AI$129),Exogenous!$V$61*SUM(Popn!AJ$30:AJ$34)/SUM(Popn!AI$30:AI$34),Exogenous!$W$61*SUM(Popn!AJ$130:AJ$134)/SUM(Popn!AI$130:AI$134),Exogenous!$V$62*SUM(Popn!AJ$35:AJ$49)/SUM(Popn!AI$35:AI$49),Exogenous!$W$62*SUM(Popn!AJ$135:AJ$149)/SUM(Popn!AI$135:AI$149),Exogenous!$V$63*SUM(Popn!AJ$50:AJ$85)/SUM(Popn!AI$50:AI$85),Exogenous!$W$63*SUM(Popn!AJ$150:AJ$185)/SUM(Popn!AI$150:AI$185))-1</f>
        <v>4.6812671193552369E-3</v>
      </c>
      <c r="AD265" s="72">
        <f>SUM(Exogenous!$V$59*Popn!AK$27/Popn!AJ$27,Exogenous!$W$59*Popn!AK$127/Popn!AJ$127,Exogenous!$V$60*SUM(Popn!AK$28:AK$29)/SUM(Popn!AJ$28:AJ$29),Exogenous!$W$60*SUM(Popn!AK$128:AK$129)/SUM(Popn!AJ$128:AJ$129),Exogenous!$V$61*SUM(Popn!AK$30:AK$34)/SUM(Popn!AJ$30:AJ$34),Exogenous!$W$61*SUM(Popn!AK$130:AK$134)/SUM(Popn!AJ$130:AJ$134),Exogenous!$V$62*SUM(Popn!AK$35:AK$49)/SUM(Popn!AJ$35:AJ$49),Exogenous!$W$62*SUM(Popn!AK$135:AK$149)/SUM(Popn!AJ$135:AJ$149),Exogenous!$V$63*SUM(Popn!AK$50:AK$85)/SUM(Popn!AJ$50:AJ$85),Exogenous!$W$63*SUM(Popn!AK$150:AK$185)/SUM(Popn!AJ$150:AJ$185))-1</f>
        <v>4.5775305215267625E-3</v>
      </c>
      <c r="AE265" s="72">
        <f>SUM(Exogenous!$V$59*Popn!AL$27/Popn!AK$27,Exogenous!$W$59*Popn!AL$127/Popn!AK$127,Exogenous!$V$60*SUM(Popn!AL$28:AL$29)/SUM(Popn!AK$28:AK$29),Exogenous!$W$60*SUM(Popn!AL$128:AL$129)/SUM(Popn!AK$128:AK$129),Exogenous!$V$61*SUM(Popn!AL$30:AL$34)/SUM(Popn!AK$30:AK$34),Exogenous!$W$61*SUM(Popn!AL$130:AL$134)/SUM(Popn!AK$130:AK$134),Exogenous!$V$62*SUM(Popn!AL$35:AL$49)/SUM(Popn!AK$35:AK$49),Exogenous!$W$62*SUM(Popn!AL$135:AL$149)/SUM(Popn!AK$135:AK$149),Exogenous!$V$63*SUM(Popn!AL$50:AL$85)/SUM(Popn!AK$50:AK$85),Exogenous!$W$63*SUM(Popn!AL$150:AL$185)/SUM(Popn!AK$150:AK$185))-1</f>
        <v>4.6491522507059457E-3</v>
      </c>
      <c r="AF265" s="72">
        <f>SUM(Exogenous!$V$59*Popn!AM$27/Popn!AL$27,Exogenous!$W$59*Popn!AM$127/Popn!AL$127,Exogenous!$V$60*SUM(Popn!AM$28:AM$29)/SUM(Popn!AL$28:AL$29),Exogenous!$W$60*SUM(Popn!AM$128:AM$129)/SUM(Popn!AL$128:AL$129),Exogenous!$V$61*SUM(Popn!AM$30:AM$34)/SUM(Popn!AL$30:AL$34),Exogenous!$W$61*SUM(Popn!AM$130:AM$134)/SUM(Popn!AL$130:AL$134),Exogenous!$V$62*SUM(Popn!AM$35:AM$49)/SUM(Popn!AL$35:AL$49),Exogenous!$W$62*SUM(Popn!AM$135:AM$149)/SUM(Popn!AL$135:AL$149),Exogenous!$V$63*SUM(Popn!AM$50:AM$85)/SUM(Popn!AL$50:AL$85),Exogenous!$W$63*SUM(Popn!AM$150:AM$185)/SUM(Popn!AL$150:AL$185))-1</f>
        <v>4.2589872489340319E-3</v>
      </c>
      <c r="AG265" s="72">
        <f>SUM(Exogenous!$V$59*Popn!AN$27/Popn!AM$27,Exogenous!$W$59*Popn!AN$127/Popn!AM$127,Exogenous!$V$60*SUM(Popn!AN$28:AN$29)/SUM(Popn!AM$28:AM$29),Exogenous!$W$60*SUM(Popn!AN$128:AN$129)/SUM(Popn!AM$128:AM$129),Exogenous!$V$61*SUM(Popn!AN$30:AN$34)/SUM(Popn!AM$30:AM$34),Exogenous!$W$61*SUM(Popn!AN$130:AN$134)/SUM(Popn!AM$130:AM$134),Exogenous!$V$62*SUM(Popn!AN$35:AN$49)/SUM(Popn!AM$35:AM$49),Exogenous!$W$62*SUM(Popn!AN$135:AN$149)/SUM(Popn!AM$135:AM$149),Exogenous!$V$63*SUM(Popn!AN$50:AN$85)/SUM(Popn!AM$50:AM$85),Exogenous!$W$63*SUM(Popn!AN$150:AN$185)/SUM(Popn!AM$150:AM$185))-1</f>
        <v>3.6750607173248184E-3</v>
      </c>
      <c r="AH265" s="72">
        <f>SUM(Exogenous!$V$59*Popn!AO$27/Popn!AN$27,Exogenous!$W$59*Popn!AO$127/Popn!AN$127,Exogenous!$V$60*SUM(Popn!AO$28:AO$29)/SUM(Popn!AN$28:AN$29),Exogenous!$W$60*SUM(Popn!AO$128:AO$129)/SUM(Popn!AN$128:AN$129),Exogenous!$V$61*SUM(Popn!AO$30:AO$34)/SUM(Popn!AN$30:AN$34),Exogenous!$W$61*SUM(Popn!AO$130:AO$134)/SUM(Popn!AN$130:AN$134),Exogenous!$V$62*SUM(Popn!AO$35:AO$49)/SUM(Popn!AN$35:AN$49),Exogenous!$W$62*SUM(Popn!AO$135:AO$149)/SUM(Popn!AN$135:AN$149),Exogenous!$V$63*SUM(Popn!AO$50:AO$85)/SUM(Popn!AN$50:AN$85),Exogenous!$W$63*SUM(Popn!AO$150:AO$185)/SUM(Popn!AN$150:AN$185))-1</f>
        <v>3.2164893788786397E-3</v>
      </c>
      <c r="AI265" s="72">
        <f>SUM(Exogenous!$V$59*Popn!AP$27/Popn!AO$27,Exogenous!$W$59*Popn!AP$127/Popn!AO$127,Exogenous!$V$60*SUM(Popn!AP$28:AP$29)/SUM(Popn!AO$28:AO$29),Exogenous!$W$60*SUM(Popn!AP$128:AP$129)/SUM(Popn!AO$128:AO$129),Exogenous!$V$61*SUM(Popn!AP$30:AP$34)/SUM(Popn!AO$30:AO$34),Exogenous!$W$61*SUM(Popn!AP$130:AP$134)/SUM(Popn!AO$130:AO$134),Exogenous!$V$62*SUM(Popn!AP$35:AP$49)/SUM(Popn!AO$35:AO$49),Exogenous!$W$62*SUM(Popn!AP$135:AP$149)/SUM(Popn!AO$135:AO$149),Exogenous!$V$63*SUM(Popn!AP$50:AP$85)/SUM(Popn!AO$50:AO$85),Exogenous!$W$63*SUM(Popn!AP$150:AP$185)/SUM(Popn!AO$150:AO$185))-1</f>
        <v>2.5489222488472851E-3</v>
      </c>
      <c r="AJ265" s="72">
        <f>SUM(Exogenous!$V$59*Popn!AQ$27/Popn!AP$27,Exogenous!$W$59*Popn!AQ$127/Popn!AP$127,Exogenous!$V$60*SUM(Popn!AQ$28:AQ$29)/SUM(Popn!AP$28:AP$29),Exogenous!$W$60*SUM(Popn!AQ$128:AQ$129)/SUM(Popn!AP$128:AP$129),Exogenous!$V$61*SUM(Popn!AQ$30:AQ$34)/SUM(Popn!AP$30:AP$34),Exogenous!$W$61*SUM(Popn!AQ$130:AQ$134)/SUM(Popn!AP$130:AP$134),Exogenous!$V$62*SUM(Popn!AQ$35:AQ$49)/SUM(Popn!AP$35:AP$49),Exogenous!$W$62*SUM(Popn!AQ$135:AQ$149)/SUM(Popn!AP$135:AP$149),Exogenous!$V$63*SUM(Popn!AQ$50:AQ$85)/SUM(Popn!AP$50:AP$85),Exogenous!$W$63*SUM(Popn!AQ$150:AQ$185)/SUM(Popn!AP$150:AP$185))-1</f>
        <v>1.5303942889997035E-3</v>
      </c>
      <c r="AK265" s="72">
        <f>SUM(Exogenous!$V$59*Popn!AR$27/Popn!AQ$27,Exogenous!$W$59*Popn!AR$127/Popn!AQ$127,Exogenous!$V$60*SUM(Popn!AR$28:AR$29)/SUM(Popn!AQ$28:AQ$29),Exogenous!$W$60*SUM(Popn!AR$128:AR$129)/SUM(Popn!AQ$128:AQ$129),Exogenous!$V$61*SUM(Popn!AR$30:AR$34)/SUM(Popn!AQ$30:AQ$34),Exogenous!$W$61*SUM(Popn!AR$130:AR$134)/SUM(Popn!AQ$130:AQ$134),Exogenous!$V$62*SUM(Popn!AR$35:AR$49)/SUM(Popn!AQ$35:AQ$49),Exogenous!$W$62*SUM(Popn!AR$135:AR$149)/SUM(Popn!AQ$135:AQ$149),Exogenous!$V$63*SUM(Popn!AR$50:AR$85)/SUM(Popn!AQ$50:AQ$85),Exogenous!$W$63*SUM(Popn!AR$150:AR$185)/SUM(Popn!AQ$150:AQ$185))-1</f>
        <v>7.815988009087782E-4</v>
      </c>
      <c r="AL265" s="72">
        <f>SUM(Exogenous!$V$59*Popn!AS$27/Popn!AR$27,Exogenous!$W$59*Popn!AS$127/Popn!AR$127,Exogenous!$V$60*SUM(Popn!AS$28:AS$29)/SUM(Popn!AR$28:AR$29),Exogenous!$W$60*SUM(Popn!AS$128:AS$129)/SUM(Popn!AR$128:AR$129),Exogenous!$V$61*SUM(Popn!AS$30:AS$34)/SUM(Popn!AR$30:AR$34),Exogenous!$W$61*SUM(Popn!AS$130:AS$134)/SUM(Popn!AR$130:AR$134),Exogenous!$V$62*SUM(Popn!AS$35:AS$49)/SUM(Popn!AR$35:AR$49),Exogenous!$W$62*SUM(Popn!AS$135:AS$149)/SUM(Popn!AR$135:AR$149),Exogenous!$V$63*SUM(Popn!AS$50:AS$85)/SUM(Popn!AR$50:AR$85),Exogenous!$W$63*SUM(Popn!AS$150:AS$185)/SUM(Popn!AR$150:AR$185))-1</f>
        <v>6.0638818026670371E-4</v>
      </c>
      <c r="AM265" s="72">
        <f>SUM(Exogenous!$V$59*Popn!AT$27/Popn!AS$27,Exogenous!$W$59*Popn!AT$127/Popn!AS$127,Exogenous!$V$60*SUM(Popn!AT$28:AT$29)/SUM(Popn!AS$28:AS$29),Exogenous!$W$60*SUM(Popn!AT$128:AT$129)/SUM(Popn!AS$128:AS$129),Exogenous!$V$61*SUM(Popn!AT$30:AT$34)/SUM(Popn!AS$30:AS$34),Exogenous!$W$61*SUM(Popn!AT$130:AT$134)/SUM(Popn!AS$130:AS$134),Exogenous!$V$62*SUM(Popn!AT$35:AT$49)/SUM(Popn!AS$35:AS$49),Exogenous!$W$62*SUM(Popn!AT$135:AT$149)/SUM(Popn!AS$135:AS$149),Exogenous!$V$63*SUM(Popn!AT$50:AT$85)/SUM(Popn!AS$50:AS$85),Exogenous!$W$63*SUM(Popn!AT$150:AT$185)/SUM(Popn!AS$150:AS$185))-1</f>
        <v>2.4844667613233007E-4</v>
      </c>
      <c r="AN265" s="72">
        <f>SUM(Exogenous!$V$59*Popn!AU$27/Popn!AT$27,Exogenous!$W$59*Popn!AU$127/Popn!AT$127,Exogenous!$V$60*SUM(Popn!AU$28:AU$29)/SUM(Popn!AT$28:AT$29),Exogenous!$W$60*SUM(Popn!AU$128:AU$129)/SUM(Popn!AT$128:AT$129),Exogenous!$V$61*SUM(Popn!AU$30:AU$34)/SUM(Popn!AT$30:AT$34),Exogenous!$W$61*SUM(Popn!AU$130:AU$134)/SUM(Popn!AT$130:AT$134),Exogenous!$V$62*SUM(Popn!AU$35:AU$49)/SUM(Popn!AT$35:AT$49),Exogenous!$W$62*SUM(Popn!AU$135:AU$149)/SUM(Popn!AT$135:AT$149),Exogenous!$V$63*SUM(Popn!AU$50:AU$85)/SUM(Popn!AT$50:AT$85),Exogenous!$W$63*SUM(Popn!AU$150:AU$185)/SUM(Popn!AT$150:AT$185))-1</f>
        <v>3.5022895988667813E-4</v>
      </c>
      <c r="AO265" s="72">
        <f>SUM(Exogenous!$V$59*Popn!AV$27/Popn!AU$27,Exogenous!$W$59*Popn!AV$127/Popn!AU$127,Exogenous!$V$60*SUM(Popn!AV$28:AV$29)/SUM(Popn!AU$28:AU$29),Exogenous!$W$60*SUM(Popn!AV$128:AV$129)/SUM(Popn!AU$128:AU$129),Exogenous!$V$61*SUM(Popn!AV$30:AV$34)/SUM(Popn!AU$30:AU$34),Exogenous!$W$61*SUM(Popn!AV$130:AV$134)/SUM(Popn!AU$130:AU$134),Exogenous!$V$62*SUM(Popn!AV$35:AV$49)/SUM(Popn!AU$35:AU$49),Exogenous!$W$62*SUM(Popn!AV$135:AV$149)/SUM(Popn!AU$135:AU$149),Exogenous!$V$63*SUM(Popn!AV$50:AV$85)/SUM(Popn!AU$50:AU$85),Exogenous!$W$63*SUM(Popn!AV$150:AV$185)/SUM(Popn!AU$150:AU$185))-1</f>
        <v>5.6053920501142329E-4</v>
      </c>
      <c r="AP265" s="72">
        <f>SUM(Exogenous!$V$59*Popn!AW$27/Popn!AV$27,Exogenous!$W$59*Popn!AW$127/Popn!AV$127,Exogenous!$V$60*SUM(Popn!AW$28:AW$29)/SUM(Popn!AV$28:AV$29),Exogenous!$W$60*SUM(Popn!AW$128:AW$129)/SUM(Popn!AV$128:AV$129),Exogenous!$V$61*SUM(Popn!AW$30:AW$34)/SUM(Popn!AV$30:AV$34),Exogenous!$W$61*SUM(Popn!AW$130:AW$134)/SUM(Popn!AV$130:AV$134),Exogenous!$V$62*SUM(Popn!AW$35:AW$49)/SUM(Popn!AV$35:AV$49),Exogenous!$W$62*SUM(Popn!AW$135:AW$149)/SUM(Popn!AV$135:AV$149),Exogenous!$V$63*SUM(Popn!AW$50:AW$85)/SUM(Popn!AV$50:AV$85),Exogenous!$W$63*SUM(Popn!AW$150:AW$185)/SUM(Popn!AV$150:AV$185))-1</f>
        <v>6.8380901525255666E-4</v>
      </c>
      <c r="AQ265" s="72">
        <f>SUM(Exogenous!$V$59*Popn!AX$27/Popn!AW$27,Exogenous!$W$59*Popn!AX$127/Popn!AW$127,Exogenous!$V$60*SUM(Popn!AX$28:AX$29)/SUM(Popn!AW$28:AW$29),Exogenous!$W$60*SUM(Popn!AX$128:AX$129)/SUM(Popn!AW$128:AW$129),Exogenous!$V$61*SUM(Popn!AX$30:AX$34)/SUM(Popn!AW$30:AW$34),Exogenous!$W$61*SUM(Popn!AX$130:AX$134)/SUM(Popn!AW$130:AW$134),Exogenous!$V$62*SUM(Popn!AX$35:AX$49)/SUM(Popn!AW$35:AW$49),Exogenous!$W$62*SUM(Popn!AX$135:AX$149)/SUM(Popn!AW$135:AW$149),Exogenous!$V$63*SUM(Popn!AX$50:AX$85)/SUM(Popn!AW$50:AW$85),Exogenous!$W$63*SUM(Popn!AX$150:AX$185)/SUM(Popn!AW$150:AW$185))-1</f>
        <v>1.111782982896603E-3</v>
      </c>
      <c r="AR265" s="72">
        <f>SUM(Exogenous!$V$59*Popn!AY$27/Popn!AX$27,Exogenous!$W$59*Popn!AY$127/Popn!AX$127,Exogenous!$V$60*SUM(Popn!AY$28:AY$29)/SUM(Popn!AX$28:AX$29),Exogenous!$W$60*SUM(Popn!AY$128:AY$129)/SUM(Popn!AX$128:AX$129),Exogenous!$V$61*SUM(Popn!AY$30:AY$34)/SUM(Popn!AX$30:AX$34),Exogenous!$W$61*SUM(Popn!AY$130:AY$134)/SUM(Popn!AX$130:AX$134),Exogenous!$V$62*SUM(Popn!AY$35:AY$49)/SUM(Popn!AX$35:AX$49),Exogenous!$W$62*SUM(Popn!AY$135:AY$149)/SUM(Popn!AX$135:AX$149),Exogenous!$V$63*SUM(Popn!AY$50:AY$85)/SUM(Popn!AX$50:AX$85),Exogenous!$W$63*SUM(Popn!AY$150:AY$185)/SUM(Popn!AX$150:AX$185))-1</f>
        <v>1.2590533374503554E-3</v>
      </c>
      <c r="AS265" s="72">
        <f>SUM(Exogenous!$V$59*Popn!AZ$27/Popn!AY$27,Exogenous!$W$59*Popn!AZ$127/Popn!AY$127,Exogenous!$V$60*SUM(Popn!AZ$28:AZ$29)/SUM(Popn!AY$28:AY$29),Exogenous!$W$60*SUM(Popn!AZ$128:AZ$129)/SUM(Popn!AY$128:AY$129),Exogenous!$V$61*SUM(Popn!AZ$30:AZ$34)/SUM(Popn!AY$30:AY$34),Exogenous!$W$61*SUM(Popn!AZ$130:AZ$134)/SUM(Popn!AY$130:AY$134),Exogenous!$V$62*SUM(Popn!AZ$35:AZ$49)/SUM(Popn!AY$35:AY$49),Exogenous!$W$62*SUM(Popn!AZ$135:AZ$149)/SUM(Popn!AY$135:AY$149),Exogenous!$V$63*SUM(Popn!AZ$50:AZ$85)/SUM(Popn!AY$50:AY$85),Exogenous!$W$63*SUM(Popn!AZ$150:AZ$185)/SUM(Popn!AY$150:AY$185))-1</f>
        <v>1.2994400218224733E-3</v>
      </c>
      <c r="AT265" s="72">
        <f>SUM(Exogenous!$V$59*Popn!BA$27/Popn!AZ$27,Exogenous!$W$59*Popn!BA$127/Popn!AZ$127,Exogenous!$V$60*SUM(Popn!BA$28:BA$29)/SUM(Popn!AZ$28:AZ$29),Exogenous!$W$60*SUM(Popn!BA$128:BA$129)/SUM(Popn!AZ$128:AZ$129),Exogenous!$V$61*SUM(Popn!BA$30:BA$34)/SUM(Popn!AZ$30:AZ$34),Exogenous!$W$61*SUM(Popn!BA$130:BA$134)/SUM(Popn!AZ$130:AZ$134),Exogenous!$V$62*SUM(Popn!BA$35:BA$49)/SUM(Popn!AZ$35:AZ$49),Exogenous!$W$62*SUM(Popn!BA$135:BA$149)/SUM(Popn!AZ$135:AZ$149),Exogenous!$V$63*SUM(Popn!BA$50:BA$85)/SUM(Popn!AZ$50:AZ$85),Exogenous!$W$63*SUM(Popn!BA$150:BA$185)/SUM(Popn!AZ$150:AZ$185))-1</f>
        <v>1.4215224916434011E-3</v>
      </c>
      <c r="AU265" s="72">
        <f>SUM(Exogenous!$V$59*Popn!BB$27/Popn!BA$27,Exogenous!$W$59*Popn!BB$127/Popn!BA$127,Exogenous!$V$60*SUM(Popn!BB$28:BB$29)/SUM(Popn!BA$28:BA$29),Exogenous!$W$60*SUM(Popn!BB$128:BB$129)/SUM(Popn!BA$128:BA$129),Exogenous!$V$61*SUM(Popn!BB$30:BB$34)/SUM(Popn!BA$30:BA$34),Exogenous!$W$61*SUM(Popn!BB$130:BB$134)/SUM(Popn!BA$130:BA$134),Exogenous!$V$62*SUM(Popn!BB$35:BB$49)/SUM(Popn!BA$35:BA$49),Exogenous!$W$62*SUM(Popn!BB$135:BB$149)/SUM(Popn!BA$135:BA$149),Exogenous!$V$63*SUM(Popn!BB$50:BB$85)/SUM(Popn!BA$50:BA$85),Exogenous!$W$63*SUM(Popn!BB$150:BB$185)/SUM(Popn!BA$150:BA$185))-1</f>
        <v>1.5410553836974206E-3</v>
      </c>
      <c r="AV265" s="72">
        <f>SUM(Exogenous!$V$59*Popn!BC$27/Popn!BB$27,Exogenous!$W$59*Popn!BC$127/Popn!BB$127,Exogenous!$V$60*SUM(Popn!BC$28:BC$29)/SUM(Popn!BB$28:BB$29),Exogenous!$W$60*SUM(Popn!BC$128:BC$129)/SUM(Popn!BB$128:BB$129),Exogenous!$V$61*SUM(Popn!BC$30:BC$34)/SUM(Popn!BB$30:BB$34),Exogenous!$W$61*SUM(Popn!BC$130:BC$134)/SUM(Popn!BB$130:BB$134),Exogenous!$V$62*SUM(Popn!BC$35:BC$49)/SUM(Popn!BB$35:BB$49),Exogenous!$W$62*SUM(Popn!BC$135:BC$149)/SUM(Popn!BB$135:BB$149),Exogenous!$V$63*SUM(Popn!BC$50:BC$85)/SUM(Popn!BB$50:BB$85),Exogenous!$W$63*SUM(Popn!BC$150:BC$185)/SUM(Popn!BB$150:BB$185))-1</f>
        <v>1.4887545180781725E-3</v>
      </c>
      <c r="AW265" s="72">
        <f>SUM(Exogenous!$V$59*Popn!BD$27/Popn!BC$27,Exogenous!$W$59*Popn!BD$127/Popn!BC$127,Exogenous!$V$60*SUM(Popn!BD$28:BD$29)/SUM(Popn!BC$28:BC$29),Exogenous!$W$60*SUM(Popn!BD$128:BD$129)/SUM(Popn!BC$128:BC$129),Exogenous!$V$61*SUM(Popn!BD$30:BD$34)/SUM(Popn!BC$30:BC$34),Exogenous!$W$61*SUM(Popn!BD$130:BD$134)/SUM(Popn!BC$130:BC$134),Exogenous!$V$62*SUM(Popn!BD$35:BD$49)/SUM(Popn!BC$35:BC$49),Exogenous!$W$62*SUM(Popn!BD$135:BD$149)/SUM(Popn!BC$135:BC$149),Exogenous!$V$63*SUM(Popn!BD$50:BD$85)/SUM(Popn!BC$50:BC$85),Exogenous!$W$63*SUM(Popn!BD$150:BD$185)/SUM(Popn!BC$150:BC$185))-1</f>
        <v>1.5509879936645987E-3</v>
      </c>
    </row>
    <row r="266" spans="1:49" ht="15" x14ac:dyDescent="0.25">
      <c r="D266" s="73"/>
      <c r="E266" s="56"/>
      <c r="F266" s="56"/>
      <c r="G266" s="56"/>
      <c r="H266" s="56"/>
      <c r="I266" s="56"/>
      <c r="J266" s="57"/>
      <c r="K266" s="57"/>
      <c r="L266" s="57"/>
      <c r="M266" s="57"/>
      <c r="N266" s="57"/>
      <c r="O266" s="57"/>
      <c r="P266" s="57"/>
      <c r="Q266" s="57"/>
      <c r="R266" s="57"/>
      <c r="S266" s="57"/>
    </row>
    <row r="267" spans="1:49" x14ac:dyDescent="0.2">
      <c r="A267" s="22" t="s">
        <v>552</v>
      </c>
    </row>
    <row r="268" spans="1:49" x14ac:dyDescent="0.2">
      <c r="A268" s="1" t="s">
        <v>321</v>
      </c>
      <c r="B268" s="4"/>
      <c r="D268" s="18">
        <f t="shared" ref="D268:I268" si="188">D$176</f>
        <v>0.51300000000000001</v>
      </c>
      <c r="E268" s="19">
        <f t="shared" si="188"/>
        <v>0.53</v>
      </c>
      <c r="F268" s="19">
        <f t="shared" si="188"/>
        <v>0.59199999999999997</v>
      </c>
      <c r="G268" s="19">
        <f t="shared" si="188"/>
        <v>0.59499999999999997</v>
      </c>
      <c r="H268" s="19">
        <f t="shared" si="188"/>
        <v>0.58599999999999997</v>
      </c>
      <c r="I268" s="19">
        <f t="shared" si="188"/>
        <v>0.58599999999999997</v>
      </c>
      <c r="J268" s="7">
        <f t="shared" ref="J268:AW268" ca="1" si="189">J$176</f>
        <v>0.62359402369910744</v>
      </c>
      <c r="K268" s="7">
        <f t="shared" ca="1" si="189"/>
        <v>0.64965414101038543</v>
      </c>
      <c r="L268" s="7">
        <f t="shared" ca="1" si="189"/>
        <v>0.67781358835892724</v>
      </c>
      <c r="M268" s="7">
        <f t="shared" ca="1" si="189"/>
        <v>0.70709950977802272</v>
      </c>
      <c r="N268" s="7">
        <f t="shared" ca="1" si="189"/>
        <v>0.73759492728030718</v>
      </c>
      <c r="O268" s="7">
        <f t="shared" ca="1" si="189"/>
        <v>0.76908044506482742</v>
      </c>
      <c r="P268" s="7">
        <f t="shared" ca="1" si="189"/>
        <v>0.80160401203800202</v>
      </c>
      <c r="Q268" s="7">
        <f t="shared" ca="1" si="189"/>
        <v>0.83513049677556295</v>
      </c>
      <c r="R268" s="7">
        <f t="shared" ca="1" si="189"/>
        <v>0.86963501533360654</v>
      </c>
      <c r="S268" s="7">
        <f t="shared" ca="1" si="189"/>
        <v>0.90522722166511427</v>
      </c>
      <c r="T268" s="7">
        <f t="shared" ca="1" si="189"/>
        <v>0.94192009504269969</v>
      </c>
      <c r="U268" s="7">
        <f t="shared" ca="1" si="189"/>
        <v>0.97984532522170287</v>
      </c>
      <c r="V268" s="7">
        <f t="shared" ca="1" si="189"/>
        <v>1.0190965308494406</v>
      </c>
      <c r="W268" s="7">
        <f t="shared" ca="1" si="189"/>
        <v>1.0597874325692371</v>
      </c>
      <c r="X268" s="7">
        <f t="shared" ca="1" si="189"/>
        <v>1.102046917075997</v>
      </c>
      <c r="Y268" s="7">
        <f t="shared" ca="1" si="189"/>
        <v>1.145870664051158</v>
      </c>
      <c r="Z268" s="7">
        <f t="shared" ca="1" si="189"/>
        <v>1.1914804936302461</v>
      </c>
      <c r="AA268" s="7">
        <f t="shared" ca="1" si="189"/>
        <v>1.2389502026748054</v>
      </c>
      <c r="AB268" s="7">
        <f t="shared" ca="1" si="189"/>
        <v>1.288422347104984</v>
      </c>
      <c r="AC268" s="7">
        <f t="shared" ca="1" si="189"/>
        <v>1.3400836909794946</v>
      </c>
      <c r="AD268" s="7">
        <f t="shared" ca="1" si="189"/>
        <v>1.3939886859920594</v>
      </c>
      <c r="AE268" s="7">
        <f t="shared" ca="1" si="189"/>
        <v>1.4500878275895615</v>
      </c>
      <c r="AF268" s="7">
        <f t="shared" ca="1" si="189"/>
        <v>1.5085363196346488</v>
      </c>
      <c r="AG268" s="7">
        <f t="shared" ca="1" si="189"/>
        <v>1.5693668440800259</v>
      </c>
      <c r="AH268" s="7">
        <f t="shared" ca="1" si="189"/>
        <v>1.6326769468924458</v>
      </c>
      <c r="AI268" s="7">
        <f t="shared" ca="1" si="189"/>
        <v>1.6983560043645252</v>
      </c>
      <c r="AJ268" s="7">
        <f t="shared" ca="1" si="189"/>
        <v>1.7666144192408535</v>
      </c>
      <c r="AK268" s="7">
        <f t="shared" ca="1" si="189"/>
        <v>1.8373960400467502</v>
      </c>
      <c r="AL268" s="7">
        <f t="shared" ca="1" si="189"/>
        <v>1.9106451101467705</v>
      </c>
      <c r="AM268" s="7">
        <f t="shared" ca="1" si="189"/>
        <v>1.9864616973091862</v>
      </c>
      <c r="AN268" s="7">
        <f t="shared" ca="1" si="189"/>
        <v>2.0649512616725252</v>
      </c>
      <c r="AO268" s="7">
        <f t="shared" ca="1" si="189"/>
        <v>2.1458056018604821</v>
      </c>
      <c r="AP268" s="7">
        <f t="shared" ca="1" si="189"/>
        <v>2.2293680654339632</v>
      </c>
      <c r="AQ268" s="7">
        <f t="shared" ca="1" si="189"/>
        <v>2.3154045106337362</v>
      </c>
      <c r="AR268" s="7">
        <f t="shared" ca="1" si="189"/>
        <v>2.4040123461074177</v>
      </c>
      <c r="AS268" s="7">
        <f t="shared" ca="1" si="189"/>
        <v>2.4953982913793737</v>
      </c>
      <c r="AT268" s="7">
        <f t="shared" ca="1" si="189"/>
        <v>2.5896353334121995</v>
      </c>
      <c r="AU268" s="7">
        <f t="shared" ca="1" si="189"/>
        <v>2.6868487864338872</v>
      </c>
      <c r="AV268" s="7">
        <f t="shared" ca="1" si="189"/>
        <v>2.7873392245316917</v>
      </c>
      <c r="AW268" s="7">
        <f t="shared" ca="1" si="189"/>
        <v>2.8910499152079563</v>
      </c>
    </row>
    <row r="269" spans="1:49" x14ac:dyDescent="0.2">
      <c r="A269" s="1" t="s">
        <v>559</v>
      </c>
      <c r="B269" s="4" t="s">
        <v>560</v>
      </c>
      <c r="D269" s="18">
        <f>Exogenous!K$38</f>
        <v>0.873</v>
      </c>
      <c r="E269" s="19">
        <f>Exogenous!L$38</f>
        <v>1.0029999999999999</v>
      </c>
      <c r="F269" s="19">
        <f>Exogenous!M$38</f>
        <v>1.093</v>
      </c>
      <c r="G269" s="19">
        <f>Exogenous!N$38</f>
        <v>1.1240000000000001</v>
      </c>
      <c r="H269" s="19">
        <f>Exogenous!O$38</f>
        <v>1.121</v>
      </c>
      <c r="I269" s="19">
        <f>Exogenous!P$38</f>
        <v>1.119</v>
      </c>
      <c r="J269" s="7">
        <f ca="1">IF(J$6=OFFSET(Assumptions!$B$8,0,$C$1),AVERAGE(G$269/G$139,H$269/H$139,I$269/I$139),I$269/I$139)*J$139</f>
        <v>1.2401438604832451</v>
      </c>
      <c r="K269" s="7">
        <f ca="1">IF(K$6=OFFSET(Assumptions!$B$8,0,$C$1),AVERAGE(H$269/H$139,I$269/I$139,J$269/J$139),J$269/J$139)*K$139</f>
        <v>1.2974505079238057</v>
      </c>
      <c r="L269" s="7">
        <f ca="1">IF(L$6=OFFSET(Assumptions!$B$8,0,$C$1),AVERAGE(I$269/I$139,J$269/J$139,K$269/K$139),K$269/K$139)*L$139</f>
        <v>1.3558681232926453</v>
      </c>
      <c r="M269" s="7">
        <f ca="1">IF(M$6=OFFSET(Assumptions!$B$8,0,$C$1),AVERAGE(J$269/J$139,K$269/K$139,L$269/L$139),L$269/L$139)*M$139</f>
        <v>1.4144503765778627</v>
      </c>
      <c r="N269" s="7">
        <f ca="1">IF(N$6=OFFSET(Assumptions!$B$8,0,$C$1),AVERAGE(K$269/K$139,L$269/L$139,M$269/M$139),M$269/M$139)*N$139</f>
        <v>1.4754520519764873</v>
      </c>
      <c r="O269" s="7">
        <f ca="1">IF(O$6=OFFSET(Assumptions!$B$8,0,$C$1),AVERAGE(L$269/L$139,M$269/M$139,N$269/N$139),N$269/N$139)*O$139</f>
        <v>1.5385523527347087</v>
      </c>
      <c r="P269" s="7">
        <f ca="1">IF(P$6=OFFSET(Assumptions!$B$8,0,$C$1),AVERAGE(M$269/M$139,N$269/N$139,O$269/O$139),O$269/O$139)*P$139</f>
        <v>1.6064267373213907</v>
      </c>
      <c r="Q269" s="7">
        <f ca="1">IF(Q$6=OFFSET(Assumptions!$B$8,0,$C$1),AVERAGE(N$269/N$139,O$269/O$139,P$269/P$139),P$269/P$139)*Q$139</f>
        <v>1.6749597821702285</v>
      </c>
      <c r="R269" s="7">
        <f ca="1">IF(R$6=OFFSET(Assumptions!$B$8,0,$C$1),AVERAGE(O$269/O$139,P$269/P$139,Q$269/Q$139),Q$269/Q$139)*R$139</f>
        <v>1.7441629559388911</v>
      </c>
      <c r="S269" s="7">
        <f ca="1">IF(S$6=OFFSET(Assumptions!$B$8,0,$C$1),AVERAGE(P$269/P$139,Q$269/Q$139,R$269/R$139),R$269/R$139)*S$139</f>
        <v>1.8155476250345062</v>
      </c>
      <c r="T269" s="7">
        <f ca="1">IF(T$6=OFFSET(Assumptions!$B$8,0,$C$1),AVERAGE(Q$269/Q$139,R$269/R$139,S$269/S$139),S$269/S$139)*T$139</f>
        <v>1.8891398210290411</v>
      </c>
      <c r="U269" s="7">
        <f ca="1">IF(U$6=OFFSET(Assumptions!$B$8,0,$C$1),AVERAGE(R$269/R$139,S$269/S$139,T$269/T$139),T$269/T$139)*U$139</f>
        <v>1.9652036643740534</v>
      </c>
      <c r="V269" s="7">
        <f ca="1">IF(V$6=OFFSET(Assumptions!$B$8,0,$C$1),AVERAGE(S$269/S$139,T$269/T$139,U$269/U$139),U$269/U$139)*V$139</f>
        <v>2.0439269191013003</v>
      </c>
      <c r="W269" s="7">
        <f ca="1">IF(W$6=OFFSET(Assumptions!$B$8,0,$C$1),AVERAGE(T$269/T$139,U$269/U$139,V$269/V$139),V$269/V$139)*W$139</f>
        <v>2.1255376663366716</v>
      </c>
      <c r="X269" s="7">
        <f ca="1">IF(X$6=OFFSET(Assumptions!$B$8,0,$C$1),AVERAGE(U$269/U$139,V$269/V$139,W$269/W$139),W$269/W$139)*X$139</f>
        <v>2.2102944046396806</v>
      </c>
      <c r="Y269" s="7">
        <f ca="1">IF(Y$6=OFFSET(Assumptions!$B$8,0,$C$1),AVERAGE(V$269/V$139,W$269/W$139,X$269/X$139),X$269/X$139)*Y$139</f>
        <v>2.2981884690653094</v>
      </c>
      <c r="Z269" s="7">
        <f ca="1">IF(Z$6=OFFSET(Assumptions!$B$8,0,$C$1),AVERAGE(W$269/W$139,X$269/X$139,Y$269/Y$139),Y$269/Y$139)*Z$139</f>
        <v>2.3896647479361812</v>
      </c>
      <c r="AA269" s="7">
        <f ca="1">IF(AA$6=OFFSET(Assumptions!$B$8,0,$C$1),AVERAGE(X$269/X$139,Y$269/Y$139,Z$269/Z$139),Z$269/Z$139)*AA$139</f>
        <v>2.4848712501869628</v>
      </c>
      <c r="AB269" s="7">
        <f ca="1">IF(AB$6=OFFSET(Assumptions!$B$8,0,$C$1),AVERAGE(Y$269/Y$139,Z$269/Z$139,AA$269/AA$139),AA$269/AA$139)*AB$139</f>
        <v>2.5840938897363546</v>
      </c>
      <c r="AC269" s="7">
        <f ca="1">IF(AC$6=OFFSET(Assumptions!$B$8,0,$C$1),AVERAGE(Z$269/Z$139,AA$269/AA$139,AB$269/AB$139),AB$269/AB$139)*AC$139</f>
        <v>2.6877072455134052</v>
      </c>
      <c r="AD269" s="7">
        <f ca="1">IF(AD$6=OFFSET(Assumptions!$B$8,0,$C$1),AVERAGE(AA$269/AA$139,AB$269/AB$139,AC$269/AC$139),AC$269/AC$139)*AD$139</f>
        <v>2.7958205272732468</v>
      </c>
      <c r="AE269" s="7">
        <f ca="1">IF(AE$6=OFFSET(Assumptions!$B$8,0,$C$1),AVERAGE(AB$269/AB$139,AC$269/AC$139,AD$269/AD$139),AD$269/AD$139)*AE$139</f>
        <v>2.9083344473766113</v>
      </c>
      <c r="AF269" s="7">
        <f ca="1">IF(AF$6=OFFSET(Assumptions!$B$8,0,$C$1),AVERAGE(AC$269/AC$139,AD$269/AD$139,AE$269/AE$139),AE$269/AE$139)*AF$139</f>
        <v>3.0255602867897395</v>
      </c>
      <c r="AG269" s="7">
        <f ca="1">IF(AG$6=OFFSET(Assumptions!$B$8,0,$C$1),AVERAGE(AD$269/AD$139,AE$269/AE$139,AF$269/AF$139),AF$269/AF$139)*AG$139</f>
        <v>3.1475635933001853</v>
      </c>
      <c r="AH269" s="7">
        <f ca="1">IF(AH$6=OFFSET(Assumptions!$B$8,0,$C$1),AVERAGE(AE$269/AE$139,AF$269/AF$139,AG$269/AG$139),AG$269/AG$139)*AH$139</f>
        <v>3.2745400076752955</v>
      </c>
      <c r="AI269" s="7">
        <f ca="1">IF(AI$6=OFFSET(Assumptions!$B$8,0,$C$1),AVERAGE(AF$269/AF$139,AG$269/AG$139,AH$269/AH$139),AH$269/AH$139)*AI$139</f>
        <v>3.4062676600857</v>
      </c>
      <c r="AJ269" s="7">
        <f ca="1">IF(AJ$6=OFFSET(Assumptions!$B$8,0,$C$1),AVERAGE(AG$269/AG$139,AH$269/AH$139,AI$269/AI$139),AI$269/AI$139)*AJ$139</f>
        <v>3.5431685398331987</v>
      </c>
      <c r="AK269" s="7">
        <f ca="1">IF(AK$6=OFFSET(Assumptions!$B$8,0,$C$1),AVERAGE(AH$269/AH$139,AI$269/AI$139,AJ$269/AJ$139),AJ$269/AJ$139)*AK$139</f>
        <v>3.6851300280370736</v>
      </c>
      <c r="AL269" s="7">
        <f ca="1">IF(AL$6=OFFSET(Assumptions!$B$8,0,$C$1),AVERAGE(AI$269/AI$139,AJ$269/AJ$139,AK$269/AK$139),AK$269/AK$139)*AL$139</f>
        <v>3.8320402977166093</v>
      </c>
      <c r="AM269" s="7">
        <f ca="1">IF(AM$6=OFFSET(Assumptions!$B$8,0,$C$1),AVERAGE(AJ$269/AJ$139,AK$269/AK$139,AL$269/AL$139),AL$269/AL$139)*AM$139</f>
        <v>3.9841000474308825</v>
      </c>
      <c r="AN269" s="7">
        <f ca="1">IF(AN$6=OFFSET(Assumptions!$B$8,0,$C$1),AVERAGE(AK$269/AK$139,AL$269/AL$139,AM$269/AM$139),AM$269/AM$139)*AN$139</f>
        <v>4.1415207908191896</v>
      </c>
      <c r="AO269" s="7">
        <f ca="1">IF(AO$6=OFFSET(Assumptions!$B$8,0,$C$1),AVERAGE(AL$269/AL$139,AM$269/AM$139,AN$269/AN$139),AN$269/AN$139)*AO$139</f>
        <v>4.3036843910608571</v>
      </c>
      <c r="AP269" s="7">
        <f ca="1">IF(AP$6=OFFSET(Assumptions!$B$8,0,$C$1),AVERAGE(AM$269/AM$139,AN$269/AN$139,AO$269/AO$139),AO$269/AO$139)*AP$139</f>
        <v>4.4712794750926887</v>
      </c>
      <c r="AQ269" s="7">
        <f ca="1">IF(AQ$6=OFFSET(Assumptions!$B$8,0,$C$1),AVERAGE(AN$269/AN$139,AO$269/AO$139,AP$269/AP$139),AP$269/AP$139)*AQ$139</f>
        <v>4.6438364420181122</v>
      </c>
      <c r="AR269" s="7">
        <f ca="1">IF(AR$6=OFFSET(Assumptions!$B$8,0,$C$1),AVERAGE(AO$269/AO$139,AP$269/AP$139,AQ$269/AQ$139),AQ$269/AQ$139)*AR$139</f>
        <v>4.821550657193586</v>
      </c>
      <c r="AS269" s="7">
        <f ca="1">IF(AS$6=OFFSET(Assumptions!$B$8,0,$C$1),AVERAGE(AP$269/AP$139,AQ$269/AQ$139,AR$269/AR$139),AR$269/AR$139)*AS$139</f>
        <v>5.0048367227571475</v>
      </c>
      <c r="AT269" s="7">
        <f ca="1">IF(AT$6=OFFSET(Assumptions!$B$8,0,$C$1),AVERAGE(AQ$269/AQ$139,AR$269/AR$139,AS$269/AS$139),AS$269/AS$139)*AT$139</f>
        <v>5.1938410232887424</v>
      </c>
      <c r="AU269" s="7">
        <f ca="1">IF(AU$6=OFFSET(Assumptions!$B$8,0,$C$1),AVERAGE(AR$269/AR$139,AS$269/AS$139,AT$269/AT$139),AT$269/AT$139)*AU$139</f>
        <v>5.3888148923138868</v>
      </c>
      <c r="AV269" s="7">
        <f ca="1">IF(AV$6=OFFSET(Assumptions!$B$8,0,$C$1),AVERAGE(AS$269/AS$139,AT$269/AT$139,AU$269/AU$139),AU$269/AU$139)*AV$139</f>
        <v>5.5903611691608734</v>
      </c>
      <c r="AW269" s="7">
        <f ca="1">IF(AW$6=OFFSET(Assumptions!$B$8,0,$C$1),AVERAGE(AT$269/AT$139,AU$269/AU$139,AV$269/AV$139),AV$269/AV$139)*AW$139</f>
        <v>5.7983660696339587</v>
      </c>
    </row>
    <row r="270" spans="1:49" x14ac:dyDescent="0.2">
      <c r="A270" s="1" t="s">
        <v>563</v>
      </c>
      <c r="B270" s="4" t="str">
        <f>$B$43</f>
        <v>From Fiscal</v>
      </c>
      <c r="D270" s="18">
        <f>Fiscal!D$57-SUM(D$268:D$269)</f>
        <v>2.7480000000000002</v>
      </c>
      <c r="E270" s="19">
        <f ca="1">Fiscal!E$57-SUM(E$268:E$269) +IF(OR(OFFSET(Assumptions!$B$72,0,$C$1)="BU",OFFSET(Assumptions!$B$113,0,$C$1)="SND"),Allocate!C$17,0)</f>
        <v>2.8529999999999998</v>
      </c>
      <c r="F270" s="19">
        <f ca="1">Fiscal!F$57-SUM(F$268:F$269) +IF(OR(OFFSET(Assumptions!$B$72,0,$C$1)="BU",OFFSET(Assumptions!$B$113,0,$C$1)="SND"),Allocate!D$17,0)</f>
        <v>3.2089999999999996</v>
      </c>
      <c r="G270" s="19">
        <f ca="1">Fiscal!G$57-SUM(G$268:G$269) +IF(OR(OFFSET(Assumptions!$B$72,0,$C$1)="BU",OFFSET(Assumptions!$B$113,0,$C$1)="SND"),Allocate!E$17,0)</f>
        <v>3.1939999999999995</v>
      </c>
      <c r="H270" s="19">
        <f ca="1">Fiscal!H$57-SUM(H$268:H$269) +IF(OR(OFFSET(Assumptions!$B$72,0,$C$1)="BU",OFFSET(Assumptions!$B$113,0,$C$1)="SND"),Allocate!F$17,0)</f>
        <v>3.2060000000000004</v>
      </c>
      <c r="I270" s="19">
        <f ca="1">Fiscal!I$57-SUM(I$268:I$269) +IF(OR(OFFSET(Assumptions!$B$72,0,$C$1)="BU",OFFSET(Assumptions!$B$113,0,$C$1)="SND"),Allocate!G$17,0)</f>
        <v>3.3310000000000004</v>
      </c>
      <c r="J270" s="7">
        <f ca="1">IF(OFFSET(Assumptions!$B$72,0,$C$1)="BU",J$14*(I$270/I$14+MIN(ABS(OFFSET(Assumptions!$B$78,0,$C$1)-I$270/I$14),OFFSET(Assumptions!$B$75,0,$C$1))*SIGN(OFFSET(Assumptions!$B$78,0,$C$1)-I$270/I$14)),I$270+IF(OFFSET(Assumptions!$B$113,0,$C$1)="SND",Allocate!$B$17*J$232*J$14,0))</f>
        <v>3.6272573296517181</v>
      </c>
      <c r="K270" s="7">
        <f ca="1">IF(OFFSET(Assumptions!$B$72,0,$C$1)="BU",K$14*(J$270/J$14+MIN(ABS(OFFSET(Assumptions!$B$78,0,$C$1)-J$270/J$14),OFFSET(Assumptions!$B$75,0,$C$1))*SIGN(OFFSET(Assumptions!$B$78,0,$C$1)-J$270/J$14)),J$270+IF(OFFSET(Assumptions!$B$113,0,$C$1)="SND",Allocate!$B$17*K$232*K$14,0))</f>
        <v>3.9412546645183517</v>
      </c>
      <c r="L270" s="7">
        <f ca="1">IF(OFFSET(Assumptions!$B$72,0,$C$1)="BU",L$14*(K$270/K$14+MIN(ABS(OFFSET(Assumptions!$B$78,0,$C$1)-K$270/K$14),OFFSET(Assumptions!$B$75,0,$C$1))*SIGN(OFFSET(Assumptions!$B$78,0,$C$1)-K$270/K$14)),K$270+IF(OFFSET(Assumptions!$B$113,0,$C$1)="SND",Allocate!$B$17*L$232*L$14,0))</f>
        <v>4.2815428892597476</v>
      </c>
      <c r="M270" s="7">
        <f ca="1">IF(OFFSET(Assumptions!$B$72,0,$C$1)="BU",M$14*(L$270/L$14+MIN(ABS(OFFSET(Assumptions!$B$78,0,$C$1)-L$270/L$14),OFFSET(Assumptions!$B$75,0,$C$1))*SIGN(OFFSET(Assumptions!$B$78,0,$C$1)-L$270/L$14)),L$270+IF(OFFSET(Assumptions!$B$113,0,$C$1)="SND",Allocate!$B$17*M$232*M$14,0))</f>
        <v>4.596146813557147</v>
      </c>
      <c r="N270" s="7">
        <f ca="1">IF(OFFSET(Assumptions!$B$72,0,$C$1)="BU",N$14*(M$270/M$14+MIN(ABS(OFFSET(Assumptions!$B$78,0,$C$1)-M$270/M$14),OFFSET(Assumptions!$B$75,0,$C$1))*SIGN(OFFSET(Assumptions!$B$78,0,$C$1)-M$270/M$14)),M$270+IF(OFFSET(Assumptions!$B$113,0,$C$1)="SND",Allocate!$B$17*N$232*N$14,0))</f>
        <v>4.7943670273219965</v>
      </c>
      <c r="O270" s="7">
        <f ca="1">IF(OFFSET(Assumptions!$B$72,0,$C$1)="BU",O$14*(N$270/N$14+MIN(ABS(OFFSET(Assumptions!$B$78,0,$C$1)-N$270/N$14),OFFSET(Assumptions!$B$75,0,$C$1))*SIGN(OFFSET(Assumptions!$B$78,0,$C$1)-N$270/N$14)),N$270+IF(OFFSET(Assumptions!$B$113,0,$C$1)="SND",Allocate!$B$17*O$232*O$14,0))</f>
        <v>4.9990228929213778</v>
      </c>
      <c r="P270" s="7">
        <f ca="1">IF(OFFSET(Assumptions!$B$72,0,$C$1)="BU",P$14*(O$270/O$14+MIN(ABS(OFFSET(Assumptions!$B$78,0,$C$1)-O$270/O$14),OFFSET(Assumptions!$B$75,0,$C$1))*SIGN(OFFSET(Assumptions!$B$78,0,$C$1)-O$270/O$14)),O$270+IF(OFFSET(Assumptions!$B$113,0,$C$1)="SND",Allocate!$B$17*P$232*P$14,0))</f>
        <v>5.2104260782470124</v>
      </c>
      <c r="Q270" s="7">
        <f ca="1">IF(OFFSET(Assumptions!$B$72,0,$C$1)="BU",Q$14*(P$270/P$14+MIN(ABS(OFFSET(Assumptions!$B$78,0,$C$1)-P$270/P$14),OFFSET(Assumptions!$B$75,0,$C$1))*SIGN(OFFSET(Assumptions!$B$78,0,$C$1)-P$270/P$14)),P$270+IF(OFFSET(Assumptions!$B$113,0,$C$1)="SND",Allocate!$B$17*Q$232*Q$14,0))</f>
        <v>5.4283482290411591</v>
      </c>
      <c r="R270" s="7">
        <f ca="1">IF(OFFSET(Assumptions!$B$72,0,$C$1)="BU",R$14*(Q$270/Q$14+MIN(ABS(OFFSET(Assumptions!$B$78,0,$C$1)-Q$270/Q$14),OFFSET(Assumptions!$B$75,0,$C$1))*SIGN(OFFSET(Assumptions!$B$78,0,$C$1)-Q$270/Q$14)),Q$270+IF(OFFSET(Assumptions!$B$113,0,$C$1)="SND",Allocate!$B$17*R$232*R$14,0))</f>
        <v>5.6526275996684419</v>
      </c>
      <c r="S270" s="7">
        <f ca="1">IF(OFFSET(Assumptions!$B$72,0,$C$1)="BU",S$14*(R$270/R$14+MIN(ABS(OFFSET(Assumptions!$B$78,0,$C$1)-R$270/R$14),OFFSET(Assumptions!$B$75,0,$C$1))*SIGN(OFFSET(Assumptions!$B$78,0,$C$1)-R$270/R$14)),R$270+IF(OFFSET(Assumptions!$B$113,0,$C$1)="SND",Allocate!$B$17*S$232*S$14,0))</f>
        <v>5.8839769408232421</v>
      </c>
      <c r="T270" s="7">
        <f ca="1">IF(OFFSET(Assumptions!$B$72,0,$C$1)="BU",T$14*(S$270/S$14+MIN(ABS(OFFSET(Assumptions!$B$78,0,$C$1)-S$270/S$14),OFFSET(Assumptions!$B$75,0,$C$1))*SIGN(OFFSET(Assumptions!$B$78,0,$C$1)-S$270/S$14)),S$270+IF(OFFSET(Assumptions!$B$113,0,$C$1)="SND",Allocate!$B$17*T$232*T$14,0))</f>
        <v>6.1224806177775477</v>
      </c>
      <c r="U270" s="7">
        <f ca="1">IF(OFFSET(Assumptions!$B$72,0,$C$1)="BU",U$14*(T$270/T$14+MIN(ABS(OFFSET(Assumptions!$B$78,0,$C$1)-T$270/T$14),OFFSET(Assumptions!$B$75,0,$C$1))*SIGN(OFFSET(Assumptions!$B$78,0,$C$1)-T$270/T$14)),T$270+IF(OFFSET(Assumptions!$B$113,0,$C$1)="SND",Allocate!$B$17*U$232*U$14,0))</f>
        <v>6.3689946139410685</v>
      </c>
      <c r="V270" s="7">
        <f ca="1">IF(OFFSET(Assumptions!$B$72,0,$C$1)="BU",V$14*(U$270/U$14+MIN(ABS(OFFSET(Assumptions!$B$78,0,$C$1)-U$270/U$14),OFFSET(Assumptions!$B$75,0,$C$1))*SIGN(OFFSET(Assumptions!$B$78,0,$C$1)-U$270/U$14)),U$270+IF(OFFSET(Assumptions!$B$113,0,$C$1)="SND",Allocate!$B$17*V$232*V$14,0))</f>
        <v>6.6241274505213639</v>
      </c>
      <c r="W270" s="7">
        <f ca="1">IF(OFFSET(Assumptions!$B$72,0,$C$1)="BU",W$14*(V$270/V$14+MIN(ABS(OFFSET(Assumptions!$B$78,0,$C$1)-V$270/V$14),OFFSET(Assumptions!$B$75,0,$C$1))*SIGN(OFFSET(Assumptions!$B$78,0,$C$1)-V$270/V$14)),V$270+IF(OFFSET(Assumptions!$B$113,0,$C$1)="SND",Allocate!$B$17*W$232*W$14,0))</f>
        <v>6.888618311700041</v>
      </c>
      <c r="X270" s="7">
        <f ca="1">IF(OFFSET(Assumptions!$B$72,0,$C$1)="BU",X$14*(W$270/W$14+MIN(ABS(OFFSET(Assumptions!$B$78,0,$C$1)-W$270/W$14),OFFSET(Assumptions!$B$75,0,$C$1))*SIGN(OFFSET(Assumptions!$B$78,0,$C$1)-W$270/W$14)),W$270+IF(OFFSET(Assumptions!$B$113,0,$C$1)="SND",Allocate!$B$17*X$232*X$14,0))</f>
        <v>7.1633049609939805</v>
      </c>
      <c r="Y270" s="7">
        <f ca="1">IF(OFFSET(Assumptions!$B$72,0,$C$1)="BU",Y$14*(X$270/X$14+MIN(ABS(OFFSET(Assumptions!$B$78,0,$C$1)-X$270/X$14),OFFSET(Assumptions!$B$75,0,$C$1))*SIGN(OFFSET(Assumptions!$B$78,0,$C$1)-X$270/X$14)),X$270+IF(OFFSET(Assumptions!$B$113,0,$C$1)="SND",Allocate!$B$17*Y$232*Y$14,0))</f>
        <v>7.4481593163325268</v>
      </c>
      <c r="Z270" s="7">
        <f ca="1">IF(OFFSET(Assumptions!$B$72,0,$C$1)="BU",Z$14*(Y$270/Y$14+MIN(ABS(OFFSET(Assumptions!$B$78,0,$C$1)-Y$270/Y$14),OFFSET(Assumptions!$B$75,0,$C$1))*SIGN(OFFSET(Assumptions!$B$78,0,$C$1)-Y$270/Y$14)),Y$270+IF(OFFSET(Assumptions!$B$113,0,$C$1)="SND",Allocate!$B$17*Z$232*Z$14,0))</f>
        <v>7.7446232085965985</v>
      </c>
      <c r="AA270" s="7">
        <f ca="1">IF(OFFSET(Assumptions!$B$72,0,$C$1)="BU",AA$14*(Z$270/Z$14+MIN(ABS(OFFSET(Assumptions!$B$78,0,$C$1)-Z$270/Z$14),OFFSET(Assumptions!$B$75,0,$C$1))*SIGN(OFFSET(Assumptions!$B$78,0,$C$1)-Z$270/Z$14)),Z$270+IF(OFFSET(Assumptions!$B$113,0,$C$1)="SND",Allocate!$B$17*AA$232*AA$14,0))</f>
        <v>8.0531763173862334</v>
      </c>
      <c r="AB270" s="7">
        <f ca="1">IF(OFFSET(Assumptions!$B$72,0,$C$1)="BU",AB$14*(AA$270/AA$14+MIN(ABS(OFFSET(Assumptions!$B$78,0,$C$1)-AA$270/AA$14),OFFSET(Assumptions!$B$75,0,$C$1))*SIGN(OFFSET(Assumptions!$B$78,0,$C$1)-AA$270/AA$14)),AA$270+IF(OFFSET(Assumptions!$B$113,0,$C$1)="SND",Allocate!$B$17*AB$232*AB$14,0))</f>
        <v>8.3747452561823952</v>
      </c>
      <c r="AC270" s="7">
        <f ca="1">IF(OFFSET(Assumptions!$B$72,0,$C$1)="BU",AC$14*(AB$270/AB$14+MIN(ABS(OFFSET(Assumptions!$B$78,0,$C$1)-AB$270/AB$14),OFFSET(Assumptions!$B$75,0,$C$1))*SIGN(OFFSET(Assumptions!$B$78,0,$C$1)-AB$270/AB$14)),AB$270+IF(OFFSET(Assumptions!$B$113,0,$C$1)="SND",Allocate!$B$17*AC$232*AC$14,0))</f>
        <v>8.7105439913667144</v>
      </c>
      <c r="AD270" s="7">
        <f ca="1">IF(OFFSET(Assumptions!$B$72,0,$C$1)="BU",AD$14*(AC$270/AC$14+MIN(ABS(OFFSET(Assumptions!$B$78,0,$C$1)-AC$270/AC$14),OFFSET(Assumptions!$B$75,0,$C$1))*SIGN(OFFSET(Assumptions!$B$78,0,$C$1)-AC$270/AC$14)),AC$270+IF(OFFSET(Assumptions!$B$113,0,$C$1)="SND",Allocate!$B$17*AD$232*AD$14,0))</f>
        <v>9.0609264589483853</v>
      </c>
      <c r="AE270" s="7">
        <f ca="1">IF(OFFSET(Assumptions!$B$72,0,$C$1)="BU",AE$14*(AD$270/AD$14+MIN(ABS(OFFSET(Assumptions!$B$78,0,$C$1)-AD$270/AD$14),OFFSET(Assumptions!$B$75,0,$C$1))*SIGN(OFFSET(Assumptions!$B$78,0,$C$1)-AD$270/AD$14)),AD$270+IF(OFFSET(Assumptions!$B$113,0,$C$1)="SND",Allocate!$B$17*AE$232*AE$14,0))</f>
        <v>9.4255708793321489</v>
      </c>
      <c r="AF270" s="7">
        <f ca="1">IF(OFFSET(Assumptions!$B$72,0,$C$1)="BU",AF$14*(AE$270/AE$14+MIN(ABS(OFFSET(Assumptions!$B$78,0,$C$1)-AE$270/AE$14),OFFSET(Assumptions!$B$75,0,$C$1))*SIGN(OFFSET(Assumptions!$B$78,0,$C$1)-AE$270/AE$14)),AE$270+IF(OFFSET(Assumptions!$B$113,0,$C$1)="SND",Allocate!$B$17*AF$232*AF$14,0))</f>
        <v>9.8054860776252166</v>
      </c>
      <c r="AG270" s="7">
        <f ca="1">IF(OFFSET(Assumptions!$B$72,0,$C$1)="BU",AG$14*(AF$270/AF$14+MIN(ABS(OFFSET(Assumptions!$B$78,0,$C$1)-AF$270/AF$14),OFFSET(Assumptions!$B$75,0,$C$1))*SIGN(OFFSET(Assumptions!$B$78,0,$C$1)-AF$270/AF$14)),AF$270+IF(OFFSET(Assumptions!$B$113,0,$C$1)="SND",Allocate!$B$17*AG$232*AG$14,0))</f>
        <v>10.200884486520168</v>
      </c>
      <c r="AH270" s="7">
        <f ca="1">IF(OFFSET(Assumptions!$B$72,0,$C$1)="BU",AH$14*(AG$270/AG$14+MIN(ABS(OFFSET(Assumptions!$B$78,0,$C$1)-AG$270/AG$14),OFFSET(Assumptions!$B$75,0,$C$1))*SIGN(OFFSET(Assumptions!$B$78,0,$C$1)-AG$270/AG$14)),AG$270+IF(OFFSET(Assumptions!$B$113,0,$C$1)="SND",Allocate!$B$17*AH$232*AH$14,0))</f>
        <v>10.612400154800897</v>
      </c>
      <c r="AI270" s="7">
        <f ca="1">IF(OFFSET(Assumptions!$B$72,0,$C$1)="BU",AI$14*(AH$270/AH$14+MIN(ABS(OFFSET(Assumptions!$B$78,0,$C$1)-AH$270/AH$14),OFFSET(Assumptions!$B$75,0,$C$1))*SIGN(OFFSET(Assumptions!$B$78,0,$C$1)-AH$270/AH$14)),AH$270+IF(OFFSET(Assumptions!$B$113,0,$C$1)="SND",Allocate!$B$17*AI$232*AI$14,0))</f>
        <v>11.039314028369413</v>
      </c>
      <c r="AJ270" s="7">
        <f ca="1">IF(OFFSET(Assumptions!$B$72,0,$C$1)="BU",AJ$14*(AI$270/AI$14+MIN(ABS(OFFSET(Assumptions!$B$78,0,$C$1)-AI$270/AI$14),OFFSET(Assumptions!$B$75,0,$C$1))*SIGN(OFFSET(Assumptions!$B$78,0,$C$1)-AI$270/AI$14)),AI$270+IF(OFFSET(Assumptions!$B$113,0,$C$1)="SND",Allocate!$B$17*AJ$232*AJ$14,0))</f>
        <v>11.482993725065548</v>
      </c>
      <c r="AK270" s="7">
        <f ca="1">IF(OFFSET(Assumptions!$B$72,0,$C$1)="BU",AK$14*(AJ$270/AJ$14+MIN(ABS(OFFSET(Assumptions!$B$78,0,$C$1)-AJ$270/AJ$14),OFFSET(Assumptions!$B$75,0,$C$1))*SIGN(OFFSET(Assumptions!$B$78,0,$C$1)-AJ$270/AJ$14)),AJ$270+IF(OFFSET(Assumptions!$B$113,0,$C$1)="SND",Allocate!$B$17*AK$232*AK$14,0))</f>
        <v>11.943074260303876</v>
      </c>
      <c r="AL270" s="7">
        <f ca="1">IF(OFFSET(Assumptions!$B$72,0,$C$1)="BU",AL$14*(AK$270/AK$14+MIN(ABS(OFFSET(Assumptions!$B$78,0,$C$1)-AK$270/AK$14),OFFSET(Assumptions!$B$75,0,$C$1))*SIGN(OFFSET(Assumptions!$B$78,0,$C$1)-AK$270/AK$14)),AK$270+IF(OFFSET(Assumptions!$B$113,0,$C$1)="SND",Allocate!$B$17*AL$232*AL$14,0))</f>
        <v>12.419193215954008</v>
      </c>
      <c r="AM270" s="7">
        <f ca="1">IF(OFFSET(Assumptions!$B$72,0,$C$1)="BU",AM$14*(AL$270/AL$14+MIN(ABS(OFFSET(Assumptions!$B$78,0,$C$1)-AL$270/AL$14),OFFSET(Assumptions!$B$75,0,$C$1))*SIGN(OFFSET(Assumptions!$B$78,0,$C$1)-AL$270/AL$14)),AL$270+IF(OFFSET(Assumptions!$B$113,0,$C$1)="SND",Allocate!$B$17*AM$232*AM$14,0))</f>
        <v>12.912001032509709</v>
      </c>
      <c r="AN270" s="7">
        <f ca="1">IF(OFFSET(Assumptions!$B$72,0,$C$1)="BU",AN$14*(AM$270/AM$14+MIN(ABS(OFFSET(Assumptions!$B$78,0,$C$1)-AM$270/AM$14),OFFSET(Assumptions!$B$75,0,$C$1))*SIGN(OFFSET(Assumptions!$B$78,0,$C$1)-AM$270/AM$14)),AM$270+IF(OFFSET(Assumptions!$B$113,0,$C$1)="SND",Allocate!$B$17*AN$232*AN$14,0))</f>
        <v>13.422183200871412</v>
      </c>
      <c r="AO270" s="7">
        <f ca="1">IF(OFFSET(Assumptions!$B$72,0,$C$1)="BU",AO$14*(AN$270/AN$14+MIN(ABS(OFFSET(Assumptions!$B$78,0,$C$1)-AN$270/AN$14),OFFSET(Assumptions!$B$75,0,$C$1))*SIGN(OFFSET(Assumptions!$B$78,0,$C$1)-AN$270/AN$14)),AN$270+IF(OFFSET(Assumptions!$B$113,0,$C$1)="SND",Allocate!$B$17*AO$232*AO$14,0))</f>
        <v>13.947736412093132</v>
      </c>
      <c r="AP270" s="7">
        <f ca="1">IF(OFFSET(Assumptions!$B$72,0,$C$1)="BU",AP$14*(AO$270/AO$14+MIN(ABS(OFFSET(Assumptions!$B$78,0,$C$1)-AO$270/AO$14),OFFSET(Assumptions!$B$75,0,$C$1))*SIGN(OFFSET(Assumptions!$B$78,0,$C$1)-AO$270/AO$14)),AO$270+IF(OFFSET(Assumptions!$B$113,0,$C$1)="SND",Allocate!$B$17*AP$232*AP$14,0))</f>
        <v>14.49089242532076</v>
      </c>
      <c r="AQ270" s="7">
        <f ca="1">IF(OFFSET(Assumptions!$B$72,0,$C$1)="BU",AQ$14*(AP$270/AP$14+MIN(ABS(OFFSET(Assumptions!$B$78,0,$C$1)-AP$270/AP$14),OFFSET(Assumptions!$B$75,0,$C$1))*SIGN(OFFSET(Assumptions!$B$78,0,$C$1)-AP$270/AP$14)),AP$270+IF(OFFSET(Assumptions!$B$113,0,$C$1)="SND",Allocate!$B$17*AQ$232*AQ$14,0))</f>
        <v>15.050129319119284</v>
      </c>
      <c r="AR270" s="7">
        <f ca="1">IF(OFFSET(Assumptions!$B$72,0,$C$1)="BU",AR$14*(AQ$270/AQ$14+MIN(ABS(OFFSET(Assumptions!$B$78,0,$C$1)-AQ$270/AQ$14),OFFSET(Assumptions!$B$75,0,$C$1))*SIGN(OFFSET(Assumptions!$B$78,0,$C$1)-AQ$270/AQ$14)),AQ$270+IF(OFFSET(Assumptions!$B$113,0,$C$1)="SND",Allocate!$B$17*AR$232*AR$14,0))</f>
        <v>15.626080249698214</v>
      </c>
      <c r="AS270" s="7">
        <f ca="1">IF(OFFSET(Assumptions!$B$72,0,$C$1)="BU",AS$14*(AR$270/AR$14+MIN(ABS(OFFSET(Assumptions!$B$78,0,$C$1)-AR$270/AR$14),OFFSET(Assumptions!$B$75,0,$C$1))*SIGN(OFFSET(Assumptions!$B$78,0,$C$1)-AR$270/AR$14)),AR$270+IF(OFFSET(Assumptions!$B$113,0,$C$1)="SND",Allocate!$B$17*AS$232*AS$14,0))</f>
        <v>16.220088893965929</v>
      </c>
      <c r="AT270" s="7">
        <f ca="1">IF(OFFSET(Assumptions!$B$72,0,$C$1)="BU",AT$14*(AS$270/AS$14+MIN(ABS(OFFSET(Assumptions!$B$78,0,$C$1)-AS$270/AS$14),OFFSET(Assumptions!$B$75,0,$C$1))*SIGN(OFFSET(Assumptions!$B$78,0,$C$1)-AS$270/AS$14)),AS$270+IF(OFFSET(Assumptions!$B$113,0,$C$1)="SND",Allocate!$B$17*AT$232*AT$14,0))</f>
        <v>16.832629667179297</v>
      </c>
      <c r="AU270" s="7">
        <f ca="1">IF(OFFSET(Assumptions!$B$72,0,$C$1)="BU",AU$14*(AT$270/AT$14+MIN(ABS(OFFSET(Assumptions!$B$78,0,$C$1)-AT$270/AT$14),OFFSET(Assumptions!$B$75,0,$C$1))*SIGN(OFFSET(Assumptions!$B$78,0,$C$1)-AT$270/AT$14)),AT$270+IF(OFFSET(Assumptions!$B$113,0,$C$1)="SND",Allocate!$B$17*AU$232*AU$14,0))</f>
        <v>17.464517111820268</v>
      </c>
      <c r="AV270" s="7">
        <f ca="1">IF(OFFSET(Assumptions!$B$72,0,$C$1)="BU",AV$14*(AU$270/AU$14+MIN(ABS(OFFSET(Assumptions!$B$78,0,$C$1)-AU$270/AU$14),OFFSET(Assumptions!$B$75,0,$C$1))*SIGN(OFFSET(Assumptions!$B$78,0,$C$1)-AU$270/AU$14)),AU$270+IF(OFFSET(Assumptions!$B$113,0,$C$1)="SND",Allocate!$B$17*AV$232*AV$14,0))</f>
        <v>18.117704959455995</v>
      </c>
      <c r="AW270" s="7">
        <f ca="1">IF(OFFSET(Assumptions!$B$72,0,$C$1)="BU",AW$14*(AV$270/AV$14+MIN(ABS(OFFSET(Assumptions!$B$78,0,$C$1)-AV$270/AV$14),OFFSET(Assumptions!$B$75,0,$C$1))*SIGN(OFFSET(Assumptions!$B$78,0,$C$1)-AV$270/AV$14)),AV$270+IF(OFFSET(Assumptions!$B$113,0,$C$1)="SND",Allocate!$B$17*AW$232*AW$14,0))</f>
        <v>18.791824448851713</v>
      </c>
    </row>
    <row r="271" spans="1:49" ht="15" x14ac:dyDescent="0.25">
      <c r="A271" s="2" t="s">
        <v>564</v>
      </c>
      <c r="D271" s="40">
        <f t="shared" ref="D271" si="190">SUM(D$268:D$270)</f>
        <v>4.1340000000000003</v>
      </c>
      <c r="E271" s="39">
        <f t="shared" ref="E271:AW271" ca="1" si="191">SUM(E$268:E$270)</f>
        <v>4.3859999999999992</v>
      </c>
      <c r="F271" s="39">
        <f t="shared" ca="1" si="191"/>
        <v>4.8940000000000001</v>
      </c>
      <c r="G271" s="39">
        <f t="shared" ca="1" si="191"/>
        <v>4.9129999999999994</v>
      </c>
      <c r="H271" s="39">
        <f t="shared" ca="1" si="191"/>
        <v>4.9130000000000003</v>
      </c>
      <c r="I271" s="39">
        <f t="shared" ca="1" si="191"/>
        <v>5.0360000000000005</v>
      </c>
      <c r="J271" s="43">
        <f t="shared" ca="1" si="191"/>
        <v>5.4909952138340703</v>
      </c>
      <c r="K271" s="43">
        <f t="shared" ca="1" si="191"/>
        <v>5.8883593134525434</v>
      </c>
      <c r="L271" s="43">
        <f t="shared" ca="1" si="191"/>
        <v>6.3152246009113195</v>
      </c>
      <c r="M271" s="43">
        <f t="shared" ca="1" si="191"/>
        <v>6.7176966999130325</v>
      </c>
      <c r="N271" s="43">
        <f t="shared" ca="1" si="191"/>
        <v>7.0074140065787915</v>
      </c>
      <c r="O271" s="43">
        <f t="shared" ca="1" si="191"/>
        <v>7.3066556907209144</v>
      </c>
      <c r="P271" s="43">
        <f t="shared" ca="1" si="191"/>
        <v>7.6184568276064049</v>
      </c>
      <c r="Q271" s="43">
        <f t="shared" ca="1" si="191"/>
        <v>7.9384385079869499</v>
      </c>
      <c r="R271" s="43">
        <f t="shared" ca="1" si="191"/>
        <v>8.2664255709409389</v>
      </c>
      <c r="S271" s="43">
        <f t="shared" ca="1" si="191"/>
        <v>8.6047517875228614</v>
      </c>
      <c r="T271" s="43">
        <f t="shared" ca="1" si="191"/>
        <v>8.9535405338492886</v>
      </c>
      <c r="U271" s="43">
        <f t="shared" ca="1" si="191"/>
        <v>9.3140436035368239</v>
      </c>
      <c r="V271" s="43">
        <f t="shared" ca="1" si="191"/>
        <v>9.6871509004721048</v>
      </c>
      <c r="W271" s="43">
        <f t="shared" ca="1" si="191"/>
        <v>10.073943410605949</v>
      </c>
      <c r="X271" s="43">
        <f t="shared" ca="1" si="191"/>
        <v>10.475646282709658</v>
      </c>
      <c r="Y271" s="43">
        <f t="shared" ca="1" si="191"/>
        <v>10.892218449448993</v>
      </c>
      <c r="Z271" s="43">
        <f t="shared" ca="1" si="191"/>
        <v>11.325768450163025</v>
      </c>
      <c r="AA271" s="43">
        <f t="shared" ca="1" si="191"/>
        <v>11.776997770248002</v>
      </c>
      <c r="AB271" s="43">
        <f t="shared" ca="1" si="191"/>
        <v>12.247261493023734</v>
      </c>
      <c r="AC271" s="43">
        <f t="shared" ca="1" si="191"/>
        <v>12.738334927859615</v>
      </c>
      <c r="AD271" s="43">
        <f t="shared" ca="1" si="191"/>
        <v>13.250735672213692</v>
      </c>
      <c r="AE271" s="43">
        <f t="shared" ca="1" si="191"/>
        <v>13.783993154298322</v>
      </c>
      <c r="AF271" s="43">
        <f t="shared" ca="1" si="191"/>
        <v>14.339582684049605</v>
      </c>
      <c r="AG271" s="43">
        <f t="shared" ca="1" si="191"/>
        <v>14.91781492390038</v>
      </c>
      <c r="AH271" s="43">
        <f t="shared" ca="1" si="191"/>
        <v>15.519617109368639</v>
      </c>
      <c r="AI271" s="43">
        <f t="shared" ca="1" si="191"/>
        <v>16.143937692819637</v>
      </c>
      <c r="AJ271" s="43">
        <f t="shared" ca="1" si="191"/>
        <v>16.7927766841396</v>
      </c>
      <c r="AK271" s="43">
        <f t="shared" ca="1" si="191"/>
        <v>17.465600328387701</v>
      </c>
      <c r="AL271" s="43">
        <f t="shared" ca="1" si="191"/>
        <v>18.161878623817387</v>
      </c>
      <c r="AM271" s="43">
        <f t="shared" ca="1" si="191"/>
        <v>18.882562777249777</v>
      </c>
      <c r="AN271" s="43">
        <f t="shared" ca="1" si="191"/>
        <v>19.628655253363128</v>
      </c>
      <c r="AO271" s="43">
        <f t="shared" ca="1" si="191"/>
        <v>20.397226405014472</v>
      </c>
      <c r="AP271" s="43">
        <f t="shared" ca="1" si="191"/>
        <v>21.191539965847412</v>
      </c>
      <c r="AQ271" s="43">
        <f t="shared" ca="1" si="191"/>
        <v>22.009370271771132</v>
      </c>
      <c r="AR271" s="43">
        <f t="shared" ca="1" si="191"/>
        <v>22.851643252999217</v>
      </c>
      <c r="AS271" s="43">
        <f t="shared" ca="1" si="191"/>
        <v>23.720323908102451</v>
      </c>
      <c r="AT271" s="43">
        <f t="shared" ca="1" si="191"/>
        <v>24.616106023880238</v>
      </c>
      <c r="AU271" s="43">
        <f t="shared" ca="1" si="191"/>
        <v>25.540180790568041</v>
      </c>
      <c r="AV271" s="43">
        <f t="shared" ca="1" si="191"/>
        <v>26.495405353148563</v>
      </c>
      <c r="AW271" s="43">
        <f t="shared" ca="1" si="191"/>
        <v>27.481240433693628</v>
      </c>
    </row>
    <row r="272" spans="1:49" ht="15" x14ac:dyDescent="0.25">
      <c r="A272" s="2" t="s">
        <v>565</v>
      </c>
      <c r="B272" s="4" t="str">
        <f>$B$43</f>
        <v>From Fiscal</v>
      </c>
      <c r="D272" s="47">
        <f>Fiscal!D$40</f>
        <v>3.8980000000000001</v>
      </c>
      <c r="E272" s="44">
        <f ca="1">Fiscal!E$40  +IF(OR(OFFSET(Assumptions!$B$72,0,$C$1)="BU",OFFSET(Assumptions!$B$113,0,$C$1)="SND"),Allocate!C$17,0)</f>
        <v>4.1760000000000002</v>
      </c>
      <c r="F272" s="44">
        <f ca="1">Fiscal!F$40  +IF(OR(OFFSET(Assumptions!$B$72,0,$C$1)="BU",OFFSET(Assumptions!$B$113,0,$C$1)="SND"),Allocate!D$17,0)</f>
        <v>4.8249999999999993</v>
      </c>
      <c r="G272" s="44">
        <f ca="1">Fiscal!G$40  +IF(OR(OFFSET(Assumptions!$B$72,0,$C$1)="BU",OFFSET(Assumptions!$B$113,0,$C$1)="SND"),Allocate!E$17,0)</f>
        <v>4.867</v>
      </c>
      <c r="H272" s="44">
        <f ca="1">Fiscal!H$40  +IF(OR(OFFSET(Assumptions!$B$72,0,$C$1)="BU",OFFSET(Assumptions!$B$113,0,$C$1)="SND"),Allocate!F$17,0)</f>
        <v>4.8209999999999997</v>
      </c>
      <c r="I272" s="44">
        <f ca="1">Fiscal!I$40  +IF(OR(OFFSET(Assumptions!$B$72,0,$C$1)="BU",OFFSET(Assumptions!$B$113,0,$C$1)="SND"),Allocate!G$17,0)</f>
        <v>4.952</v>
      </c>
      <c r="J272" s="8">
        <f ca="1">IF(J$6=OFFSET(Assumptions!$B$8,0,$C$1),AVERAGE((G$272-G$271)/G$14,(H$272-H$271)/H$14,(I$272-I$271)/I$14),(I$272-I$271)/I$14)*J$14 + J$271</f>
        <v>5.4110782705621867</v>
      </c>
      <c r="K272" s="8">
        <f ca="1">IF(K$6=OFFSET(Assumptions!$B$8,0,$C$1),AVERAGE((H$272-H$271)/H$14,(I$272-I$271)/I$14,(J$272-J$271)/J$14),(J$272-J$271)/J$14)*K$14 + K$271</f>
        <v>5.8051026253504094</v>
      </c>
      <c r="L272" s="8">
        <f ca="1">IF(L$6=OFFSET(Assumptions!$B$8,0,$C$1),AVERAGE((I$272-I$271)/I$14,(J$272-J$271)/J$14,(K$272-K$271)/K$14),(K$272-K$271)/K$14)*L$14 + L$271</f>
        <v>6.2283591274924639</v>
      </c>
      <c r="M272" s="8">
        <f ca="1">IF(M$6=OFFSET(Assumptions!$B$8,0,$C$1),AVERAGE((J$272-J$271)/J$14,(K$272-K$271)/K$14,(L$272-L$271)/L$14),(L$272-L$271)/L$14)*M$14 + M$271</f>
        <v>6.6270780774392337</v>
      </c>
      <c r="N272" s="8">
        <f ca="1">IF(N$6=OFFSET(Assumptions!$B$8,0,$C$1),AVERAGE((K$272-K$271)/K$14,(L$272-L$271)/L$14,(M$272-M$271)/M$14),(M$272-M$271)/M$14)*N$14 + N$271</f>
        <v>6.91288723159236</v>
      </c>
      <c r="O272" s="8">
        <f ca="1">IF(O$6=OFFSET(Assumptions!$B$8,0,$C$1),AVERAGE((L$272-L$271)/L$14,(M$272-M$271)/M$14,(N$272-N$271)/N$14),(N$272-N$271)/N$14)*O$14 + O$271</f>
        <v>7.2080938765213975</v>
      </c>
      <c r="P272" s="8">
        <f ca="1">IF(P$6=OFFSET(Assumptions!$B$8,0,$C$1),AVERAGE((M$272-M$271)/M$14,(N$272-N$271)/N$14,(O$272-O$271)/O$14),(O$272-O$271)/O$14)*P$14 + P$271</f>
        <v>7.515726942581936</v>
      </c>
      <c r="Q272" s="8">
        <f ca="1">IF(Q$6=OFFSET(Assumptions!$B$8,0,$C$1),AVERAGE((N$272-N$271)/N$14,(O$272-O$271)/O$14,(P$272-P$271)/P$14),(P$272-P$271)/P$14)*Q$14 + Q$271</f>
        <v>7.8314120228074895</v>
      </c>
      <c r="R272" s="8">
        <f ca="1">IF(R$6=OFFSET(Assumptions!$B$8,0,$C$1),AVERAGE((O$272-O$271)/O$14,(P$272-P$271)/P$14,(Q$272-Q$271)/Q$14),(Q$272-Q$271)/Q$14)*R$14 + R$271</f>
        <v>8.1549771452883011</v>
      </c>
      <c r="S272" s="8">
        <f ca="1">IF(S$6=OFFSET(Assumptions!$B$8,0,$C$1),AVERAGE((P$272-P$271)/P$14,(Q$272-Q$271)/Q$14,(R$272-R$271)/R$14),(R$272-R$271)/R$14)*S$14 + S$271</f>
        <v>8.48874202833235</v>
      </c>
      <c r="T272" s="8">
        <f ca="1">IF(T$6=OFFSET(Assumptions!$B$8,0,$C$1),AVERAGE((Q$272-Q$271)/Q$14,(R$272-R$271)/R$14,(S$272-S$271)/S$14),(S$272-S$271)/S$14)*T$14 + T$271</f>
        <v>8.8328283846922986</v>
      </c>
      <c r="U272" s="8">
        <f ca="1">IF(U$6=OFFSET(Assumptions!$B$8,0,$C$1),AVERAGE((R$272-R$271)/R$14,(S$272-S$271)/S$14,(T$272-T$271)/T$14),(T$272-T$271)/T$14)*U$14 + U$271</f>
        <v>9.1884711312311129</v>
      </c>
      <c r="V272" s="8">
        <f ca="1">IF(V$6=OFFSET(Assumptions!$B$8,0,$C$1),AVERAGE((S$272-S$271)/S$14,(T$272-T$271)/T$14,(U$272-U$271)/U$14),(U$272-U$271)/U$14)*V$14 + V$271</f>
        <v>9.5565481740999783</v>
      </c>
      <c r="W272" s="8">
        <f ca="1">IF(W$6=OFFSET(Assumptions!$B$8,0,$C$1),AVERAGE((T$272-T$271)/T$14,(U$272-U$271)/U$14,(V$272-V$271)/V$14),(V$272-V$271)/V$14)*W$14 + W$271</f>
        <v>9.9381259253348624</v>
      </c>
      <c r="X272" s="8">
        <f ca="1">IF(X$6=OFFSET(Assumptions!$B$8,0,$C$1),AVERAGE((U$272-U$271)/U$14,(V$272-V$271)/V$14,(W$272-W$271)/W$14),(W$272-W$271)/W$14)*X$14 + X$271</f>
        <v>10.33441301618077</v>
      </c>
      <c r="Y272" s="8">
        <f ca="1">IF(Y$6=OFFSET(Assumptions!$B$8,0,$C$1),AVERAGE((V$272-V$271)/V$14,(W$272-W$271)/W$14,(X$272-X$271)/X$14),(X$272-X$271)/X$14)*Y$14 + Y$271</f>
        <v>10.74536893297563</v>
      </c>
      <c r="Z272" s="8">
        <f ca="1">IF(Z$6=OFFSET(Assumptions!$B$8,0,$C$1),AVERAGE((W$272-W$271)/W$14,(X$272-X$271)/X$14,(Y$272-Y$271)/Y$14),(Y$272-Y$271)/Y$14)*Z$14 + Z$271</f>
        <v>11.173073787609701</v>
      </c>
      <c r="AA272" s="8">
        <f ca="1">IF(AA$6=OFFSET(Assumptions!$B$8,0,$C$1),AVERAGE((X$272-X$271)/X$14,(Y$272-Y$271)/Y$14,(Z$272-Z$271)/Z$14),(Z$272-Z$271)/Z$14)*AA$14 + AA$271</f>
        <v>11.618219608012716</v>
      </c>
      <c r="AB272" s="8">
        <f ca="1">IF(AB$6=OFFSET(Assumptions!$B$8,0,$C$1),AVERAGE((Y$272-Y$271)/Y$14,(Z$272-Z$271)/Z$14,(AA$272-AA$271)/AA$14),(AA$272-AA$271)/AA$14)*AB$14 + AB$271</f>
        <v>12.082143208193122</v>
      </c>
      <c r="AC272" s="8">
        <f ca="1">IF(AC$6=OFFSET(Assumptions!$B$8,0,$C$1),AVERAGE((Z$272-Z$271)/Z$14,(AA$272-AA$271)/AA$14,(AB$272-AB$271)/AB$14),(AB$272-AB$271)/AB$14)*AC$14 + AC$271</f>
        <v>12.566595962697145</v>
      </c>
      <c r="AD272" s="8">
        <f ca="1">IF(AD$6=OFFSET(Assumptions!$B$8,0,$C$1),AVERAGE((AA$272-AA$271)/AA$14,(AB$272-AB$271)/AB$14,(AC$272-AC$271)/AC$14),(AC$272-AC$271)/AC$14)*AD$14 + AD$271</f>
        <v>13.072088490704092</v>
      </c>
      <c r="AE272" s="8">
        <f ca="1">IF(AE$6=OFFSET(Assumptions!$B$8,0,$C$1),AVERAGE((AB$272-AB$271)/AB$14,(AC$272-AC$271)/AC$14,(AD$272-AD$271)/AD$14),(AD$272-AD$271)/AD$14)*AE$14 + AE$271</f>
        <v>13.598156564702265</v>
      </c>
      <c r="AF272" s="8">
        <f ca="1">IF(AF$6=OFFSET(Assumptions!$B$8,0,$C$1),AVERAGE((AC$272-AC$271)/AC$14,(AD$272-AD$271)/AD$14,(AE$272-AE$271)/AE$14),(AE$272-AE$271)/AE$14)*AF$14 + AF$271</f>
        <v>14.146255604414232</v>
      </c>
      <c r="AG272" s="8">
        <f ca="1">IF(AG$6=OFFSET(Assumptions!$B$8,0,$C$1),AVERAGE((AD$272-AD$271)/AD$14,(AE$272-AE$271)/AE$14,(AF$272-AF$271)/AF$14),(AF$272-AF$271)/AF$14)*AG$14 + AG$271</f>
        <v>14.716692083904023</v>
      </c>
      <c r="AH272" s="8">
        <f ca="1">IF(AH$6=OFFSET(Assumptions!$B$8,0,$C$1),AVERAGE((AE$272-AE$271)/AE$14,(AF$272-AF$271)/AF$14,(AG$272-AG$271)/AG$14),(AG$272-AG$271)/AG$14)*AH$14 + AH$271</f>
        <v>15.310380737646971</v>
      </c>
      <c r="AI272" s="8">
        <f ca="1">IF(AI$6=OFFSET(Assumptions!$B$8,0,$C$1),AVERAGE((AF$272-AF$271)/AF$14,(AG$272-AG$271)/AG$14,(AH$272-AH$271)/AH$14),(AH$272-AH$271)/AH$14)*AI$14 + AI$271</f>
        <v>15.926284195034107</v>
      </c>
      <c r="AJ272" s="8">
        <f ca="1">IF(AJ$6=OFFSET(Assumptions!$B$8,0,$C$1),AVERAGE((AG$272-AG$271)/AG$14,(AH$272-AH$271)/AH$14,(AI$272-AI$271)/AI$14),(AI$272-AI$271)/AI$14)*AJ$14 + AJ$271</f>
        <v>16.566375501703178</v>
      </c>
      <c r="AK272" s="8">
        <f ca="1">IF(AK$6=OFFSET(Assumptions!$B$8,0,$C$1),AVERAGE((AH$272-AH$271)/AH$14,(AI$272-AI$271)/AI$14,(AJ$272-AJ$271)/AJ$14),(AJ$272-AJ$271)/AJ$14)*AK$14 + AK$271</f>
        <v>17.230128098828214</v>
      </c>
      <c r="AL272" s="8">
        <f ca="1">IF(AL$6=OFFSET(Assumptions!$B$8,0,$C$1),AVERAGE((AI$272-AI$271)/AI$14,(AJ$272-AJ$271)/AJ$14,(AK$272-AK$271)/AK$14),(AK$272-AK$271)/AK$14)*AL$14 + AL$271</f>
        <v>17.91701913017673</v>
      </c>
      <c r="AM272" s="8">
        <f ca="1">IF(AM$6=OFFSET(Assumptions!$B$8,0,$C$1),AVERAGE((AJ$272-AJ$271)/AJ$14,(AK$272-AK$271)/AK$14,(AL$272-AL$271)/AL$14),(AL$272-AL$271)/AL$14)*AM$14 + AM$271</f>
        <v>18.627986978344705</v>
      </c>
      <c r="AN272" s="8">
        <f ca="1">IF(AN$6=OFFSET(Assumptions!$B$8,0,$C$1),AVERAGE((AK$272-AK$271)/AK$14,(AL$272-AL$271)/AL$14,(AM$272-AM$271)/AM$14),(AM$272-AM$271)/AM$14)*AN$14 + AN$271</f>
        <v>19.364020592723861</v>
      </c>
      <c r="AO272" s="8">
        <f ca="1">IF(AO$6=OFFSET(Assumptions!$B$8,0,$C$1),AVERAGE((AL$272-AL$271)/AL$14,(AM$272-AM$271)/AM$14,(AN$272-AN$271)/AN$14),(AN$272-AN$271)/AN$14)*AO$14 + AO$271</f>
        <v>20.122229823842744</v>
      </c>
      <c r="AP272" s="8">
        <f ca="1">IF(AP$6=OFFSET(Assumptions!$B$8,0,$C$1),AVERAGE((AM$272-AM$271)/AM$14,(AN$272-AN$271)/AN$14,(AO$272-AO$271)/AO$14),(AO$272-AO$271)/AO$14)*AP$14 + AP$271</f>
        <v>20.905834403500002</v>
      </c>
      <c r="AQ272" s="8">
        <f ca="1">IF(AQ$6=OFFSET(Assumptions!$B$8,0,$C$1),AVERAGE((AN$272-AN$271)/AN$14,(AO$272-AO$271)/AO$14,(AP$272-AP$271)/AP$14),(AP$272-AP$271)/AP$14)*AQ$14 + AQ$271</f>
        <v>21.712638674136279</v>
      </c>
      <c r="AR272" s="8">
        <f ca="1">IF(AR$6=OFFSET(Assumptions!$B$8,0,$C$1),AVERAGE((AO$272-AO$271)/AO$14,(AP$272-AP$271)/AP$14,(AQ$272-AQ$271)/AQ$14),(AQ$272-AQ$271)/AQ$14)*AR$14 + AR$271</f>
        <v>22.543556082520691</v>
      </c>
      <c r="AS272" s="8">
        <f ca="1">IF(AS$6=OFFSET(Assumptions!$B$8,0,$C$1),AVERAGE((AP$272-AP$271)/AP$14,(AQ$272-AQ$271)/AQ$14,(AR$272-AR$271)/AR$14),(AR$272-AR$271)/AR$14)*AS$14 + AS$271</f>
        <v>23.400525135000116</v>
      </c>
      <c r="AT272" s="8">
        <f ca="1">IF(AT$6=OFFSET(Assumptions!$B$8,0,$C$1),AVERAGE((AQ$272-AQ$271)/AQ$14,(AR$272-AR$271)/AR$14,(AS$272-AS$271)/AS$14),(AS$272-AS$271)/AS$14)*AT$14 + AT$271</f>
        <v>24.284230264700369</v>
      </c>
      <c r="AU272" s="8">
        <f ca="1">IF(AU$6=OFFSET(Assumptions!$B$8,0,$C$1),AVERAGE((AR$272-AR$271)/AR$14,(AS$272-AS$271)/AS$14,(AT$272-AT$271)/AT$14),(AT$272-AT$271)/AT$14)*AU$14 + AU$271</f>
        <v>25.195846602161552</v>
      </c>
      <c r="AV272" s="8">
        <f ca="1">IF(AV$6=OFFSET(Assumptions!$B$8,0,$C$1),AVERAGE((AS$272-AS$271)/AS$14,(AT$272-AT$271)/AT$14,(AU$272-AU$271)/AU$14),(AU$272-AU$271)/AU$14)*AV$14 + AV$271</f>
        <v>26.138192772173156</v>
      </c>
      <c r="AW272" s="8">
        <f ca="1">IF(AW$6=OFFSET(Assumptions!$B$8,0,$C$1),AVERAGE((AT$272-AT$271)/AT$14,(AU$272-AU$271)/AU$14,(AV$272-AV$271)/AV$14),(AV$272-AV$271)/AV$14)*AW$14 + AW$271</f>
        <v>27.110736767383088</v>
      </c>
    </row>
    <row r="273" spans="1:49" ht="15" x14ac:dyDescent="0.25">
      <c r="A273" s="2"/>
      <c r="B273" s="4"/>
      <c r="D273" s="47"/>
      <c r="E273" s="44"/>
      <c r="F273" s="44"/>
      <c r="G273" s="44"/>
      <c r="H273" s="44"/>
      <c r="I273" s="44"/>
      <c r="J273" s="8"/>
      <c r="K273" s="8"/>
      <c r="L273" s="8"/>
      <c r="M273" s="8"/>
      <c r="N273" s="8"/>
      <c r="O273" s="8"/>
      <c r="P273" s="8"/>
      <c r="Q273" s="8"/>
      <c r="R273" s="8"/>
      <c r="S273" s="8"/>
    </row>
    <row r="274" spans="1:49" ht="15" x14ac:dyDescent="0.25">
      <c r="A274" s="22" t="s">
        <v>624</v>
      </c>
      <c r="B274" s="4"/>
      <c r="D274" s="47"/>
      <c r="E274" s="44"/>
      <c r="F274" s="44"/>
      <c r="G274" s="44"/>
      <c r="H274" s="44"/>
      <c r="I274" s="44"/>
      <c r="J274" s="8"/>
      <c r="K274" s="8"/>
      <c r="L274" s="8"/>
      <c r="M274" s="8"/>
      <c r="N274" s="8"/>
      <c r="O274" s="8"/>
      <c r="P274" s="8"/>
      <c r="Q274" s="8"/>
      <c r="R274" s="8"/>
      <c r="S274" s="8"/>
    </row>
    <row r="275" spans="1:49" ht="15" x14ac:dyDescent="0.25">
      <c r="A275" s="2" t="s">
        <v>566</v>
      </c>
      <c r="B275" s="4" t="str">
        <f t="shared" ref="B275:B280" si="192">$B$43</f>
        <v>From Fiscal</v>
      </c>
      <c r="D275" s="47">
        <f>Fiscal!D$58</f>
        <v>3.5150000000000001</v>
      </c>
      <c r="E275" s="44">
        <f ca="1">Fiscal!E$58  +IF(OR(OFFSET(Assumptions!$B$72,0,$C$1)="BU",OFFSET(Assumptions!$B$113,0,$C$1)="SND"),Allocate!C$18,0)</f>
        <v>3.6429999999999998</v>
      </c>
      <c r="F275" s="44">
        <f ca="1">Fiscal!F$58  +IF(OR(OFFSET(Assumptions!$B$72,0,$C$1)="BU",OFFSET(Assumptions!$B$113,0,$C$1)="SND"),Allocate!D$18,0)</f>
        <v>3.7719999999999998</v>
      </c>
      <c r="G275" s="44">
        <f ca="1">Fiscal!G$58  +IF(OR(OFFSET(Assumptions!$B$72,0,$C$1)="BU",OFFSET(Assumptions!$B$113,0,$C$1)="SND"),Allocate!E$18,0)</f>
        <v>3.9329999999999998</v>
      </c>
      <c r="H275" s="44">
        <f ca="1">Fiscal!H$58  +IF(OR(OFFSET(Assumptions!$B$72,0,$C$1)="BU",OFFSET(Assumptions!$B$113,0,$C$1)="SND"),Allocate!F$18,0)</f>
        <v>4.0259999999999998</v>
      </c>
      <c r="I275" s="44">
        <f ca="1">Fiscal!I$58  +IF(OR(OFFSET(Assumptions!$B$72,0,$C$1)="BU",OFFSET(Assumptions!$B$113,0,$C$1)="SND"),Allocate!G$18,0)</f>
        <v>4.1609999999999996</v>
      </c>
      <c r="J275" s="8">
        <f ca="1">IF(OFFSET(Assumptions!$B$72,0,$C$1)="BU",J$14*(I$275/I$14+MIN(ABS(OFFSET(Assumptions!$B$79,0,$C$1)-I$275/I$14),OFFSET(Assumptions!$B$75,0,$C$1))*SIGN(OFFSET(Assumptions!$B$79,0,$C$1)-I$275/I$14)),I$275+IF(OFFSET(Assumptions!$B$113,0,$C$1)="SND",Allocate!$B$18*J$232*J$14,0))</f>
        <v>4.3651581658937522</v>
      </c>
      <c r="K275" s="8">
        <f ca="1">IF(OFFSET(Assumptions!$B$72,0,$C$1)="BU",K$14*(J$275/J$14+MIN(ABS(OFFSET(Assumptions!$B$79,0,$C$1)-J$275/J$14),OFFSET(Assumptions!$B$75,0,$C$1))*SIGN(OFFSET(Assumptions!$B$79,0,$C$1)-J$275/J$14)),J$275+IF(OFFSET(Assumptions!$B$113,0,$C$1)="SND",Allocate!$B$18*K$232*K$14,0))</f>
        <v>4.5475789870726979</v>
      </c>
      <c r="L275" s="8">
        <f ca="1">IF(OFFSET(Assumptions!$B$72,0,$C$1)="BU",L$14*(K$275/K$14+MIN(ABS(OFFSET(Assumptions!$B$79,0,$C$1)-K$275/K$14),OFFSET(Assumptions!$B$75,0,$C$1))*SIGN(OFFSET(Assumptions!$B$79,0,$C$1)-K$275/K$14)),K$275+IF(OFFSET(Assumptions!$B$113,0,$C$1)="SND",Allocate!$B$18*L$232*L$14,0))</f>
        <v>4.7446951185124906</v>
      </c>
      <c r="M275" s="8">
        <f ca="1">IF(OFFSET(Assumptions!$B$72,0,$C$1)="BU",M$14*(L$275/L$14+MIN(ABS(OFFSET(Assumptions!$B$79,0,$C$1)-L$275/L$14),OFFSET(Assumptions!$B$75,0,$C$1))*SIGN(OFFSET(Assumptions!$B$79,0,$C$1)-L$275/L$14)),L$275+IF(OFFSET(Assumptions!$B$113,0,$C$1)="SND",Allocate!$B$18*M$232*M$14,0))</f>
        <v>4.9496965684461589</v>
      </c>
      <c r="N275" s="8">
        <f ca="1">IF(OFFSET(Assumptions!$B$72,0,$C$1)="BU",N$14*(M$275/M$14+MIN(ABS(OFFSET(Assumptions!$B$79,0,$C$1)-M$275/M$14),OFFSET(Assumptions!$B$75,0,$C$1))*SIGN(OFFSET(Assumptions!$B$79,0,$C$1)-M$275/M$14)),M$275+IF(OFFSET(Assumptions!$B$113,0,$C$1)="SND",Allocate!$B$18*N$232*N$14,0))</f>
        <v>5.1631644909621501</v>
      </c>
      <c r="O275" s="8">
        <f ca="1">IF(OFFSET(Assumptions!$B$72,0,$C$1)="BU",O$14*(N$275/N$14+MIN(ABS(OFFSET(Assumptions!$B$79,0,$C$1)-N$275/N$14),OFFSET(Assumptions!$B$75,0,$C$1))*SIGN(OFFSET(Assumptions!$B$79,0,$C$1)-N$275/N$14)),N$275+IF(OFFSET(Assumptions!$B$113,0,$C$1)="SND",Allocate!$B$18*O$232*O$14,0))</f>
        <v>5.383563115453792</v>
      </c>
      <c r="P275" s="8">
        <f ca="1">IF(OFFSET(Assumptions!$B$72,0,$C$1)="BU",P$14*(O$275/O$14+MIN(ABS(OFFSET(Assumptions!$B$79,0,$C$1)-O$275/O$14),OFFSET(Assumptions!$B$75,0,$C$1))*SIGN(OFFSET(Assumptions!$B$79,0,$C$1)-O$275/O$14)),O$275+IF(OFFSET(Assumptions!$B$113,0,$C$1)="SND",Allocate!$B$18*P$232*P$14,0))</f>
        <v>5.6112280842660143</v>
      </c>
      <c r="Q275" s="8">
        <f ca="1">IF(OFFSET(Assumptions!$B$72,0,$C$1)="BU",Q$14*(P$275/P$14+MIN(ABS(OFFSET(Assumptions!$B$79,0,$C$1)-P$275/P$14),OFFSET(Assumptions!$B$75,0,$C$1))*SIGN(OFFSET(Assumptions!$B$79,0,$C$1)-P$275/P$14)),P$275+IF(OFFSET(Assumptions!$B$113,0,$C$1)="SND",Allocate!$B$18*Q$232*Q$14,0))</f>
        <v>5.8459134774289412</v>
      </c>
      <c r="R275" s="8">
        <f ca="1">IF(OFFSET(Assumptions!$B$72,0,$C$1)="BU",R$14*(Q$275/Q$14+MIN(ABS(OFFSET(Assumptions!$B$79,0,$C$1)-Q$275/Q$14),OFFSET(Assumptions!$B$75,0,$C$1))*SIGN(OFFSET(Assumptions!$B$79,0,$C$1)-Q$275/Q$14)),Q$275+IF(OFFSET(Assumptions!$B$113,0,$C$1)="SND",Allocate!$B$18*R$232*R$14,0))</f>
        <v>6.0874451073352454</v>
      </c>
      <c r="S275" s="8">
        <f ca="1">IF(OFFSET(Assumptions!$B$72,0,$C$1)="BU",S$14*(R$275/R$14+MIN(ABS(OFFSET(Assumptions!$B$79,0,$C$1)-R$275/R$14),OFFSET(Assumptions!$B$75,0,$C$1))*SIGN(OFFSET(Assumptions!$B$79,0,$C$1)-R$275/R$14)),R$275+IF(OFFSET(Assumptions!$B$113,0,$C$1)="SND",Allocate!$B$18*S$232*S$14,0))</f>
        <v>6.3365905516558003</v>
      </c>
      <c r="T275" s="8">
        <f ca="1">IF(OFFSET(Assumptions!$B$72,0,$C$1)="BU",T$14*(S$275/S$14+MIN(ABS(OFFSET(Assumptions!$B$79,0,$C$1)-S$275/S$14),OFFSET(Assumptions!$B$75,0,$C$1))*SIGN(OFFSET(Assumptions!$B$79,0,$C$1)-S$275/S$14)),S$275+IF(OFFSET(Assumptions!$B$113,0,$C$1)="SND",Allocate!$B$18*T$232*T$14,0))</f>
        <v>6.5934406652988979</v>
      </c>
      <c r="U275" s="8">
        <f ca="1">IF(OFFSET(Assumptions!$B$72,0,$C$1)="BU",U$14*(T$275/T$14+MIN(ABS(OFFSET(Assumptions!$B$79,0,$C$1)-T$275/T$14),OFFSET(Assumptions!$B$75,0,$C$1))*SIGN(OFFSET(Assumptions!$B$79,0,$C$1)-T$275/T$14)),T$275+IF(OFFSET(Assumptions!$B$113,0,$C$1)="SND",Allocate!$B$18*U$232*U$14,0))</f>
        <v>6.85891727655192</v>
      </c>
      <c r="V275" s="8">
        <f ca="1">IF(OFFSET(Assumptions!$B$72,0,$C$1)="BU",V$14*(U$275/U$14+MIN(ABS(OFFSET(Assumptions!$B$79,0,$C$1)-U$275/U$14),OFFSET(Assumptions!$B$75,0,$C$1))*SIGN(OFFSET(Assumptions!$B$79,0,$C$1)-U$275/U$14)),U$275+IF(OFFSET(Assumptions!$B$113,0,$C$1)="SND",Allocate!$B$18*V$232*V$14,0))</f>
        <v>7.1336757159460848</v>
      </c>
      <c r="W275" s="8">
        <f ca="1">IF(OFFSET(Assumptions!$B$72,0,$C$1)="BU",W$14*(V$275/V$14+MIN(ABS(OFFSET(Assumptions!$B$79,0,$C$1)-V$275/V$14),OFFSET(Assumptions!$B$75,0,$C$1))*SIGN(OFFSET(Assumptions!$B$79,0,$C$1)-V$275/V$14)),V$275+IF(OFFSET(Assumptions!$B$113,0,$C$1)="SND",Allocate!$B$18*W$232*W$14,0))</f>
        <v>7.4185120279846597</v>
      </c>
      <c r="X275" s="8">
        <f ca="1">IF(OFFSET(Assumptions!$B$72,0,$C$1)="BU",X$14*(W$275/W$14+MIN(ABS(OFFSET(Assumptions!$B$79,0,$C$1)-W$275/W$14),OFFSET(Assumptions!$B$75,0,$C$1))*SIGN(OFFSET(Assumptions!$B$79,0,$C$1)-W$275/W$14)),W$275+IF(OFFSET(Assumptions!$B$113,0,$C$1)="SND",Allocate!$B$18*X$232*X$14,0))</f>
        <v>7.7143284195319799</v>
      </c>
      <c r="Y275" s="8">
        <f ca="1">IF(OFFSET(Assumptions!$B$72,0,$C$1)="BU",Y$14*(X$275/X$14+MIN(ABS(OFFSET(Assumptions!$B$79,0,$C$1)-X$275/X$14),OFFSET(Assumptions!$B$75,0,$C$1))*SIGN(OFFSET(Assumptions!$B$79,0,$C$1)-X$275/X$14)),X$275+IF(OFFSET(Assumptions!$B$113,0,$C$1)="SND",Allocate!$B$18*Y$232*Y$14,0))</f>
        <v>8.0210946483581065</v>
      </c>
      <c r="Z275" s="8">
        <f ca="1">IF(OFFSET(Assumptions!$B$72,0,$C$1)="BU",Z$14*(Y$275/Y$14+MIN(ABS(OFFSET(Assumptions!$B$79,0,$C$1)-Y$275/Y$14),OFFSET(Assumptions!$B$75,0,$C$1))*SIGN(OFFSET(Assumptions!$B$79,0,$C$1)-Y$275/Y$14)),Y$275+IF(OFFSET(Assumptions!$B$113,0,$C$1)="SND",Allocate!$B$18*Z$232*Z$14,0))</f>
        <v>8.3403634554117225</v>
      </c>
      <c r="AA275" s="8">
        <f ca="1">IF(OFFSET(Assumptions!$B$72,0,$C$1)="BU",AA$14*(Z$275/Z$14+MIN(ABS(OFFSET(Assumptions!$B$79,0,$C$1)-Z$275/Z$14),OFFSET(Assumptions!$B$75,0,$C$1))*SIGN(OFFSET(Assumptions!$B$79,0,$C$1)-Z$275/Z$14)),Z$275+IF(OFFSET(Assumptions!$B$113,0,$C$1)="SND",Allocate!$B$18*AA$232*AA$14,0))</f>
        <v>8.6726514187236372</v>
      </c>
      <c r="AB275" s="8">
        <f ca="1">IF(OFFSET(Assumptions!$B$72,0,$C$1)="BU",AB$14*(AA$275/AA$14+MIN(ABS(OFFSET(Assumptions!$B$79,0,$C$1)-AA$275/AA$14),OFFSET(Assumptions!$B$75,0,$C$1))*SIGN(OFFSET(Assumptions!$B$79,0,$C$1)-AA$275/AA$14)),AA$275+IF(OFFSET(Assumptions!$B$113,0,$C$1)="SND",Allocate!$B$18*AB$232*AB$14,0))</f>
        <v>9.0189564297348888</v>
      </c>
      <c r="AC275" s="8">
        <f ca="1">IF(OFFSET(Assumptions!$B$72,0,$C$1)="BU",AC$14*(AB$275/AB$14+MIN(ABS(OFFSET(Assumptions!$B$79,0,$C$1)-AB$275/AB$14),OFFSET(Assumptions!$B$75,0,$C$1))*SIGN(OFFSET(Assumptions!$B$79,0,$C$1)-AB$275/AB$14)),AB$275+IF(OFFSET(Assumptions!$B$113,0,$C$1)="SND",Allocate!$B$18*AC$232*AC$14,0))</f>
        <v>9.3805858368564614</v>
      </c>
      <c r="AD275" s="8">
        <f ca="1">IF(OFFSET(Assumptions!$B$72,0,$C$1)="BU",AD$14*(AC$275/AC$14+MIN(ABS(OFFSET(Assumptions!$B$79,0,$C$1)-AC$275/AC$14),OFFSET(Assumptions!$B$75,0,$C$1))*SIGN(OFFSET(Assumptions!$B$79,0,$C$1)-AC$275/AC$14)),AC$275+IF(OFFSET(Assumptions!$B$113,0,$C$1)="SND",Allocate!$B$18*AD$232*AD$14,0))</f>
        <v>9.7579208019444152</v>
      </c>
      <c r="AE275" s="8">
        <f ca="1">IF(OFFSET(Assumptions!$B$72,0,$C$1)="BU",AE$14*(AD$275/AD$14+MIN(ABS(OFFSET(Assumptions!$B$79,0,$C$1)-AD$275/AD$14),OFFSET(Assumptions!$B$75,0,$C$1))*SIGN(OFFSET(Assumptions!$B$79,0,$C$1)-AD$275/AD$14)),AD$275+IF(OFFSET(Assumptions!$B$113,0,$C$1)="SND",Allocate!$B$18*AE$232*AE$14,0))</f>
        <v>10.15061479312693</v>
      </c>
      <c r="AF275" s="8">
        <f ca="1">IF(OFFSET(Assumptions!$B$72,0,$C$1)="BU",AF$14*(AE$275/AE$14+MIN(ABS(OFFSET(Assumptions!$B$79,0,$C$1)-AE$275/AE$14),OFFSET(Assumptions!$B$75,0,$C$1))*SIGN(OFFSET(Assumptions!$B$79,0,$C$1)-AE$275/AE$14)),AE$275+IF(OFFSET(Assumptions!$B$113,0,$C$1)="SND",Allocate!$B$18*AF$232*AF$14,0))</f>
        <v>10.559754237442542</v>
      </c>
      <c r="AG275" s="8">
        <f ca="1">IF(OFFSET(Assumptions!$B$72,0,$C$1)="BU",AG$14*(AF$275/AF$14+MIN(ABS(OFFSET(Assumptions!$B$79,0,$C$1)-AF$275/AF$14),OFFSET(Assumptions!$B$75,0,$C$1))*SIGN(OFFSET(Assumptions!$B$79,0,$C$1)-AF$275/AF$14)),AF$275+IF(OFFSET(Assumptions!$B$113,0,$C$1)="SND",Allocate!$B$18*AG$232*AG$14,0))</f>
        <v>10.985567908560181</v>
      </c>
      <c r="AH275" s="8">
        <f ca="1">IF(OFFSET(Assumptions!$B$72,0,$C$1)="BU",AH$14*(AG$275/AG$14+MIN(ABS(OFFSET(Assumptions!$B$79,0,$C$1)-AG$275/AG$14),OFFSET(Assumptions!$B$75,0,$C$1))*SIGN(OFFSET(Assumptions!$B$79,0,$C$1)-AG$275/AG$14)),AG$275+IF(OFFSET(Assumptions!$B$113,0,$C$1)="SND",Allocate!$B$18*AH$232*AH$14,0))</f>
        <v>11.428738628247121</v>
      </c>
      <c r="AI275" s="8">
        <f ca="1">IF(OFFSET(Assumptions!$B$72,0,$C$1)="BU",AI$14*(AH$275/AH$14+MIN(ABS(OFFSET(Assumptions!$B$79,0,$C$1)-AH$275/AH$14),OFFSET(Assumptions!$B$75,0,$C$1))*SIGN(OFFSET(Assumptions!$B$79,0,$C$1)-AH$275/AH$14)),AH$275+IF(OFFSET(Assumptions!$B$113,0,$C$1)="SND",Allocate!$B$18*AI$232*AI$14,0))</f>
        <v>11.888492030551676</v>
      </c>
      <c r="AJ275" s="8">
        <f ca="1">IF(OFFSET(Assumptions!$B$72,0,$C$1)="BU",AJ$14*(AI$275/AI$14+MIN(ABS(OFFSET(Assumptions!$B$79,0,$C$1)-AI$275/AI$14),OFFSET(Assumptions!$B$75,0,$C$1))*SIGN(OFFSET(Assumptions!$B$79,0,$C$1)-AI$275/AI$14)),AI$275+IF(OFFSET(Assumptions!$B$113,0,$C$1)="SND",Allocate!$B$18*AJ$232*AJ$14,0))</f>
        <v>12.366300934685976</v>
      </c>
      <c r="AK275" s="8">
        <f ca="1">IF(OFFSET(Assumptions!$B$72,0,$C$1)="BU",AK$14*(AJ$275/AJ$14+MIN(ABS(OFFSET(Assumptions!$B$79,0,$C$1)-AJ$275/AJ$14),OFFSET(Assumptions!$B$75,0,$C$1))*SIGN(OFFSET(Assumptions!$B$79,0,$C$1)-AJ$275/AJ$14)),AJ$275+IF(OFFSET(Assumptions!$B$113,0,$C$1)="SND",Allocate!$B$18*AK$232*AK$14,0))</f>
        <v>12.861772280327251</v>
      </c>
      <c r="AL275" s="8">
        <f ca="1">IF(OFFSET(Assumptions!$B$72,0,$C$1)="BU",AL$14*(AK$275/AK$14+MIN(ABS(OFFSET(Assumptions!$B$79,0,$C$1)-AK$275/AK$14),OFFSET(Assumptions!$B$75,0,$C$1))*SIGN(OFFSET(Assumptions!$B$79,0,$C$1)-AK$275/AK$14)),AK$275+IF(OFFSET(Assumptions!$B$113,0,$C$1)="SND",Allocate!$B$18*AL$232*AL$14,0))</f>
        <v>13.374515771027394</v>
      </c>
      <c r="AM275" s="8">
        <f ca="1">IF(OFFSET(Assumptions!$B$72,0,$C$1)="BU",AM$14*(AL$275/AL$14+MIN(ABS(OFFSET(Assumptions!$B$79,0,$C$1)-AL$275/AL$14),OFFSET(Assumptions!$B$75,0,$C$1))*SIGN(OFFSET(Assumptions!$B$79,0,$C$1)-AL$275/AL$14)),AL$275+IF(OFFSET(Assumptions!$B$113,0,$C$1)="SND",Allocate!$B$18*AM$232*AM$14,0))</f>
        <v>13.905231881164303</v>
      </c>
      <c r="AN275" s="8">
        <f ca="1">IF(OFFSET(Assumptions!$B$72,0,$C$1)="BU",AN$14*(AM$275/AM$14+MIN(ABS(OFFSET(Assumptions!$B$79,0,$C$1)-AM$275/AM$14),OFFSET(Assumptions!$B$75,0,$C$1))*SIGN(OFFSET(Assumptions!$B$79,0,$C$1)-AM$275/AM$14)),AM$275+IF(OFFSET(Assumptions!$B$113,0,$C$1)="SND",Allocate!$B$18*AN$232*AN$14,0))</f>
        <v>14.454658831707675</v>
      </c>
      <c r="AO275" s="8">
        <f ca="1">IF(OFFSET(Assumptions!$B$72,0,$C$1)="BU",AO$14*(AN$275/AN$14+MIN(ABS(OFFSET(Assumptions!$B$79,0,$C$1)-AN$275/AN$14),OFFSET(Assumptions!$B$75,0,$C$1))*SIGN(OFFSET(Assumptions!$B$79,0,$C$1)-AN$275/AN$14)),AN$275+IF(OFFSET(Assumptions!$B$113,0,$C$1)="SND",Allocate!$B$18*AO$232*AO$14,0))</f>
        <v>15.020639213023374</v>
      </c>
      <c r="AP275" s="8">
        <f ca="1">IF(OFFSET(Assumptions!$B$72,0,$C$1)="BU",AP$14*(AO$275/AO$14+MIN(ABS(OFFSET(Assumptions!$B$79,0,$C$1)-AO$275/AO$14),OFFSET(Assumptions!$B$75,0,$C$1))*SIGN(OFFSET(Assumptions!$B$79,0,$C$1)-AO$275/AO$14)),AO$275+IF(OFFSET(Assumptions!$B$113,0,$C$1)="SND",Allocate!$B$18*AP$232*AP$14,0))</f>
        <v>15.605576458037744</v>
      </c>
      <c r="AQ275" s="8">
        <f ca="1">IF(OFFSET(Assumptions!$B$72,0,$C$1)="BU",AQ$14*(AP$275/AP$14+MIN(ABS(OFFSET(Assumptions!$B$79,0,$C$1)-AP$275/AP$14),OFFSET(Assumptions!$B$75,0,$C$1))*SIGN(OFFSET(Assumptions!$B$79,0,$C$1)-AP$275/AP$14)),AP$275+IF(OFFSET(Assumptions!$B$113,0,$C$1)="SND",Allocate!$B$18*AQ$232*AQ$14,0))</f>
        <v>16.207831574436153</v>
      </c>
      <c r="AR275" s="8">
        <f ca="1">IF(OFFSET(Assumptions!$B$72,0,$C$1)="BU",AR$14*(AQ$275/AQ$14+MIN(ABS(OFFSET(Assumptions!$B$79,0,$C$1)-AQ$275/AQ$14),OFFSET(Assumptions!$B$75,0,$C$1))*SIGN(OFFSET(Assumptions!$B$79,0,$C$1)-AQ$275/AQ$14)),AQ$275+IF(OFFSET(Assumptions!$B$113,0,$C$1)="SND",Allocate!$B$18*AR$232*AR$14,0))</f>
        <v>16.828086422751923</v>
      </c>
      <c r="AS275" s="8">
        <f ca="1">IF(OFFSET(Assumptions!$B$72,0,$C$1)="BU",AS$14*(AR$275/AR$14+MIN(ABS(OFFSET(Assumptions!$B$79,0,$C$1)-AR$275/AR$14),OFFSET(Assumptions!$B$75,0,$C$1))*SIGN(OFFSET(Assumptions!$B$79,0,$C$1)-AR$275/AR$14)),AR$275+IF(OFFSET(Assumptions!$B$113,0,$C$1)="SND",Allocate!$B$18*AS$232*AS$14,0))</f>
        <v>17.467788039655616</v>
      </c>
      <c r="AT275" s="8">
        <f ca="1">IF(OFFSET(Assumptions!$B$72,0,$C$1)="BU",AT$14*(AS$275/AS$14+MIN(ABS(OFFSET(Assumptions!$B$79,0,$C$1)-AS$275/AS$14),OFFSET(Assumptions!$B$75,0,$C$1))*SIGN(OFFSET(Assumptions!$B$79,0,$C$1)-AS$275/AS$14)),AS$275+IF(OFFSET(Assumptions!$B$113,0,$C$1)="SND",Allocate!$B$18*AT$232*AT$14,0))</f>
        <v>18.127447333885396</v>
      </c>
      <c r="AU275" s="8">
        <f ca="1">IF(OFFSET(Assumptions!$B$72,0,$C$1)="BU",AU$14*(AT$275/AT$14+MIN(ABS(OFFSET(Assumptions!$B$79,0,$C$1)-AT$275/AT$14),OFFSET(Assumptions!$B$75,0,$C$1))*SIGN(OFFSET(Assumptions!$B$79,0,$C$1)-AT$275/AT$14)),AT$275+IF(OFFSET(Assumptions!$B$113,0,$C$1)="SND",Allocate!$B$18*AU$232*AU$14,0))</f>
        <v>18.80794150503721</v>
      </c>
      <c r="AV275" s="8">
        <f ca="1">IF(OFFSET(Assumptions!$B$72,0,$C$1)="BU",AV$14*(AU$275/AU$14+MIN(ABS(OFFSET(Assumptions!$B$79,0,$C$1)-AU$275/AU$14),OFFSET(Assumptions!$B$75,0,$C$1))*SIGN(OFFSET(Assumptions!$B$79,0,$C$1)-AU$275/AU$14)),AU$275+IF(OFFSET(Assumptions!$B$113,0,$C$1)="SND",Allocate!$B$18*AV$232*AV$14,0))</f>
        <v>19.511374571721841</v>
      </c>
      <c r="AW275" s="8">
        <f ca="1">IF(OFFSET(Assumptions!$B$72,0,$C$1)="BU",AW$14*(AV$275/AV$14+MIN(ABS(OFFSET(Assumptions!$B$79,0,$C$1)-AV$275/AV$14),OFFSET(Assumptions!$B$75,0,$C$1))*SIGN(OFFSET(Assumptions!$B$79,0,$C$1)-AV$275/AV$14)),AV$275+IF(OFFSET(Assumptions!$B$113,0,$C$1)="SND",Allocate!$B$18*AW$232*AW$14,0))</f>
        <v>20.237349406455692</v>
      </c>
    </row>
    <row r="276" spans="1:49" ht="15" x14ac:dyDescent="0.25">
      <c r="A276" s="2" t="s">
        <v>567</v>
      </c>
      <c r="B276" s="4" t="str">
        <f t="shared" si="192"/>
        <v>From Fiscal</v>
      </c>
      <c r="D276" s="47">
        <f>Fiscal!D$41</f>
        <v>3.73</v>
      </c>
      <c r="E276" s="44">
        <f ca="1">Fiscal!E$41  +IF(OR(OFFSET(Assumptions!$B$72,0,$C$1)="BU",OFFSET(Assumptions!$B$113,0,$C$1)="SND"),Allocate!C$18,0)</f>
        <v>3.8780000000000001</v>
      </c>
      <c r="F276" s="44">
        <f ca="1">Fiscal!F$41  +IF(OR(OFFSET(Assumptions!$B$72,0,$C$1)="BU",OFFSET(Assumptions!$B$113,0,$C$1)="SND"),Allocate!D$18,0)</f>
        <v>4.0230000000000006</v>
      </c>
      <c r="G276" s="44">
        <f ca="1">Fiscal!G$41  +IF(OR(OFFSET(Assumptions!$B$72,0,$C$1)="BU",OFFSET(Assumptions!$B$113,0,$C$1)="SND"),Allocate!E$18,0)</f>
        <v>4.1719999999999997</v>
      </c>
      <c r="H276" s="44">
        <f ca="1">Fiscal!H$41  +IF(OR(OFFSET(Assumptions!$B$72,0,$C$1)="BU",OFFSET(Assumptions!$B$113,0,$C$1)="SND"),Allocate!F$18,0)</f>
        <v>4.3170000000000002</v>
      </c>
      <c r="I276" s="44">
        <f ca="1">Fiscal!I$41  +IF(OR(OFFSET(Assumptions!$B$72,0,$C$1)="BU",OFFSET(Assumptions!$B$113,0,$C$1)="SND"),Allocate!G$18,0)</f>
        <v>4.4539999999999997</v>
      </c>
      <c r="J276" s="8">
        <f ca="1">IF(J$6=OFFSET(Assumptions!$B$8,0,$C$1),AVERAGE((G$276-G$275)/G$14,(H$276-H$275)/H$14,(I$276-I$275)/I$14),(I$276-I$275)/I$14)*J$14 + J$275</f>
        <v>4.6629393665455083</v>
      </c>
      <c r="K276" s="8">
        <f ca="1">IF(K$6=OFFSET(Assumptions!$B$8,0,$C$1),AVERAGE((H$276-H$275)/H$14,(I$276-I$275)/I$14,(J$276-J$275)/J$14),(J$276-J$275)/J$14)*K$14 + K$275</f>
        <v>4.8578045228642379</v>
      </c>
      <c r="L276" s="8">
        <f ca="1">IF(L$6=OFFSET(Assumptions!$B$8,0,$C$1),AVERAGE((I$276-I$275)/I$14,(J$276-J$275)/J$14,(K$276-K$275)/K$14),(K$276-K$275)/K$14)*L$14 + L$275</f>
        <v>5.068367470217046</v>
      </c>
      <c r="M276" s="8">
        <f ca="1">IF(M$6=OFFSET(Assumptions!$B$8,0,$C$1),AVERAGE((J$276-J$275)/J$14,(K$276-K$275)/K$14,(L$276-L$275)/L$14),(L$276-L$275)/L$14)*M$14 + M$275</f>
        <v>5.2873536546269051</v>
      </c>
      <c r="N276" s="8">
        <f ca="1">IF(N$6=OFFSET(Assumptions!$B$8,0,$C$1),AVERAGE((K$276-K$275)/K$14,(L$276-L$275)/L$14,(M$276-M$275)/M$14),(M$276-M$275)/M$14)*N$14 + N$275</f>
        <v>5.5153838751975499</v>
      </c>
      <c r="O276" s="8">
        <f ca="1">IF(O$6=OFFSET(Assumptions!$B$8,0,$C$1),AVERAGE((L$276-L$275)/L$14,(M$276-M$275)/M$14,(N$276-N$275)/N$14),(N$276-N$275)/N$14)*O$14 + O$275</f>
        <v>5.7508175945308651</v>
      </c>
      <c r="P276" s="8">
        <f ca="1">IF(P$6=OFFSET(Assumptions!$B$8,0,$C$1),AVERAGE((M$276-M$275)/M$14,(N$276-N$275)/N$14,(O$276-O$275)/O$14),(O$276-O$275)/O$14)*P$14 + P$275</f>
        <v>5.9940133517321419</v>
      </c>
      <c r="Q276" s="8">
        <f ca="1">IF(Q$6=OFFSET(Assumptions!$B$8,0,$C$1),AVERAGE((N$276-N$275)/N$14,(O$276-O$275)/O$14,(P$276-P$275)/P$14),(P$276-P$275)/P$14)*Q$14 + Q$275</f>
        <v>6.2447084507283002</v>
      </c>
      <c r="R276" s="8">
        <f ca="1">IF(R$6=OFFSET(Assumptions!$B$8,0,$C$1),AVERAGE((O$276-O$275)/O$14,(P$276-P$275)/P$14,(Q$276-Q$275)/Q$14),(Q$276-Q$275)/Q$14)*R$14 + R$275</f>
        <v>6.502716821228069</v>
      </c>
      <c r="S276" s="8">
        <f ca="1">IF(S$6=OFFSET(Assumptions!$B$8,0,$C$1),AVERAGE((P$276-P$275)/P$14,(Q$276-Q$275)/Q$14,(R$276-R$275)/R$14),(R$276-R$275)/R$14)*S$14 + S$275</f>
        <v>6.7688584033120538</v>
      </c>
      <c r="T276" s="8">
        <f ca="1">IF(T$6=OFFSET(Assumptions!$B$8,0,$C$1),AVERAGE((Q$276-Q$275)/Q$14,(R$276-R$275)/R$14,(S$276-S$275)/S$14),(S$276-S$275)/S$14)*T$14 + T$275</f>
        <v>7.0432302498045551</v>
      </c>
      <c r="U276" s="8">
        <f ca="1">IF(U$6=OFFSET(Assumptions!$B$8,0,$C$1),AVERAGE((R$276-R$275)/R$14,(S$276-S$275)/S$14,(T$276-T$275)/T$14),(T$276-T$275)/T$14)*U$14 + U$275</f>
        <v>7.3268170740302834</v>
      </c>
      <c r="V276" s="8">
        <f ca="1">IF(V$6=OFFSET(Assumptions!$B$8,0,$C$1),AVERAGE((S$276-S$275)/S$14,(T$276-T$275)/T$14,(U$276-U$275)/U$14),(U$276-U$275)/U$14)*V$14 + V$275</f>
        <v>7.6203189116846222</v>
      </c>
      <c r="W276" s="8">
        <f ca="1">IF(W$6=OFFSET(Assumptions!$B$8,0,$C$1),AVERAGE((T$276-T$275)/T$14,(U$276-U$275)/U$14,(V$276-V$275)/V$14),(V$276-V$275)/V$14)*W$14 + W$275</f>
        <v>7.924586111623384</v>
      </c>
      <c r="X276" s="8">
        <f ca="1">IF(X$6=OFFSET(Assumptions!$B$8,0,$C$1),AVERAGE((U$276-U$275)/U$14,(V$276-V$275)/V$14,(W$276-W$275)/W$14),(W$276-W$275)/W$14)*X$14 + X$275</f>
        <v>8.2405824272192056</v>
      </c>
      <c r="Y276" s="8">
        <f ca="1">IF(Y$6=OFFSET(Assumptions!$B$8,0,$C$1),AVERAGE((V$276-V$275)/V$14,(W$276-W$275)/W$14,(X$276-X$275)/X$14),(X$276-X$275)/X$14)*Y$14 + Y$275</f>
        <v>8.5682755531857371</v>
      </c>
      <c r="Z276" s="8">
        <f ca="1">IF(Z$6=OFFSET(Assumptions!$B$8,0,$C$1),AVERAGE((W$276-W$275)/W$14,(X$276-X$275)/X$14,(Y$276-Y$275)/Y$14),(Y$276-Y$275)/Y$14)*Z$14 + Z$275</f>
        <v>8.9093241549413893</v>
      </c>
      <c r="AA276" s="8">
        <f ca="1">IF(AA$6=OFFSET(Assumptions!$B$8,0,$C$1),AVERAGE((X$276-X$275)/X$14,(Y$276-Y$275)/Y$14,(Z$276-Z$275)/Z$14),(Z$276-Z$275)/Z$14)*AA$14 + AA$275</f>
        <v>9.2642800502999059</v>
      </c>
      <c r="AB276" s="8">
        <f ca="1">IF(AB$6=OFFSET(Assumptions!$B$8,0,$C$1),AVERAGE((Y$276-Y$275)/Y$14,(Z$276-Z$275)/Z$14,(AA$276-AA$275)/AA$14),(AA$276-AA$275)/AA$14)*AB$14 + AB$275</f>
        <v>9.634209204595674</v>
      </c>
      <c r="AC276" s="8">
        <f ca="1">IF(AC$6=OFFSET(Assumptions!$B$8,0,$C$1),AVERAGE((Z$276-Z$275)/Z$14,(AA$276-AA$275)/AA$14,(AB$276-AB$275)/AB$14),(AB$276-AB$275)/AB$14)*AC$14 + AC$275</f>
        <v>10.02050815058643</v>
      </c>
      <c r="AD276" s="8">
        <f ca="1">IF(AD$6=OFFSET(Assumptions!$B$8,0,$C$1),AVERAGE((AA$276-AA$275)/AA$14,(AB$276-AB$275)/AB$14,(AC$276-AC$275)/AC$14),(AC$276-AC$275)/AC$14)*AD$14 + AD$275</f>
        <v>10.423584052126516</v>
      </c>
      <c r="AE276" s="8">
        <f ca="1">IF(AE$6=OFFSET(Assumptions!$B$8,0,$C$1),AVERAGE((AB$276-AB$275)/AB$14,(AC$276-AC$275)/AC$14,(AD$276-AD$275)/AD$14),(AD$276-AD$275)/AD$14)*AE$14 + AE$275</f>
        <v>10.8430667377249</v>
      </c>
      <c r="AF276" s="8">
        <f ca="1">IF(AF$6=OFFSET(Assumptions!$B$8,0,$C$1),AVERAGE((AC$276-AC$275)/AC$14,(AD$276-AD$275)/AD$14,(AE$276-AE$275)/AE$14),(AE$276-AE$275)/AE$14)*AF$14 + AF$275</f>
        <v>11.280116748011345</v>
      </c>
      <c r="AG276" s="8">
        <f ca="1">IF(AG$6=OFFSET(Assumptions!$B$8,0,$C$1),AVERAGE((AD$276-AD$275)/AD$14,(AE$276-AE$275)/AE$14,(AF$276-AF$275)/AF$14),(AF$276-AF$275)/AF$14)*AG$14 + AG$275</f>
        <v>11.73497846307618</v>
      </c>
      <c r="AH276" s="8">
        <f ca="1">IF(AH$6=OFFSET(Assumptions!$B$8,0,$C$1),AVERAGE((AE$276-AE$275)/AE$14,(AF$276-AF$275)/AF$14,(AG$276-AG$275)/AG$14),(AG$276-AG$275)/AG$14)*AH$14 + AH$275</f>
        <v>12.208381285240685</v>
      </c>
      <c r="AI276" s="8">
        <f ca="1">IF(AI$6=OFFSET(Assumptions!$B$8,0,$C$1),AVERAGE((AF$276-AF$275)/AF$14,(AG$276-AG$275)/AG$14,(AH$276-AH$275)/AH$14),(AH$276-AH$275)/AH$14)*AI$14 + AI$275</f>
        <v>12.699498023062306</v>
      </c>
      <c r="AJ276" s="8">
        <f ca="1">IF(AJ$6=OFFSET(Assumptions!$B$8,0,$C$1),AVERAGE((AG$276-AG$275)/AG$14,(AH$276-AH$275)/AH$14,(AI$276-AI$275)/AI$14),(AI$276-AI$275)/AI$14)*AJ$14 + AJ$275</f>
        <v>13.209901968143095</v>
      </c>
      <c r="AK276" s="8">
        <f ca="1">IF(AK$6=OFFSET(Assumptions!$B$8,0,$C$1),AVERAGE((AH$276-AH$275)/AH$14,(AI$276-AI$275)/AI$14,(AJ$276-AJ$275)/AJ$14),(AJ$276-AJ$275)/AJ$14)*AK$14 + AK$275</f>
        <v>13.739173246475559</v>
      </c>
      <c r="AL276" s="8">
        <f ca="1">IF(AL$6=OFFSET(Assumptions!$B$8,0,$C$1),AVERAGE((AI$276-AI$275)/AI$14,(AJ$276-AJ$275)/AJ$14,(AK$276-AK$275)/AK$14),(AK$276-AK$275)/AK$14)*AL$14 + AL$275</f>
        <v>14.28689493647213</v>
      </c>
      <c r="AM276" s="8">
        <f ca="1">IF(AM$6=OFFSET(Assumptions!$B$8,0,$C$1),AVERAGE((AJ$276-AJ$275)/AJ$14,(AK$276-AK$275)/AK$14,(AL$276-AL$275)/AL$14),(AL$276-AL$275)/AL$14)*AM$14 + AM$275</f>
        <v>14.853815297285816</v>
      </c>
      <c r="AN276" s="8">
        <f ca="1">IF(AN$6=OFFSET(Assumptions!$B$8,0,$C$1),AVERAGE((AK$276-AK$275)/AK$14,(AL$276-AL$275)/AL$14,(AM$276-AM$275)/AM$14),(AM$276-AM$275)/AM$14)*AN$14 + AN$275</f>
        <v>15.440722909648402</v>
      </c>
      <c r="AO276" s="8">
        <f ca="1">IF(AO$6=OFFSET(Assumptions!$B$8,0,$C$1),AVERAGE((AL$276-AL$275)/AL$14,(AM$276-AM$275)/AM$14,(AN$276-AN$275)/AN$14),(AN$276-AN$275)/AN$14)*AO$14 + AO$275</f>
        <v>16.045313190328198</v>
      </c>
      <c r="AP276" s="8">
        <f ca="1">IF(AP$6=OFFSET(Assumptions!$B$8,0,$C$1),AVERAGE((AM$276-AM$275)/AM$14,(AN$276-AN$275)/AN$14,(AO$276-AO$275)/AO$14),(AO$276-AO$275)/AO$14)*AP$14 + AP$275</f>
        <v>16.670153529000721</v>
      </c>
      <c r="AQ276" s="8">
        <f ca="1">IF(AQ$6=OFFSET(Assumptions!$B$8,0,$C$1),AVERAGE((AN$276-AN$275)/AN$14,(AO$276-AO$275)/AO$14,(AP$276-AP$275)/AP$14),(AP$276-AP$275)/AP$14)*AQ$14 + AQ$275</f>
        <v>17.313493125008833</v>
      </c>
      <c r="AR276" s="8">
        <f ca="1">IF(AR$6=OFFSET(Assumptions!$B$8,0,$C$1),AVERAGE((AO$276-AO$275)/AO$14,(AP$276-AP$275)/AP$14,(AQ$276-AQ$275)/AQ$14),(AQ$276-AQ$275)/AQ$14)*AR$14 + AR$275</f>
        <v>17.976060353866657</v>
      </c>
      <c r="AS276" s="8">
        <f ca="1">IF(AS$6=OFFSET(Assumptions!$B$8,0,$C$1),AVERAGE((AP$276-AP$275)/AP$14,(AQ$276-AQ$275)/AQ$14,(AR$276-AR$275)/AR$14),(AR$276-AR$275)/AR$14)*AS$14 + AS$275</f>
        <v>18.659400965808103</v>
      </c>
      <c r="AT276" s="8">
        <f ca="1">IF(AT$6=OFFSET(Assumptions!$B$8,0,$C$1),AVERAGE((AQ$276-AQ$275)/AQ$14,(AR$276-AR$275)/AR$14,(AS$276-AS$275)/AS$14),(AS$276-AS$275)/AS$14)*AT$14 + AT$275</f>
        <v>19.364060722607977</v>
      </c>
      <c r="AU276" s="8">
        <f ca="1">IF(AU$6=OFFSET(Assumptions!$B$8,0,$C$1),AVERAGE((AR$276-AR$275)/AR$14,(AS$276-AS$275)/AS$14,(AT$276-AT$275)/AT$14),(AT$276-AT$275)/AT$14)*AU$14 + AU$275</f>
        <v>20.090976664431331</v>
      </c>
      <c r="AV276" s="8">
        <f ca="1">IF(AV$6=OFFSET(Assumptions!$B$8,0,$C$1),AVERAGE((AS$276-AS$275)/AS$14,(AT$276-AT$275)/AT$14,(AU$276-AU$275)/AU$14),(AU$276-AU$275)/AU$14)*AV$14 + AV$275</f>
        <v>20.842396341271844</v>
      </c>
      <c r="AW276" s="8">
        <f ca="1">IF(AW$6=OFFSET(Assumptions!$B$8,0,$C$1),AVERAGE((AT$276-AT$275)/AT$14,(AU$276-AU$275)/AU$14,(AV$276-AV$275)/AV$14),(AV$276-AV$275)/AV$14)*AW$14 + AW$275</f>
        <v>21.617895534508691</v>
      </c>
    </row>
    <row r="277" spans="1:49" ht="15" x14ac:dyDescent="0.25">
      <c r="A277" s="2"/>
      <c r="B277" s="4"/>
      <c r="D277" s="47"/>
      <c r="E277" s="44"/>
      <c r="F277" s="44"/>
      <c r="G277" s="44"/>
      <c r="H277" s="44"/>
      <c r="I277" s="44"/>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row>
    <row r="278" spans="1:49" ht="15" x14ac:dyDescent="0.25">
      <c r="A278" s="22" t="s">
        <v>625</v>
      </c>
      <c r="B278" s="4"/>
      <c r="D278" s="47"/>
      <c r="E278" s="47"/>
      <c r="F278" s="47"/>
      <c r="G278" s="47"/>
      <c r="H278" s="47"/>
      <c r="I278" s="47"/>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row>
    <row r="279" spans="1:49" ht="15" x14ac:dyDescent="0.25">
      <c r="A279" s="2" t="s">
        <v>568</v>
      </c>
      <c r="B279" s="4" t="str">
        <f t="shared" si="192"/>
        <v>From Fiscal</v>
      </c>
      <c r="D279" s="47">
        <f>Fiscal!D$59</f>
        <v>1.9610000000000001</v>
      </c>
      <c r="E279" s="44">
        <f ca="1">Fiscal!E$59  +IF(OR(OFFSET(Assumptions!$B$72,0,$C$1)="BU",OFFSET(Assumptions!$B$113,0,$C$1)="SND"),Allocate!C$19,0)</f>
        <v>2.02</v>
      </c>
      <c r="F279" s="44">
        <f ca="1">Fiscal!F$59  +IF(OR(OFFSET(Assumptions!$B$72,0,$C$1)="BU",OFFSET(Assumptions!$B$113,0,$C$1)="SND"),Allocate!D$19,0)</f>
        <v>2.1550000000000002</v>
      </c>
      <c r="G279" s="44">
        <f ca="1">Fiscal!G$59  +IF(OR(OFFSET(Assumptions!$B$72,0,$C$1)="BU",OFFSET(Assumptions!$B$113,0,$C$1)="SND"),Allocate!E$19,0)</f>
        <v>2.2669999999999999</v>
      </c>
      <c r="H279" s="44">
        <f ca="1">Fiscal!H$59  +IF(OR(OFFSET(Assumptions!$B$72,0,$C$1)="BU",OFFSET(Assumptions!$B$113,0,$C$1)="SND"),Allocate!F$19,0)</f>
        <v>2.3519999999999999</v>
      </c>
      <c r="I279" s="44">
        <f ca="1">Fiscal!I$59  +IF(OR(OFFSET(Assumptions!$B$72,0,$C$1)="BU",OFFSET(Assumptions!$B$113,0,$C$1)="SND"),Allocate!G$19,0)</f>
        <v>2.4299999999999997</v>
      </c>
      <c r="J279" s="8">
        <f ca="1">IF(OFFSET(Assumptions!$B$72,0,$C$1)="BU",J$14*(I$279/I$14+MIN(ABS(OFFSET(Assumptions!$B$80,0,$C$1)-I$279/I$14),OFFSET(Assumptions!$B$75,0,$C$1))*SIGN(OFFSET(Assumptions!$B$80,0,$C$1)-I$279/I$14)),I$279+IF(OFFSET(Assumptions!$B$113,0,$C$1)="SND",Allocate!$B$19*J$232*J$14,0))</f>
        <v>2.6882917637021606</v>
      </c>
      <c r="K279" s="8">
        <f ca="1">IF(OFFSET(Assumptions!$B$72,0,$C$1)="BU",K$14*(J$279/J$14+MIN(ABS(OFFSET(Assumptions!$B$80,0,$C$1)-J$279/J$14),OFFSET(Assumptions!$B$75,0,$C$1))*SIGN(OFFSET(Assumptions!$B$80,0,$C$1)-J$279/J$14)),J$279+IF(OFFSET(Assumptions!$B$113,0,$C$1)="SND",Allocate!$B$19*K$232*K$14,0))</f>
        <v>2.9234436345467341</v>
      </c>
      <c r="L279" s="8">
        <f ca="1">IF(OFFSET(Assumptions!$B$72,0,$C$1)="BU",L$14*(K$279/K$14+MIN(ABS(OFFSET(Assumptions!$B$80,0,$C$1)-K$279/K$14),OFFSET(Assumptions!$B$75,0,$C$1))*SIGN(OFFSET(Assumptions!$B$80,0,$C$1)-K$279/K$14)),K$279+IF(OFFSET(Assumptions!$B$113,0,$C$1)="SND",Allocate!$B$19*L$232*L$14,0))</f>
        <v>3.0501611476151722</v>
      </c>
      <c r="M279" s="8">
        <f ca="1">IF(OFFSET(Assumptions!$B$72,0,$C$1)="BU",M$14*(L$279/L$14+MIN(ABS(OFFSET(Assumptions!$B$80,0,$C$1)-L$279/L$14),OFFSET(Assumptions!$B$75,0,$C$1))*SIGN(OFFSET(Assumptions!$B$80,0,$C$1)-L$279/L$14)),L$279+IF(OFFSET(Assumptions!$B$113,0,$C$1)="SND",Allocate!$B$19*M$232*M$14,0))</f>
        <v>3.1819477940011018</v>
      </c>
      <c r="N279" s="8">
        <f ca="1">IF(OFFSET(Assumptions!$B$72,0,$C$1)="BU",N$14*(M$279/M$14+MIN(ABS(OFFSET(Assumptions!$B$80,0,$C$1)-M$279/M$14),OFFSET(Assumptions!$B$75,0,$C$1))*SIGN(OFFSET(Assumptions!$B$80,0,$C$1)-M$279/M$14)),M$279+IF(OFFSET(Assumptions!$B$113,0,$C$1)="SND",Allocate!$B$19*N$232*N$14,0))</f>
        <v>3.3191771727613819</v>
      </c>
      <c r="O279" s="8">
        <f ca="1">IF(OFFSET(Assumptions!$B$72,0,$C$1)="BU",O$14*(N$279/N$14+MIN(ABS(OFFSET(Assumptions!$B$80,0,$C$1)-N$279/N$14),OFFSET(Assumptions!$B$75,0,$C$1))*SIGN(OFFSET(Assumptions!$B$80,0,$C$1)-N$279/N$14)),N$279+IF(OFFSET(Assumptions!$B$113,0,$C$1)="SND",Allocate!$B$19*O$232*O$14,0))</f>
        <v>3.460862002791723</v>
      </c>
      <c r="P279" s="8">
        <f ca="1">IF(OFFSET(Assumptions!$B$72,0,$C$1)="BU",P$14*(O$279/O$14+MIN(ABS(OFFSET(Assumptions!$B$80,0,$C$1)-O$279/O$14),OFFSET(Assumptions!$B$75,0,$C$1))*SIGN(OFFSET(Assumptions!$B$80,0,$C$1)-O$279/O$14)),O$279+IF(OFFSET(Assumptions!$B$113,0,$C$1)="SND",Allocate!$B$19*P$232*P$14,0))</f>
        <v>3.6072180541710086</v>
      </c>
      <c r="Q279" s="8">
        <f ca="1">IF(OFFSET(Assumptions!$B$72,0,$C$1)="BU",Q$14*(P$279/P$14+MIN(ABS(OFFSET(Assumptions!$B$80,0,$C$1)-P$279/P$14),OFFSET(Assumptions!$B$75,0,$C$1))*SIGN(OFFSET(Assumptions!$B$80,0,$C$1)-P$279/P$14)),P$279+IF(OFFSET(Assumptions!$B$113,0,$C$1)="SND",Allocate!$B$19*Q$232*Q$14,0))</f>
        <v>3.758087235490033</v>
      </c>
      <c r="R279" s="8">
        <f ca="1">IF(OFFSET(Assumptions!$B$72,0,$C$1)="BU",R$14*(Q$279/Q$14+MIN(ABS(OFFSET(Assumptions!$B$80,0,$C$1)-Q$279/Q$14),OFFSET(Assumptions!$B$75,0,$C$1))*SIGN(OFFSET(Assumptions!$B$80,0,$C$1)-Q$279/Q$14)),Q$279+IF(OFFSET(Assumptions!$B$113,0,$C$1)="SND",Allocate!$B$19*R$232*R$14,0))</f>
        <v>3.9133575690012288</v>
      </c>
      <c r="S279" s="8">
        <f ca="1">IF(OFFSET(Assumptions!$B$72,0,$C$1)="BU",S$14*(R$279/R$14+MIN(ABS(OFFSET(Assumptions!$B$80,0,$C$1)-R$279/R$14),OFFSET(Assumptions!$B$75,0,$C$1))*SIGN(OFFSET(Assumptions!$B$80,0,$C$1)-R$279/R$14)),R$279+IF(OFFSET(Assumptions!$B$113,0,$C$1)="SND",Allocate!$B$19*S$232*S$14,0))</f>
        <v>4.0735224974930135</v>
      </c>
      <c r="T279" s="8">
        <f ca="1">IF(OFFSET(Assumptions!$B$72,0,$C$1)="BU",T$14*(S$279/S$14+MIN(ABS(OFFSET(Assumptions!$B$80,0,$C$1)-S$279/S$14),OFFSET(Assumptions!$B$75,0,$C$1))*SIGN(OFFSET(Assumptions!$B$80,0,$C$1)-S$279/S$14)),S$279+IF(OFFSET(Assumptions!$B$113,0,$C$1)="SND",Allocate!$B$19*T$232*T$14,0))</f>
        <v>4.2386404276921485</v>
      </c>
      <c r="U279" s="8">
        <f ca="1">IF(OFFSET(Assumptions!$B$72,0,$C$1)="BU",U$14*(T$279/T$14+MIN(ABS(OFFSET(Assumptions!$B$80,0,$C$1)-T$279/T$14),OFFSET(Assumptions!$B$75,0,$C$1))*SIGN(OFFSET(Assumptions!$B$80,0,$C$1)-T$279/T$14)),T$279+IF(OFFSET(Assumptions!$B$113,0,$C$1)="SND",Allocate!$B$19*U$232*U$14,0))</f>
        <v>4.4093039634976625</v>
      </c>
      <c r="V279" s="8">
        <f ca="1">IF(OFFSET(Assumptions!$B$72,0,$C$1)="BU",V$14*(U$279/U$14+MIN(ABS(OFFSET(Assumptions!$B$80,0,$C$1)-U$279/U$14),OFFSET(Assumptions!$B$75,0,$C$1))*SIGN(OFFSET(Assumptions!$B$80,0,$C$1)-U$279/U$14)),U$279+IF(OFFSET(Assumptions!$B$113,0,$C$1)="SND",Allocate!$B$19*V$232*V$14,0))</f>
        <v>4.5859343888224826</v>
      </c>
      <c r="W279" s="8">
        <f ca="1">IF(OFFSET(Assumptions!$B$72,0,$C$1)="BU",W$14*(V$279/V$14+MIN(ABS(OFFSET(Assumptions!$B$80,0,$C$1)-V$279/V$14),OFFSET(Assumptions!$B$75,0,$C$1))*SIGN(OFFSET(Assumptions!$B$80,0,$C$1)-V$279/V$14)),V$279+IF(OFFSET(Assumptions!$B$113,0,$C$1)="SND",Allocate!$B$19*W$232*W$14,0))</f>
        <v>4.7690434465615663</v>
      </c>
      <c r="X279" s="8">
        <f ca="1">IF(OFFSET(Assumptions!$B$72,0,$C$1)="BU",X$14*(W$279/W$14+MIN(ABS(OFFSET(Assumptions!$B$80,0,$C$1)-W$279/W$14),OFFSET(Assumptions!$B$75,0,$C$1))*SIGN(OFFSET(Assumptions!$B$80,0,$C$1)-W$279/W$14)),W$279+IF(OFFSET(Assumptions!$B$113,0,$C$1)="SND",Allocate!$B$19*X$232*X$14,0))</f>
        <v>4.9592111268419865</v>
      </c>
      <c r="Y279" s="8">
        <f ca="1">IF(OFFSET(Assumptions!$B$72,0,$C$1)="BU",Y$14*(X$279/X$14+MIN(ABS(OFFSET(Assumptions!$B$80,0,$C$1)-X$279/X$14),OFFSET(Assumptions!$B$75,0,$C$1))*SIGN(OFFSET(Assumptions!$B$80,0,$C$1)-X$279/X$14)),X$279+IF(OFFSET(Assumptions!$B$113,0,$C$1)="SND",Allocate!$B$19*Y$232*Y$14,0))</f>
        <v>5.1564179882302108</v>
      </c>
      <c r="Z279" s="8">
        <f ca="1">IF(OFFSET(Assumptions!$B$72,0,$C$1)="BU",Z$14*(Y$279/Y$14+MIN(ABS(OFFSET(Assumptions!$B$80,0,$C$1)-Y$279/Y$14),OFFSET(Assumptions!$B$75,0,$C$1))*SIGN(OFFSET(Assumptions!$B$80,0,$C$1)-Y$279/Y$14)),Y$279+IF(OFFSET(Assumptions!$B$113,0,$C$1)="SND",Allocate!$B$19*Z$232*Z$14,0))</f>
        <v>5.3616622213361067</v>
      </c>
      <c r="AA279" s="8">
        <f ca="1">IF(OFFSET(Assumptions!$B$72,0,$C$1)="BU",AA$14*(Z$279/Z$14+MIN(ABS(OFFSET(Assumptions!$B$80,0,$C$1)-Z$279/Z$14),OFFSET(Assumptions!$B$75,0,$C$1))*SIGN(OFFSET(Assumptions!$B$80,0,$C$1)-Z$279/Z$14)),Z$279+IF(OFFSET(Assumptions!$B$113,0,$C$1)="SND",Allocate!$B$19*AA$232*AA$14,0))</f>
        <v>5.5752759120366235</v>
      </c>
      <c r="AB279" s="8">
        <f ca="1">IF(OFFSET(Assumptions!$B$72,0,$C$1)="BU",AB$14*(AA$279/AA$14+MIN(ABS(OFFSET(Assumptions!$B$80,0,$C$1)-AA$279/AA$14),OFFSET(Assumptions!$B$75,0,$C$1))*SIGN(OFFSET(Assumptions!$B$80,0,$C$1)-AA$279/AA$14)),AA$279+IF(OFFSET(Assumptions!$B$113,0,$C$1)="SND",Allocate!$B$19*AB$232*AB$14,0))</f>
        <v>5.797900561972428</v>
      </c>
      <c r="AC279" s="8">
        <f ca="1">IF(OFFSET(Assumptions!$B$72,0,$C$1)="BU",AC$14*(AB$279/AB$14+MIN(ABS(OFFSET(Assumptions!$B$80,0,$C$1)-AB$279/AB$14),OFFSET(Assumptions!$B$75,0,$C$1))*SIGN(OFFSET(Assumptions!$B$80,0,$C$1)-AB$279/AB$14)),AB$279+IF(OFFSET(Assumptions!$B$113,0,$C$1)="SND",Allocate!$B$19*AC$232*AC$14,0))</f>
        <v>6.0303766094077256</v>
      </c>
      <c r="AD279" s="8">
        <f ca="1">IF(OFFSET(Assumptions!$B$72,0,$C$1)="BU",AD$14*(AC$279/AC$14+MIN(ABS(OFFSET(Assumptions!$B$80,0,$C$1)-AC$279/AC$14),OFFSET(Assumptions!$B$75,0,$C$1))*SIGN(OFFSET(Assumptions!$B$80,0,$C$1)-AC$279/AC$14)),AC$279+IF(OFFSET(Assumptions!$B$113,0,$C$1)="SND",Allocate!$B$19*AD$232*AD$14,0))</f>
        <v>6.2729490869642666</v>
      </c>
      <c r="AE279" s="8">
        <f ca="1">IF(OFFSET(Assumptions!$B$72,0,$C$1)="BU",AE$14*(AD$279/AD$14+MIN(ABS(OFFSET(Assumptions!$B$80,0,$C$1)-AD$279/AD$14),OFFSET(Assumptions!$B$75,0,$C$1))*SIGN(OFFSET(Assumptions!$B$80,0,$C$1)-AD$279/AD$14)),AD$279+IF(OFFSET(Assumptions!$B$113,0,$C$1)="SND",Allocate!$B$19*AE$232*AE$14,0))</f>
        <v>6.5253952241530255</v>
      </c>
      <c r="AF279" s="8">
        <f ca="1">IF(OFFSET(Assumptions!$B$72,0,$C$1)="BU",AF$14*(AE$279/AE$14+MIN(ABS(OFFSET(Assumptions!$B$80,0,$C$1)-AE$279/AE$14),OFFSET(Assumptions!$B$75,0,$C$1))*SIGN(OFFSET(Assumptions!$B$80,0,$C$1)-AE$279/AE$14)),AE$279+IF(OFFSET(Assumptions!$B$113,0,$C$1)="SND",Allocate!$B$19*AF$232*AF$14,0))</f>
        <v>6.7884134383559189</v>
      </c>
      <c r="AG279" s="8">
        <f ca="1">IF(OFFSET(Assumptions!$B$72,0,$C$1)="BU",AG$14*(AF$279/AF$14+MIN(ABS(OFFSET(Assumptions!$B$80,0,$C$1)-AF$279/AF$14),OFFSET(Assumptions!$B$75,0,$C$1))*SIGN(OFFSET(Assumptions!$B$80,0,$C$1)-AF$279/AF$14)),AF$279+IF(OFFSET(Assumptions!$B$113,0,$C$1)="SND",Allocate!$B$19*AG$232*AG$14,0))</f>
        <v>7.0621507983601157</v>
      </c>
      <c r="AH279" s="8">
        <f ca="1">IF(OFFSET(Assumptions!$B$72,0,$C$1)="BU",AH$14*(AG$279/AG$14+MIN(ABS(OFFSET(Assumptions!$B$80,0,$C$1)-AG$279/AG$14),OFFSET(Assumptions!$B$75,0,$C$1))*SIGN(OFFSET(Assumptions!$B$80,0,$C$1)-AG$279/AG$14)),AG$279+IF(OFFSET(Assumptions!$B$113,0,$C$1)="SND",Allocate!$B$19*AH$232*AH$14,0))</f>
        <v>7.3470462610160059</v>
      </c>
      <c r="AI279" s="8">
        <f ca="1">IF(OFFSET(Assumptions!$B$72,0,$C$1)="BU",AI$14*(AH$279/AH$14+MIN(ABS(OFFSET(Assumptions!$B$80,0,$C$1)-AH$279/AH$14),OFFSET(Assumptions!$B$75,0,$C$1))*SIGN(OFFSET(Assumptions!$B$80,0,$C$1)-AH$279/AH$14)),AH$279+IF(OFFSET(Assumptions!$B$113,0,$C$1)="SND",Allocate!$B$19*AI$232*AI$14,0))</f>
        <v>7.6426020196403632</v>
      </c>
      <c r="AJ279" s="8">
        <f ca="1">IF(OFFSET(Assumptions!$B$72,0,$C$1)="BU",AJ$14*(AI$279/AI$14+MIN(ABS(OFFSET(Assumptions!$B$80,0,$C$1)-AI$279/AI$14),OFFSET(Assumptions!$B$75,0,$C$1))*SIGN(OFFSET(Assumptions!$B$80,0,$C$1)-AI$279/AI$14)),AI$279+IF(OFFSET(Assumptions!$B$113,0,$C$1)="SND",Allocate!$B$19*AJ$232*AJ$14,0))</f>
        <v>7.9497648865838402</v>
      </c>
      <c r="AK279" s="8">
        <f ca="1">IF(OFFSET(Assumptions!$B$72,0,$C$1)="BU",AK$14*(AJ$279/AJ$14+MIN(ABS(OFFSET(Assumptions!$B$80,0,$C$1)-AJ$279/AJ$14),OFFSET(Assumptions!$B$75,0,$C$1))*SIGN(OFFSET(Assumptions!$B$80,0,$C$1)-AJ$279/AJ$14)),AJ$279+IF(OFFSET(Assumptions!$B$113,0,$C$1)="SND",Allocate!$B$19*AK$232*AK$14,0))</f>
        <v>8.2682821802103756</v>
      </c>
      <c r="AL279" s="8">
        <f ca="1">IF(OFFSET(Assumptions!$B$72,0,$C$1)="BU",AL$14*(AK$279/AK$14+MIN(ABS(OFFSET(Assumptions!$B$80,0,$C$1)-AK$279/AK$14),OFFSET(Assumptions!$B$75,0,$C$1))*SIGN(OFFSET(Assumptions!$B$80,0,$C$1)-AK$279/AK$14)),AK$279+IF(OFFSET(Assumptions!$B$113,0,$C$1)="SND",Allocate!$B$19*AL$232*AL$14,0))</f>
        <v>8.5979029956604673</v>
      </c>
      <c r="AM279" s="8">
        <f ca="1">IF(OFFSET(Assumptions!$B$72,0,$C$1)="BU",AM$14*(AL$279/AL$14+MIN(ABS(OFFSET(Assumptions!$B$80,0,$C$1)-AL$279/AL$14),OFFSET(Assumptions!$B$75,0,$C$1))*SIGN(OFFSET(Assumptions!$B$80,0,$C$1)-AL$279/AL$14)),AL$279+IF(OFFSET(Assumptions!$B$113,0,$C$1)="SND",Allocate!$B$19*AM$232*AM$14,0))</f>
        <v>8.9390776378913372</v>
      </c>
      <c r="AN279" s="8">
        <f ca="1">IF(OFFSET(Assumptions!$B$72,0,$C$1)="BU",AN$14*(AM$279/AM$14+MIN(ABS(OFFSET(Assumptions!$B$80,0,$C$1)-AM$279/AM$14),OFFSET(Assumptions!$B$75,0,$C$1))*SIGN(OFFSET(Assumptions!$B$80,0,$C$1)-AM$279/AM$14)),AM$279+IF(OFFSET(Assumptions!$B$113,0,$C$1)="SND",Allocate!$B$19*AN$232*AN$14,0))</f>
        <v>9.292280677526362</v>
      </c>
      <c r="AO279" s="8">
        <f ca="1">IF(OFFSET(Assumptions!$B$72,0,$C$1)="BU",AO$14*(AN$279/AN$14+MIN(ABS(OFFSET(Assumptions!$B$80,0,$C$1)-AN$279/AN$14),OFFSET(Assumptions!$B$75,0,$C$1))*SIGN(OFFSET(Assumptions!$B$80,0,$C$1)-AN$279/AN$14)),AN$279+IF(OFFSET(Assumptions!$B$113,0,$C$1)="SND",Allocate!$B$19*AO$232*AO$14,0))</f>
        <v>9.6561252083721687</v>
      </c>
      <c r="AP279" s="8">
        <f ca="1">IF(OFFSET(Assumptions!$B$72,0,$C$1)="BU",AP$14*(AO$279/AO$14+MIN(ABS(OFFSET(Assumptions!$B$80,0,$C$1)-AO$279/AO$14),OFFSET(Assumptions!$B$75,0,$C$1))*SIGN(OFFSET(Assumptions!$B$80,0,$C$1)-AO$279/AO$14)),AO$279+IF(OFFSET(Assumptions!$B$113,0,$C$1)="SND",Allocate!$B$19*AP$232*AP$14,0))</f>
        <v>10.032156294452834</v>
      </c>
      <c r="AQ279" s="8">
        <f ca="1">IF(OFFSET(Assumptions!$B$72,0,$C$1)="BU",AQ$14*(AP$279/AP$14+MIN(ABS(OFFSET(Assumptions!$B$80,0,$C$1)-AP$279/AP$14),OFFSET(Assumptions!$B$75,0,$C$1))*SIGN(OFFSET(Assumptions!$B$80,0,$C$1)-AP$279/AP$14)),AP$279+IF(OFFSET(Assumptions!$B$113,0,$C$1)="SND",Allocate!$B$19*AQ$232*AQ$14,0))</f>
        <v>10.419320297851812</v>
      </c>
      <c r="AR279" s="8">
        <f ca="1">IF(OFFSET(Assumptions!$B$72,0,$C$1)="BU",AR$14*(AQ$279/AQ$14+MIN(ABS(OFFSET(Assumptions!$B$80,0,$C$1)-AQ$279/AQ$14),OFFSET(Assumptions!$B$75,0,$C$1))*SIGN(OFFSET(Assumptions!$B$80,0,$C$1)-AQ$279/AQ$14)),AQ$279+IF(OFFSET(Assumptions!$B$113,0,$C$1)="SND",Allocate!$B$19*AR$232*AR$14,0))</f>
        <v>10.818055557483378</v>
      </c>
      <c r="AS279" s="8">
        <f ca="1">IF(OFFSET(Assumptions!$B$72,0,$C$1)="BU",AS$14*(AR$279/AR$14+MIN(ABS(OFFSET(Assumptions!$B$80,0,$C$1)-AR$279/AR$14),OFFSET(Assumptions!$B$75,0,$C$1))*SIGN(OFFSET(Assumptions!$B$80,0,$C$1)-AR$279/AR$14)),AR$279+IF(OFFSET(Assumptions!$B$113,0,$C$1)="SND",Allocate!$B$19*AS$232*AS$14,0))</f>
        <v>11.229292311207182</v>
      </c>
      <c r="AT279" s="8">
        <f ca="1">IF(OFFSET(Assumptions!$B$72,0,$C$1)="BU",AT$14*(AS$279/AS$14+MIN(ABS(OFFSET(Assumptions!$B$80,0,$C$1)-AS$279/AS$14),OFFSET(Assumptions!$B$75,0,$C$1))*SIGN(OFFSET(Assumptions!$B$80,0,$C$1)-AS$279/AS$14)),AS$279+IF(OFFSET(Assumptions!$B$113,0,$C$1)="SND",Allocate!$B$19*AT$232*AT$14,0))</f>
        <v>11.653359000354897</v>
      </c>
      <c r="AU279" s="8">
        <f ca="1">IF(OFFSET(Assumptions!$B$72,0,$C$1)="BU",AU$14*(AT$279/AT$14+MIN(ABS(OFFSET(Assumptions!$B$80,0,$C$1)-AT$279/AT$14),OFFSET(Assumptions!$B$75,0,$C$1))*SIGN(OFFSET(Assumptions!$B$80,0,$C$1)-AT$279/AT$14)),AT$279+IF(OFFSET(Assumptions!$B$113,0,$C$1)="SND",Allocate!$B$19*AU$232*AU$14,0))</f>
        <v>12.090819538952491</v>
      </c>
      <c r="AV279" s="8">
        <f ca="1">IF(OFFSET(Assumptions!$B$72,0,$C$1)="BU",AV$14*(AU$279/AU$14+MIN(ABS(OFFSET(Assumptions!$B$80,0,$C$1)-AU$279/AU$14),OFFSET(Assumptions!$B$75,0,$C$1))*SIGN(OFFSET(Assumptions!$B$80,0,$C$1)-AU$279/AU$14)),AU$279+IF(OFFSET(Assumptions!$B$113,0,$C$1)="SND",Allocate!$B$19*AV$232*AV$14,0))</f>
        <v>12.543026510392613</v>
      </c>
      <c r="AW279" s="8">
        <f ca="1">IF(OFFSET(Assumptions!$B$72,0,$C$1)="BU",AW$14*(AV$279/AV$14+MIN(ABS(OFFSET(Assumptions!$B$80,0,$C$1)-AV$279/AV$14),OFFSET(Assumptions!$B$75,0,$C$1))*SIGN(OFFSET(Assumptions!$B$80,0,$C$1)-AV$279/AV$14)),AV$279+IF(OFFSET(Assumptions!$B$113,0,$C$1)="SND",Allocate!$B$19*AW$232*AW$14,0))</f>
        <v>13.009724618435801</v>
      </c>
    </row>
    <row r="280" spans="1:49" ht="15" x14ac:dyDescent="0.25">
      <c r="A280" s="2" t="s">
        <v>569</v>
      </c>
      <c r="B280" s="4" t="str">
        <f t="shared" si="192"/>
        <v>From Fiscal</v>
      </c>
      <c r="D280" s="47">
        <f>Fiscal!D$42</f>
        <v>1.917</v>
      </c>
      <c r="E280" s="44">
        <f ca="1">Fiscal!E$42  +IF(OR(OFFSET(Assumptions!$B$72,0,$C$1)="BU",OFFSET(Assumptions!$B$113,0,$C$1)="SND"),Allocate!C$19,0)</f>
        <v>2.0059999999999998</v>
      </c>
      <c r="F280" s="44">
        <f ca="1">Fiscal!F$42  +IF(OR(OFFSET(Assumptions!$B$72,0,$C$1)="BU",OFFSET(Assumptions!$B$113,0,$C$1)="SND"),Allocate!D$19,0)</f>
        <v>2.1270000000000002</v>
      </c>
      <c r="G280" s="44">
        <f ca="1">Fiscal!G$42  +IF(OR(OFFSET(Assumptions!$B$72,0,$C$1)="BU",OFFSET(Assumptions!$B$113,0,$C$1)="SND"),Allocate!E$19,0)</f>
        <v>2.2389999999999999</v>
      </c>
      <c r="H280" s="44">
        <f ca="1">Fiscal!H$42  +IF(OR(OFFSET(Assumptions!$B$72,0,$C$1)="BU",OFFSET(Assumptions!$B$113,0,$C$1)="SND"),Allocate!F$19,0)</f>
        <v>2.3239999999999998</v>
      </c>
      <c r="I280" s="44">
        <f ca="1">Fiscal!I$42  +IF(OR(OFFSET(Assumptions!$B$72,0,$C$1)="BU",OFFSET(Assumptions!$B$113,0,$C$1)="SND"),Allocate!G$19,0)</f>
        <v>2.4019999999999997</v>
      </c>
      <c r="J280" s="8">
        <f ca="1">IF(J$6=OFFSET(Assumptions!$B$8,0,$C$1),AVERAGE((G$280-G$279)/G$14,(H$280-H$279)/H$14,(I$280-I$279)/I$14),(I$280-I$279)/I$14)*J$14 + J$279</f>
        <v>2.657805597989416</v>
      </c>
      <c r="K280" s="8">
        <f ca="1">IF(K$6=OFFSET(Assumptions!$B$8,0,$C$1),AVERAGE((H$280-H$279)/H$14,(I$280-I$279)/I$14,(J$280-J$279)/J$14),(J$280-J$279)/J$14)*K$14 + K$279</f>
        <v>2.8916834459526726</v>
      </c>
      <c r="L280" s="8">
        <f ca="1">IF(L$6=OFFSET(Assumptions!$B$8,0,$C$1),AVERAGE((I$280-I$279)/I$14,(J$280-J$279)/J$14,(K$280-K$279)/K$14),(K$280-K$279)/K$14)*L$14 + L$279</f>
        <v>3.0170243044259393</v>
      </c>
      <c r="M280" s="8">
        <f ca="1">IF(M$6=OFFSET(Assumptions!$B$8,0,$C$1),AVERAGE((J$280-J$279)/J$14,(K$280-K$279)/K$14,(L$280-L$279)/L$14),(L$280-L$279)/L$14)*M$14 + M$279</f>
        <v>3.1473792253310235</v>
      </c>
      <c r="N280" s="8">
        <f ca="1">IF(N$6=OFFSET(Assumptions!$B$8,0,$C$1),AVERAGE((K$280-K$279)/K$14,(L$280-L$279)/L$14,(M$280-M$279)/M$14),(M$280-M$279)/M$14)*N$14 + N$279</f>
        <v>3.2831177489578001</v>
      </c>
      <c r="O280" s="8">
        <f ca="1">IF(O$6=OFFSET(Assumptions!$B$8,0,$C$1),AVERAGE((L$280-L$279)/L$14,(M$280-M$279)/M$14,(N$280-N$279)/N$14),(N$280-N$279)/N$14)*O$14 + O$279</f>
        <v>3.4232633199890947</v>
      </c>
      <c r="P280" s="8">
        <f ca="1">IF(P$6=OFFSET(Assumptions!$B$8,0,$C$1),AVERAGE((M$280-M$279)/M$14,(N$280-N$279)/N$14,(O$280-O$279)/O$14),(O$280-O$279)/O$14)*P$14 + P$279</f>
        <v>3.5680293643852599</v>
      </c>
      <c r="Q280" s="8">
        <f ca="1">IF(Q$6=OFFSET(Assumptions!$B$8,0,$C$1),AVERAGE((N$280-N$279)/N$14,(O$280-O$279)/O$14,(P$280-P$279)/P$14),(P$280-P$279)/P$14)*Q$14 + Q$279</f>
        <v>3.7172595082365869</v>
      </c>
      <c r="R280" s="8">
        <f ca="1">IF(R$6=OFFSET(Assumptions!$B$8,0,$C$1),AVERAGE((O$280-O$279)/O$14,(P$280-P$279)/P$14,(Q$280-Q$279)/Q$14),(Q$280-Q$279)/Q$14)*R$14 + R$279</f>
        <v>3.8708429903178105</v>
      </c>
      <c r="S280" s="8">
        <f ca="1">IF(S$6=OFFSET(Assumptions!$B$8,0,$C$1),AVERAGE((P$280-P$279)/P$14,(Q$280-Q$279)/Q$14,(R$280-R$279)/R$14),(R$280-R$279)/R$14)*S$14 + S$279</f>
        <v>4.0292678926722889</v>
      </c>
      <c r="T280" s="8">
        <f ca="1">IF(T$6=OFFSET(Assumptions!$B$8,0,$C$1),AVERAGE((Q$280-Q$279)/Q$14,(R$280-R$279)/R$14,(S$280-S$279)/S$14),(S$280-S$279)/S$14)*T$14 + T$279</f>
        <v>4.1925919874981625</v>
      </c>
      <c r="U280" s="8">
        <f ca="1">IF(U$6=OFFSET(Assumptions!$B$8,0,$C$1),AVERAGE((R$280-R$279)/R$14,(S$280-S$279)/S$14,(T$280-T$279)/T$14),(T$280-T$279)/T$14)*U$14 + U$279</f>
        <v>4.3614014406665902</v>
      </c>
      <c r="V280" s="8">
        <f ca="1">IF(V$6=OFFSET(Assumptions!$B$8,0,$C$1),AVERAGE((S$280-S$279)/S$14,(T$280-T$279)/T$14,(U$280-U$279)/U$14),(U$280-U$279)/U$14)*V$14 + V$279</f>
        <v>4.5361129592769203</v>
      </c>
      <c r="W280" s="8">
        <f ca="1">IF(W$6=OFFSET(Assumptions!$B$8,0,$C$1),AVERAGE((T$280-T$279)/T$14,(U$280-U$279)/U$14,(V$280-V$279)/V$14),(V$280-V$279)/V$14)*W$14 + W$279</f>
        <v>4.7172327266673379</v>
      </c>
      <c r="X280" s="8">
        <f ca="1">IF(X$6=OFFSET(Assumptions!$B$8,0,$C$1),AVERAGE((U$280-U$279)/U$14,(V$280-V$279)/V$14,(W$280-W$279)/W$14),(W$280-W$279)/W$14)*X$14 + X$279</f>
        <v>4.9053344319726193</v>
      </c>
      <c r="Y280" s="8">
        <f ca="1">IF(Y$6=OFFSET(Assumptions!$B$8,0,$C$1),AVERAGE((V$280-V$279)/V$14,(W$280-W$279)/W$14,(X$280-X$279)/X$14),(X$280-X$279)/X$14)*Y$14 + Y$279</f>
        <v>5.1003988449702815</v>
      </c>
      <c r="Z280" s="8">
        <f ca="1">IF(Z$6=OFFSET(Assumptions!$B$8,0,$C$1),AVERAGE((W$280-W$279)/W$14,(X$280-X$279)/X$14,(Y$280-Y$279)/Y$14),(Y$280-Y$279)/Y$14)*Z$14 + Z$279</f>
        <v>5.3034133119625926</v>
      </c>
      <c r="AA280" s="8">
        <f ca="1">IF(AA$6=OFFSET(Assumptions!$B$8,0,$C$1),AVERAGE((X$280-X$279)/X$14,(Y$280-Y$279)/Y$14,(Z$280-Z$279)/Z$14),(Z$280-Z$279)/Z$14)*AA$14 + AA$279</f>
        <v>5.5147063110572407</v>
      </c>
      <c r="AB280" s="8">
        <f ca="1">IF(AB$6=OFFSET(Assumptions!$B$8,0,$C$1),AVERAGE((Y$280-Y$279)/Y$14,(Z$280-Z$279)/Z$14,(AA$280-AA$279)/AA$14),(AA$280-AA$279)/AA$14)*AB$14 + AB$279</f>
        <v>5.7349123746436819</v>
      </c>
      <c r="AC280" s="8">
        <f ca="1">IF(AC$6=OFFSET(Assumptions!$B$8,0,$C$1),AVERAGE((Z$280-Z$279)/Z$14,(AA$280-AA$279)/AA$14,(AB$280-AB$279)/AB$14),(AB$280-AB$279)/AB$14)*AC$14 + AC$279</f>
        <v>5.9648628104944441</v>
      </c>
      <c r="AD280" s="8">
        <f ca="1">IF(AD$6=OFFSET(Assumptions!$B$8,0,$C$1),AVERAGE((AA$280-AA$279)/AA$14,(AB$280-AB$279)/AB$14,(AC$280-AC$279)/AC$14),(AC$280-AC$279)/AC$14)*AD$14 + AD$279</f>
        <v>6.2047999892055126</v>
      </c>
      <c r="AE280" s="8">
        <f ca="1">IF(AE$6=OFFSET(Assumptions!$B$8,0,$C$1),AVERAGE((AB$280-AB$279)/AB$14,(AC$280-AC$279)/AC$14,(AD$280-AD$279)/AD$14),(AD$280-AD$279)/AD$14)*AE$14 + AE$279</f>
        <v>6.4545035604586021</v>
      </c>
      <c r="AF280" s="8">
        <f ca="1">IF(AF$6=OFFSET(Assumptions!$B$8,0,$C$1),AVERAGE((AC$280-AC$279)/AC$14,(AD$280-AD$279)/AD$14,(AE$280-AE$279)/AE$14),(AE$280-AE$279)/AE$14)*AF$14 + AF$279</f>
        <v>6.7146643540538111</v>
      </c>
      <c r="AG280" s="8">
        <f ca="1">IF(AG$6=OFFSET(Assumptions!$B$8,0,$C$1),AVERAGE((AD$280-AD$279)/AD$14,(AE$280-AE$279)/AE$14,(AF$280-AF$279)/AF$14),(AF$280-AF$279)/AF$14)*AG$14 + AG$279</f>
        <v>6.9854278410281889</v>
      </c>
      <c r="AH280" s="8">
        <f ca="1">IF(AH$6=OFFSET(Assumptions!$B$8,0,$C$1),AVERAGE((AE$280-AE$279)/AE$14,(AF$280-AF$279)/AF$14,(AG$280-AG$279)/AG$14),(AG$280-AG$279)/AG$14)*AH$14 + AH$279</f>
        <v>7.2672282094203764</v>
      </c>
      <c r="AI280" s="8">
        <f ca="1">IF(AI$6=OFFSET(Assumptions!$B$8,0,$C$1),AVERAGE((AF$280-AF$279)/AF$14,(AG$280-AG$279)/AG$14,(AH$280-AH$279)/AH$14),(AH$280-AH$279)/AH$14)*AI$14 + AI$279</f>
        <v>7.559573060701406</v>
      </c>
      <c r="AJ280" s="8">
        <f ca="1">IF(AJ$6=OFFSET(Assumptions!$B$8,0,$C$1),AVERAGE((AG$280-AG$279)/AG$14,(AH$280-AH$279)/AH$14,(AI$280-AI$279)/AI$14),(AI$280-AI$279)/AI$14)*AJ$14 + AJ$279</f>
        <v>7.8633989210859276</v>
      </c>
      <c r="AK280" s="8">
        <f ca="1">IF(AK$6=OFFSET(Assumptions!$B$8,0,$C$1),AVERAGE((AH$280-AH$279)/AH$14,(AI$280-AI$279)/AI$14,(AJ$280-AJ$279)/AJ$14),(AJ$280-AJ$279)/AJ$14)*AK$14 + AK$279</f>
        <v>8.1784558540622676</v>
      </c>
      <c r="AL280" s="8">
        <f ca="1">IF(AL$6=OFFSET(Assumptions!$B$8,0,$C$1),AVERAGE((AI$280-AI$279)/AI$14,(AJ$280-AJ$279)/AJ$14,(AK$280-AK$279)/AK$14),(AK$280-AK$279)/AK$14)*AL$14 + AL$279</f>
        <v>8.5044956805924734</v>
      </c>
      <c r="AM280" s="8">
        <f ca="1">IF(AM$6=OFFSET(Assumptions!$B$8,0,$C$1),AVERAGE((AJ$280-AJ$279)/AJ$14,(AK$280-AK$279)/AK$14,(AL$280-AL$279)/AL$14),(AL$280-AL$279)/AL$14)*AM$14 + AM$279</f>
        <v>8.8419638135365837</v>
      </c>
      <c r="AN280" s="8">
        <f ca="1">IF(AN$6=OFFSET(Assumptions!$B$8,0,$C$1),AVERAGE((AK$280-AK$279)/AK$14,(AL$280-AL$279)/AL$14,(AM$280-AM$279)/AM$14),(AM$280-AM$279)/AM$14)*AN$14 + AN$279</f>
        <v>9.1913296677994527</v>
      </c>
      <c r="AO280" s="8">
        <f ca="1">IF(AO$6=OFFSET(Assumptions!$B$8,0,$C$1),AVERAGE((AL$280-AL$279)/AL$14,(AM$280-AM$279)/AM$14,(AN$280-AN$279)/AN$14),(AN$280-AN$279)/AN$14)*AO$14 + AO$279</f>
        <v>9.5512214044877037</v>
      </c>
      <c r="AP280" s="8">
        <f ca="1">IF(AP$6=OFFSET(Assumptions!$B$8,0,$C$1),AVERAGE((AM$280-AM$279)/AM$14,(AN$280-AN$279)/AN$14,(AO$280-AO$279)/AO$14),(AO$280-AO$279)/AO$14)*AP$14 + AP$279</f>
        <v>9.9231673021043196</v>
      </c>
      <c r="AQ280" s="8">
        <f ca="1">IF(AQ$6=OFFSET(Assumptions!$B$8,0,$C$1),AVERAGE((AN$280-AN$279)/AN$14,(AO$280-AO$279)/AO$14,(AP$280-AP$279)/AP$14),(AP$280-AP$279)/AP$14)*AQ$14 + AQ$279</f>
        <v>10.306125169417937</v>
      </c>
      <c r="AR280" s="8">
        <f ca="1">IF(AR$6=OFFSET(Assumptions!$B$8,0,$C$1),AVERAGE((AO$280-AO$279)/AO$14,(AP$280-AP$279)/AP$14,(AQ$280-AQ$279)/AQ$14),(AQ$280-AQ$279)/AQ$14)*AR$14 + AR$279</f>
        <v>10.700528583244321</v>
      </c>
      <c r="AS280" s="8">
        <f ca="1">IF(AS$6=OFFSET(Assumptions!$B$8,0,$C$1),AVERAGE((AP$280-AP$279)/AP$14,(AQ$280-AQ$279)/AQ$14,(AR$280-AR$279)/AR$14),(AR$280-AR$279)/AR$14)*AS$14 + AS$279</f>
        <v>11.107297675371802</v>
      </c>
      <c r="AT280" s="8">
        <f ca="1">IF(AT$6=OFFSET(Assumptions!$B$8,0,$C$1),AVERAGE((AQ$280-AQ$279)/AQ$14,(AR$280-AR$279)/AR$14,(AS$280-AS$279)/AS$14),(AS$280-AS$279)/AS$14)*AT$14 + AT$279</f>
        <v>11.526757318957005</v>
      </c>
      <c r="AU280" s="8">
        <f ca="1">IF(AU$6=OFFSET(Assumptions!$B$8,0,$C$1),AVERAGE((AR$280-AR$279)/AR$14,(AS$280-AS$279)/AS$14,(AT$280-AT$279)/AT$14),(AT$280-AT$279)/AT$14)*AU$14 + AU$279</f>
        <v>11.9594653016838</v>
      </c>
      <c r="AV280" s="8">
        <f ca="1">IF(AV$6=OFFSET(Assumptions!$B$8,0,$C$1),AVERAGE((AS$280-AS$279)/AS$14,(AT$280-AT$279)/AT$14,(AU$280-AU$279)/AU$14),(AU$280-AU$279)/AU$14)*AV$14 + AV$279</f>
        <v>12.406759512526532</v>
      </c>
      <c r="AW280" s="8">
        <f ca="1">IF(AW$6=OFFSET(Assumptions!$B$8,0,$C$1),AVERAGE((AT$280-AT$279)/AT$14,(AU$280-AU$279)/AU$14,(AV$280-AV$279)/AV$14),(AV$280-AV$279)/AV$14)*AW$14 + AW$279</f>
        <v>12.86838742877509</v>
      </c>
    </row>
    <row r="281" spans="1:49" ht="15" x14ac:dyDescent="0.25">
      <c r="A281" s="2"/>
      <c r="B281" s="4"/>
      <c r="D281" s="47"/>
      <c r="E281" s="44"/>
      <c r="F281" s="44"/>
      <c r="G281" s="44"/>
      <c r="H281" s="44"/>
      <c r="I281" s="44"/>
      <c r="J281" s="8"/>
      <c r="K281" s="8"/>
      <c r="L281" s="8"/>
      <c r="M281" s="8"/>
      <c r="N281" s="8"/>
      <c r="O281" s="8"/>
      <c r="P281" s="8"/>
      <c r="Q281" s="8"/>
      <c r="R281" s="8"/>
      <c r="S281" s="8"/>
    </row>
    <row r="282" spans="1:49" ht="15" x14ac:dyDescent="0.25">
      <c r="A282" s="22" t="s">
        <v>570</v>
      </c>
      <c r="B282" s="4"/>
      <c r="D282" s="8"/>
      <c r="E282" s="8"/>
      <c r="F282" s="8"/>
      <c r="G282" s="8"/>
      <c r="H282" s="8"/>
      <c r="I282" s="8"/>
      <c r="J282" s="8"/>
      <c r="K282" s="8"/>
      <c r="L282" s="8"/>
      <c r="M282" s="8"/>
      <c r="N282" s="8"/>
      <c r="O282" s="8"/>
      <c r="P282" s="8"/>
      <c r="Q282" s="8"/>
      <c r="R282" s="8"/>
      <c r="S282" s="8"/>
    </row>
    <row r="283" spans="1:49" x14ac:dyDescent="0.2">
      <c r="A283" s="1" t="s">
        <v>324</v>
      </c>
      <c r="B283" s="4" t="str">
        <f t="shared" ref="B283:B286" si="193">$B$43</f>
        <v>From Fiscal</v>
      </c>
      <c r="D283" s="18">
        <f>Fiscal!D$60</f>
        <v>2.2909999999999999</v>
      </c>
      <c r="E283" s="19">
        <f>Fiscal!E$60</f>
        <v>2.246</v>
      </c>
      <c r="F283" s="19">
        <f>Fiscal!F$60</f>
        <v>2.3580000000000001</v>
      </c>
      <c r="G283" s="19">
        <f>Fiscal!G$60</f>
        <v>2.3820000000000001</v>
      </c>
      <c r="H283" s="19">
        <f>Fiscal!H$60</f>
        <v>2.407</v>
      </c>
      <c r="I283" s="19">
        <f>Fiscal!I$60</f>
        <v>2.4550000000000001</v>
      </c>
      <c r="J283" s="7">
        <f ca="1">IF(J$6=OFFSET(Assumptions!$B$8,0,$C$1),AVERAGE(G$283/G$135,H$283/H$135,I$283/I$135),I$283/I$135)*J$135</f>
        <v>2.6665557466740974</v>
      </c>
      <c r="K283" s="7">
        <f ca="1">IF(K$6=OFFSET(Assumptions!$B$8,0,$C$1),AVERAGE(H$283/H$135,I$283/I$135,J$283/J$135),J$283/J$135)*K$135</f>
        <v>2.8686161199967199</v>
      </c>
      <c r="L283" s="7">
        <f ca="1">IF(L$6=OFFSET(Assumptions!$B$8,0,$C$1),AVERAGE(I$283/I$135,J$283/J$135,K$283/K$135),K$283/K$135)*L$135</f>
        <v>2.99295711852956</v>
      </c>
      <c r="M283" s="7">
        <f ca="1">IF(M$6=OFFSET(Assumptions!$B$8,0,$C$1),AVERAGE(J$283/J$135,K$283/K$135,L$283/L$135),L$283/L$135)*M$135</f>
        <v>3.1222721816816494</v>
      </c>
      <c r="N283" s="7">
        <f ca="1">IF(N$6=OFFSET(Assumptions!$B$8,0,$C$1),AVERAGE(K$283/K$135,L$283/L$135,M$283/M$135),M$283/M$135)*N$135</f>
        <v>3.2569279018730568</v>
      </c>
      <c r="O283" s="7">
        <f ca="1">IF(O$6=OFFSET(Assumptions!$B$8,0,$C$1),AVERAGE(L$283/L$135,M$283/M$135,N$283/N$135),N$283/N$135)*O$135</f>
        <v>3.3959555138923485</v>
      </c>
      <c r="P283" s="7">
        <f ca="1">IF(P$6=OFFSET(Assumptions!$B$8,0,$C$1),AVERAGE(M$283/M$135,N$283/N$135,O$283/O$135),O$283/O$135)*P$135</f>
        <v>3.5395667411738967</v>
      </c>
      <c r="Q283" s="7">
        <f ca="1">IF(Q$6=OFFSET(Assumptions!$B$8,0,$C$1),AVERAGE(N$283/N$135,O$283/O$135,P$283/P$135),P$283/P$135)*Q$135</f>
        <v>3.6876064572225227</v>
      </c>
      <c r="R283" s="7">
        <f ca="1">IF(R$6=OFFSET(Assumptions!$B$8,0,$C$1),AVERAGE(O$283/O$135,P$283/P$135,Q$283/Q$135),Q$283/Q$135)*R$135</f>
        <v>3.8399647843693163</v>
      </c>
      <c r="S283" s="7">
        <f ca="1">IF(S$6=OFFSET(Assumptions!$B$8,0,$C$1),AVERAGE(P$283/P$135,Q$283/Q$135,R$283/R$135),R$283/R$135)*S$135</f>
        <v>3.9971259111652131</v>
      </c>
      <c r="T283" s="7">
        <f ca="1">IF(T$6=OFFSET(Assumptions!$B$8,0,$C$1),AVERAGE(Q$283/Q$135,R$283/R$135,S$283/S$135),S$283/S$135)*T$135</f>
        <v>4.1591471489521936</v>
      </c>
      <c r="U283" s="7">
        <f ca="1">IF(U$6=OFFSET(Assumptions!$B$8,0,$C$1),AVERAGE(R$283/R$135,S$283/S$135,T$283/T$135),T$283/T$135)*U$135</f>
        <v>4.3266099876818487</v>
      </c>
      <c r="V283" s="7">
        <f ca="1">IF(V$6=OFFSET(Assumptions!$B$8,0,$C$1),AVERAGE(S$283/S$135,T$283/T$135,U$283/U$135),U$283/U$135)*V$135</f>
        <v>4.4999278103280904</v>
      </c>
      <c r="W283" s="7">
        <f ca="1">IF(W$6=OFFSET(Assumptions!$B$8,0,$C$1),AVERAGE(T$283/T$135,U$283/U$135,V$283/V$135),V$283/V$135)*W$135</f>
        <v>4.6796027623403553</v>
      </c>
      <c r="X283" s="7">
        <f ca="1">IF(X$6=OFFSET(Assumptions!$B$8,0,$C$1),AVERAGE(U$283/U$135,V$283/V$135,W$283/W$135),W$283/W$135)*X$135</f>
        <v>4.8662039564623605</v>
      </c>
      <c r="Y283" s="7">
        <f ca="1">IF(Y$6=OFFSET(Assumptions!$B$8,0,$C$1),AVERAGE(V$283/V$135,W$283/W$135,X$283/X$135),X$283/X$135)*Y$135</f>
        <v>5.059712315873548</v>
      </c>
      <c r="Z283" s="7">
        <f ca="1">IF(Z$6=OFFSET(Assumptions!$B$8,0,$C$1),AVERAGE(W$283/W$135,X$283/X$135,Y$283/Y$135),Y$283/Y$135)*Z$135</f>
        <v>5.2611073106893871</v>
      </c>
      <c r="AA283" s="7">
        <f ca="1">IF(AA$6=OFFSET(Assumptions!$B$8,0,$C$1),AVERAGE(X$283/X$135,Y$283/Y$135,Z$283/Z$135),Z$283/Z$135)*AA$135</f>
        <v>5.4707147987059992</v>
      </c>
      <c r="AB283" s="7">
        <f ca="1">IF(AB$6=OFFSET(Assumptions!$B$8,0,$C$1),AVERAGE(Y$283/Y$135,Z$283/Z$135,AA$283/AA$135),AA$283/AA$135)*AB$135</f>
        <v>5.6891642505674129</v>
      </c>
      <c r="AC283" s="7">
        <f ca="1">IF(AC$6=OFFSET(Assumptions!$B$8,0,$C$1),AVERAGE(Z$283/Z$135,AA$283/AA$135,AB$283/AB$135),AB$283/AB$135)*AC$135</f>
        <v>5.917280342598521</v>
      </c>
      <c r="AD283" s="7">
        <f ca="1">IF(AD$6=OFFSET(Assumptions!$B$8,0,$C$1),AVERAGE(AA$283/AA$135,AB$283/AB$135,AC$283/AC$135),AC$283/AC$135)*AD$135</f>
        <v>6.1553035119742914</v>
      </c>
      <c r="AE283" s="7">
        <f ca="1">IF(AE$6=OFFSET(Assumptions!$B$8,0,$C$1),AVERAGE(AB$283/AB$135,AC$283/AC$135,AD$283/AD$135),AD$283/AD$135)*AE$135</f>
        <v>6.4030151661389043</v>
      </c>
      <c r="AF283" s="7">
        <f ca="1">IF(AF$6=OFFSET(Assumptions!$B$8,0,$C$1),AVERAGE(AC$283/AC$135,AD$283/AD$135,AE$283/AE$135),AE$283/AE$135)*AF$135</f>
        <v>6.6611006240554378</v>
      </c>
      <c r="AG283" s="7">
        <f ca="1">IF(AG$6=OFFSET(Assumptions!$B$8,0,$C$1),AVERAGE(AD$283/AD$135,AE$283/AE$135,AF$283/AF$135),AF$283/AF$135)*AG$135</f>
        <v>6.9297041963200128</v>
      </c>
      <c r="AH283" s="7">
        <f ca="1">IF(AH$6=OFFSET(Assumptions!$B$8,0,$C$1),AVERAGE(AE$283/AE$135,AF$283/AF$135,AG$283/AG$135),AG$283/AG$135)*AH$135</f>
        <v>7.2092566073981619</v>
      </c>
      <c r="AI283" s="7">
        <f ca="1">IF(AI$6=OFFSET(Assumptions!$B$8,0,$C$1),AVERAGE(AF$283/AF$135,AG$283/AG$135,AH$283/AH$135),AH$283/AH$135)*AI$135</f>
        <v>7.499269386686497</v>
      </c>
      <c r="AJ283" s="7">
        <f ca="1">IF(AJ$6=OFFSET(Assumptions!$B$8,0,$C$1),AVERAGE(AG$283/AG$135,AH$283/AH$135,AI$283/AI$135),AI$283/AI$135)*AJ$135</f>
        <v>7.8006715896111603</v>
      </c>
      <c r="AK283" s="7">
        <f ca="1">IF(AK$6=OFFSET(Assumptions!$B$8,0,$C$1),AVERAGE(AH$283/AH$135,AI$283/AI$135,AJ$283/AJ$135),AJ$283/AJ$135)*AK$135</f>
        <v>8.1132152734357579</v>
      </c>
      <c r="AL283" s="7">
        <f ca="1">IF(AL$6=OFFSET(Assumptions!$B$8,0,$C$1),AVERAGE(AI$283/AI$135,AJ$283/AJ$135,AK$283/AK$135),AK$283/AK$135)*AL$135</f>
        <v>8.436654238878031</v>
      </c>
      <c r="AM283" s="7">
        <f ca="1">IF(AM$6=OFFSET(Assumptions!$B$8,0,$C$1),AVERAGE(AJ$283/AJ$135,AK$283/AK$135,AL$283/AL$135),AL$283/AL$135)*AM$135</f>
        <v>8.7714303456830898</v>
      </c>
      <c r="AN283" s="7">
        <f ca="1">IF(AN$6=OFFSET(Assumptions!$B$8,0,$C$1),AVERAGE(AK$283/AK$135,AL$283/AL$135,AM$283/AM$135),AM$283/AM$135)*AN$135</f>
        <v>9.118009264173498</v>
      </c>
      <c r="AO283" s="7">
        <f ca="1">IF(AO$6=OFFSET(Assumptions!$B$8,0,$C$1),AVERAGE(AL$283/AL$135,AM$283/AM$135,AN$283/AN$135),AN$283/AN$135)*AO$135</f>
        <v>9.4750300987888867</v>
      </c>
      <c r="AP283" s="7">
        <f ca="1">IF(AP$6=OFFSET(Assumptions!$B$8,0,$C$1),AVERAGE(AM$283/AM$135,AN$283/AN$135,AO$283/AO$135),AO$283/AO$135)*AP$135</f>
        <v>9.8440089367606056</v>
      </c>
      <c r="AQ283" s="7">
        <f ca="1">IF(AQ$6=OFFSET(Assumptions!$B$8,0,$C$1),AVERAGE(AN$283/AN$135,AO$283/AO$135,AP$283/AP$135),AP$283/AP$135)*AQ$135</f>
        <v>10.223911900549053</v>
      </c>
      <c r="AR283" s="7">
        <f ca="1">IF(AR$6=OFFSET(Assumptions!$B$8,0,$C$1),AVERAGE(AO$283/AO$135,AP$283/AP$135,AQ$283/AQ$135),AQ$283/AQ$135)*AR$135</f>
        <v>10.615169108272688</v>
      </c>
      <c r="AS283" s="7">
        <f ca="1">IF(AS$6=OFFSET(Assumptions!$B$8,0,$C$1),AVERAGE(AP$283/AP$135,AQ$283/AQ$135,AR$283/AR$135),AR$283/AR$135)*AS$135</f>
        <v>11.018693351711754</v>
      </c>
      <c r="AT283" s="7">
        <f ca="1">IF(AT$6=OFFSET(Assumptions!$B$8,0,$C$1),AVERAGE(AQ$283/AQ$135,AR$283/AR$135,AS$283/AS$135),AS$283/AS$135)*AT$135</f>
        <v>11.434806912468462</v>
      </c>
      <c r="AU283" s="7">
        <f ca="1">IF(AU$6=OFFSET(Assumptions!$B$8,0,$C$1),AVERAGE(AR$283/AR$135,AS$283/AS$135,AT$283/AT$135),AT$283/AT$135)*AU$135</f>
        <v>11.864063128683513</v>
      </c>
      <c r="AV283" s="7">
        <f ca="1">IF(AV$6=OFFSET(Assumptions!$B$8,0,$C$1),AVERAGE(AS$283/AS$135,AT$283/AT$135,AU$283/AU$135),AU$283/AU$135)*AV$135</f>
        <v>12.307789216821057</v>
      </c>
      <c r="AW283" s="7">
        <f ca="1">IF(AW$6=OFFSET(Assumptions!$B$8,0,$C$1),AVERAGE(AT$283/AT$135,AU$283/AU$135,AV$283/AV$135),AV$283/AV$135)*AW$135</f>
        <v>12.7657346685767</v>
      </c>
    </row>
    <row r="284" spans="1:49" x14ac:dyDescent="0.2">
      <c r="A284" s="1" t="s">
        <v>295</v>
      </c>
      <c r="B284" s="4" t="str">
        <f t="shared" si="193"/>
        <v>From Fiscal</v>
      </c>
      <c r="D284" s="18">
        <f>Fiscal!D$197</f>
        <v>2.5640000000000001</v>
      </c>
      <c r="E284" s="19">
        <f>Fiscal!E$197</f>
        <v>2.7050000000000001</v>
      </c>
      <c r="F284" s="19">
        <f>Fiscal!F$197</f>
        <v>2.8359999999999999</v>
      </c>
      <c r="G284" s="19">
        <f>Fiscal!G$197</f>
        <v>2.827</v>
      </c>
      <c r="H284" s="19">
        <f>Fiscal!H$197</f>
        <v>2.7829999999999999</v>
      </c>
      <c r="I284" s="19">
        <f>Fiscal!I$197</f>
        <v>2.758</v>
      </c>
      <c r="J284" s="7">
        <f ca="1">IF(J$6=OFFSET(Assumptions!$B$8,0,$C$1),AVERAGE(G$284/G$283,H$284/H$283,I$284/I$283),I$284/I$283)*J$283</f>
        <v>3.081161113659733</v>
      </c>
      <c r="K284" s="7">
        <f ca="1">IF(K$6=OFFSET(Assumptions!$B$8,0,$C$1),AVERAGE(H$284/H$283,I$284/I$283,J$284/J$283),J$284/J$283)*K$283</f>
        <v>3.3146385369874682</v>
      </c>
      <c r="L284" s="7">
        <f ca="1">IF(L$6=OFFSET(Assumptions!$B$8,0,$C$1),AVERAGE(I$284/I$283,J$284/J$283,K$284/K$283),K$284/K$283)*L$283</f>
        <v>3.4583125066732152</v>
      </c>
      <c r="M284" s="7">
        <f ca="1">IF(M$6=OFFSET(Assumptions!$B$8,0,$C$1),AVERAGE(J$284/J$283,K$284/K$283,L$284/L$283),L$284/L$283)*M$283</f>
        <v>3.6077339258547312</v>
      </c>
      <c r="N284" s="7">
        <f ca="1">IF(N$6=OFFSET(Assumptions!$B$8,0,$C$1),AVERAGE(K$284/K$283,L$284/L$283,M$284/M$283),M$284/M$283)*N$283</f>
        <v>3.7633263860172819</v>
      </c>
      <c r="O284" s="7">
        <f ca="1">IF(O$6=OFFSET(Assumptions!$B$8,0,$C$1),AVERAGE(L$284/L$283,M$284/M$283,N$284/N$283),N$284/N$283)*O$283</f>
        <v>3.9239704949631009</v>
      </c>
      <c r="P284" s="7">
        <f ca="1">IF(P$6=OFFSET(Assumptions!$B$8,0,$C$1),AVERAGE(M$284/M$283,N$284/N$283,O$284/O$283),O$284/O$283)*P$283</f>
        <v>4.0899108956229249</v>
      </c>
      <c r="Q284" s="7">
        <f ca="1">IF(Q$6=OFFSET(Assumptions!$B$8,0,$C$1),AVERAGE(N$284/N$283,O$284/O$283,P$284/P$283),P$284/P$283)*Q$283</f>
        <v>4.2609683418942721</v>
      </c>
      <c r="R284" s="7">
        <f ca="1">IF(R$6=OFFSET(Assumptions!$B$8,0,$C$1),AVERAGE(O$284/O$283,P$284/P$283,Q$284/Q$283),Q$284/Q$283)*R$283</f>
        <v>4.4370158719458992</v>
      </c>
      <c r="S284" s="7">
        <f ca="1">IF(S$6=OFFSET(Assumptions!$B$8,0,$C$1),AVERAGE(P$284/P$283,Q$284/Q$283,R$284/R$283),R$284/R$283)*S$283</f>
        <v>4.6186129576495976</v>
      </c>
      <c r="T284" s="7">
        <f ca="1">IF(T$6=OFFSET(Assumptions!$B$8,0,$C$1),AVERAGE(Q$284/Q$283,R$284/R$283,S$284/S$283),S$284/S$283)*T$283</f>
        <v>4.8058258213142375</v>
      </c>
      <c r="U284" s="7">
        <f ca="1">IF(U$6=OFFSET(Assumptions!$B$8,0,$C$1),AVERAGE(R$284/R$283,S$284/S$283,T$284/T$283),T$284/T$283)*U$283</f>
        <v>4.999326364972644</v>
      </c>
      <c r="V284" s="7">
        <f ca="1">IF(V$6=OFFSET(Assumptions!$B$8,0,$C$1),AVERAGE(S$284/S$283,T$284/T$283,U$284/U$283),U$284/U$283)*V$283</f>
        <v>5.1995922458220649</v>
      </c>
      <c r="W284" s="7">
        <f ca="1">IF(W$6=OFFSET(Assumptions!$B$8,0,$C$1),AVERAGE(T$284/T$283,U$284/U$283,V$284/V$283),V$284/V$283)*W$283</f>
        <v>5.4072036846338598</v>
      </c>
      <c r="X284" s="7">
        <f ca="1">IF(X$6=OFFSET(Assumptions!$B$8,0,$C$1),AVERAGE(U$284/U$283,V$284/V$283,W$284/W$283),W$284/W$283)*X$283</f>
        <v>5.6228182817816243</v>
      </c>
      <c r="Y284" s="7">
        <f ca="1">IF(Y$6=OFFSET(Assumptions!$B$8,0,$C$1),AVERAGE(V$284/V$283,W$284/W$283,X$284/X$283),X$284/X$283)*Y$283</f>
        <v>5.8464139943143554</v>
      </c>
      <c r="Z284" s="7">
        <f ca="1">IF(Z$6=OFFSET(Assumptions!$B$8,0,$C$1),AVERAGE(W$284/W$283,X$284/X$283,Y$284/Y$283),Y$284/Y$283)*Z$283</f>
        <v>6.0791225837695855</v>
      </c>
      <c r="AA284" s="7">
        <f ca="1">IF(AA$6=OFFSET(Assumptions!$B$8,0,$C$1),AVERAGE(X$284/X$283,Y$284/Y$283,Z$284/Z$283),Z$284/Z$283)*AA$283</f>
        <v>6.3213205734475473</v>
      </c>
      <c r="AB284" s="7">
        <f ca="1">IF(AB$6=OFFSET(Assumptions!$B$8,0,$C$1),AVERAGE(Y$284/Y$283,Z$284/Z$283,AA$284/AA$283),AA$284/AA$283)*AB$283</f>
        <v>6.5737353062785333</v>
      </c>
      <c r="AC284" s="7">
        <f ca="1">IF(AC$6=OFFSET(Assumptions!$B$8,0,$C$1),AVERAGE(Z$284/Z$283,AA$284/AA$283,AB$284/AB$283),AB$284/AB$283)*AC$283</f>
        <v>6.8373196821322653</v>
      </c>
      <c r="AD284" s="7">
        <f ca="1">IF(AD$6=OFFSET(Assumptions!$B$8,0,$C$1),AVERAGE(AA$284/AA$283,AB$284/AB$283,AC$284/AC$283),AC$284/AC$283)*AD$283</f>
        <v>7.1123515221923874</v>
      </c>
      <c r="AE284" s="7">
        <f ca="1">IF(AE$6=OFFSET(Assumptions!$B$8,0,$C$1),AVERAGE(AB$284/AB$283,AC$284/AC$283,AD$284/AD$283),AD$284/AD$283)*AE$283</f>
        <v>7.3985782463718071</v>
      </c>
      <c r="AF284" s="7">
        <f ca="1">IF(AF$6=OFFSET(Assumptions!$B$8,0,$C$1),AVERAGE(AC$284/AC$283,AD$284/AD$283,AE$284/AE$283),AE$284/AE$283)*AF$283</f>
        <v>7.6967917294108608</v>
      </c>
      <c r="AG284" s="7">
        <f ca="1">IF(AG$6=OFFSET(Assumptions!$B$8,0,$C$1),AVERAGE(AD$284/AD$283,AE$284/AE$283,AF$284/AF$283),AF$284/AF$283)*AG$283</f>
        <v>8.0071587198193495</v>
      </c>
      <c r="AH284" s="7">
        <f ca="1">IF(AH$6=OFFSET(Assumptions!$B$8,0,$C$1),AVERAGE(AE$284/AE$283,AF$284/AF$283,AG$284/AG$283),AG$284/AG$283)*AH$283</f>
        <v>8.3301769126016083</v>
      </c>
      <c r="AI284" s="7">
        <f ca="1">IF(AI$6=OFFSET(Assumptions!$B$8,0,$C$1),AVERAGE(AF$284/AF$283,AG$284/AG$283,AH$284/AH$283),AH$284/AH$283)*AI$283</f>
        <v>8.6652818880449782</v>
      </c>
      <c r="AJ284" s="7">
        <f ca="1">IF(AJ$6=OFFSET(Assumptions!$B$8,0,$C$1),AVERAGE(AG$284/AG$283,AH$284/AH$283,AI$284/AI$283),AI$284/AI$283)*AJ$283</f>
        <v>9.0135471543463304</v>
      </c>
      <c r="AK284" s="7">
        <f ca="1">IF(AK$6=OFFSET(Assumptions!$B$8,0,$C$1),AVERAGE(AH$284/AH$283,AI$284/AI$283,AJ$284/AJ$283),AJ$284/AJ$283)*AK$283</f>
        <v>9.3746862177697832</v>
      </c>
      <c r="AL284" s="7">
        <f ca="1">IF(AL$6=OFFSET(Assumptions!$B$8,0,$C$1),AVERAGE(AI$284/AI$283,AJ$284/AJ$283,AK$284/AK$283),AK$284/AK$283)*AL$283</f>
        <v>9.7484145991119142</v>
      </c>
      <c r="AM284" s="7">
        <f ca="1">IF(AM$6=OFFSET(Assumptions!$B$8,0,$C$1),AVERAGE(AJ$284/AJ$283,AK$284/AK$283,AL$284/AL$283),AL$284/AL$283)*AM$283</f>
        <v>10.135242860008653</v>
      </c>
      <c r="AN284" s="7">
        <f ca="1">IF(AN$6=OFFSET(Assumptions!$B$8,0,$C$1),AVERAGE(AK$284/AK$283,AL$284/AL$283,AM$284/AM$283),AM$284/AM$283)*AN$283</f>
        <v>10.535709074824826</v>
      </c>
      <c r="AO284" s="7">
        <f ca="1">IF(AO$6=OFFSET(Assumptions!$B$8,0,$C$1),AVERAGE(AL$284/AL$283,AM$284/AM$283,AN$284/AN$283),AN$284/AN$283)*AO$283</f>
        <v>10.948240751222485</v>
      </c>
      <c r="AP284" s="7">
        <f ca="1">IF(AP$6=OFFSET(Assumptions!$B$8,0,$C$1),AVERAGE(AM$284/AM$283,AN$284/AN$283,AO$284/AO$283),AO$284/AO$283)*AP$283</f>
        <v>11.374589702951626</v>
      </c>
      <c r="AQ284" s="7">
        <f ca="1">IF(AQ$6=OFFSET(Assumptions!$B$8,0,$C$1),AVERAGE(AN$284/AN$283,AO$284/AO$283,AP$284/AP$283),AP$284/AP$283)*AQ$283</f>
        <v>11.813561301594941</v>
      </c>
      <c r="AR284" s="7">
        <f ca="1">IF(AR$6=OFFSET(Assumptions!$B$8,0,$C$1),AVERAGE(AO$284/AO$283,AP$284/AP$283,AQ$284/AQ$283),AQ$284/AQ$283)*AR$283</f>
        <v>12.265652541532738</v>
      </c>
      <c r="AS284" s="7">
        <f ca="1">IF(AS$6=OFFSET(Assumptions!$B$8,0,$C$1),AVERAGE(AP$284/AP$283,AQ$284/AQ$283,AR$284/AR$283),AR$284/AR$283)*AS$283</f>
        <v>12.731918138587728</v>
      </c>
      <c r="AT284" s="7">
        <f ca="1">IF(AT$6=OFFSET(Assumptions!$B$8,0,$C$1),AVERAGE(AQ$284/AQ$283,AR$284/AR$283,AS$284/AS$283),AS$284/AS$283)*AT$283</f>
        <v>13.21273048382716</v>
      </c>
      <c r="AU284" s="7">
        <f ca="1">IF(AU$6=OFFSET(Assumptions!$B$8,0,$C$1),AVERAGE(AR$284/AR$283,AS$284/AS$283,AT$284/AT$283),AT$284/AT$283)*AU$283</f>
        <v>13.708728950331441</v>
      </c>
      <c r="AV284" s="7">
        <f ca="1">IF(AV$6=OFFSET(Assumptions!$B$8,0,$C$1),AVERAGE(AS$284/AS$283,AT$284/AT$283,AU$284/AU$283),AU$284/AU$283)*AV$283</f>
        <v>14.22144711479922</v>
      </c>
      <c r="AW284" s="7">
        <f ca="1">IF(AW$6=OFFSET(Assumptions!$B$8,0,$C$1),AVERAGE(AT$284/AT$283,AU$284/AU$283,AV$284/AV$283),AV$284/AV$283)*AW$283</f>
        <v>14.750595519023179</v>
      </c>
    </row>
    <row r="285" spans="1:49" x14ac:dyDescent="0.2">
      <c r="A285" s="1" t="s">
        <v>529</v>
      </c>
      <c r="B285" s="4" t="str">
        <f t="shared" si="193"/>
        <v>From Fiscal</v>
      </c>
      <c r="D285" s="18">
        <f>Fiscal!D$198</f>
        <v>6.9189999999999996</v>
      </c>
      <c r="E285" s="19">
        <f>Fiscal!E$198</f>
        <v>6.9939999999999998</v>
      </c>
      <c r="F285" s="19">
        <f>Fiscal!F$198</f>
        <v>7.1239999999999997</v>
      </c>
      <c r="G285" s="19">
        <f>Fiscal!G$198</f>
        <v>7.3250000000000002</v>
      </c>
      <c r="H285" s="19">
        <f>Fiscal!H$198</f>
        <v>7.5839999999999996</v>
      </c>
      <c r="I285" s="19">
        <f>Fiscal!I$198</f>
        <v>7.7270000000000003</v>
      </c>
      <c r="J285" s="7">
        <f ca="1">IF(J$6=OFFSET(Assumptions!$B$8,0,$C$1),AVERAGE(G$285/G$14,H$285/H$14,I$285/I$14),I$285/I$14) *J$14</f>
        <v>8.2086911774609614</v>
      </c>
      <c r="K285" s="7">
        <f ca="1">IF(K$6=OFFSET(Assumptions!$B$8,0,$C$1),AVERAGE(H$285/H$14,I$285/I$14,J$285/J$14),J$285/J$14) *K$14</f>
        <v>8.5517340016813286</v>
      </c>
      <c r="L285" s="7">
        <f ca="1">IF(L$6=OFFSET(Assumptions!$B$8,0,$C$1),AVERAGE(I$285/I$14,J$285/J$14,K$285/K$14),K$285/K$14) *L$14</f>
        <v>8.9224113947085666</v>
      </c>
      <c r="M285" s="7">
        <f ca="1">IF(M$6=OFFSET(Assumptions!$B$8,0,$C$1),AVERAGE(J$285/J$14,K$285/K$14,L$285/L$14),L$285/L$14) *M$14</f>
        <v>9.3079171494794632</v>
      </c>
      <c r="N285" s="7">
        <f ca="1">IF(N$6=OFFSET(Assumptions!$B$8,0,$C$1),AVERAGE(K$285/K$14,L$285/L$14,M$285/M$14),M$285/M$14) *N$14</f>
        <v>9.7093441277546386</v>
      </c>
      <c r="O285" s="7">
        <f ca="1">IF(O$6=OFFSET(Assumptions!$B$8,0,$C$1),AVERAGE(L$285/L$14,M$285/M$14,N$285/N$14),N$285/N$14) *O$14</f>
        <v>10.123804308951451</v>
      </c>
      <c r="P285" s="7">
        <f ca="1">IF(P$6=OFFSET(Assumptions!$B$8,0,$C$1),AVERAGE(M$285/M$14,N$285/N$14,O$285/O$14),O$285/O$14) *P$14</f>
        <v>10.551928869364298</v>
      </c>
      <c r="Q285" s="7">
        <f ca="1">IF(Q$6=OFFSET(Assumptions!$B$8,0,$C$1),AVERAGE(N$285/N$14,O$285/O$14,P$285/P$14),P$285/P$14) *Q$14</f>
        <v>10.993255355856235</v>
      </c>
      <c r="R285" s="7">
        <f ca="1">IF(R$6=OFFSET(Assumptions!$B$8,0,$C$1),AVERAGE(O$285/O$14,P$285/P$14,Q$285/Q$14),Q$285/Q$14) *R$14</f>
        <v>11.447456208182901</v>
      </c>
      <c r="S285" s="7">
        <f ca="1">IF(S$6=OFFSET(Assumptions!$B$8,0,$C$1),AVERAGE(P$285/P$14,Q$285/Q$14,R$285/R$14),R$285/R$14) *S$14</f>
        <v>11.915974858131976</v>
      </c>
      <c r="T285" s="7">
        <f ca="1">IF(T$6=OFFSET(Assumptions!$B$8,0,$C$1),AVERAGE(Q$285/Q$14,R$285/R$14,S$285/S$14),S$285/S$14) *T$14</f>
        <v>12.39898215859259</v>
      </c>
      <c r="U285" s="7">
        <f ca="1">IF(U$6=OFFSET(Assumptions!$B$8,0,$C$1),AVERAGE(R$285/R$14,S$285/S$14,T$285/T$14),T$285/T$14) *U$14</f>
        <v>12.898211610034179</v>
      </c>
      <c r="V285" s="7">
        <f ca="1">IF(V$6=OFFSET(Assumptions!$B$8,0,$C$1),AVERAGE(S$285/S$14,T$285/T$14,U$285/U$14),U$285/U$14) *V$14</f>
        <v>13.414895563209111</v>
      </c>
      <c r="W285" s="7">
        <f ca="1">IF(W$6=OFFSET(Assumptions!$B$8,0,$C$1),AVERAGE(T$285/T$14,U$285/U$14,V$285/V$14),V$285/V$14) *W$14</f>
        <v>13.95053098185673</v>
      </c>
      <c r="X285" s="7">
        <f ca="1">IF(X$6=OFFSET(Assumptions!$B$8,0,$C$1),AVERAGE(U$285/U$14,V$285/V$14,W$285/W$14),W$285/W$14) *X$14</f>
        <v>14.50681446830988</v>
      </c>
      <c r="Y285" s="7">
        <f ca="1">IF(Y$6=OFFSET(Assumptions!$B$8,0,$C$1),AVERAGE(V$285/V$14,W$285/W$14,X$285/X$14),X$285/X$14) *Y$14</f>
        <v>15.08368915197725</v>
      </c>
      <c r="Z285" s="7">
        <f ca="1">IF(Z$6=OFFSET(Assumptions!$B$8,0,$C$1),AVERAGE(W$285/W$14,X$285/X$14,Y$285/Y$14),Y$285/Y$14) *Z$14</f>
        <v>15.684074966213355</v>
      </c>
      <c r="AA285" s="7">
        <f ca="1">IF(AA$6=OFFSET(Assumptions!$B$8,0,$C$1),AVERAGE(X$285/X$14,Y$285/Y$14,Z$285/Z$14),Z$285/Z$14) *AA$14</f>
        <v>16.308943337336057</v>
      </c>
      <c r="AB285" s="7">
        <f ca="1">IF(AB$6=OFFSET(Assumptions!$B$8,0,$C$1),AVERAGE(Y$285/Y$14,Z$285/Z$14,AA$285/AA$14),AA$285/AA$14) *AB$14</f>
        <v>16.960170802771216</v>
      </c>
      <c r="AC285" s="7">
        <f ca="1">IF(AC$6=OFFSET(Assumptions!$B$8,0,$C$1),AVERAGE(Z$285/Z$14,AA$285/AA$14,AB$285/AB$14),AB$285/AB$14) *AC$14</f>
        <v>17.640215834573976</v>
      </c>
      <c r="AD285" s="7">
        <f ca="1">IF(AD$6=OFFSET(Assumptions!$B$8,0,$C$1),AVERAGE(AA$285/AA$14,AB$285/AB$14,AC$285/AC$14),AC$285/AC$14) *AD$14</f>
        <v>18.349795208596689</v>
      </c>
      <c r="AE285" s="7">
        <f ca="1">IF(AE$6=OFFSET(Assumptions!$B$8,0,$C$1),AVERAGE(AB$285/AB$14,AC$285/AC$14,AD$285/AD$14),AD$285/AD$14) *AE$14</f>
        <v>19.088257270761584</v>
      </c>
      <c r="AF285" s="7">
        <f ca="1">IF(AF$6=OFFSET(Assumptions!$B$8,0,$C$1),AVERAGE(AC$285/AC$14,AD$285/AD$14,AE$285/AE$14),AE$285/AE$14) *AF$14</f>
        <v>19.857645049913728</v>
      </c>
      <c r="AG285" s="7">
        <f ca="1">IF(AG$6=OFFSET(Assumptions!$B$8,0,$C$1),AVERAGE(AD$285/AD$14,AE$285/AE$14,AF$285/AF$14),AF$285/AF$14) *AG$14</f>
        <v>20.658388755526961</v>
      </c>
      <c r="AH285" s="7">
        <f ca="1">IF(AH$6=OFFSET(Assumptions!$B$8,0,$C$1),AVERAGE(AE$285/AE$14,AF$285/AF$14,AG$285/AG$14),AG$285/AG$14) *AH$14</f>
        <v>21.491772435693875</v>
      </c>
      <c r="AI285" s="7">
        <f ca="1">IF(AI$6=OFFSET(Assumptions!$B$8,0,$C$1),AVERAGE(AF$285/AF$14,AG$285/AG$14,AH$285/AH$14),AH$285/AH$14) *AI$14</f>
        <v>22.356339893247242</v>
      </c>
      <c r="AJ285" s="7">
        <f ca="1">IF(AJ$6=OFFSET(Assumptions!$B$8,0,$C$1),AVERAGE(AG$285/AG$14,AH$285/AH$14,AI$285/AI$14),AI$285/AI$14) *AJ$14</f>
        <v>23.254860768510063</v>
      </c>
      <c r="AK285" s="7">
        <f ca="1">IF(AK$6=OFFSET(Assumptions!$B$8,0,$C$1),AVERAGE(AH$285/AH$14,AI$285/AI$14,AJ$285/AJ$14),AJ$285/AJ$14) *AK$14</f>
        <v>24.186595910532692</v>
      </c>
      <c r="AL285" s="7">
        <f ca="1">IF(AL$6=OFFSET(Assumptions!$B$8,0,$C$1),AVERAGE(AI$285/AI$14,AJ$285/AJ$14,AK$285/AK$14),AK$285/AK$14) *AL$14</f>
        <v>25.150811365838887</v>
      </c>
      <c r="AM285" s="7">
        <f ca="1">IF(AM$6=OFFSET(Assumptions!$B$8,0,$C$1),AVERAGE(AJ$285/AJ$14,AK$285/AK$14,AL$285/AL$14),AL$285/AL$14) *AM$14</f>
        <v>26.148824378301004</v>
      </c>
      <c r="AN285" s="7">
        <f ca="1">IF(AN$6=OFFSET(Assumptions!$B$8,0,$C$1),AVERAGE(AK$285/AK$14,AL$285/AL$14,AM$285/AM$14),AM$285/AM$14) *AN$14</f>
        <v>27.182023174354537</v>
      </c>
      <c r="AO285" s="7">
        <f ca="1">IF(AO$6=OFFSET(Assumptions!$B$8,0,$C$1),AVERAGE(AL$285/AL$14,AM$285/AM$14,AN$285/AN$14),AN$285/AN$14) *AO$14</f>
        <v>28.246350739624081</v>
      </c>
      <c r="AP285" s="7">
        <f ca="1">IF(AP$6=OFFSET(Assumptions!$B$8,0,$C$1),AVERAGE(AM$285/AM$14,AN$285/AN$14,AO$285/AO$14),AO$285/AO$14) *AP$14</f>
        <v>29.346326735919888</v>
      </c>
      <c r="AQ285" s="7">
        <f ca="1">IF(AQ$6=OFFSET(Assumptions!$B$8,0,$C$1),AVERAGE(AN$285/AN$14,AO$285/AO$14,AP$285/AP$14),AP$285/AP$14) *AQ$14</f>
        <v>30.478869033971566</v>
      </c>
      <c r="AR285" s="7">
        <f ca="1">IF(AR$6=OFFSET(Assumptions!$B$8,0,$C$1),AVERAGE(AO$285/AO$14,AP$285/AP$14,AQ$285/AQ$14),AQ$285/AQ$14) *AR$14</f>
        <v>31.645259874268778</v>
      </c>
      <c r="AS285" s="7">
        <f ca="1">IF(AS$6=OFFSET(Assumptions!$B$8,0,$C$1),AVERAGE(AP$285/AP$14,AQ$285/AQ$14,AR$285/AR$14),AR$285/AR$14) *AS$14</f>
        <v>32.8482204129987</v>
      </c>
      <c r="AT285" s="7">
        <f ca="1">IF(AT$6=OFFSET(Assumptions!$B$8,0,$C$1),AVERAGE(AQ$285/AQ$14,AR$285/AR$14,AS$285/AS$14),AS$285/AS$14) *AT$14</f>
        <v>34.088711415359761</v>
      </c>
      <c r="AU285" s="7">
        <f ca="1">IF(AU$6=OFFSET(Assumptions!$B$8,0,$C$1),AVERAGE(AR$285/AR$14,AS$285/AS$14,AT$285/AT$14),AT$285/AT$14) *AU$14</f>
        <v>35.368382457452178</v>
      </c>
      <c r="AV285" s="7">
        <f ca="1">IF(AV$6=OFFSET(Assumptions!$B$8,0,$C$1),AVERAGE(AS$285/AS$14,AT$285/AT$14,AU$285/AU$14),AU$285/AU$14) *AV$14</f>
        <v>36.691190151694379</v>
      </c>
      <c r="AW285" s="7">
        <f ca="1">IF(AW$6=OFFSET(Assumptions!$B$8,0,$C$1),AVERAGE(AT$285/AT$14,AU$285/AU$14,AV$285/AV$14),AV$285/AV$14) *AW$14</f>
        <v>38.056387698830285</v>
      </c>
    </row>
    <row r="286" spans="1:49" x14ac:dyDescent="0.2">
      <c r="A286" s="1" t="s">
        <v>530</v>
      </c>
      <c r="B286" s="4" t="str">
        <f t="shared" si="193"/>
        <v>From Fiscal</v>
      </c>
      <c r="D286" s="18">
        <f>Fiscal!D$43-SUM(D$283:D$285)</f>
        <v>-2.495000000000001</v>
      </c>
      <c r="E286" s="19">
        <f>Fiscal!E$43-SUM(E$283:E$285)</f>
        <v>-2.5099999999999998</v>
      </c>
      <c r="F286" s="19">
        <f>Fiscal!F$43-SUM(F$283:F$285)</f>
        <v>-2.6769999999999996</v>
      </c>
      <c r="G286" s="19">
        <f>Fiscal!G$43-SUM(G$283:G$285)</f>
        <v>-2.7339999999999982</v>
      </c>
      <c r="H286" s="19">
        <f>Fiscal!H$43-SUM(H$283:H$285)</f>
        <v>-2.7959999999999994</v>
      </c>
      <c r="I286" s="19">
        <f>Fiscal!I$43-SUM(I$283:I$285)</f>
        <v>-2.8770000000000007</v>
      </c>
      <c r="J286" s="7">
        <f ca="1">IF(J$6=OFFSET(Assumptions!$B$8,0,$C$1),AVERAGE(G$286/G$283,H$286/H$283,I$286/I$283),I$286/I$283)*J$283</f>
        <v>-3.0943433190420531</v>
      </c>
      <c r="K286" s="7">
        <f ca="1">IF(K$6=OFFSET(Assumptions!$B$8,0,$C$1),AVERAGE(H$286/H$283,I$286/I$283,J$286/J$283),J$286/J$283)*K$283</f>
        <v>-3.328819634421488</v>
      </c>
      <c r="L286" s="7">
        <f ca="1">IF(L$6=OFFSET(Assumptions!$B$8,0,$C$1),AVERAGE(I$286/I$283,J$286/J$283,K$286/K$283),K$286/K$283)*L$283</f>
        <v>-3.4731082878925439</v>
      </c>
      <c r="M286" s="7">
        <f ca="1">IF(M$6=OFFSET(Assumptions!$B$8,0,$C$1),AVERAGE(J$286/J$283,K$286/K$283,L$286/L$283),L$286/L$283)*M$283</f>
        <v>-3.6231689803101901</v>
      </c>
      <c r="N286" s="7">
        <f ca="1">IF(N$6=OFFSET(Assumptions!$B$8,0,$C$1),AVERAGE(K$286/K$283,L$286/L$283,M$286/M$283),M$286/M$283)*N$283</f>
        <v>-3.7794271154212886</v>
      </c>
      <c r="O286" s="7">
        <f ca="1">IF(O$6=OFFSET(Assumptions!$B$8,0,$C$1),AVERAGE(L$286/L$283,M$286/M$283,N$286/N$283),N$286/N$283)*O$283</f>
        <v>-3.9407585119056256</v>
      </c>
      <c r="P286" s="7">
        <f ca="1">IF(P$6=OFFSET(Assumptions!$B$8,0,$C$1),AVERAGE(M$286/M$283,N$286/N$283,O$286/O$283),O$286/O$283)*P$283</f>
        <v>-4.1074088593556466</v>
      </c>
      <c r="Q286" s="7">
        <f ca="1">IF(Q$6=OFFSET(Assumptions!$B$8,0,$C$1),AVERAGE(N$286/N$283,O$286/O$283,P$286/P$283),P$286/P$283)*Q$283</f>
        <v>-4.2791981447959762</v>
      </c>
      <c r="R286" s="7">
        <f ca="1">IF(R$6=OFFSET(Assumptions!$B$8,0,$C$1),AVERAGE(O$286/O$283,P$286/P$283,Q$286/Q$283),Q$286/Q$283)*R$283</f>
        <v>-4.4559988632115308</v>
      </c>
      <c r="S286" s="7">
        <f ca="1">IF(S$6=OFFSET(Assumptions!$B$8,0,$C$1),AVERAGE(P$286/P$283,Q$286/Q$283,R$286/R$283),R$286/R$283)*S$283</f>
        <v>-4.6383728800760053</v>
      </c>
      <c r="T286" s="7">
        <f ca="1">IF(T$6=OFFSET(Assumptions!$B$8,0,$C$1),AVERAGE(Q$286/Q$283,R$286/R$283,S$286/S$283),S$286/S$283)*T$283</f>
        <v>-4.8263867010187633</v>
      </c>
      <c r="U286" s="7">
        <f ca="1">IF(U$6=OFFSET(Assumptions!$B$8,0,$C$1),AVERAGE(R$286/R$283,S$286/S$283,T$286/T$283),T$286/T$283)*U$283</f>
        <v>-5.0207151026871868</v>
      </c>
      <c r="V286" s="7">
        <f ca="1">IF(V$6=OFFSET(Assumptions!$B$8,0,$C$1),AVERAGE(S$286/S$283,T$286/T$283,U$286/U$283),U$286/U$283)*V$283</f>
        <v>-5.2218377858507496</v>
      </c>
      <c r="W286" s="7">
        <f ca="1">IF(W$6=OFFSET(Assumptions!$B$8,0,$C$1),AVERAGE(T$286/T$283,U$286/U$283,V$286/V$283),V$286/V$283)*W$283</f>
        <v>-5.4303374536532338</v>
      </c>
      <c r="X286" s="7">
        <f ca="1">IF(X$6=OFFSET(Assumptions!$B$8,0,$C$1),AVERAGE(U$286/U$283,V$286/V$283,W$286/W$283),W$286/W$283)*X$283</f>
        <v>-5.6468745198956611</v>
      </c>
      <c r="Y286" s="7">
        <f ca="1">IF(Y$6=OFFSET(Assumptions!$B$8,0,$C$1),AVERAGE(V$286/V$283,W$286/W$283,X$286/X$283),X$286/X$283)*Y$283</f>
        <v>-5.8714268473201434</v>
      </c>
      <c r="Z286" s="7">
        <f ca="1">IF(Z$6=OFFSET(Assumptions!$B$8,0,$C$1),AVERAGE(W$286/W$283,X$286/X$283,Y$286/Y$283),Y$286/Y$283)*Z$283</f>
        <v>-6.1051310395067038</v>
      </c>
      <c r="AA286" s="7">
        <f ca="1">IF(AA$6=OFFSET(Assumptions!$B$8,0,$C$1),AVERAGE(X$286/X$283,Y$286/Y$283,Z$286/Z$283),Z$286/Z$283)*AA$283</f>
        <v>-6.3483652306442284</v>
      </c>
      <c r="AB286" s="7">
        <f ca="1">IF(AB$6=OFFSET(Assumptions!$B$8,0,$C$1),AVERAGE(Y$286/Y$283,Z$286/Z$283,AA$286/AA$283),AA$286/AA$283)*AB$283</f>
        <v>-6.6018598754716855</v>
      </c>
      <c r="AC286" s="7">
        <f ca="1">IF(AC$6=OFFSET(Assumptions!$B$8,0,$C$1),AVERAGE(Z$286/Z$283,AA$286/AA$283,AB$286/AB$283),AB$286/AB$283)*AC$283</f>
        <v>-6.8665719506731309</v>
      </c>
      <c r="AD286" s="7">
        <f ca="1">IF(AD$6=OFFSET(Assumptions!$B$8,0,$C$1),AVERAGE(AA$286/AA$283,AB$286/AB$283,AC$286/AC$283),AC$286/AC$283)*AD$283</f>
        <v>-7.1427804660412315</v>
      </c>
      <c r="AE286" s="7">
        <f ca="1">IF(AE$6=OFFSET(Assumptions!$B$8,0,$C$1),AVERAGE(AB$286/AB$283,AC$286/AC$283,AD$286/AD$283),AD$286/AD$283)*AE$283</f>
        <v>-7.4302317608694617</v>
      </c>
      <c r="AF286" s="7">
        <f ca="1">IF(AF$6=OFFSET(Assumptions!$B$8,0,$C$1),AVERAGE(AC$286/AC$283,AD$286/AD$283,AE$286/AE$283),AE$286/AE$283)*AF$283</f>
        <v>-7.7297210977948216</v>
      </c>
      <c r="AG286" s="7">
        <f ca="1">IF(AG$6=OFFSET(Assumptions!$B$8,0,$C$1),AVERAGE(AD$286/AD$283,AE$286/AE$283,AF$286/AF$283),AF$286/AF$283)*AG$283</f>
        <v>-8.0414159387312552</v>
      </c>
      <c r="AH286" s="7">
        <f ca="1">IF(AH$6=OFFSET(Assumptions!$B$8,0,$C$1),AVERAGE(AE$286/AE$283,AF$286/AF$283,AG$286/AG$283),AG$286/AG$283)*AH$283</f>
        <v>-8.3658161079835551</v>
      </c>
      <c r="AI286" s="7">
        <f ca="1">IF(AI$6=OFFSET(Assumptions!$B$8,0,$C$1),AVERAGE(AF$286/AF$283,AG$286/AG$283,AH$286/AH$283),AH$286/AH$283)*AI$283</f>
        <v>-8.7023547710686877</v>
      </c>
      <c r="AJ286" s="7">
        <f ca="1">IF(AJ$6=OFFSET(Assumptions!$B$8,0,$C$1),AVERAGE(AG$286/AG$283,AH$286/AH$283,AI$286/AI$283),AI$286/AI$283)*AJ$283</f>
        <v>-9.0521100289993495</v>
      </c>
      <c r="AK286" s="7">
        <f ca="1">IF(AK$6=OFFSET(Assumptions!$B$8,0,$C$1),AVERAGE(AH$286/AH$283,AI$286/AI$283,AJ$286/AJ$283),AJ$286/AJ$283)*AK$283</f>
        <v>-9.4147941623266522</v>
      </c>
      <c r="AL286" s="7">
        <f ca="1">IF(AL$6=OFFSET(Assumptions!$B$8,0,$C$1),AVERAGE(AI$286/AI$283,AJ$286/AJ$283,AK$286/AK$283),AK$286/AK$283)*AL$283</f>
        <v>-9.790121474752981</v>
      </c>
      <c r="AM286" s="7">
        <f ca="1">IF(AM$6=OFFSET(Assumptions!$B$8,0,$C$1),AVERAGE(AJ$286/AJ$283,AK$286/AK$283,AL$286/AL$283),AL$286/AL$283)*AM$283</f>
        <v>-10.178604712262342</v>
      </c>
      <c r="AN286" s="7">
        <f ca="1">IF(AN$6=OFFSET(Assumptions!$B$8,0,$C$1),AVERAGE(AK$286/AK$283,AL$286/AL$283,AM$286/AM$283),AM$286/AM$283)*AN$283</f>
        <v>-10.580784251276002</v>
      </c>
      <c r="AO286" s="7">
        <f ca="1">IF(AO$6=OFFSET(Assumptions!$B$8,0,$C$1),AVERAGE(AL$286/AL$283,AM$286/AM$283,AN$286/AN$283),AN$286/AN$283)*AO$283</f>
        <v>-10.995080871824383</v>
      </c>
      <c r="AP286" s="7">
        <f ca="1">IF(AP$6=OFFSET(Assumptions!$B$8,0,$C$1),AVERAGE(AM$286/AM$283,AN$286/AN$283,AO$286/AO$283),AO$286/AO$283)*AP$283</f>
        <v>-11.423253882484202</v>
      </c>
      <c r="AQ286" s="7">
        <f ca="1">IF(AQ$6=OFFSET(Assumptions!$B$8,0,$C$1),AVERAGE(AN$286/AN$283,AO$286/AO$283,AP$286/AP$283),AP$286/AP$283)*AQ$283</f>
        <v>-11.864103543830785</v>
      </c>
      <c r="AR286" s="7">
        <f ca="1">IF(AR$6=OFFSET(Assumptions!$B$8,0,$C$1),AVERAGE(AO$286/AO$283,AP$286/AP$283,AQ$286/AQ$283),AQ$286/AQ$283)*AR$283</f>
        <v>-12.318128976547397</v>
      </c>
      <c r="AS286" s="7">
        <f ca="1">IF(AS$6=OFFSET(Assumptions!$B$8,0,$C$1),AVERAGE(AP$286/AP$283,AQ$286/AQ$283,AR$286/AR$283),AR$286/AR$283)*AS$283</f>
        <v>-12.786389408872715</v>
      </c>
      <c r="AT286" s="7">
        <f ca="1">IF(AT$6=OFFSET(Assumptions!$B$8,0,$C$1),AVERAGE(AQ$286/AQ$283,AR$286/AR$283,AS$286/AS$283),AS$286/AS$283)*AT$283</f>
        <v>-13.269258825083606</v>
      </c>
      <c r="AU286" s="7">
        <f ca="1">IF(AU$6=OFFSET(Assumptions!$B$8,0,$C$1),AVERAGE(AR$286/AR$283,AS$286/AS$283,AT$286/AT$283),AT$286/AT$283)*AU$283</f>
        <v>-13.767379333705643</v>
      </c>
      <c r="AV286" s="7">
        <f ca="1">IF(AV$6=OFFSET(Assumptions!$B$8,0,$C$1),AVERAGE(AS$286/AS$283,AT$286/AT$283,AU$286/AU$283),AU$286/AU$283)*AV$283</f>
        <v>-14.282291072575388</v>
      </c>
      <c r="AW286" s="7">
        <f ca="1">IF(AW$6=OFFSET(Assumptions!$B$8,0,$C$1),AVERAGE(AT$286/AT$283,AU$286/AU$283,AV$286/AV$283),AV$286/AV$283)*AW$283</f>
        <v>-14.813703345089547</v>
      </c>
    </row>
    <row r="287" spans="1:49" ht="15" x14ac:dyDescent="0.25">
      <c r="A287" s="2" t="s">
        <v>571</v>
      </c>
      <c r="D287" s="40">
        <f t="shared" ref="D287:I287" si="194">SUM(D$283:D$286)</f>
        <v>9.2789999999999999</v>
      </c>
      <c r="E287" s="39">
        <f t="shared" si="194"/>
        <v>9.4350000000000005</v>
      </c>
      <c r="F287" s="39">
        <f t="shared" si="194"/>
        <v>9.641</v>
      </c>
      <c r="G287" s="39">
        <f t="shared" si="194"/>
        <v>9.8000000000000007</v>
      </c>
      <c r="H287" s="39">
        <f t="shared" si="194"/>
        <v>9.9779999999999998</v>
      </c>
      <c r="I287" s="39">
        <f t="shared" si="194"/>
        <v>10.063000000000001</v>
      </c>
      <c r="J287" s="43">
        <f t="shared" ref="J287:AW287" ca="1" si="195">SUM(J$283:J$286)</f>
        <v>10.862064718752737</v>
      </c>
      <c r="K287" s="43">
        <f t="shared" ca="1" si="195"/>
        <v>11.406169024244029</v>
      </c>
      <c r="L287" s="43">
        <f t="shared" ca="1" si="195"/>
        <v>11.900572732018798</v>
      </c>
      <c r="M287" s="43">
        <f t="shared" ca="1" si="195"/>
        <v>12.414754276705654</v>
      </c>
      <c r="N287" s="43">
        <f t="shared" ca="1" si="195"/>
        <v>12.95017130022369</v>
      </c>
      <c r="O287" s="43">
        <f t="shared" ca="1" si="195"/>
        <v>13.502971805901273</v>
      </c>
      <c r="P287" s="43">
        <f t="shared" ca="1" si="195"/>
        <v>14.07399764680547</v>
      </c>
      <c r="Q287" s="43">
        <f t="shared" ca="1" si="195"/>
        <v>14.662632010177052</v>
      </c>
      <c r="R287" s="43">
        <f t="shared" ca="1" si="195"/>
        <v>15.268438001286587</v>
      </c>
      <c r="S287" s="43">
        <f t="shared" ca="1" si="195"/>
        <v>15.893340846870782</v>
      </c>
      <c r="T287" s="43">
        <f t="shared" ca="1" si="195"/>
        <v>16.537568427840256</v>
      </c>
      <c r="U287" s="43">
        <f t="shared" ca="1" si="195"/>
        <v>17.203432860001485</v>
      </c>
      <c r="V287" s="43">
        <f t="shared" ca="1" si="195"/>
        <v>17.892577833508518</v>
      </c>
      <c r="W287" s="43">
        <f t="shared" ca="1" si="195"/>
        <v>18.606999975177711</v>
      </c>
      <c r="X287" s="43">
        <f t="shared" ca="1" si="195"/>
        <v>19.348962186658206</v>
      </c>
      <c r="Y287" s="43">
        <f t="shared" ca="1" si="195"/>
        <v>20.11838861484501</v>
      </c>
      <c r="Z287" s="43">
        <f t="shared" ca="1" si="195"/>
        <v>20.919173821165622</v>
      </c>
      <c r="AA287" s="43">
        <f t="shared" ca="1" si="195"/>
        <v>21.752613478845376</v>
      </c>
      <c r="AB287" s="43">
        <f t="shared" ca="1" si="195"/>
        <v>22.621210484145475</v>
      </c>
      <c r="AC287" s="43">
        <f t="shared" ca="1" si="195"/>
        <v>23.528243908631634</v>
      </c>
      <c r="AD287" s="43">
        <f t="shared" ca="1" si="195"/>
        <v>24.474669776722138</v>
      </c>
      <c r="AE287" s="43">
        <f t="shared" ca="1" si="195"/>
        <v>25.459618922402839</v>
      </c>
      <c r="AF287" s="43">
        <f t="shared" ca="1" si="195"/>
        <v>26.485816305585203</v>
      </c>
      <c r="AG287" s="43">
        <f t="shared" ca="1" si="195"/>
        <v>27.553835732935063</v>
      </c>
      <c r="AH287" s="43">
        <f t="shared" ca="1" si="195"/>
        <v>28.665389847710088</v>
      </c>
      <c r="AI287" s="43">
        <f t="shared" ca="1" si="195"/>
        <v>29.81853639691003</v>
      </c>
      <c r="AJ287" s="43">
        <f t="shared" ca="1" si="195"/>
        <v>31.016969483468202</v>
      </c>
      <c r="AK287" s="43">
        <f t="shared" ca="1" si="195"/>
        <v>32.259703239411586</v>
      </c>
      <c r="AL287" s="43">
        <f t="shared" ca="1" si="195"/>
        <v>33.545758729075857</v>
      </c>
      <c r="AM287" s="43">
        <f t="shared" ca="1" si="195"/>
        <v>34.876892871730405</v>
      </c>
      <c r="AN287" s="43">
        <f t="shared" ca="1" si="195"/>
        <v>36.254957262076857</v>
      </c>
      <c r="AO287" s="43">
        <f t="shared" ca="1" si="195"/>
        <v>37.67454071781107</v>
      </c>
      <c r="AP287" s="43">
        <f t="shared" ca="1" si="195"/>
        <v>39.141671493147918</v>
      </c>
      <c r="AQ287" s="43">
        <f t="shared" ca="1" si="195"/>
        <v>40.652238692284776</v>
      </c>
      <c r="AR287" s="43">
        <f t="shared" ca="1" si="195"/>
        <v>42.207952547526801</v>
      </c>
      <c r="AS287" s="43">
        <f t="shared" ca="1" si="195"/>
        <v>43.812442494425468</v>
      </c>
      <c r="AT287" s="43">
        <f t="shared" ca="1" si="195"/>
        <v>45.466989986571782</v>
      </c>
      <c r="AU287" s="43">
        <f t="shared" ca="1" si="195"/>
        <v>47.17379520276149</v>
      </c>
      <c r="AV287" s="43">
        <f t="shared" ca="1" si="195"/>
        <v>48.938135410739264</v>
      </c>
      <c r="AW287" s="43">
        <f t="shared" ca="1" si="195"/>
        <v>50.759014541340605</v>
      </c>
    </row>
    <row r="288" spans="1:49" ht="15" x14ac:dyDescent="0.25">
      <c r="A288" s="2"/>
    </row>
    <row r="289" spans="1:49" x14ac:dyDescent="0.2">
      <c r="A289" s="22" t="s">
        <v>572</v>
      </c>
    </row>
    <row r="290" spans="1:49" x14ac:dyDescent="0.2">
      <c r="A290" s="1" t="s">
        <v>520</v>
      </c>
      <c r="D290" s="18">
        <f t="shared" ref="D290:I290" si="196">D$175</f>
        <v>0.85599999999999998</v>
      </c>
      <c r="E290" s="19">
        <f t="shared" si="196"/>
        <v>0.70099999999999996</v>
      </c>
      <c r="F290" s="19">
        <f t="shared" si="196"/>
        <v>0.73799999999999999</v>
      </c>
      <c r="G290" s="19">
        <f t="shared" si="196"/>
        <v>0.76900000000000002</v>
      </c>
      <c r="H290" s="19">
        <f t="shared" si="196"/>
        <v>0.80100000000000005</v>
      </c>
      <c r="I290" s="19">
        <f t="shared" si="196"/>
        <v>0.84</v>
      </c>
      <c r="J290" s="7">
        <f t="shared" ref="J290:AW290" ca="1" si="197">J$175</f>
        <v>0.873</v>
      </c>
      <c r="K290" s="7">
        <f t="shared" ca="1" si="197"/>
        <v>0.90800000000000003</v>
      </c>
      <c r="L290" s="7">
        <f t="shared" ca="1" si="197"/>
        <v>0.94735752360896164</v>
      </c>
      <c r="M290" s="7">
        <f t="shared" ca="1" si="197"/>
        <v>0.98828948258513583</v>
      </c>
      <c r="N290" s="7">
        <f t="shared" ca="1" si="197"/>
        <v>1.0309119140361371</v>
      </c>
      <c r="O290" s="7">
        <f t="shared" ca="1" si="197"/>
        <v>1.0749181757431447</v>
      </c>
      <c r="P290" s="7">
        <f t="shared" ca="1" si="197"/>
        <v>1.1203752842989578</v>
      </c>
      <c r="Q290" s="7">
        <f t="shared" ca="1" si="197"/>
        <v>1.1672341376795579</v>
      </c>
      <c r="R290" s="7">
        <f t="shared" ca="1" si="197"/>
        <v>1.215459956423631</v>
      </c>
      <c r="S290" s="7">
        <f t="shared" ca="1" si="197"/>
        <v>1.2652060002166352</v>
      </c>
      <c r="T290" s="7">
        <f t="shared" ca="1" si="197"/>
        <v>1.3164904097565029</v>
      </c>
      <c r="U290" s="7">
        <f t="shared" ca="1" si="197"/>
        <v>1.3694972434372328</v>
      </c>
      <c r="V290" s="7">
        <f t="shared" ca="1" si="197"/>
        <v>1.4243573489305281</v>
      </c>
      <c r="W290" s="7">
        <f t="shared" ca="1" si="197"/>
        <v>1.4812296697997711</v>
      </c>
      <c r="X290" s="7">
        <f t="shared" ca="1" si="197"/>
        <v>1.5402943466945569</v>
      </c>
      <c r="Y290" s="7">
        <f t="shared" ca="1" si="197"/>
        <v>1.6015453412492273</v>
      </c>
      <c r="Z290" s="7">
        <f t="shared" ca="1" si="197"/>
        <v>1.6652926840944566</v>
      </c>
      <c r="AA290" s="7">
        <f t="shared" ca="1" si="197"/>
        <v>1.7316395186508007</v>
      </c>
      <c r="AB290" s="7">
        <f t="shared" ca="1" si="197"/>
        <v>1.8007850905896459</v>
      </c>
      <c r="AC290" s="7">
        <f t="shared" ca="1" si="197"/>
        <v>1.8729904338282812</v>
      </c>
      <c r="AD290" s="7">
        <f t="shared" ca="1" si="197"/>
        <v>1.948331653689183</v>
      </c>
      <c r="AE290" s="7">
        <f t="shared" ca="1" si="197"/>
        <v>2.0267395593038686</v>
      </c>
      <c r="AF290" s="7">
        <f t="shared" ca="1" si="197"/>
        <v>2.1084310739525702</v>
      </c>
      <c r="AG290" s="7">
        <f t="shared" ca="1" si="197"/>
        <v>2.1934518761143154</v>
      </c>
      <c r="AH290" s="7">
        <f t="shared" ca="1" si="197"/>
        <v>2.2819383025446496</v>
      </c>
      <c r="AI290" s="7">
        <f t="shared" ca="1" si="197"/>
        <v>2.37373573816462</v>
      </c>
      <c r="AJ290" s="7">
        <f t="shared" ca="1" si="197"/>
        <v>2.4691382558970747</v>
      </c>
      <c r="AK290" s="7">
        <f t="shared" ca="1" si="197"/>
        <v>2.5680673746921889</v>
      </c>
      <c r="AL290" s="7">
        <f t="shared" ca="1" si="197"/>
        <v>2.6704451653538133</v>
      </c>
      <c r="AM290" s="7">
        <f t="shared" ca="1" si="197"/>
        <v>2.7764114892756564</v>
      </c>
      <c r="AN290" s="7">
        <f t="shared" ca="1" si="197"/>
        <v>2.8861137445881071</v>
      </c>
      <c r="AO290" s="7">
        <f t="shared" ca="1" si="197"/>
        <v>2.9991211684713504</v>
      </c>
      <c r="AP290" s="7">
        <f t="shared" ca="1" si="197"/>
        <v>3.1159136463992452</v>
      </c>
      <c r="AQ290" s="7">
        <f t="shared" ca="1" si="197"/>
        <v>3.2361639262172028</v>
      </c>
      <c r="AR290" s="7">
        <f t="shared" ca="1" si="197"/>
        <v>3.3600081527543759</v>
      </c>
      <c r="AS290" s="7">
        <f t="shared" ca="1" si="197"/>
        <v>3.4877352510191271</v>
      </c>
      <c r="AT290" s="7">
        <f t="shared" ca="1" si="197"/>
        <v>3.6194472324631701</v>
      </c>
      <c r="AU290" s="7">
        <f t="shared" ca="1" si="197"/>
        <v>3.7553192446178367</v>
      </c>
      <c r="AV290" s="7">
        <f t="shared" ca="1" si="197"/>
        <v>3.8957713898945463</v>
      </c>
      <c r="AW290" s="7">
        <f t="shared" ca="1" si="197"/>
        <v>4.0407243751669704</v>
      </c>
    </row>
    <row r="291" spans="1:49" x14ac:dyDescent="0.2">
      <c r="A291" s="1" t="s">
        <v>573</v>
      </c>
      <c r="B291" s="4" t="str">
        <f t="shared" ref="B291:B293" si="198">$B$43</f>
        <v>From Fiscal</v>
      </c>
      <c r="D291" s="18">
        <f>Fiscal!D$61-D$290</f>
        <v>1.3720000000000003</v>
      </c>
      <c r="E291" s="19">
        <f ca="1">Fiscal!E$61-E$290  +IF(OR(OFFSET(Assumptions!$B$72,0,$C$1)="BU",OFFSET(Assumptions!$B$113,0,$C$1)="SND"),Allocate!C$20,0)</f>
        <v>1.4029999999999998</v>
      </c>
      <c r="F291" s="19">
        <f ca="1">Fiscal!F$61-F$290  +IF(OR(OFFSET(Assumptions!$B$72,0,$C$1)="BU",OFFSET(Assumptions!$B$113,0,$C$1)="SND"),Allocate!D$20,0)</f>
        <v>1.73</v>
      </c>
      <c r="G291" s="19">
        <f ca="1">Fiscal!G$61-G$290  +IF(OR(OFFSET(Assumptions!$B$72,0,$C$1)="BU",OFFSET(Assumptions!$B$113,0,$C$1)="SND"),Allocate!E$20,0)</f>
        <v>1.7499999999999998</v>
      </c>
      <c r="H291" s="19">
        <f ca="1">Fiscal!H$61-H$290  +IF(OR(OFFSET(Assumptions!$B$72,0,$C$1)="BU",OFFSET(Assumptions!$B$113,0,$C$1)="SND"),Allocate!F$20,0)</f>
        <v>1.8039999999999996</v>
      </c>
      <c r="I291" s="19">
        <f ca="1">Fiscal!I$61-I$290  +IF(OR(OFFSET(Assumptions!$B$72,0,$C$1)="BU",OFFSET(Assumptions!$B$113,0,$C$1)="SND"),Allocate!G$20,0)</f>
        <v>1.8850000000000002</v>
      </c>
      <c r="J291" s="7">
        <f ca="1">IF(OFFSET(Assumptions!$B$72,0,$C$1)="BU",J$14*(I$291/I$14+MIN(ABS(OFFSET(Assumptions!$B$81,0,$C$1)-I$291/I$14),OFFSET(Assumptions!$B$75,0,$C$1))*SIGN(OFFSET(Assumptions!$B$81,0,$C$1)-I$291/I$14)),I$291+IF(OFFSET(Assumptions!$B$113,0,$C$1)="SND",Allocate!$B$20*J$232*J$14,0))</f>
        <v>2.1203270207027067</v>
      </c>
      <c r="K291" s="7">
        <f ca="1">IF(OFFSET(Assumptions!$B$72,0,$C$1)="BU",K$14*(J$291/J$14+MIN(ABS(OFFSET(Assumptions!$B$81,0,$C$1)-J$291/J$14),OFFSET(Assumptions!$B$75,0,$C$1))*SIGN(OFFSET(Assumptions!$B$81,0,$C$1)-J$291/J$14)),J$291+IF(OFFSET(Assumptions!$B$113,0,$C$1)="SND",Allocate!$B$20*K$232*K$14,0))</f>
        <v>2.3713494405786855</v>
      </c>
      <c r="L291" s="7">
        <f ca="1">IF(OFFSET(Assumptions!$B$72,0,$C$1)="BU",L$14*(K$291/K$14+MIN(ABS(OFFSET(Assumptions!$B$81,0,$C$1)-K$291/K$14),OFFSET(Assumptions!$B$75,0,$C$1))*SIGN(OFFSET(Assumptions!$B$81,0,$C$1)-K$291/K$14)),K$291+IF(OFFSET(Assumptions!$B$113,0,$C$1)="SND",Allocate!$B$20*L$232*L$14,0))</f>
        <v>2.6435896676162955</v>
      </c>
      <c r="M291" s="7">
        <f ca="1">IF(OFFSET(Assumptions!$B$72,0,$C$1)="BU",M$14*(L$291/L$14+MIN(ABS(OFFSET(Assumptions!$B$81,0,$C$1)-L$291/L$14),OFFSET(Assumptions!$B$75,0,$C$1))*SIGN(OFFSET(Assumptions!$B$81,0,$C$1)-L$291/L$14)),L$291+IF(OFFSET(Assumptions!$B$113,0,$C$1)="SND",Allocate!$B$20*M$232*M$14,0))</f>
        <v>2.8283980391120909</v>
      </c>
      <c r="N291" s="7">
        <f ca="1">IF(OFFSET(Assumptions!$B$72,0,$C$1)="BU",N$14*(M$291/M$14+MIN(ABS(OFFSET(Assumptions!$B$81,0,$C$1)-M$291/M$14),OFFSET(Assumptions!$B$75,0,$C$1))*SIGN(OFFSET(Assumptions!$B$81,0,$C$1)-M$291/M$14)),M$291+IF(OFFSET(Assumptions!$B$113,0,$C$1)="SND",Allocate!$B$20*N$232*N$14,0))</f>
        <v>2.9503797091212287</v>
      </c>
      <c r="O291" s="7">
        <f ca="1">IF(OFFSET(Assumptions!$B$72,0,$C$1)="BU",O$14*(N$291/N$14+MIN(ABS(OFFSET(Assumptions!$B$81,0,$C$1)-N$291/N$14),OFFSET(Assumptions!$B$75,0,$C$1))*SIGN(OFFSET(Assumptions!$B$81,0,$C$1)-N$291/N$14)),N$291+IF(OFFSET(Assumptions!$B$113,0,$C$1)="SND",Allocate!$B$20*O$232*O$14,0))</f>
        <v>3.0763217802593097</v>
      </c>
      <c r="P291" s="7">
        <f ca="1">IF(OFFSET(Assumptions!$B$72,0,$C$1)="BU",P$14*(O$291/O$14+MIN(ABS(OFFSET(Assumptions!$B$81,0,$C$1)-O$291/O$14),OFFSET(Assumptions!$B$75,0,$C$1))*SIGN(OFFSET(Assumptions!$B$81,0,$C$1)-O$291/O$14)),O$291+IF(OFFSET(Assumptions!$B$113,0,$C$1)="SND",Allocate!$B$20*P$232*P$14,0))</f>
        <v>3.2064160481520081</v>
      </c>
      <c r="Q291" s="7">
        <f ca="1">IF(OFFSET(Assumptions!$B$72,0,$C$1)="BU",Q$14*(P$291/P$14+MIN(ABS(OFFSET(Assumptions!$B$81,0,$C$1)-P$291/P$14),OFFSET(Assumptions!$B$75,0,$C$1))*SIGN(OFFSET(Assumptions!$B$81,0,$C$1)-P$291/P$14)),P$291+IF(OFFSET(Assumptions!$B$113,0,$C$1)="SND",Allocate!$B$20*Q$232*Q$14,0))</f>
        <v>3.3405219871022518</v>
      </c>
      <c r="R291" s="7">
        <f ca="1">IF(OFFSET(Assumptions!$B$72,0,$C$1)="BU",R$14*(Q$291/Q$14+MIN(ABS(OFFSET(Assumptions!$B$81,0,$C$1)-Q$291/Q$14),OFFSET(Assumptions!$B$75,0,$C$1))*SIGN(OFFSET(Assumptions!$B$81,0,$C$1)-Q$291/Q$14)),Q$291+IF(OFFSET(Assumptions!$B$113,0,$C$1)="SND",Allocate!$B$20*R$232*R$14,0))</f>
        <v>3.4785400613344262</v>
      </c>
      <c r="S291" s="7">
        <f ca="1">IF(OFFSET(Assumptions!$B$72,0,$C$1)="BU",S$14*(R$291/R$14+MIN(ABS(OFFSET(Assumptions!$B$81,0,$C$1)-R$291/R$14),OFFSET(Assumptions!$B$75,0,$C$1))*SIGN(OFFSET(Assumptions!$B$81,0,$C$1)-R$291/R$14)),R$291+IF(OFFSET(Assumptions!$B$113,0,$C$1)="SND",Allocate!$B$20*S$232*S$14,0))</f>
        <v>3.6209088866604571</v>
      </c>
      <c r="T291" s="7">
        <f ca="1">IF(OFFSET(Assumptions!$B$72,0,$C$1)="BU",T$14*(S$291/S$14+MIN(ABS(OFFSET(Assumptions!$B$81,0,$C$1)-S$291/S$14),OFFSET(Assumptions!$B$75,0,$C$1))*SIGN(OFFSET(Assumptions!$B$81,0,$C$1)-S$291/S$14)),S$291+IF(OFFSET(Assumptions!$B$113,0,$C$1)="SND",Allocate!$B$20*T$232*T$14,0))</f>
        <v>3.7676803801707988</v>
      </c>
      <c r="U291" s="7">
        <f ca="1">IF(OFFSET(Assumptions!$B$72,0,$C$1)="BU",U$14*(T$291/T$14+MIN(ABS(OFFSET(Assumptions!$B$81,0,$C$1)-T$291/T$14),OFFSET(Assumptions!$B$75,0,$C$1))*SIGN(OFFSET(Assumptions!$B$81,0,$C$1)-T$291/T$14)),T$291+IF(OFFSET(Assumptions!$B$113,0,$C$1)="SND",Allocate!$B$20*U$232*U$14,0))</f>
        <v>3.9193813008868115</v>
      </c>
      <c r="V291" s="7">
        <f ca="1">IF(OFFSET(Assumptions!$B$72,0,$C$1)="BU",V$14*(U$291/U$14+MIN(ABS(OFFSET(Assumptions!$B$81,0,$C$1)-U$291/U$14),OFFSET(Assumptions!$B$75,0,$C$1))*SIGN(OFFSET(Assumptions!$B$81,0,$C$1)-U$291/U$14)),U$291+IF(OFFSET(Assumptions!$B$113,0,$C$1)="SND",Allocate!$B$20*V$232*V$14,0))</f>
        <v>4.0763861233977625</v>
      </c>
      <c r="W291" s="7">
        <f ca="1">IF(OFFSET(Assumptions!$B$72,0,$C$1)="BU",W$14*(V$291/V$14+MIN(ABS(OFFSET(Assumptions!$B$81,0,$C$1)-V$291/V$14),OFFSET(Assumptions!$B$75,0,$C$1))*SIGN(OFFSET(Assumptions!$B$81,0,$C$1)-V$291/V$14)),V$291+IF(OFFSET(Assumptions!$B$113,0,$C$1)="SND",Allocate!$B$20*W$232*W$14,0))</f>
        <v>4.2391497302769485</v>
      </c>
      <c r="X291" s="7">
        <f ca="1">IF(OFFSET(Assumptions!$B$72,0,$C$1)="BU",X$14*(W$291/W$14+MIN(ABS(OFFSET(Assumptions!$B$81,0,$C$1)-W$291/W$14),OFFSET(Assumptions!$B$75,0,$C$1))*SIGN(OFFSET(Assumptions!$B$81,0,$C$1)-W$291/W$14)),W$291+IF(OFFSET(Assumptions!$B$113,0,$C$1)="SND",Allocate!$B$20*X$232*X$14,0))</f>
        <v>4.408187668303988</v>
      </c>
      <c r="Y291" s="7">
        <f ca="1">IF(OFFSET(Assumptions!$B$72,0,$C$1)="BU",Y$14*(X$291/X$14+MIN(ABS(OFFSET(Assumptions!$B$81,0,$C$1)-X$291/X$14),OFFSET(Assumptions!$B$75,0,$C$1))*SIGN(OFFSET(Assumptions!$B$81,0,$C$1)-X$291/X$14)),X$291+IF(OFFSET(Assumptions!$B$113,0,$C$1)="SND",Allocate!$B$20*Y$232*Y$14,0))</f>
        <v>4.583482656204632</v>
      </c>
      <c r="Z291" s="7">
        <f ca="1">IF(OFFSET(Assumptions!$B$72,0,$C$1)="BU",Z$14*(Y$291/Y$14+MIN(ABS(OFFSET(Assumptions!$B$81,0,$C$1)-Y$291/Y$14),OFFSET(Assumptions!$B$75,0,$C$1))*SIGN(OFFSET(Assumptions!$B$81,0,$C$1)-Y$291/Y$14)),Y$291+IF(OFFSET(Assumptions!$B$113,0,$C$1)="SND",Allocate!$B$20*Z$232*Z$14,0))</f>
        <v>4.7659219745209844</v>
      </c>
      <c r="AA291" s="7">
        <f ca="1">IF(OFFSET(Assumptions!$B$72,0,$C$1)="BU",AA$14*(Z$291/Z$14+MIN(ABS(OFFSET(Assumptions!$B$81,0,$C$1)-Z$291/Z$14),OFFSET(Assumptions!$B$75,0,$C$1))*SIGN(OFFSET(Assumptions!$B$81,0,$C$1)-Z$291/Z$14)),Z$291+IF(OFFSET(Assumptions!$B$113,0,$C$1)="SND",Allocate!$B$20*AA$232*AA$14,0))</f>
        <v>4.9558008106992215</v>
      </c>
      <c r="AB291" s="7">
        <f ca="1">IF(OFFSET(Assumptions!$B$72,0,$C$1)="BU",AB$14*(AA$291/AA$14+MIN(ABS(OFFSET(Assumptions!$B$81,0,$C$1)-AA$291/AA$14),OFFSET(Assumptions!$B$75,0,$C$1))*SIGN(OFFSET(Assumptions!$B$81,0,$C$1)-AA$291/AA$14)),AA$291+IF(OFFSET(Assumptions!$B$113,0,$C$1)="SND",Allocate!$B$20*AB$232*AB$14,0))</f>
        <v>5.1536893884199362</v>
      </c>
      <c r="AC291" s="7">
        <f ca="1">IF(OFFSET(Assumptions!$B$72,0,$C$1)="BU",AC$14*(AB$291/AB$14+MIN(ABS(OFFSET(Assumptions!$B$81,0,$C$1)-AB$291/AB$14),OFFSET(Assumptions!$B$75,0,$C$1))*SIGN(OFFSET(Assumptions!$B$81,0,$C$1)-AB$291/AB$14)),AB$291+IF(OFFSET(Assumptions!$B$113,0,$C$1)="SND",Allocate!$B$20*AC$232*AC$14,0))</f>
        <v>5.3603347639179786</v>
      </c>
      <c r="AD291" s="7">
        <f ca="1">IF(OFFSET(Assumptions!$B$72,0,$C$1)="BU",AD$14*(AC$291/AC$14+MIN(ABS(OFFSET(Assumptions!$B$81,0,$C$1)-AC$291/AC$14),OFFSET(Assumptions!$B$75,0,$C$1))*SIGN(OFFSET(Assumptions!$B$81,0,$C$1)-AC$291/AC$14)),AC$291+IF(OFFSET(Assumptions!$B$113,0,$C$1)="SND",Allocate!$B$20*AD$232*AD$14,0))</f>
        <v>5.5759547439682375</v>
      </c>
      <c r="AE291" s="7">
        <f ca="1">IF(OFFSET(Assumptions!$B$72,0,$C$1)="BU",AE$14*(AD$291/AD$14+MIN(ABS(OFFSET(Assumptions!$B$81,0,$C$1)-AD$291/AD$14),OFFSET(Assumptions!$B$75,0,$C$1))*SIGN(OFFSET(Assumptions!$B$81,0,$C$1)-AD$291/AD$14)),AD$291+IF(OFFSET(Assumptions!$B$113,0,$C$1)="SND",Allocate!$B$20*AE$232*AE$14,0))</f>
        <v>5.8003513103582458</v>
      </c>
      <c r="AF291" s="7">
        <f ca="1">IF(OFFSET(Assumptions!$B$72,0,$C$1)="BU",AF$14*(AE$291/AE$14+MIN(ABS(OFFSET(Assumptions!$B$81,0,$C$1)-AE$291/AE$14),OFFSET(Assumptions!$B$75,0,$C$1))*SIGN(OFFSET(Assumptions!$B$81,0,$C$1)-AE$291/AE$14)),AE$291+IF(OFFSET(Assumptions!$B$113,0,$C$1)="SND",Allocate!$B$20*AF$232*AF$14,0))</f>
        <v>6.0341452785385954</v>
      </c>
      <c r="AG291" s="7">
        <f ca="1">IF(OFFSET(Assumptions!$B$72,0,$C$1)="BU",AG$14*(AF$291/AF$14+MIN(ABS(OFFSET(Assumptions!$B$81,0,$C$1)-AF$291/AF$14),OFFSET(Assumptions!$B$75,0,$C$1))*SIGN(OFFSET(Assumptions!$B$81,0,$C$1)-AF$291/AF$14)),AF$291+IF(OFFSET(Assumptions!$B$113,0,$C$1)="SND",Allocate!$B$20*AG$232*AG$14,0))</f>
        <v>6.2774673763201037</v>
      </c>
      <c r="AH291" s="7">
        <f ca="1">IF(OFFSET(Assumptions!$B$72,0,$C$1)="BU",AH$14*(AG$291/AG$14+MIN(ABS(OFFSET(Assumptions!$B$81,0,$C$1)-AG$291/AG$14),OFFSET(Assumptions!$B$75,0,$C$1))*SIGN(OFFSET(Assumptions!$B$81,0,$C$1)-AG$291/AG$14)),AG$291+IF(OFFSET(Assumptions!$B$113,0,$C$1)="SND",Allocate!$B$20*AH$232*AH$14,0))</f>
        <v>6.5307077875697832</v>
      </c>
      <c r="AI291" s="7">
        <f ca="1">IF(OFFSET(Assumptions!$B$72,0,$C$1)="BU",AI$14*(AH$291/AH$14+MIN(ABS(OFFSET(Assumptions!$B$81,0,$C$1)-AH$291/AH$14),OFFSET(Assumptions!$B$75,0,$C$1))*SIGN(OFFSET(Assumptions!$B$81,0,$C$1)-AH$291/AH$14)),AH$291+IF(OFFSET(Assumptions!$B$113,0,$C$1)="SND",Allocate!$B$20*AI$232*AI$14,0))</f>
        <v>6.7934240174581006</v>
      </c>
      <c r="AJ291" s="7">
        <f ca="1">IF(OFFSET(Assumptions!$B$72,0,$C$1)="BU",AJ$14*(AI$291/AI$14+MIN(ABS(OFFSET(Assumptions!$B$81,0,$C$1)-AI$291/AI$14),OFFSET(Assumptions!$B$75,0,$C$1))*SIGN(OFFSET(Assumptions!$B$81,0,$C$1)-AI$291/AI$14)),AI$291+IF(OFFSET(Assumptions!$B$113,0,$C$1)="SND",Allocate!$B$20*AJ$232*AJ$14,0))</f>
        <v>7.066457676963414</v>
      </c>
      <c r="AK291" s="7">
        <f ca="1">IF(OFFSET(Assumptions!$B$72,0,$C$1)="BU",AK$14*(AJ$291/AJ$14+MIN(ABS(OFFSET(Assumptions!$B$81,0,$C$1)-AJ$291/AJ$14),OFFSET(Assumptions!$B$75,0,$C$1))*SIGN(OFFSET(Assumptions!$B$81,0,$C$1)-AJ$291/AJ$14)),AJ$291+IF(OFFSET(Assumptions!$B$113,0,$C$1)="SND",Allocate!$B$20*AK$232*AK$14,0))</f>
        <v>7.3495841601870007</v>
      </c>
      <c r="AL291" s="7">
        <f ca="1">IF(OFFSET(Assumptions!$B$72,0,$C$1)="BU",AL$14*(AK$291/AK$14+MIN(ABS(OFFSET(Assumptions!$B$81,0,$C$1)-AK$291/AK$14),OFFSET(Assumptions!$B$75,0,$C$1))*SIGN(OFFSET(Assumptions!$B$81,0,$C$1)-AK$291/AK$14)),AK$291+IF(OFFSET(Assumptions!$B$113,0,$C$1)="SND",Allocate!$B$20*AL$232*AL$14,0))</f>
        <v>7.6425804405870821</v>
      </c>
      <c r="AM291" s="7">
        <f ca="1">IF(OFFSET(Assumptions!$B$72,0,$C$1)="BU",AM$14*(AL$291/AL$14+MIN(ABS(OFFSET(Assumptions!$B$81,0,$C$1)-AL$291/AL$14),OFFSET(Assumptions!$B$75,0,$C$1))*SIGN(OFFSET(Assumptions!$B$81,0,$C$1)-AL$291/AL$14)),AL$291+IF(OFFSET(Assumptions!$B$113,0,$C$1)="SND",Allocate!$B$20*AM$232*AM$14,0))</f>
        <v>7.9458467892367448</v>
      </c>
      <c r="AN291" s="7">
        <f ca="1">IF(OFFSET(Assumptions!$B$72,0,$C$1)="BU",AN$14*(AM$291/AM$14+MIN(ABS(OFFSET(Assumptions!$B$81,0,$C$1)-AM$291/AM$14),OFFSET(Assumptions!$B$75,0,$C$1))*SIGN(OFFSET(Assumptions!$B$81,0,$C$1)-AM$291/AM$14)),AM$291+IF(OFFSET(Assumptions!$B$113,0,$C$1)="SND",Allocate!$B$20*AN$232*AN$14,0))</f>
        <v>8.2598050466901007</v>
      </c>
      <c r="AO291" s="7">
        <f ca="1">IF(OFFSET(Assumptions!$B$72,0,$C$1)="BU",AO$14*(AN$291/AN$14+MIN(ABS(OFFSET(Assumptions!$B$81,0,$C$1)-AN$291/AN$14),OFFSET(Assumptions!$B$75,0,$C$1))*SIGN(OFFSET(Assumptions!$B$81,0,$C$1)-AN$291/AN$14)),AN$291+IF(OFFSET(Assumptions!$B$113,0,$C$1)="SND",Allocate!$B$20*AO$232*AO$14,0))</f>
        <v>8.5832224074419283</v>
      </c>
      <c r="AP291" s="7">
        <f ca="1">IF(OFFSET(Assumptions!$B$72,0,$C$1)="BU",AP$14*(AO$291/AO$14+MIN(ABS(OFFSET(Assumptions!$B$81,0,$C$1)-AO$291/AO$14),OFFSET(Assumptions!$B$75,0,$C$1))*SIGN(OFFSET(Assumptions!$B$81,0,$C$1)-AO$291/AO$14)),AO$291+IF(OFFSET(Assumptions!$B$113,0,$C$1)="SND",Allocate!$B$20*AP$232*AP$14,0))</f>
        <v>8.9174722617358526</v>
      </c>
      <c r="AQ291" s="7">
        <f ca="1">IF(OFFSET(Assumptions!$B$72,0,$C$1)="BU",AQ$14*(AP$291/AP$14+MIN(ABS(OFFSET(Assumptions!$B$81,0,$C$1)-AP$291/AP$14),OFFSET(Assumptions!$B$75,0,$C$1))*SIGN(OFFSET(Assumptions!$B$81,0,$C$1)-AP$291/AP$14)),AP$291+IF(OFFSET(Assumptions!$B$113,0,$C$1)="SND",Allocate!$B$20*AQ$232*AQ$14,0))</f>
        <v>9.2616180425349448</v>
      </c>
      <c r="AR291" s="7">
        <f ca="1">IF(OFFSET(Assumptions!$B$72,0,$C$1)="BU",AR$14*(AQ$291/AQ$14+MIN(ABS(OFFSET(Assumptions!$B$81,0,$C$1)-AQ$291/AQ$14),OFFSET(Assumptions!$B$75,0,$C$1))*SIGN(OFFSET(Assumptions!$B$81,0,$C$1)-AQ$291/AQ$14)),AQ$291+IF(OFFSET(Assumptions!$B$113,0,$C$1)="SND",Allocate!$B$20*AR$232*AR$14,0))</f>
        <v>9.6160493844296706</v>
      </c>
      <c r="AS291" s="7">
        <f ca="1">IF(OFFSET(Assumptions!$B$72,0,$C$1)="BU",AS$14*(AR$291/AR$14+MIN(ABS(OFFSET(Assumptions!$B$81,0,$C$1)-AR$291/AR$14),OFFSET(Assumptions!$B$75,0,$C$1))*SIGN(OFFSET(Assumptions!$B$81,0,$C$1)-AR$291/AR$14)),AR$291+IF(OFFSET(Assumptions!$B$113,0,$C$1)="SND",Allocate!$B$20*AS$232*AS$14,0))</f>
        <v>9.981593165517495</v>
      </c>
      <c r="AT291" s="7">
        <f ca="1">IF(OFFSET(Assumptions!$B$72,0,$C$1)="BU",AT$14*(AS$291/AS$14+MIN(ABS(OFFSET(Assumptions!$B$81,0,$C$1)-AS$291/AS$14),OFFSET(Assumptions!$B$75,0,$C$1))*SIGN(OFFSET(Assumptions!$B$81,0,$C$1)-AS$291/AS$14)),AS$291+IF(OFFSET(Assumptions!$B$113,0,$C$1)="SND",Allocate!$B$20*AT$232*AT$14,0))</f>
        <v>10.358541333648798</v>
      </c>
      <c r="AU291" s="7">
        <f ca="1">IF(OFFSET(Assumptions!$B$72,0,$C$1)="BU",AU$14*(AT$291/AT$14+MIN(ABS(OFFSET(Assumptions!$B$81,0,$C$1)-AT$291/AT$14),OFFSET(Assumptions!$B$75,0,$C$1))*SIGN(OFFSET(Assumptions!$B$81,0,$C$1)-AT$291/AT$14)),AT$291+IF(OFFSET(Assumptions!$B$113,0,$C$1)="SND",Allocate!$B$20*AU$232*AU$14,0))</f>
        <v>10.747395145735549</v>
      </c>
      <c r="AV291" s="7">
        <f ca="1">IF(OFFSET(Assumptions!$B$72,0,$C$1)="BU",AV$14*(AU$291/AU$14+MIN(ABS(OFFSET(Assumptions!$B$81,0,$C$1)-AU$291/AU$14),OFFSET(Assumptions!$B$75,0,$C$1))*SIGN(OFFSET(Assumptions!$B$81,0,$C$1)-AU$291/AU$14)),AU$291+IF(OFFSET(Assumptions!$B$113,0,$C$1)="SND",Allocate!$B$20*AV$232*AV$14,0))</f>
        <v>11.149356898126767</v>
      </c>
      <c r="AW291" s="7">
        <f ca="1">IF(OFFSET(Assumptions!$B$72,0,$C$1)="BU",AW$14*(AV$291/AV$14+MIN(ABS(OFFSET(Assumptions!$B$81,0,$C$1)-AV$291/AV$14),OFFSET(Assumptions!$B$75,0,$C$1))*SIGN(OFFSET(Assumptions!$B$81,0,$C$1)-AV$291/AV$14)),AV$291+IF(OFFSET(Assumptions!$B$113,0,$C$1)="SND",Allocate!$B$20*AW$232*AW$14,0))</f>
        <v>11.564199660831825</v>
      </c>
    </row>
    <row r="292" spans="1:49" ht="15" x14ac:dyDescent="0.25">
      <c r="A292" s="2" t="s">
        <v>574</v>
      </c>
      <c r="D292" s="40">
        <f t="shared" ref="D292" si="199">SUM(D$290:D$291)</f>
        <v>2.2280000000000002</v>
      </c>
      <c r="E292" s="39">
        <f t="shared" ref="E292:AW292" ca="1" si="200">SUM(E$290:E$291)</f>
        <v>2.1039999999999996</v>
      </c>
      <c r="F292" s="39">
        <f t="shared" ca="1" si="200"/>
        <v>2.468</v>
      </c>
      <c r="G292" s="39">
        <f t="shared" ca="1" si="200"/>
        <v>2.5189999999999997</v>
      </c>
      <c r="H292" s="39">
        <f t="shared" ca="1" si="200"/>
        <v>2.6049999999999995</v>
      </c>
      <c r="I292" s="39">
        <f t="shared" ca="1" si="200"/>
        <v>2.7250000000000001</v>
      </c>
      <c r="J292" s="43">
        <f t="shared" ca="1" si="200"/>
        <v>2.993327020702707</v>
      </c>
      <c r="K292" s="43">
        <f t="shared" ca="1" si="200"/>
        <v>3.2793494405786854</v>
      </c>
      <c r="L292" s="43">
        <f t="shared" ca="1" si="200"/>
        <v>3.5909471912252573</v>
      </c>
      <c r="M292" s="43">
        <f t="shared" ca="1" si="200"/>
        <v>3.8166875216972267</v>
      </c>
      <c r="N292" s="43">
        <f t="shared" ca="1" si="200"/>
        <v>3.9812916231573658</v>
      </c>
      <c r="O292" s="43">
        <f t="shared" ca="1" si="200"/>
        <v>4.1512399560024544</v>
      </c>
      <c r="P292" s="43">
        <f t="shared" ca="1" si="200"/>
        <v>4.3267913324509664</v>
      </c>
      <c r="Q292" s="43">
        <f t="shared" ca="1" si="200"/>
        <v>4.5077561247818094</v>
      </c>
      <c r="R292" s="43">
        <f t="shared" ca="1" si="200"/>
        <v>4.6940000177580572</v>
      </c>
      <c r="S292" s="43">
        <f t="shared" ca="1" si="200"/>
        <v>4.8861148868770918</v>
      </c>
      <c r="T292" s="43">
        <f t="shared" ca="1" si="200"/>
        <v>5.0841707899273016</v>
      </c>
      <c r="U292" s="43">
        <f t="shared" ca="1" si="200"/>
        <v>5.288878544324044</v>
      </c>
      <c r="V292" s="43">
        <f t="shared" ca="1" si="200"/>
        <v>5.5007434723282902</v>
      </c>
      <c r="W292" s="43">
        <f t="shared" ca="1" si="200"/>
        <v>5.7203794000767196</v>
      </c>
      <c r="X292" s="43">
        <f t="shared" ca="1" si="200"/>
        <v>5.9484820149985449</v>
      </c>
      <c r="Y292" s="43">
        <f t="shared" ca="1" si="200"/>
        <v>6.1850279974538598</v>
      </c>
      <c r="Z292" s="43">
        <f t="shared" ca="1" si="200"/>
        <v>6.4312146586154411</v>
      </c>
      <c r="AA292" s="43">
        <f t="shared" ca="1" si="200"/>
        <v>6.6874403293500224</v>
      </c>
      <c r="AB292" s="43">
        <f t="shared" ca="1" si="200"/>
        <v>6.9544744790095816</v>
      </c>
      <c r="AC292" s="43">
        <f t="shared" ca="1" si="200"/>
        <v>7.23332519774626</v>
      </c>
      <c r="AD292" s="43">
        <f t="shared" ca="1" si="200"/>
        <v>7.5242863976574208</v>
      </c>
      <c r="AE292" s="43">
        <f t="shared" ca="1" si="200"/>
        <v>7.8270908696621149</v>
      </c>
      <c r="AF292" s="43">
        <f t="shared" ca="1" si="200"/>
        <v>8.1425763524911652</v>
      </c>
      <c r="AG292" s="43">
        <f t="shared" ca="1" si="200"/>
        <v>8.4709192524344186</v>
      </c>
      <c r="AH292" s="43">
        <f t="shared" ca="1" si="200"/>
        <v>8.8126460901144323</v>
      </c>
      <c r="AI292" s="43">
        <f t="shared" ca="1" si="200"/>
        <v>9.1671597556227198</v>
      </c>
      <c r="AJ292" s="43">
        <f t="shared" ca="1" si="200"/>
        <v>9.5355959328604882</v>
      </c>
      <c r="AK292" s="43">
        <f t="shared" ca="1" si="200"/>
        <v>9.9176515348791892</v>
      </c>
      <c r="AL292" s="43">
        <f t="shared" ca="1" si="200"/>
        <v>10.313025605940895</v>
      </c>
      <c r="AM292" s="43">
        <f t="shared" ca="1" si="200"/>
        <v>10.722258278512401</v>
      </c>
      <c r="AN292" s="43">
        <f t="shared" ca="1" si="200"/>
        <v>11.145918791278207</v>
      </c>
      <c r="AO292" s="43">
        <f t="shared" ca="1" si="200"/>
        <v>11.582343575913278</v>
      </c>
      <c r="AP292" s="43">
        <f t="shared" ca="1" si="200"/>
        <v>12.033385908135099</v>
      </c>
      <c r="AQ292" s="43">
        <f t="shared" ca="1" si="200"/>
        <v>12.497781968752147</v>
      </c>
      <c r="AR292" s="43">
        <f t="shared" ca="1" si="200"/>
        <v>12.976057537184047</v>
      </c>
      <c r="AS292" s="43">
        <f t="shared" ca="1" si="200"/>
        <v>13.469328416536623</v>
      </c>
      <c r="AT292" s="43">
        <f t="shared" ca="1" si="200"/>
        <v>13.977988566111968</v>
      </c>
      <c r="AU292" s="43">
        <f t="shared" ca="1" si="200"/>
        <v>14.502714390353386</v>
      </c>
      <c r="AV292" s="43">
        <f t="shared" ca="1" si="200"/>
        <v>15.045128288021314</v>
      </c>
      <c r="AW292" s="43">
        <f t="shared" ca="1" si="200"/>
        <v>15.604924035998796</v>
      </c>
    </row>
    <row r="293" spans="1:49" ht="15" x14ac:dyDescent="0.25">
      <c r="A293" s="2" t="s">
        <v>575</v>
      </c>
      <c r="B293" s="4" t="str">
        <f t="shared" si="198"/>
        <v>From Fiscal</v>
      </c>
      <c r="D293" s="47">
        <f>Fiscal!D$44</f>
        <v>8.2349999999999994</v>
      </c>
      <c r="E293" s="44">
        <f ca="1">Fiscal!E$44  +IF(OR(OFFSET(Assumptions!$B$72,0,$C$1)="BU",OFFSET(Assumptions!$B$113,0,$C$1)="SND"),Allocate!C$20,0)</f>
        <v>7.6989999999999998</v>
      </c>
      <c r="F293" s="44">
        <f ca="1">Fiscal!F$44  +IF(OR(OFFSET(Assumptions!$B$72,0,$C$1)="BU",OFFSET(Assumptions!$B$113,0,$C$1)="SND"),Allocate!D$20,0)</f>
        <v>7.5259999999999998</v>
      </c>
      <c r="G293" s="44">
        <f ca="1">Fiscal!G$44  +IF(OR(OFFSET(Assumptions!$B$72,0,$C$1)="BU",OFFSET(Assumptions!$B$113,0,$C$1)="SND"),Allocate!E$20,0)</f>
        <v>7.9269999999999996</v>
      </c>
      <c r="H293" s="44">
        <f ca="1">Fiscal!H$44  +IF(OR(OFFSET(Assumptions!$B$72,0,$C$1)="BU",OFFSET(Assumptions!$B$113,0,$C$1)="SND"),Allocate!F$20,0)</f>
        <v>8.0359999999999996</v>
      </c>
      <c r="I293" s="44">
        <f ca="1">Fiscal!I$44  +IF(OR(OFFSET(Assumptions!$B$72,0,$C$1)="BU",OFFSET(Assumptions!$B$113,0,$C$1)="SND"),Allocate!G$20,0)</f>
        <v>8.1790000000000003</v>
      </c>
      <c r="J293" s="8">
        <f ca="1">IF(J$6=OFFSET(Assumptions!$B$8,0,$C$1),AVERAGE((G$293-G$292)/G$14,(H$293-H$292)/H$14,(I$293-I$292)/I$14),(I$293-I$292)/I$14)*J$14 + J$292</f>
        <v>8.9058076681670286</v>
      </c>
      <c r="K293" s="8">
        <f ca="1">IF(K$6=OFFSET(Assumptions!$B$8,0,$C$1),AVERAGE((H$293-H$292)/H$14,(I$293-I$292)/I$14,(J$293-J$292)/J$14),(J$293-J$292)/J$14)*K$14 + K$292</f>
        <v>9.4389138210775094</v>
      </c>
      <c r="L293" s="8">
        <f ca="1">IF(L$6=OFFSET(Assumptions!$B$8,0,$C$1),AVERAGE((I$293-I$292)/I$14,(J$293-J$292)/J$14,(K$293-K$292)/K$14),(K$293-K$292)/K$14)*L$14 + L$292</f>
        <v>10.017499678030692</v>
      </c>
      <c r="M293" s="8">
        <f ca="1">IF(M$6=OFFSET(Assumptions!$B$8,0,$C$1),AVERAGE((J$293-J$292)/J$14,(K$293-K$292)/K$14,(L$293-L$292)/L$14),(L$293-L$292)/L$14)*M$14 + M$292</f>
        <v>10.520908550940636</v>
      </c>
      <c r="N293" s="8">
        <f ca="1">IF(N$6=OFFSET(Assumptions!$B$8,0,$C$1),AVERAGE((K$293-K$292)/K$14,(L$293-L$292)/L$14,(M$293-M$292)/M$14),(M$293-M$292)/M$14)*N$14 + N$292</f>
        <v>10.974648787396193</v>
      </c>
      <c r="O293" s="8">
        <f ca="1">IF(O$6=OFFSET(Assumptions!$B$8,0,$C$1),AVERAGE((L$293-L$292)/L$14,(M$293-M$292)/M$14,(N$293-N$292)/N$14),(N$293-N$292)/N$14)*O$14 + O$292</f>
        <v>11.443120690868367</v>
      </c>
      <c r="P293" s="8">
        <f ca="1">IF(P$6=OFFSET(Assumptions!$B$8,0,$C$1),AVERAGE((M$293-M$292)/M$14,(N$293-N$292)/N$14,(O$293-O$292)/O$14),(O$293-O$292)/O$14)*P$14 + P$292</f>
        <v>11.927037691436762</v>
      </c>
      <c r="Q293" s="8">
        <f ca="1">IF(Q$6=OFFSET(Assumptions!$B$8,0,$C$1),AVERAGE((N$293-N$292)/N$14,(O$293-O$292)/O$14,(P$293-P$292)/P$14),(P$293-P$292)/P$14)*Q$14 + Q$292</f>
        <v>12.425877069884525</v>
      </c>
      <c r="R293" s="8">
        <f ca="1">IF(R$6=OFFSET(Assumptions!$B$8,0,$C$1),AVERAGE((O$293-O$292)/O$14,(P$293-P$292)/P$14,(Q$293-Q$292)/Q$14),(Q$293-Q$292)/Q$14)*R$14 + R$292</f>
        <v>12.939268578892035</v>
      </c>
      <c r="S293" s="8">
        <f ca="1">IF(S$6=OFFSET(Assumptions!$B$8,0,$C$1),AVERAGE((P$293-P$292)/P$14,(Q$293-Q$292)/Q$14,(R$293-R$292)/R$14),(R$293-R$292)/R$14)*S$14 + S$292</f>
        <v>13.468843755740281</v>
      </c>
      <c r="T293" s="8">
        <f ca="1">IF(T$6=OFFSET(Assumptions!$B$8,0,$C$1),AVERAGE((Q$293-Q$292)/Q$14,(R$293-R$292)/R$14,(S$293-S$292)/S$14),(S$293-S$292)/S$14)*T$14 + T$292</f>
        <v>14.014795718566571</v>
      </c>
      <c r="U293" s="8">
        <f ca="1">IF(U$6=OFFSET(Assumptions!$B$8,0,$C$1),AVERAGE((R$293-R$292)/R$14,(S$293-S$292)/S$14,(T$293-T$292)/T$14),(T$293-T$292)/T$14)*U$14 + U$292</f>
        <v>14.579083874574378</v>
      </c>
      <c r="V293" s="8">
        <f ca="1">IF(V$6=OFFSET(Assumptions!$B$8,0,$C$1),AVERAGE((S$293-S$292)/S$14,(T$293-T$292)/T$14,(U$293-U$292)/U$14),(U$293-U$292)/U$14)*V$14 + V$292</f>
        <v>15.163101172299891</v>
      </c>
      <c r="W293" s="8">
        <f ca="1">IF(W$6=OFFSET(Assumptions!$B$8,0,$C$1),AVERAGE((T$293-T$292)/T$14,(U$293-U$292)/U$14,(V$293-V$292)/V$14),(V$293-V$292)/V$14)*W$14 + W$292</f>
        <v>15.768539657165601</v>
      </c>
      <c r="X293" s="8">
        <f ca="1">IF(X$6=OFFSET(Assumptions!$B$8,0,$C$1),AVERAGE((U$293-U$292)/U$14,(V$293-V$292)/V$14,(W$293-W$292)/W$14),(W$293-W$292)/W$14)*X$14 + X$292</f>
        <v>16.39731702973808</v>
      </c>
      <c r="Y293" s="8">
        <f ca="1">IF(Y$6=OFFSET(Assumptions!$B$8,0,$C$1),AVERAGE((V$293-V$292)/V$14,(W$293-W$292)/W$14,(X$293-X$292)/X$14),(X$293-X$292)/X$14)*Y$14 + Y$292</f>
        <v>17.049369008150528</v>
      </c>
      <c r="Z293" s="8">
        <f ca="1">IF(Z$6=OFFSET(Assumptions!$B$8,0,$C$1),AVERAGE((W$293-W$292)/W$14,(X$293-X$292)/X$14,(Y$293-Y$292)/Y$14),(Y$293-Y$292)/Y$14)*Z$14 + Z$292</f>
        <v>17.727996046339552</v>
      </c>
      <c r="AA293" s="8">
        <f ca="1">IF(AA$6=OFFSET(Assumptions!$B$8,0,$C$1),AVERAGE((X$293-X$292)/X$14,(Y$293-Y$292)/Y$14,(Z$293-Z$292)/Z$14),(Z$293-Z$292)/Z$14)*AA$14 + AA$292</f>
        <v>18.434296165193192</v>
      </c>
      <c r="AB293" s="8">
        <f ca="1">IF(AB$6=OFFSET(Assumptions!$B$8,0,$C$1),AVERAGE((Y$293-Y$292)/Y$14,(Z$293-Z$292)/Z$14,(AA$293-AA$292)/AA$14),(AA$293-AA$292)/AA$14)*AB$14 + AB$292</f>
        <v>19.17039044919607</v>
      </c>
      <c r="AC293" s="8">
        <f ca="1">IF(AC$6=OFFSET(Assumptions!$B$8,0,$C$1),AVERAGE((Z$293-Z$292)/Z$14,(AA$293-AA$292)/AA$14,(AB$293-AB$292)/AB$14),(AB$293-AB$292)/AB$14)*AC$14 + AC$292</f>
        <v>19.93905775416005</v>
      </c>
      <c r="AD293" s="8">
        <f ca="1">IF(AD$6=OFFSET(Assumptions!$B$8,0,$C$1),AVERAGE((AA$293-AA$292)/AA$14,(AB$293-AB$292)/AB$14,(AC$293-AC$292)/AC$14),(AC$293-AC$292)/AC$14)*AD$14 + AD$292</f>
        <v>20.741108264906607</v>
      </c>
      <c r="AE293" s="8">
        <f ca="1">IF(AE$6=OFFSET(Assumptions!$B$8,0,$C$1),AVERAGE((AB$293-AB$292)/AB$14,(AC$293-AC$292)/AC$14,(AD$293-AD$292)/AD$14),(AD$293-AD$292)/AD$14)*AE$14 + AE$292</f>
        <v>21.575805404944045</v>
      </c>
      <c r="AF293" s="8">
        <f ca="1">IF(AF$6=OFFSET(Assumptions!$B$8,0,$C$1),AVERAGE((AC$293-AC$292)/AC$14,(AD$293-AD$292)/AD$14,(AE$293-AE$292)/AE$14),(AE$293-AE$292)/AE$14)*AF$14 + AF$292</f>
        <v>22.445458447045276</v>
      </c>
      <c r="AG293" s="8">
        <f ca="1">IF(AG$6=OFFSET(Assumptions!$B$8,0,$C$1),AVERAGE((AD$293-AD$292)/AD$14,(AE$293-AE$292)/AE$14,(AF$293-AF$292)/AF$14),(AF$293-AF$292)/AF$14)*AG$14 + AG$292</f>
        <v>23.350553664826549</v>
      </c>
      <c r="AH293" s="8">
        <f ca="1">IF(AH$6=OFFSET(Assumptions!$B$8,0,$C$1),AVERAGE((AE$293-AE$292)/AE$14,(AF$293-AF$292)/AF$14,(AG$293-AG$292)/AG$14),(AG$293-AG$292)/AG$14)*AH$14 + AH$292</f>
        <v>24.29254244127079</v>
      </c>
      <c r="AI293" s="8">
        <f ca="1">IF(AI$6=OFFSET(Assumptions!$B$8,0,$C$1),AVERAGE((AF$293-AF$292)/AF$14,(AG$293-AG$292)/AG$14,(AH$293-AH$292)/AH$14),(AH$293-AH$292)/AH$14)*AI$14 + AI$292</f>
        <v>25.269778810155625</v>
      </c>
      <c r="AJ293" s="8">
        <f ca="1">IF(AJ$6=OFFSET(Assumptions!$B$8,0,$C$1),AVERAGE((AG$293-AG$292)/AG$14,(AH$293-AH$292)/AH$14,(AI$293-AI$292)/AI$14),(AI$293-AI$292)/AI$14)*AJ$14 + AJ$292</f>
        <v>26.285393346462488</v>
      </c>
      <c r="AK293" s="8">
        <f ca="1">IF(AK$6=OFFSET(Assumptions!$B$8,0,$C$1),AVERAGE((AH$293-AH$292)/AH$14,(AI$293-AI$292)/AI$14,(AJ$293-AJ$292)/AJ$14),(AJ$293-AJ$292)/AJ$14)*AK$14 + AK$292</f>
        <v>27.338550574389252</v>
      </c>
      <c r="AL293" s="8">
        <f ca="1">IF(AL$6=OFFSET(Assumptions!$B$8,0,$C$1),AVERAGE((AI$293-AI$292)/AI$14,(AJ$293-AJ$292)/AJ$14,(AK$293-AK$292)/AK$14),(AK$293-AK$292)/AK$14)*AL$14 + AL$292</f>
        <v>28.428420892932792</v>
      </c>
      <c r="AM293" s="8">
        <f ca="1">IF(AM$6=OFFSET(Assumptions!$B$8,0,$C$1),AVERAGE((AJ$293-AJ$292)/AJ$14,(AK$293-AK$292)/AK$14,(AL$293-AL$292)/AL$14),(AL$293-AL$292)/AL$14)*AM$14 + AM$292</f>
        <v>29.556493206871465</v>
      </c>
      <c r="AN293" s="8">
        <f ca="1">IF(AN$6=OFFSET(Assumptions!$B$8,0,$C$1),AVERAGE((AK$293-AK$292)/AK$14,(AL$293-AL$292)/AL$14,(AM$293-AM$292)/AM$14),(AM$293-AM$292)/AM$14)*AN$14 + AN$292</f>
        <v>30.724336653869607</v>
      </c>
      <c r="AO293" s="8">
        <f ca="1">IF(AO$6=OFFSET(Assumptions!$B$8,0,$C$1),AVERAGE((AL$293-AL$292)/AL$14,(AM$293-AM$292)/AM$14,(AN$293-AN$292)/AN$14),(AN$293-AN$292)/AN$14)*AO$14 + AO$292</f>
        <v>31.927365516569829</v>
      </c>
      <c r="AP293" s="8">
        <f ca="1">IF(AP$6=OFFSET(Assumptions!$B$8,0,$C$1),AVERAGE((AM$293-AM$292)/AM$14,(AN$293-AN$292)/AN$14,(AO$293-AO$292)/AO$14),(AO$293-AO$292)/AO$14)*AP$14 + AP$292</f>
        <v>33.170688451164835</v>
      </c>
      <c r="AQ293" s="8">
        <f ca="1">IF(AQ$6=OFFSET(Assumptions!$B$8,0,$C$1),AVERAGE((AN$293-AN$292)/AN$14,(AO$293-AO$292)/AO$14,(AP$293-AP$292)/AP$14),(AP$293-AP$292)/AP$14)*AQ$14 + AQ$292</f>
        <v>34.450821670715484</v>
      </c>
      <c r="AR293" s="8">
        <f ca="1">IF(AR$6=OFFSET(Assumptions!$B$8,0,$C$1),AVERAGE((AO$293-AO$292)/AO$14,(AP$293-AP$292)/AP$14,(AQ$293-AQ$292)/AQ$14),(AQ$293-AQ$292)/AQ$14)*AR$14 + AR$292</f>
        <v>35.769214515038129</v>
      </c>
      <c r="AS293" s="8">
        <f ca="1">IF(AS$6=OFFSET(Assumptions!$B$8,0,$C$1),AVERAGE((AP$293-AP$292)/AP$14,(AQ$293-AQ$292)/AQ$14,(AR$293-AR$292)/AR$14),(AR$293-AR$292)/AR$14)*AS$14 + AS$292</f>
        <v>37.128942756611011</v>
      </c>
      <c r="AT293" s="8">
        <f ca="1">IF(AT$6=OFFSET(Assumptions!$B$8,0,$C$1),AVERAGE((AQ$293-AQ$292)/AQ$14,(AR$293-AR$292)/AR$14,(AS$293-AS$292)/AS$14),(AS$293-AS$292)/AS$14)*AT$14 + AT$292</f>
        <v>38.531092365864382</v>
      </c>
      <c r="AU293" s="8">
        <f ca="1">IF(AU$6=OFFSET(Assumptions!$B$8,0,$C$1),AVERAGE((AR$293-AR$292)/AR$14,(AS$293-AS$292)/AS$14,(AT$293-AT$292)/AT$14),(AT$293-AT$292)/AT$14)*AU$14 + AU$292</f>
        <v>39.977527888756228</v>
      </c>
      <c r="AV293" s="8">
        <f ca="1">IF(AV$6=OFFSET(Assumptions!$B$8,0,$C$1),AVERAGE((AS$293-AS$292)/AS$14,(AT$293-AT$292)/AT$14,(AU$293-AU$292)/AU$14),(AU$293-AU$292)/AU$14)*AV$14 + AV$292</f>
        <v>41.472721556480394</v>
      </c>
      <c r="AW293" s="8">
        <f ca="1">IF(AW$6=OFFSET(Assumptions!$B$8,0,$C$1),AVERAGE((AT$293-AT$292)/AT$14,(AU$293-AU$292)/AU$14,(AV$293-AV$292)/AV$14),(AV$293-AV$292)/AV$14)*AW$14 + AW$292</f>
        <v>43.015829248214473</v>
      </c>
    </row>
    <row r="294" spans="1:49" ht="15" x14ac:dyDescent="0.25">
      <c r="A294" s="2"/>
      <c r="B294" s="4"/>
      <c r="D294" s="47"/>
      <c r="E294" s="44"/>
      <c r="F294" s="44"/>
      <c r="G294" s="44"/>
      <c r="H294" s="44"/>
      <c r="I294" s="44"/>
      <c r="J294" s="8"/>
      <c r="K294" s="8"/>
      <c r="L294" s="8"/>
      <c r="M294" s="8"/>
      <c r="N294" s="8"/>
      <c r="O294" s="8"/>
      <c r="P294" s="8"/>
      <c r="Q294" s="8"/>
      <c r="R294" s="8"/>
      <c r="S294" s="8"/>
    </row>
    <row r="295" spans="1:49" ht="15" x14ac:dyDescent="0.25">
      <c r="A295" s="22" t="s">
        <v>626</v>
      </c>
      <c r="D295" s="55"/>
      <c r="E295" s="56"/>
      <c r="F295" s="56"/>
      <c r="G295" s="56"/>
      <c r="H295" s="56"/>
      <c r="I295" s="56"/>
      <c r="J295" s="57"/>
      <c r="K295" s="57"/>
      <c r="L295" s="57"/>
      <c r="M295" s="57"/>
      <c r="N295" s="57"/>
      <c r="O295" s="57"/>
      <c r="P295" s="57"/>
      <c r="Q295" s="57"/>
      <c r="R295" s="57"/>
      <c r="S295" s="57"/>
    </row>
    <row r="296" spans="1:49" ht="15" x14ac:dyDescent="0.25">
      <c r="A296" s="2" t="s">
        <v>576</v>
      </c>
      <c r="B296" s="4" t="str">
        <f t="shared" ref="B296:B318" si="201">$B$43</f>
        <v>From Fiscal</v>
      </c>
      <c r="D296" s="47">
        <f>Fiscal!D$62</f>
        <v>0.77800000000000002</v>
      </c>
      <c r="E296" s="44">
        <f ca="1">Fiscal!E$62  +IF(OR(OFFSET(Assumptions!$B$72,0,$C$1)="BU",OFFSET(Assumptions!$B$113,0,$C$1)="SND"),Allocate!C$21,0)</f>
        <v>0.78200000000000003</v>
      </c>
      <c r="F296" s="44">
        <f ca="1">Fiscal!F$62  +IF(OR(OFFSET(Assumptions!$B$72,0,$C$1)="BU",OFFSET(Assumptions!$B$113,0,$C$1)="SND"),Allocate!D$21,0)</f>
        <v>0.84499999999999997</v>
      </c>
      <c r="G296" s="44">
        <f ca="1">Fiscal!G$62  +IF(OR(OFFSET(Assumptions!$B$72,0,$C$1)="BU",OFFSET(Assumptions!$B$113,0,$C$1)="SND"),Allocate!E$21,0)</f>
        <v>0.872</v>
      </c>
      <c r="H296" s="44">
        <f ca="1">Fiscal!H$62  +IF(OR(OFFSET(Assumptions!$B$72,0,$C$1)="BU",OFFSET(Assumptions!$B$113,0,$C$1)="SND"),Allocate!F$21,0)</f>
        <v>0.89500000000000002</v>
      </c>
      <c r="I296" s="44">
        <f ca="1">Fiscal!I$62  +IF(OR(OFFSET(Assumptions!$B$72,0,$C$1)="BU",OFFSET(Assumptions!$B$113,0,$C$1)="SND"),Allocate!G$21,0)</f>
        <v>0.97199999999999998</v>
      </c>
      <c r="J296" s="57">
        <f ca="1">IF(OFFSET(Assumptions!$B$72,0,$C$1)="BU",J$14*(I$296/I$14+MIN(ABS(OFFSET(Assumptions!$B$82,0,$C$1)-I$296/I$14),OFFSET(Assumptions!$B$75,0,$C$1))*SIGN(OFFSET(Assumptions!$B$82,0,$C$1)-I$296/I$14)),I$296+IF(OFFSET(Assumptions!$B$113,0,$C$1)="SND",Allocate!$B$21*J$232*J$14,0))</f>
        <v>1.1688558090357304</v>
      </c>
      <c r="K296" s="57">
        <f ca="1">IF(OFFSET(Assumptions!$B$72,0,$C$1)="BU",K$14*(J$296/J$14+MIN(ABS(OFFSET(Assumptions!$B$82,0,$C$1)-J$296/J$14),OFFSET(Assumptions!$B$75,0,$C$1))*SIGN(OFFSET(Assumptions!$B$82,0,$C$1)-J$296/J$14)),J$296+IF(OFFSET(Assumptions!$B$113,0,$C$1)="SND",Allocate!$B$21*K$232*K$14,0))</f>
        <v>1.2993082820207709</v>
      </c>
      <c r="L296" s="57">
        <f ca="1">IF(OFFSET(Assumptions!$B$72,0,$C$1)="BU",L$14*(K$296/K$14+MIN(ABS(OFFSET(Assumptions!$B$82,0,$C$1)-K$296/K$14),OFFSET(Assumptions!$B$75,0,$C$1))*SIGN(OFFSET(Assumptions!$B$82,0,$C$1)-K$296/K$14)),K$296+IF(OFFSET(Assumptions!$B$113,0,$C$1)="SND",Allocate!$B$21*L$232*L$14,0))</f>
        <v>1.3556271767178545</v>
      </c>
      <c r="M296" s="57">
        <f ca="1">IF(OFFSET(Assumptions!$B$72,0,$C$1)="BU",M$14*(L$296/L$14+MIN(ABS(OFFSET(Assumptions!$B$82,0,$C$1)-L$296/L$14),OFFSET(Assumptions!$B$75,0,$C$1))*SIGN(OFFSET(Assumptions!$B$82,0,$C$1)-L$296/L$14)),L$296+IF(OFFSET(Assumptions!$B$113,0,$C$1)="SND",Allocate!$B$21*M$232*M$14,0))</f>
        <v>1.4141990195560454</v>
      </c>
      <c r="N296" s="57">
        <f ca="1">IF(OFFSET(Assumptions!$B$72,0,$C$1)="BU",N$14*(M$296/M$14+MIN(ABS(OFFSET(Assumptions!$B$82,0,$C$1)-M$296/M$14),OFFSET(Assumptions!$B$75,0,$C$1))*SIGN(OFFSET(Assumptions!$B$82,0,$C$1)-M$296/M$14)),M$296+IF(OFFSET(Assumptions!$B$113,0,$C$1)="SND",Allocate!$B$21*N$232*N$14,0))</f>
        <v>1.4751898545606144</v>
      </c>
      <c r="O296" s="57">
        <f ca="1">IF(OFFSET(Assumptions!$B$72,0,$C$1)="BU",O$14*(N$296/N$14+MIN(ABS(OFFSET(Assumptions!$B$82,0,$C$1)-N$296/N$14),OFFSET(Assumptions!$B$75,0,$C$1))*SIGN(OFFSET(Assumptions!$B$82,0,$C$1)-N$296/N$14)),N$296+IF(OFFSET(Assumptions!$B$113,0,$C$1)="SND",Allocate!$B$21*O$232*O$14,0))</f>
        <v>1.5381608901296548</v>
      </c>
      <c r="P296" s="57">
        <f ca="1">IF(OFFSET(Assumptions!$B$72,0,$C$1)="BU",P$14*(O$296/O$14+MIN(ABS(OFFSET(Assumptions!$B$82,0,$C$1)-O$296/O$14),OFFSET(Assumptions!$B$75,0,$C$1))*SIGN(OFFSET(Assumptions!$B$82,0,$C$1)-O$296/O$14)),O$296+IF(OFFSET(Assumptions!$B$113,0,$C$1)="SND",Allocate!$B$21*P$232*P$14,0))</f>
        <v>1.603208024076004</v>
      </c>
      <c r="Q296" s="57">
        <f ca="1">IF(OFFSET(Assumptions!$B$72,0,$C$1)="BU",Q$14*(P$296/P$14+MIN(ABS(OFFSET(Assumptions!$B$82,0,$C$1)-P$296/P$14),OFFSET(Assumptions!$B$75,0,$C$1))*SIGN(OFFSET(Assumptions!$B$82,0,$C$1)-P$296/P$14)),P$296+IF(OFFSET(Assumptions!$B$113,0,$C$1)="SND",Allocate!$B$21*Q$232*Q$14,0))</f>
        <v>1.6702609935511259</v>
      </c>
      <c r="R296" s="57">
        <f ca="1">IF(OFFSET(Assumptions!$B$72,0,$C$1)="BU",R$14*(Q$296/Q$14+MIN(ABS(OFFSET(Assumptions!$B$82,0,$C$1)-Q$296/Q$14),OFFSET(Assumptions!$B$75,0,$C$1))*SIGN(OFFSET(Assumptions!$B$82,0,$C$1)-Q$296/Q$14)),Q$296+IF(OFFSET(Assumptions!$B$113,0,$C$1)="SND",Allocate!$B$21*R$232*R$14,0))</f>
        <v>1.7392700306672131</v>
      </c>
      <c r="S296" s="57">
        <f ca="1">IF(OFFSET(Assumptions!$B$72,0,$C$1)="BU",S$14*(R$296/R$14+MIN(ABS(OFFSET(Assumptions!$B$82,0,$C$1)-R$296/R$14),OFFSET(Assumptions!$B$75,0,$C$1))*SIGN(OFFSET(Assumptions!$B$82,0,$C$1)-R$296/R$14)),R$296+IF(OFFSET(Assumptions!$B$113,0,$C$1)="SND",Allocate!$B$21*S$232*S$14,0))</f>
        <v>1.8104544433302285</v>
      </c>
      <c r="T296" s="57">
        <f ca="1">IF(OFFSET(Assumptions!$B$72,0,$C$1)="BU",T$14*(S$296/S$14+MIN(ABS(OFFSET(Assumptions!$B$82,0,$C$1)-S$296/S$14),OFFSET(Assumptions!$B$75,0,$C$1))*SIGN(OFFSET(Assumptions!$B$82,0,$C$1)-S$296/S$14)),S$296+IF(OFFSET(Assumptions!$B$113,0,$C$1)="SND",Allocate!$B$21*T$232*T$14,0))</f>
        <v>1.8838401900853994</v>
      </c>
      <c r="U296" s="57">
        <f ca="1">IF(OFFSET(Assumptions!$B$72,0,$C$1)="BU",U$14*(T$296/T$14+MIN(ABS(OFFSET(Assumptions!$B$82,0,$C$1)-T$296/T$14),OFFSET(Assumptions!$B$75,0,$C$1))*SIGN(OFFSET(Assumptions!$B$82,0,$C$1)-T$296/T$14)),T$296+IF(OFFSET(Assumptions!$B$113,0,$C$1)="SND",Allocate!$B$21*U$232*U$14,0))</f>
        <v>1.9596906504434057</v>
      </c>
      <c r="V296" s="57">
        <f ca="1">IF(OFFSET(Assumptions!$B$72,0,$C$1)="BU",V$14*(U$296/U$14+MIN(ABS(OFFSET(Assumptions!$B$82,0,$C$1)-U$296/U$14),OFFSET(Assumptions!$B$75,0,$C$1))*SIGN(OFFSET(Assumptions!$B$82,0,$C$1)-U$296/U$14)),U$296+IF(OFFSET(Assumptions!$B$113,0,$C$1)="SND",Allocate!$B$21*V$232*V$14,0))</f>
        <v>2.0381930616988813</v>
      </c>
      <c r="W296" s="57">
        <f ca="1">IF(OFFSET(Assumptions!$B$72,0,$C$1)="BU",W$14*(V$296/V$14+MIN(ABS(OFFSET(Assumptions!$B$82,0,$C$1)-V$296/V$14),OFFSET(Assumptions!$B$75,0,$C$1))*SIGN(OFFSET(Assumptions!$B$82,0,$C$1)-V$296/V$14)),V$296+IF(OFFSET(Assumptions!$B$113,0,$C$1)="SND",Allocate!$B$21*W$232*W$14,0))</f>
        <v>2.1195748651384743</v>
      </c>
      <c r="X296" s="57">
        <f ca="1">IF(OFFSET(Assumptions!$B$72,0,$C$1)="BU",X$14*(W$296/W$14+MIN(ABS(OFFSET(Assumptions!$B$82,0,$C$1)-W$296/W$14),OFFSET(Assumptions!$B$75,0,$C$1))*SIGN(OFFSET(Assumptions!$B$82,0,$C$1)-W$296/W$14)),W$296+IF(OFFSET(Assumptions!$B$113,0,$C$1)="SND",Allocate!$B$21*X$232*X$14,0))</f>
        <v>2.204093834151994</v>
      </c>
      <c r="Y296" s="57">
        <f ca="1">IF(OFFSET(Assumptions!$B$72,0,$C$1)="BU",Y$14*(X$296/X$14+MIN(ABS(OFFSET(Assumptions!$B$82,0,$C$1)-X$296/X$14),OFFSET(Assumptions!$B$75,0,$C$1))*SIGN(OFFSET(Assumptions!$B$82,0,$C$1)-X$296/X$14)),X$296+IF(OFFSET(Assumptions!$B$113,0,$C$1)="SND",Allocate!$B$21*Y$232*Y$14,0))</f>
        <v>2.291741328102316</v>
      </c>
      <c r="Z296" s="57">
        <f ca="1">IF(OFFSET(Assumptions!$B$72,0,$C$1)="BU",Z$14*(Y$296/Y$14+MIN(ABS(OFFSET(Assumptions!$B$82,0,$C$1)-Y$296/Y$14),OFFSET(Assumptions!$B$75,0,$C$1))*SIGN(OFFSET(Assumptions!$B$82,0,$C$1)-Y$296/Y$14)),Y$296+IF(OFFSET(Assumptions!$B$113,0,$C$1)="SND",Allocate!$B$21*Z$232*Z$14,0))</f>
        <v>2.3829609872604922</v>
      </c>
      <c r="AA296" s="57">
        <f ca="1">IF(OFFSET(Assumptions!$B$72,0,$C$1)="BU",AA$14*(Z$296/Z$14+MIN(ABS(OFFSET(Assumptions!$B$82,0,$C$1)-Z$296/Z$14),OFFSET(Assumptions!$B$75,0,$C$1))*SIGN(OFFSET(Assumptions!$B$82,0,$C$1)-Z$296/Z$14)),Z$296+IF(OFFSET(Assumptions!$B$113,0,$C$1)="SND",Allocate!$B$21*AA$232*AA$14,0))</f>
        <v>2.4779004053496108</v>
      </c>
      <c r="AB296" s="57">
        <f ca="1">IF(OFFSET(Assumptions!$B$72,0,$C$1)="BU",AB$14*(AA$296/AA$14+MIN(ABS(OFFSET(Assumptions!$B$82,0,$C$1)-AA$296/AA$14),OFFSET(Assumptions!$B$75,0,$C$1))*SIGN(OFFSET(Assumptions!$B$82,0,$C$1)-AA$296/AA$14)),AA$296+IF(OFFSET(Assumptions!$B$113,0,$C$1)="SND",Allocate!$B$21*AB$232*AB$14,0))</f>
        <v>2.5768446942099681</v>
      </c>
      <c r="AC296" s="57">
        <f ca="1">IF(OFFSET(Assumptions!$B$72,0,$C$1)="BU",AC$14*(AB$296/AB$14+MIN(ABS(OFFSET(Assumptions!$B$82,0,$C$1)-AB$296/AB$14),OFFSET(Assumptions!$B$75,0,$C$1))*SIGN(OFFSET(Assumptions!$B$82,0,$C$1)-AB$296/AB$14)),AB$296+IF(OFFSET(Assumptions!$B$113,0,$C$1)="SND",Allocate!$B$21*AC$232*AC$14,0))</f>
        <v>2.6801673819589893</v>
      </c>
      <c r="AD296" s="57">
        <f ca="1">IF(OFFSET(Assumptions!$B$72,0,$C$1)="BU",AD$14*(AC$296/AC$14+MIN(ABS(OFFSET(Assumptions!$B$82,0,$C$1)-AC$296/AC$14),OFFSET(Assumptions!$B$75,0,$C$1))*SIGN(OFFSET(Assumptions!$B$82,0,$C$1)-AC$296/AC$14)),AC$296+IF(OFFSET(Assumptions!$B$113,0,$C$1)="SND",Allocate!$B$21*AD$232*AD$14,0))</f>
        <v>2.7879773719841188</v>
      </c>
      <c r="AE296" s="57">
        <f ca="1">IF(OFFSET(Assumptions!$B$72,0,$C$1)="BU",AE$14*(AD$296/AD$14+MIN(ABS(OFFSET(Assumptions!$B$82,0,$C$1)-AD$296/AD$14),OFFSET(Assumptions!$B$75,0,$C$1))*SIGN(OFFSET(Assumptions!$B$82,0,$C$1)-AD$296/AD$14)),AD$296+IF(OFFSET(Assumptions!$B$113,0,$C$1)="SND",Allocate!$B$21*AE$232*AE$14,0))</f>
        <v>2.9001756551791229</v>
      </c>
      <c r="AF296" s="57">
        <f ca="1">IF(OFFSET(Assumptions!$B$72,0,$C$1)="BU",AF$14*(AE$296/AE$14+MIN(ABS(OFFSET(Assumptions!$B$82,0,$C$1)-AE$296/AE$14),OFFSET(Assumptions!$B$75,0,$C$1))*SIGN(OFFSET(Assumptions!$B$82,0,$C$1)-AE$296/AE$14)),AE$296+IF(OFFSET(Assumptions!$B$113,0,$C$1)="SND",Allocate!$B$21*AF$232*AF$14,0))</f>
        <v>3.0170726392692977</v>
      </c>
      <c r="AG296" s="57">
        <f ca="1">IF(OFFSET(Assumptions!$B$72,0,$C$1)="BU",AG$14*(AF$296/AF$14+MIN(ABS(OFFSET(Assumptions!$B$82,0,$C$1)-AF$296/AF$14),OFFSET(Assumptions!$B$75,0,$C$1))*SIGN(OFFSET(Assumptions!$B$82,0,$C$1)-AF$296/AF$14)),AF$296+IF(OFFSET(Assumptions!$B$113,0,$C$1)="SND",Allocate!$B$21*AG$232*AG$14,0))</f>
        <v>3.1387336881600518</v>
      </c>
      <c r="AH296" s="57">
        <f ca="1">IF(OFFSET(Assumptions!$B$72,0,$C$1)="BU",AH$14*(AG$296/AG$14+MIN(ABS(OFFSET(Assumptions!$B$82,0,$C$1)-AG$296/AG$14),OFFSET(Assumptions!$B$75,0,$C$1))*SIGN(OFFSET(Assumptions!$B$82,0,$C$1)-AG$296/AG$14)),AG$296+IF(OFFSET(Assumptions!$B$113,0,$C$1)="SND",Allocate!$B$21*AH$232*AH$14,0))</f>
        <v>3.2653538937848916</v>
      </c>
      <c r="AI296" s="57">
        <f ca="1">IF(OFFSET(Assumptions!$B$72,0,$C$1)="BU",AI$14*(AH$296/AH$14+MIN(ABS(OFFSET(Assumptions!$B$82,0,$C$1)-AH$296/AH$14),OFFSET(Assumptions!$B$75,0,$C$1))*SIGN(OFFSET(Assumptions!$B$82,0,$C$1)-AH$296/AH$14)),AH$296+IF(OFFSET(Assumptions!$B$113,0,$C$1)="SND",Allocate!$B$21*AI$232*AI$14,0))</f>
        <v>3.3967120087290503</v>
      </c>
      <c r="AJ296" s="57">
        <f ca="1">IF(OFFSET(Assumptions!$B$72,0,$C$1)="BU",AJ$14*(AI$296/AI$14+MIN(ABS(OFFSET(Assumptions!$B$82,0,$C$1)-AI$296/AI$14),OFFSET(Assumptions!$B$75,0,$C$1))*SIGN(OFFSET(Assumptions!$B$82,0,$C$1)-AI$296/AI$14)),AI$296+IF(OFFSET(Assumptions!$B$113,0,$C$1)="SND",Allocate!$B$21*AJ$232*AJ$14,0))</f>
        <v>3.533228838481707</v>
      </c>
      <c r="AK296" s="57">
        <f ca="1">IF(OFFSET(Assumptions!$B$72,0,$C$1)="BU",AK$14*(AJ$296/AJ$14+MIN(ABS(OFFSET(Assumptions!$B$82,0,$C$1)-AJ$296/AJ$14),OFFSET(Assumptions!$B$75,0,$C$1))*SIGN(OFFSET(Assumptions!$B$82,0,$C$1)-AJ$296/AJ$14)),AJ$296+IF(OFFSET(Assumptions!$B$113,0,$C$1)="SND",Allocate!$B$21*AK$232*AK$14,0))</f>
        <v>3.6747920800935003</v>
      </c>
      <c r="AL296" s="57">
        <f ca="1">IF(OFFSET(Assumptions!$B$72,0,$C$1)="BU",AL$14*(AK$296/AK$14+MIN(ABS(OFFSET(Assumptions!$B$82,0,$C$1)-AK$296/AK$14),OFFSET(Assumptions!$B$75,0,$C$1))*SIGN(OFFSET(Assumptions!$B$82,0,$C$1)-AK$296/AK$14)),AK$296+IF(OFFSET(Assumptions!$B$113,0,$C$1)="SND",Allocate!$B$21*AL$232*AL$14,0))</f>
        <v>3.821290220293541</v>
      </c>
      <c r="AM296" s="57">
        <f ca="1">IF(OFFSET(Assumptions!$B$72,0,$C$1)="BU",AM$14*(AL$296/AL$14+MIN(ABS(OFFSET(Assumptions!$B$82,0,$C$1)-AL$296/AL$14),OFFSET(Assumptions!$B$75,0,$C$1))*SIGN(OFFSET(Assumptions!$B$82,0,$C$1)-AL$296/AL$14)),AL$296+IF(OFFSET(Assumptions!$B$113,0,$C$1)="SND",Allocate!$B$21*AM$232*AM$14,0))</f>
        <v>3.9729233946183724</v>
      </c>
      <c r="AN296" s="57">
        <f ca="1">IF(OFFSET(Assumptions!$B$72,0,$C$1)="BU",AN$14*(AM$296/AM$14+MIN(ABS(OFFSET(Assumptions!$B$82,0,$C$1)-AM$296/AM$14),OFFSET(Assumptions!$B$75,0,$C$1))*SIGN(OFFSET(Assumptions!$B$82,0,$C$1)-AM$296/AM$14)),AM$296+IF(OFFSET(Assumptions!$B$113,0,$C$1)="SND",Allocate!$B$21*AN$232*AN$14,0))</f>
        <v>4.1299025233450504</v>
      </c>
      <c r="AO296" s="57">
        <f ca="1">IF(OFFSET(Assumptions!$B$72,0,$C$1)="BU",AO$14*(AN$296/AN$14+MIN(ABS(OFFSET(Assumptions!$B$82,0,$C$1)-AN$296/AN$14),OFFSET(Assumptions!$B$75,0,$C$1))*SIGN(OFFSET(Assumptions!$B$82,0,$C$1)-AN$296/AN$14)),AN$296+IF(OFFSET(Assumptions!$B$113,0,$C$1)="SND",Allocate!$B$21*AO$232*AO$14,0))</f>
        <v>4.2916112037209642</v>
      </c>
      <c r="AP296" s="57">
        <f ca="1">IF(OFFSET(Assumptions!$B$72,0,$C$1)="BU",AP$14*(AO$296/AO$14+MIN(ABS(OFFSET(Assumptions!$B$82,0,$C$1)-AO$296/AO$14),OFFSET(Assumptions!$B$75,0,$C$1))*SIGN(OFFSET(Assumptions!$B$82,0,$C$1)-AO$296/AO$14)),AO$296+IF(OFFSET(Assumptions!$B$113,0,$C$1)="SND",Allocate!$B$21*AP$232*AP$14,0))</f>
        <v>4.4587361308679263</v>
      </c>
      <c r="AQ296" s="57">
        <f ca="1">IF(OFFSET(Assumptions!$B$72,0,$C$1)="BU",AQ$14*(AP$296/AP$14+MIN(ABS(OFFSET(Assumptions!$B$82,0,$C$1)-AP$296/AP$14),OFFSET(Assumptions!$B$75,0,$C$1))*SIGN(OFFSET(Assumptions!$B$82,0,$C$1)-AP$296/AP$14)),AP$296+IF(OFFSET(Assumptions!$B$113,0,$C$1)="SND",Allocate!$B$21*AQ$232*AQ$14,0))</f>
        <v>4.6308090212674724</v>
      </c>
      <c r="AR296" s="57">
        <f ca="1">IF(OFFSET(Assumptions!$B$72,0,$C$1)="BU",AR$14*(AQ$296/AQ$14+MIN(ABS(OFFSET(Assumptions!$B$82,0,$C$1)-AQ$296/AQ$14),OFFSET(Assumptions!$B$75,0,$C$1))*SIGN(OFFSET(Assumptions!$B$82,0,$C$1)-AQ$296/AQ$14)),AQ$296+IF(OFFSET(Assumptions!$B$113,0,$C$1)="SND",Allocate!$B$21*AR$232*AR$14,0))</f>
        <v>4.8080246922148353</v>
      </c>
      <c r="AS296" s="57">
        <f ca="1">IF(OFFSET(Assumptions!$B$72,0,$C$1)="BU",AS$14*(AR$296/AR$14+MIN(ABS(OFFSET(Assumptions!$B$82,0,$C$1)-AR$296/AR$14),OFFSET(Assumptions!$B$75,0,$C$1))*SIGN(OFFSET(Assumptions!$B$82,0,$C$1)-AR$296/AR$14)),AR$296+IF(OFFSET(Assumptions!$B$113,0,$C$1)="SND",Allocate!$B$21*AS$232*AS$14,0))</f>
        <v>4.9907965827587475</v>
      </c>
      <c r="AT296" s="57">
        <f ca="1">IF(OFFSET(Assumptions!$B$72,0,$C$1)="BU",AT$14*(AS$296/AS$14+MIN(ABS(OFFSET(Assumptions!$B$82,0,$C$1)-AS$296/AS$14),OFFSET(Assumptions!$B$75,0,$C$1))*SIGN(OFFSET(Assumptions!$B$82,0,$C$1)-AS$296/AS$14)),AS$296+IF(OFFSET(Assumptions!$B$113,0,$C$1)="SND",Allocate!$B$21*AT$232*AT$14,0))</f>
        <v>5.1792706668243991</v>
      </c>
      <c r="AU296" s="57">
        <f ca="1">IF(OFFSET(Assumptions!$B$72,0,$C$1)="BU",AU$14*(AT$296/AT$14+MIN(ABS(OFFSET(Assumptions!$B$82,0,$C$1)-AT$296/AT$14),OFFSET(Assumptions!$B$75,0,$C$1))*SIGN(OFFSET(Assumptions!$B$82,0,$C$1)-AT$296/AT$14)),AT$296+IF(OFFSET(Assumptions!$B$113,0,$C$1)="SND",Allocate!$B$21*AU$232*AU$14,0))</f>
        <v>5.3736975728677745</v>
      </c>
      <c r="AV296" s="57">
        <f ca="1">IF(OFFSET(Assumptions!$B$72,0,$C$1)="BU",AV$14*(AU$296/AU$14+MIN(ABS(OFFSET(Assumptions!$B$82,0,$C$1)-AU$296/AU$14),OFFSET(Assumptions!$B$75,0,$C$1))*SIGN(OFFSET(Assumptions!$B$82,0,$C$1)-AU$296/AU$14)),AU$296+IF(OFFSET(Assumptions!$B$113,0,$C$1)="SND",Allocate!$B$21*AV$232*AV$14,0))</f>
        <v>5.5746784490633834</v>
      </c>
      <c r="AW296" s="57">
        <f ca="1">IF(OFFSET(Assumptions!$B$72,0,$C$1)="BU",AW$14*(AV$296/AV$14+MIN(ABS(OFFSET(Assumptions!$B$82,0,$C$1)-AV$296/AV$14),OFFSET(Assumptions!$B$75,0,$C$1))*SIGN(OFFSET(Assumptions!$B$82,0,$C$1)-AV$296/AV$14)),AV$296+IF(OFFSET(Assumptions!$B$113,0,$C$1)="SND",Allocate!$B$21*AW$232*AW$14,0))</f>
        <v>5.7820998304159126</v>
      </c>
    </row>
    <row r="297" spans="1:49" ht="15" x14ac:dyDescent="0.25">
      <c r="A297" s="2" t="s">
        <v>577</v>
      </c>
      <c r="B297" s="4" t="str">
        <f t="shared" si="201"/>
        <v>From Fiscal</v>
      </c>
      <c r="D297" s="47">
        <f>Fiscal!D$45</f>
        <v>2.198</v>
      </c>
      <c r="E297" s="44">
        <f ca="1">Fiscal!E$45  +IF(OR(OFFSET(Assumptions!$B$72,0,$C$1)="BU",OFFSET(Assumptions!$B$113,0,$C$1)="SND"),Allocate!C$21,0)</f>
        <v>2.1960000000000002</v>
      </c>
      <c r="F297" s="44">
        <f ca="1">Fiscal!F$45  +IF(OR(OFFSET(Assumptions!$B$72,0,$C$1)="BU",OFFSET(Assumptions!$B$113,0,$C$1)="SND"),Allocate!D$21,0)</f>
        <v>2.391</v>
      </c>
      <c r="G297" s="44">
        <f ca="1">Fiscal!G$45  +IF(OR(OFFSET(Assumptions!$B$72,0,$C$1)="BU",OFFSET(Assumptions!$B$113,0,$C$1)="SND"),Allocate!E$21,0)</f>
        <v>2.4510000000000001</v>
      </c>
      <c r="H297" s="44">
        <f ca="1">Fiscal!H$45  +IF(OR(OFFSET(Assumptions!$B$72,0,$C$1)="BU",OFFSET(Assumptions!$B$113,0,$C$1)="SND"),Allocate!F$21,0)</f>
        <v>2.512</v>
      </c>
      <c r="I297" s="44">
        <f ca="1">Fiscal!I$45  +IF(OR(OFFSET(Assumptions!$B$72,0,$C$1)="BU",OFFSET(Assumptions!$B$113,0,$C$1)="SND"),Allocate!G$21,0)</f>
        <v>2.5880000000000001</v>
      </c>
      <c r="J297" s="8">
        <f ca="1">IF(J$6=OFFSET(Assumptions!$B$8,0,$C$1),AVERAGE((G$297-G$296)/G$14,(H$297-H$296)/H$14,(I$297-I$296)/I$14),(I$297-I$296)/I$14)*J$14 + J$296</f>
        <v>2.9146504026657891</v>
      </c>
      <c r="K297" s="8">
        <f ca="1">IF(K$6=OFFSET(Assumptions!$B$8,0,$C$1),AVERAGE((H$297-H$296)/H$14,(I$297-I$296)/I$14,(J$297-J$296)/J$14),(J$297-J$296)/J$14)*K$14 + K$296</f>
        <v>3.1180599762361076</v>
      </c>
      <c r="L297" s="8">
        <f ca="1">IF(L$6=OFFSET(Assumptions!$B$8,0,$C$1),AVERAGE((I$297-I$296)/I$14,(J$297-J$296)/J$14,(K$297-K$296)/K$14),(K$297-K$296)/K$14)*L$14 + L$296</f>
        <v>3.2532131911357451</v>
      </c>
      <c r="M297" s="8">
        <f ca="1">IF(M$6=OFFSET(Assumptions!$B$8,0,$C$1),AVERAGE((J$297-J$296)/J$14,(K$297-K$296)/K$14,(L$297-L$296)/L$14),(L$297-L$296)/L$14)*M$14 + M$296</f>
        <v>3.3937729962376686</v>
      </c>
      <c r="N297" s="8">
        <f ca="1">IF(N$6=OFFSET(Assumptions!$B$8,0,$C$1),AVERAGE((K$297-K$296)/K$14,(L$297-L$296)/L$14,(M$297-M$296)/M$14),(M$297-M$296)/M$14)*N$14 + N$296</f>
        <v>3.5401378614328607</v>
      </c>
      <c r="O297" s="8">
        <f ca="1">IF(O$6=OFFSET(Assumptions!$B$8,0,$C$1),AVERAGE((L$297-L$296)/L$14,(M$297-M$296)/M$14,(N$297-N$296)/N$14),(N$297-N$296)/N$14)*O$14 + O$296</f>
        <v>3.6912547814024559</v>
      </c>
      <c r="P297" s="8">
        <f ca="1">IF(P$6=OFFSET(Assumptions!$B$8,0,$C$1),AVERAGE((M$297-M$296)/M$14,(N$297-N$296)/N$14,(O$297-O$296)/O$14),(O$297-O$296)/O$14)*P$14 + P$296</f>
        <v>3.8473538902386899</v>
      </c>
      <c r="Q297" s="8">
        <f ca="1">IF(Q$6=OFFSET(Assumptions!$B$8,0,$C$1),AVERAGE((N$297-N$296)/N$14,(O$297-O$296)/O$14,(P$297-P$296)/P$14),(P$297-P$296)/P$14)*Q$14 + Q$296</f>
        <v>4.0082665722412951</v>
      </c>
      <c r="R297" s="8">
        <f ca="1">IF(R$6=OFFSET(Assumptions!$B$8,0,$C$1),AVERAGE((O$297-O$296)/O$14,(P$297-P$296)/P$14,(Q$297-Q$296)/Q$14),(Q$297-Q$296)/Q$14)*R$14 + R$296</f>
        <v>4.1738733952006699</v>
      </c>
      <c r="S297" s="8">
        <f ca="1">IF(S$6=OFFSET(Assumptions!$B$8,0,$C$1),AVERAGE((P$297-P$296)/P$14,(Q$297-Q$296)/Q$14,(R$297-R$296)/R$14),(R$297-R$296)/R$14)*S$14 + S$296</f>
        <v>4.3447006508472059</v>
      </c>
      <c r="T297" s="8">
        <f ca="1">IF(T$6=OFFSET(Assumptions!$B$8,0,$C$1),AVERAGE((Q$297-Q$296)/Q$14,(R$297-R$296)/R$14,(S$297-S$296)/S$14),(S$297-S$296)/S$14)*T$14 + T$296</f>
        <v>4.5208106340973853</v>
      </c>
      <c r="U297" s="8">
        <f ca="1">IF(U$6=OFFSET(Assumptions!$B$8,0,$C$1),AVERAGE((R$297-R$296)/R$14,(S$297-S$296)/S$14,(T$297-T$296)/T$14),(T$297-T$296)/T$14)*U$14 + U$296</f>
        <v>4.702835399038892</v>
      </c>
      <c r="V297" s="8">
        <f ca="1">IF(V$6=OFFSET(Assumptions!$B$8,0,$C$1),AVERAGE((S$297-S$296)/S$14,(T$297-T$296)/T$14,(U$297-U$296)/U$14),(U$297-U$296)/U$14)*V$14 + V$296</f>
        <v>4.8912242748436654</v>
      </c>
      <c r="W297" s="8">
        <f ca="1">IF(W$6=OFFSET(Assumptions!$B$8,0,$C$1),AVERAGE((T$297-T$296)/T$14,(U$297-U$296)/U$14,(V$297-V$296)/V$14),(V$297-V$296)/V$14)*W$14 + W$296</f>
        <v>5.0865230716036258</v>
      </c>
      <c r="X297" s="8">
        <f ca="1">IF(X$6=OFFSET(Assumptions!$B$8,0,$C$1),AVERAGE((U$297-U$296)/U$14,(V$297-V$296)/V$14,(W$297-W$296)/W$14),(W$297-W$296)/W$14)*X$14 + X$296</f>
        <v>5.2893503899240546</v>
      </c>
      <c r="Y297" s="8">
        <f ca="1">IF(Y$6=OFFSET(Assumptions!$B$8,0,$C$1),AVERAGE((V$297-V$296)/V$14,(W$297-W$296)/W$14,(X$297-X$296)/X$14),(X$297-X$296)/X$14)*Y$14 + Y$296</f>
        <v>5.4996854941372408</v>
      </c>
      <c r="Z297" s="8">
        <f ca="1">IF(Z$6=OFFSET(Assumptions!$B$8,0,$C$1),AVERAGE((W$297-W$296)/W$14,(X$297-X$296)/X$14,(Y$297-Y$296)/Y$14),(Y$297-Y$296)/Y$14)*Z$14 + Z$296</f>
        <v>5.7185930253234858</v>
      </c>
      <c r="AA297" s="8">
        <f ca="1">IF(AA$6=OFFSET(Assumptions!$B$8,0,$C$1),AVERAGE((X$297-X$296)/X$14,(Y$297-Y$296)/Y$14,(Z$297-Z$296)/Z$14),(Z$297-Z$296)/Z$14)*AA$14 + AA$296</f>
        <v>5.9464271766231498</v>
      </c>
      <c r="AB297" s="8">
        <f ca="1">IF(AB$6=OFFSET(Assumptions!$B$8,0,$C$1),AVERAGE((Y$297-Y$296)/Y$14,(Z$297-Z$296)/Z$14,(AA$297-AA$296)/AA$14),(AA$297-AA$296)/AA$14)*AB$14 + AB$296</f>
        <v>6.1838721550333569</v>
      </c>
      <c r="AC297" s="8">
        <f ca="1">IF(AC$6=OFFSET(Assumptions!$B$8,0,$C$1),AVERAGE((Z$297-Z$296)/Z$14,(AA$297-AA$296)/AA$14,(AB$297-AB$296)/AB$14),(AB$297-AB$296)/AB$14)*AC$14 + AC$296</f>
        <v>6.4318243475694565</v>
      </c>
      <c r="AD297" s="8">
        <f ca="1">IF(AD$6=OFFSET(Assumptions!$B$8,0,$C$1),AVERAGE((AA$297-AA$296)/AA$14,(AB$297-AB$296)/AB$14,(AC$297-AC$296)/AC$14),(AC$297-AC$296)/AC$14)*AD$14 + AD$296</f>
        <v>6.6905450989010458</v>
      </c>
      <c r="AE297" s="8">
        <f ca="1">IF(AE$6=OFFSET(Assumptions!$B$8,0,$C$1),AVERAGE((AB$297-AB$296)/AB$14,(AC$297-AC$296)/AC$14,(AD$297-AD$296)/AD$14),(AD$297-AD$296)/AD$14)*AE$14 + AE$296</f>
        <v>6.9597968085019808</v>
      </c>
      <c r="AF297" s="8">
        <f ca="1">IF(AF$6=OFFSET(Assumptions!$B$8,0,$C$1),AVERAGE((AC$297-AC$296)/AC$14,(AD$297-AD$296)/AD$14,(AE$297-AE$296)/AE$14),(AE$297-AE$296)/AE$14)*AF$14 + AF$296</f>
        <v>7.2403243880440753</v>
      </c>
      <c r="AG297" s="8">
        <f ca="1">IF(AG$6=OFFSET(Assumptions!$B$8,0,$C$1),AVERAGE((AD$297-AD$296)/AD$14,(AE$297-AE$296)/AE$14,(AF$297-AF$296)/AF$14),(AF$297-AF$296)/AF$14)*AG$14 + AG$296</f>
        <v>7.5322846968194339</v>
      </c>
      <c r="AH297" s="8">
        <f ca="1">IF(AH$6=OFFSET(Assumptions!$B$8,0,$C$1),AVERAGE((AE$297-AE$296)/AE$14,(AF$297-AF$296)/AF$14,(AG$297-AG$296)/AG$14),(AG$297-AG$296)/AG$14)*AH$14 + AH$296</f>
        <v>7.8361459134412241</v>
      </c>
      <c r="AI297" s="8">
        <f ca="1">IF(AI$6=OFFSET(Assumptions!$B$8,0,$C$1),AVERAGE((AF$297-AF$296)/AF$14,(AG$297-AG$296)/AG$14,(AH$297-AH$296)/AH$14),(AH$297-AH$296)/AH$14)*AI$14 + AI$296</f>
        <v>8.1513770917757391</v>
      </c>
      <c r="AJ297" s="8">
        <f ca="1">IF(AJ$6=OFFSET(Assumptions!$B$8,0,$C$1),AVERAGE((AG$297-AG$296)/AG$14,(AH$297-AH$296)/AH$14,(AI$297-AI$296)/AI$14),(AI$297-AI$296)/AI$14)*AJ$14 + AJ$296</f>
        <v>8.4789880743459189</v>
      </c>
      <c r="AK297" s="8">
        <f ca="1">IF(AK$6=OFFSET(Assumptions!$B$8,0,$C$1),AVERAGE((AH$297-AH$296)/AH$14,(AI$297-AI$296)/AI$14,(AJ$297-AJ$296)/AJ$14),(AJ$297-AJ$296)/AJ$14)*AK$14 + AK$296</f>
        <v>8.8187093582659113</v>
      </c>
      <c r="AL297" s="8">
        <f ca="1">IF(AL$6=OFFSET(Assumptions!$B$8,0,$C$1),AVERAGE((AI$297-AI$296)/AI$14,(AJ$297-AJ$296)/AJ$14,(AK$297-AK$296)/AK$14),(AK$297-AK$296)/AK$14)*AL$14 + AL$296</f>
        <v>9.1702733357080817</v>
      </c>
      <c r="AM297" s="8">
        <f ca="1">IF(AM$6=OFFSET(Assumptions!$B$8,0,$C$1),AVERAGE((AJ$297-AJ$296)/AJ$14,(AK$297-AK$296)/AK$14,(AL$297-AL$296)/AL$14),(AL$297-AL$296)/AL$14)*AM$14 + AM$296</f>
        <v>9.5341602888463761</v>
      </c>
      <c r="AN297" s="8">
        <f ca="1">IF(AN$6=OFFSET(Assumptions!$B$8,0,$C$1),AVERAGE((AK$297-AK$296)/AK$14,(AL$297-AL$296)/AL$14,(AM$297-AM$296)/AM$14),(AM$297-AM$296)/AM$14)*AN$14 + AN$296</f>
        <v>9.9108763809086966</v>
      </c>
      <c r="AO297" s="8">
        <f ca="1">IF(AO$6=OFFSET(Assumptions!$B$8,0,$C$1),AVERAGE((AL$297-AL$296)/AL$14,(AM$297-AM$296)/AM$14,(AN$297-AN$296)/AN$14),(AN$297-AN$296)/AN$14)*AO$14 + AO$296</f>
        <v>10.298942378075974</v>
      </c>
      <c r="AP297" s="8">
        <f ca="1">IF(AP$6=OFFSET(Assumptions!$B$8,0,$C$1),AVERAGE((AM$297-AM$296)/AM$14,(AN$297-AN$296)/AN$14,(AO$297-AO$296)/AO$14),(AO$297-AO$296)/AO$14)*AP$14 + AP$296</f>
        <v>10.700006200710785</v>
      </c>
      <c r="AQ297" s="8">
        <f ca="1">IF(AQ$6=OFFSET(Assumptions!$B$8,0,$C$1),AVERAGE((AN$297-AN$296)/AN$14,(AO$297-AO$296)/AO$14,(AP$297-AP$296)/AP$14),(AP$297-AP$296)/AP$14)*AQ$14 + AQ$296</f>
        <v>11.112944069247753</v>
      </c>
      <c r="AR297" s="8">
        <f ca="1">IF(AR$6=OFFSET(Assumptions!$B$8,0,$C$1),AVERAGE((AO$297-AO$296)/AO$14,(AP$297-AP$296)/AP$14,(AQ$297-AQ$296)/AQ$14),(AQ$297-AQ$296)/AQ$14)*AR$14 + AR$296</f>
        <v>11.538223503227353</v>
      </c>
      <c r="AS297" s="8">
        <f ca="1">IF(AS$6=OFFSET(Assumptions!$B$8,0,$C$1),AVERAGE((AP$297-AP$296)/AP$14,(AQ$297-AQ$296)/AQ$14,(AR$297-AR$296)/AR$14),(AR$297-AR$296)/AR$14)*AS$14 + AS$296</f>
        <v>11.976836667302351</v>
      </c>
      <c r="AT297" s="8">
        <f ca="1">IF(AT$6=OFFSET(Assumptions!$B$8,0,$C$1),AVERAGE((AQ$297-AQ$296)/AQ$14,(AR$297-AR$296)/AR$14,(AS$297-AS$296)/AS$14),(AS$297-AS$296)/AS$14)*AT$14 + AT$296</f>
        <v>12.429133867447092</v>
      </c>
      <c r="AU297" s="8">
        <f ca="1">IF(AU$6=OFFSET(Assumptions!$B$8,0,$C$1),AVERAGE((AR$297-AR$296)/AR$14,(AS$297-AS$296)/AS$14,(AT$297-AT$296)/AT$14),(AT$297-AT$296)/AT$14)*AU$14 + AU$296</f>
        <v>12.895716557964857</v>
      </c>
      <c r="AV297" s="8">
        <f ca="1">IF(AV$6=OFFSET(Assumptions!$B$8,0,$C$1),AVERAGE((AS$297-AS$296)/AS$14,(AT$297-AT$296)/AT$14,(AU$297-AU$296)/AU$14),(AU$297-AU$296)/AU$14)*AV$14 + AV$296</f>
        <v>13.378027364973455</v>
      </c>
      <c r="AW297" s="8">
        <f ca="1">IF(AW$6=OFFSET(Assumptions!$B$8,0,$C$1),AVERAGE((AT$297-AT$296)/AT$14,(AU$297-AU$296)/AU$14,(AV$297-AV$296)/AV$14),(AV$297-AV$296)/AV$14)*AW$14 + AW$296</f>
        <v>13.875793996927078</v>
      </c>
    </row>
    <row r="298" spans="1:49" ht="15" x14ac:dyDescent="0.25">
      <c r="A298" s="2"/>
      <c r="B298" s="4"/>
      <c r="D298" s="47"/>
      <c r="E298" s="44"/>
      <c r="F298" s="44"/>
      <c r="G298" s="44"/>
      <c r="H298" s="44"/>
      <c r="I298" s="44"/>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row>
    <row r="299" spans="1:49" ht="15" x14ac:dyDescent="0.25">
      <c r="A299" s="22" t="s">
        <v>627</v>
      </c>
      <c r="B299" s="4"/>
      <c r="D299" s="47"/>
      <c r="E299" s="44"/>
      <c r="F299" s="44"/>
      <c r="G299" s="44"/>
      <c r="H299" s="44"/>
      <c r="I299" s="44"/>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row>
    <row r="300" spans="1:49" ht="15" x14ac:dyDescent="0.25">
      <c r="A300" s="2" t="s">
        <v>578</v>
      </c>
      <c r="B300" s="4" t="str">
        <f t="shared" si="201"/>
        <v>From Fiscal</v>
      </c>
      <c r="D300" s="47">
        <f>Fiscal!D$63</f>
        <v>0.66700000000000004</v>
      </c>
      <c r="E300" s="44">
        <f ca="1">Fiscal!E$63  +IF(OR(OFFSET(Assumptions!$B$72,0,$C$1)="BU",OFFSET(Assumptions!$B$113,0,$C$1)="SND"),Allocate!C$22,0)</f>
        <v>0.76800000000000002</v>
      </c>
      <c r="F300" s="44">
        <f ca="1">Fiscal!F$63  +IF(OR(OFFSET(Assumptions!$B$72,0,$C$1)="BU",OFFSET(Assumptions!$B$113,0,$C$1)="SND"),Allocate!D$22,0)</f>
        <v>0.70199999999999996</v>
      </c>
      <c r="G300" s="44">
        <f ca="1">Fiscal!G$63  +IF(OR(OFFSET(Assumptions!$B$72,0,$C$1)="BU",OFFSET(Assumptions!$B$113,0,$C$1)="SND"),Allocate!E$22,0)</f>
        <v>0.63300000000000001</v>
      </c>
      <c r="H300" s="44">
        <f ca="1">Fiscal!H$63  +IF(OR(OFFSET(Assumptions!$B$72,0,$C$1)="BU",OFFSET(Assumptions!$B$113,0,$C$1)="SND"),Allocate!F$22,0)</f>
        <v>0.66300000000000003</v>
      </c>
      <c r="I300" s="44">
        <f ca="1">Fiscal!I$63  +IF(OR(OFFSET(Assumptions!$B$72,0,$C$1)="BU",OFFSET(Assumptions!$B$113,0,$C$1)="SND"),Allocate!G$22,0)</f>
        <v>0.68599999999999994</v>
      </c>
      <c r="J300" s="57">
        <f ca="1">IF(OFFSET(Assumptions!$B$72,0,$C$1)="BU",J$14*(I$300/I$14+MIN(ABS(OFFSET(Assumptions!$B$83,0,$C$1)-I$300/I$14),OFFSET(Assumptions!$B$75,0,$C$1))*SIGN(OFFSET(Assumptions!$B$83,0,$C$1)-I$300/I$14)),I$300+IF(OFFSET(Assumptions!$B$113,0,$C$1)="SND",Allocate!$B$22*J$232*J$14,0))</f>
        <v>0.87080458610390665</v>
      </c>
      <c r="K300" s="57">
        <f ca="1">IF(OFFSET(Assumptions!$B$72,0,$C$1)="BU",K$14*(J$300/J$14+MIN(ABS(OFFSET(Assumptions!$B$83,0,$C$1)-J$300/J$14),OFFSET(Assumptions!$B$75,0,$C$1))*SIGN(OFFSET(Assumptions!$B$83,0,$C$1)-J$300/J$14)),J$300+IF(OFFSET(Assumptions!$B$113,0,$C$1)="SND",Allocate!$B$22*K$232*K$14,0))</f>
        <v>0.97448121151557809</v>
      </c>
      <c r="L300" s="57">
        <f ca="1">IF(OFFSET(Assumptions!$B$72,0,$C$1)="BU",L$14*(K$300/K$14+MIN(ABS(OFFSET(Assumptions!$B$83,0,$C$1)-K$300/K$14),OFFSET(Assumptions!$B$75,0,$C$1))*SIGN(OFFSET(Assumptions!$B$83,0,$C$1)-K$300/K$14)),K$300+IF(OFFSET(Assumptions!$B$113,0,$C$1)="SND",Allocate!$B$22*L$232*L$14,0))</f>
        <v>1.0167203825383908</v>
      </c>
      <c r="M300" s="57">
        <f ca="1">IF(OFFSET(Assumptions!$B$72,0,$C$1)="BU",M$14*(L$300/L$14+MIN(ABS(OFFSET(Assumptions!$B$83,0,$C$1)-L$300/L$14),OFFSET(Assumptions!$B$75,0,$C$1))*SIGN(OFFSET(Assumptions!$B$83,0,$C$1)-L$300/L$14)),L$300+IF(OFFSET(Assumptions!$B$113,0,$C$1)="SND",Allocate!$B$22*M$232*M$14,0))</f>
        <v>1.060649264667034</v>
      </c>
      <c r="N300" s="57">
        <f ca="1">IF(OFFSET(Assumptions!$B$72,0,$C$1)="BU",N$14*(M$300/M$14+MIN(ABS(OFFSET(Assumptions!$B$83,0,$C$1)-M$300/M$14),OFFSET(Assumptions!$B$75,0,$C$1))*SIGN(OFFSET(Assumptions!$B$83,0,$C$1)-M$300/M$14)),M$300+IF(OFFSET(Assumptions!$B$113,0,$C$1)="SND",Allocate!$B$22*N$232*N$14,0))</f>
        <v>1.1063923909204607</v>
      </c>
      <c r="O300" s="57">
        <f ca="1">IF(OFFSET(Assumptions!$B$72,0,$C$1)="BU",O$14*(N$300/N$14+MIN(ABS(OFFSET(Assumptions!$B$83,0,$C$1)-N$300/N$14),OFFSET(Assumptions!$B$75,0,$C$1))*SIGN(OFFSET(Assumptions!$B$83,0,$C$1)-N$300/N$14)),N$300+IF(OFFSET(Assumptions!$B$113,0,$C$1)="SND",Allocate!$B$22*O$232*O$14,0))</f>
        <v>1.1536206675972411</v>
      </c>
      <c r="P300" s="57">
        <f ca="1">IF(OFFSET(Assumptions!$B$72,0,$C$1)="BU",P$14*(O$300/O$14+MIN(ABS(OFFSET(Assumptions!$B$83,0,$C$1)-O$300/O$14),OFFSET(Assumptions!$B$75,0,$C$1))*SIGN(OFFSET(Assumptions!$B$83,0,$C$1)-O$300/O$14)),O$300+IF(OFFSET(Assumptions!$B$113,0,$C$1)="SND",Allocate!$B$22*P$232*P$14,0))</f>
        <v>1.2024060180570031</v>
      </c>
      <c r="Q300" s="57">
        <f ca="1">IF(OFFSET(Assumptions!$B$72,0,$C$1)="BU",Q$14*(P$300/P$14+MIN(ABS(OFFSET(Assumptions!$B$83,0,$C$1)-P$300/P$14),OFFSET(Assumptions!$B$75,0,$C$1))*SIGN(OFFSET(Assumptions!$B$83,0,$C$1)-P$300/P$14)),P$300+IF(OFFSET(Assumptions!$B$113,0,$C$1)="SND",Allocate!$B$22*Q$232*Q$14,0))</f>
        <v>1.2526957451633445</v>
      </c>
      <c r="R300" s="57">
        <f ca="1">IF(OFFSET(Assumptions!$B$72,0,$C$1)="BU",R$14*(Q$300/Q$14+MIN(ABS(OFFSET(Assumptions!$B$83,0,$C$1)-Q$300/Q$14),OFFSET(Assumptions!$B$75,0,$C$1))*SIGN(OFFSET(Assumptions!$B$83,0,$C$1)-Q$300/Q$14)),Q$300+IF(OFFSET(Assumptions!$B$113,0,$C$1)="SND",Allocate!$B$22*R$232*R$14,0))</f>
        <v>1.3044525230004098</v>
      </c>
      <c r="S300" s="57">
        <f ca="1">IF(OFFSET(Assumptions!$B$72,0,$C$1)="BU",S$14*(R$300/R$14+MIN(ABS(OFFSET(Assumptions!$B$83,0,$C$1)-R$300/R$14),OFFSET(Assumptions!$B$75,0,$C$1))*SIGN(OFFSET(Assumptions!$B$83,0,$C$1)-R$300/R$14)),R$300+IF(OFFSET(Assumptions!$B$113,0,$C$1)="SND",Allocate!$B$22*S$232*S$14,0))</f>
        <v>1.3578408324976714</v>
      </c>
      <c r="T300" s="57">
        <f ca="1">IF(OFFSET(Assumptions!$B$72,0,$C$1)="BU",T$14*(S$300/S$14+MIN(ABS(OFFSET(Assumptions!$B$83,0,$C$1)-S$300/S$14),OFFSET(Assumptions!$B$75,0,$C$1))*SIGN(OFFSET(Assumptions!$B$83,0,$C$1)-S$300/S$14)),S$300+IF(OFFSET(Assumptions!$B$113,0,$C$1)="SND",Allocate!$B$22*T$232*T$14,0))</f>
        <v>1.4128801425640496</v>
      </c>
      <c r="U300" s="57">
        <f ca="1">IF(OFFSET(Assumptions!$B$72,0,$C$1)="BU",U$14*(T$300/T$14+MIN(ABS(OFFSET(Assumptions!$B$83,0,$C$1)-T$300/T$14),OFFSET(Assumptions!$B$75,0,$C$1))*SIGN(OFFSET(Assumptions!$B$83,0,$C$1)-T$300/T$14)),T$300+IF(OFFSET(Assumptions!$B$113,0,$C$1)="SND",Allocate!$B$22*U$232*U$14,0))</f>
        <v>1.4697679878325542</v>
      </c>
      <c r="V300" s="57">
        <f ca="1">IF(OFFSET(Assumptions!$B$72,0,$C$1)="BU",V$14*(U$300/U$14+MIN(ABS(OFFSET(Assumptions!$B$83,0,$C$1)-U$300/U$14),OFFSET(Assumptions!$B$75,0,$C$1))*SIGN(OFFSET(Assumptions!$B$83,0,$C$1)-U$300/U$14)),U$300+IF(OFFSET(Assumptions!$B$113,0,$C$1)="SND",Allocate!$B$22*V$232*V$14,0))</f>
        <v>1.5286447962741612</v>
      </c>
      <c r="W300" s="57">
        <f ca="1">IF(OFFSET(Assumptions!$B$72,0,$C$1)="BU",W$14*(V$300/V$14+MIN(ABS(OFFSET(Assumptions!$B$83,0,$C$1)-V$300/V$14),OFFSET(Assumptions!$B$75,0,$C$1))*SIGN(OFFSET(Assumptions!$B$83,0,$C$1)-V$300/V$14)),V$300+IF(OFFSET(Assumptions!$B$113,0,$C$1)="SND",Allocate!$B$22*W$232*W$14,0))</f>
        <v>1.5896811488538558</v>
      </c>
      <c r="X300" s="57">
        <f ca="1">IF(OFFSET(Assumptions!$B$72,0,$C$1)="BU",X$14*(W$300/W$14+MIN(ABS(OFFSET(Assumptions!$B$83,0,$C$1)-W$300/W$14),OFFSET(Assumptions!$B$75,0,$C$1))*SIGN(OFFSET(Assumptions!$B$83,0,$C$1)-W$300/W$14)),W$300+IF(OFFSET(Assumptions!$B$113,0,$C$1)="SND",Allocate!$B$22*X$232*X$14,0))</f>
        <v>1.6530703756139955</v>
      </c>
      <c r="Y300" s="57">
        <f ca="1">IF(OFFSET(Assumptions!$B$72,0,$C$1)="BU",Y$14*(X$300/X$14+MIN(ABS(OFFSET(Assumptions!$B$83,0,$C$1)-X$300/X$14),OFFSET(Assumptions!$B$75,0,$C$1))*SIGN(OFFSET(Assumptions!$B$83,0,$C$1)-X$300/X$14)),X$300+IF(OFFSET(Assumptions!$B$113,0,$C$1)="SND",Allocate!$B$22*Y$232*Y$14,0))</f>
        <v>1.718805996076737</v>
      </c>
      <c r="Z300" s="57">
        <f ca="1">IF(OFFSET(Assumptions!$B$72,0,$C$1)="BU",Z$14*(Y$300/Y$14+MIN(ABS(OFFSET(Assumptions!$B$83,0,$C$1)-Y$300/Y$14),OFFSET(Assumptions!$B$75,0,$C$1))*SIGN(OFFSET(Assumptions!$B$83,0,$C$1)-Y$300/Y$14)),Y$300+IF(OFFSET(Assumptions!$B$113,0,$C$1)="SND",Allocate!$B$22*Z$232*Z$14,0))</f>
        <v>1.787220740445369</v>
      </c>
      <c r="AA300" s="57">
        <f ca="1">IF(OFFSET(Assumptions!$B$72,0,$C$1)="BU",AA$14*(Z$300/Z$14+MIN(ABS(OFFSET(Assumptions!$B$83,0,$C$1)-Z$300/Z$14),OFFSET(Assumptions!$B$75,0,$C$1))*SIGN(OFFSET(Assumptions!$B$83,0,$C$1)-Z$300/Z$14)),Z$300+IF(OFFSET(Assumptions!$B$113,0,$C$1)="SND",Allocate!$B$22*AA$232*AA$14,0))</f>
        <v>1.8584253040122078</v>
      </c>
      <c r="AB300" s="57">
        <f ca="1">IF(OFFSET(Assumptions!$B$72,0,$C$1)="BU",AB$14*(AA$300/AA$14+MIN(ABS(OFFSET(Assumptions!$B$83,0,$C$1)-AA$300/AA$14),OFFSET(Assumptions!$B$75,0,$C$1))*SIGN(OFFSET(Assumptions!$B$83,0,$C$1)-AA$300/AA$14)),AA$300+IF(OFFSET(Assumptions!$B$113,0,$C$1)="SND",Allocate!$B$22*AB$232*AB$14,0))</f>
        <v>1.9326335206574761</v>
      </c>
      <c r="AC300" s="57">
        <f ca="1">IF(OFFSET(Assumptions!$B$72,0,$C$1)="BU",AC$14*(AB$300/AB$14+MIN(ABS(OFFSET(Assumptions!$B$83,0,$C$1)-AB$300/AB$14),OFFSET(Assumptions!$B$75,0,$C$1))*SIGN(OFFSET(Assumptions!$B$83,0,$C$1)-AB$300/AB$14)),AB$300+IF(OFFSET(Assumptions!$B$113,0,$C$1)="SND",Allocate!$B$22*AC$232*AC$14,0))</f>
        <v>2.0101255364692419</v>
      </c>
      <c r="AD300" s="57">
        <f ca="1">IF(OFFSET(Assumptions!$B$72,0,$C$1)="BU",AD$14*(AC$300/AC$14+MIN(ABS(OFFSET(Assumptions!$B$83,0,$C$1)-AC$300/AC$14),OFFSET(Assumptions!$B$75,0,$C$1))*SIGN(OFFSET(Assumptions!$B$83,0,$C$1)-AC$300/AC$14)),AC$300+IF(OFFSET(Assumptions!$B$113,0,$C$1)="SND",Allocate!$B$22*AD$232*AD$14,0))</f>
        <v>2.0909830289880889</v>
      </c>
      <c r="AE300" s="57">
        <f ca="1">IF(OFFSET(Assumptions!$B$72,0,$C$1)="BU",AE$14*(AD$300/AD$14+MIN(ABS(OFFSET(Assumptions!$B$83,0,$C$1)-AD$300/AD$14),OFFSET(Assumptions!$B$75,0,$C$1))*SIGN(OFFSET(Assumptions!$B$83,0,$C$1)-AD$300/AD$14)),AD$300+IF(OFFSET(Assumptions!$B$113,0,$C$1)="SND",Allocate!$B$22*AE$232*AE$14,0))</f>
        <v>2.1751317413843423</v>
      </c>
      <c r="AF300" s="57">
        <f ca="1">IF(OFFSET(Assumptions!$B$72,0,$C$1)="BU",AF$14*(AE$300/AE$14+MIN(ABS(OFFSET(Assumptions!$B$83,0,$C$1)-AE$300/AE$14),OFFSET(Assumptions!$B$75,0,$C$1))*SIGN(OFFSET(Assumptions!$B$83,0,$C$1)-AE$300/AE$14)),AE$300+IF(OFFSET(Assumptions!$B$113,0,$C$1)="SND",Allocate!$B$22*AF$232*AF$14,0))</f>
        <v>2.2628044794519733</v>
      </c>
      <c r="AG300" s="57">
        <f ca="1">IF(OFFSET(Assumptions!$B$72,0,$C$1)="BU",AG$14*(AF$300/AF$14+MIN(ABS(OFFSET(Assumptions!$B$83,0,$C$1)-AF$300/AF$14),OFFSET(Assumptions!$B$75,0,$C$1))*SIGN(OFFSET(Assumptions!$B$83,0,$C$1)-AF$300/AF$14)),AF$300+IF(OFFSET(Assumptions!$B$113,0,$C$1)="SND",Allocate!$B$22*AG$232*AG$14,0))</f>
        <v>2.3540502661200389</v>
      </c>
      <c r="AH300" s="57">
        <f ca="1">IF(OFFSET(Assumptions!$B$72,0,$C$1)="BU",AH$14*(AG$300/AG$14+MIN(ABS(OFFSET(Assumptions!$B$83,0,$C$1)-AG$300/AG$14),OFFSET(Assumptions!$B$75,0,$C$1))*SIGN(OFFSET(Assumptions!$B$83,0,$C$1)-AG$300/AG$14)),AG$300+IF(OFFSET(Assumptions!$B$113,0,$C$1)="SND",Allocate!$B$22*AH$232*AH$14,0))</f>
        <v>2.4490154203386689</v>
      </c>
      <c r="AI300" s="57">
        <f ca="1">IF(OFFSET(Assumptions!$B$72,0,$C$1)="BU",AI$14*(AH$300/AH$14+MIN(ABS(OFFSET(Assumptions!$B$83,0,$C$1)-AH$300/AH$14),OFFSET(Assumptions!$B$75,0,$C$1))*SIGN(OFFSET(Assumptions!$B$83,0,$C$1)-AH$300/AH$14)),AH$300+IF(OFFSET(Assumptions!$B$113,0,$C$1)="SND",Allocate!$B$22*AI$232*AI$14,0))</f>
        <v>2.5475340065467877</v>
      </c>
      <c r="AJ300" s="57">
        <f ca="1">IF(OFFSET(Assumptions!$B$72,0,$C$1)="BU",AJ$14*(AI$300/AI$14+MIN(ABS(OFFSET(Assumptions!$B$83,0,$C$1)-AI$300/AI$14),OFFSET(Assumptions!$B$75,0,$C$1))*SIGN(OFFSET(Assumptions!$B$83,0,$C$1)-AI$300/AI$14)),AI$300+IF(OFFSET(Assumptions!$B$113,0,$C$1)="SND",Allocate!$B$22*AJ$232*AJ$14,0))</f>
        <v>2.6499216288612804</v>
      </c>
      <c r="AK300" s="57">
        <f ca="1">IF(OFFSET(Assumptions!$B$72,0,$C$1)="BU",AK$14*(AJ$300/AJ$14+MIN(ABS(OFFSET(Assumptions!$B$83,0,$C$1)-AJ$300/AJ$14),OFFSET(Assumptions!$B$75,0,$C$1))*SIGN(OFFSET(Assumptions!$B$83,0,$C$1)-AJ$300/AJ$14)),AJ$300+IF(OFFSET(Assumptions!$B$113,0,$C$1)="SND",Allocate!$B$22*AK$232*AK$14,0))</f>
        <v>2.7560940600701254</v>
      </c>
      <c r="AL300" s="57">
        <f ca="1">IF(OFFSET(Assumptions!$B$72,0,$C$1)="BU",AL$14*(AK$300/AK$14+MIN(ABS(OFFSET(Assumptions!$B$83,0,$C$1)-AK$300/AK$14),OFFSET(Assumptions!$B$75,0,$C$1))*SIGN(OFFSET(Assumptions!$B$83,0,$C$1)-AK$300/AK$14)),AK$300+IF(OFFSET(Assumptions!$B$113,0,$C$1)="SND",Allocate!$B$22*AL$232*AL$14,0))</f>
        <v>2.8659676652201558</v>
      </c>
      <c r="AM300" s="57">
        <f ca="1">IF(OFFSET(Assumptions!$B$72,0,$C$1)="BU",AM$14*(AL$300/AL$14+MIN(ABS(OFFSET(Assumptions!$B$83,0,$C$1)-AL$300/AL$14),OFFSET(Assumptions!$B$75,0,$C$1))*SIGN(OFFSET(Assumptions!$B$83,0,$C$1)-AL$300/AL$14)),AL$300+IF(OFFSET(Assumptions!$B$113,0,$C$1)="SND",Allocate!$B$22*AM$232*AM$14,0))</f>
        <v>2.9796925459637791</v>
      </c>
      <c r="AN300" s="57">
        <f ca="1">IF(OFFSET(Assumptions!$B$72,0,$C$1)="BU",AN$14*(AM$300/AM$14+MIN(ABS(OFFSET(Assumptions!$B$83,0,$C$1)-AM$300/AM$14),OFFSET(Assumptions!$B$75,0,$C$1))*SIGN(OFFSET(Assumptions!$B$83,0,$C$1)-AM$300/AM$14)),AM$300+IF(OFFSET(Assumptions!$B$113,0,$C$1)="SND",Allocate!$B$22*AN$232*AN$14,0))</f>
        <v>3.0974268925087878</v>
      </c>
      <c r="AO300" s="57">
        <f ca="1">IF(OFFSET(Assumptions!$B$72,0,$C$1)="BU",AO$14*(AN$300/AN$14+MIN(ABS(OFFSET(Assumptions!$B$83,0,$C$1)-AN$300/AN$14),OFFSET(Assumptions!$B$75,0,$C$1))*SIGN(OFFSET(Assumptions!$B$83,0,$C$1)-AN$300/AN$14)),AN$300+IF(OFFSET(Assumptions!$B$113,0,$C$1)="SND",Allocate!$B$22*AO$232*AO$14,0))</f>
        <v>3.2187084027907233</v>
      </c>
      <c r="AP300" s="57">
        <f ca="1">IF(OFFSET(Assumptions!$B$72,0,$C$1)="BU",AP$14*(AO$300/AO$14+MIN(ABS(OFFSET(Assumptions!$B$83,0,$C$1)-AO$300/AO$14),OFFSET(Assumptions!$B$75,0,$C$1))*SIGN(OFFSET(Assumptions!$B$83,0,$C$1)-AO$300/AO$14)),AO$300+IF(OFFSET(Assumptions!$B$113,0,$C$1)="SND",Allocate!$B$22*AP$232*AP$14,0))</f>
        <v>3.3440520981509447</v>
      </c>
      <c r="AQ300" s="57">
        <f ca="1">IF(OFFSET(Assumptions!$B$72,0,$C$1)="BU",AQ$14*(AP$300/AP$14+MIN(ABS(OFFSET(Assumptions!$B$83,0,$C$1)-AP$300/AP$14),OFFSET(Assumptions!$B$75,0,$C$1))*SIGN(OFFSET(Assumptions!$B$83,0,$C$1)-AP$300/AP$14)),AP$300+IF(OFFSET(Assumptions!$B$113,0,$C$1)="SND",Allocate!$B$22*AQ$232*AQ$14,0))</f>
        <v>3.4731067659506043</v>
      </c>
      <c r="AR300" s="57">
        <f ca="1">IF(OFFSET(Assumptions!$B$72,0,$C$1)="BU",AR$14*(AQ$300/AQ$14+MIN(ABS(OFFSET(Assumptions!$B$83,0,$C$1)-AQ$300/AQ$14),OFFSET(Assumptions!$B$75,0,$C$1))*SIGN(OFFSET(Assumptions!$B$83,0,$C$1)-AQ$300/AQ$14)),AQ$300+IF(OFFSET(Assumptions!$B$113,0,$C$1)="SND",Allocate!$B$22*AR$232*AR$14,0))</f>
        <v>3.6060185191611267</v>
      </c>
      <c r="AS300" s="57">
        <f ca="1">IF(OFFSET(Assumptions!$B$72,0,$C$1)="BU",AS$14*(AR$300/AR$14+MIN(ABS(OFFSET(Assumptions!$B$83,0,$C$1)-AR$300/AR$14),OFFSET(Assumptions!$B$75,0,$C$1))*SIGN(OFFSET(Assumptions!$B$83,0,$C$1)-AR$300/AR$14)),AR$300+IF(OFFSET(Assumptions!$B$113,0,$C$1)="SND",Allocate!$B$22*AS$232*AS$14,0))</f>
        <v>3.7430974370690611</v>
      </c>
      <c r="AT300" s="57">
        <f ca="1">IF(OFFSET(Assumptions!$B$72,0,$C$1)="BU",AT$14*(AS$300/AS$14+MIN(ABS(OFFSET(Assumptions!$B$83,0,$C$1)-AS$300/AS$14),OFFSET(Assumptions!$B$75,0,$C$1))*SIGN(OFFSET(Assumptions!$B$83,0,$C$1)-AS$300/AS$14)),AS$300+IF(OFFSET(Assumptions!$B$113,0,$C$1)="SND",Allocate!$B$22*AT$232*AT$14,0))</f>
        <v>3.8844530001182993</v>
      </c>
      <c r="AU300" s="57">
        <f ca="1">IF(OFFSET(Assumptions!$B$72,0,$C$1)="BU",AU$14*(AT$300/AT$14+MIN(ABS(OFFSET(Assumptions!$B$83,0,$C$1)-AT$300/AT$14),OFFSET(Assumptions!$B$75,0,$C$1))*SIGN(OFFSET(Assumptions!$B$83,0,$C$1)-AT$300/AT$14)),AT$300+IF(OFFSET(Assumptions!$B$113,0,$C$1)="SND",Allocate!$B$22*AU$232*AU$14,0))</f>
        <v>4.0302731796508313</v>
      </c>
      <c r="AV300" s="57">
        <f ca="1">IF(OFFSET(Assumptions!$B$72,0,$C$1)="BU",AV$14*(AU$300/AU$14+MIN(ABS(OFFSET(Assumptions!$B$83,0,$C$1)-AU$300/AU$14),OFFSET(Assumptions!$B$75,0,$C$1))*SIGN(OFFSET(Assumptions!$B$83,0,$C$1)-AU$300/AU$14)),AU$300+IF(OFFSET(Assumptions!$B$113,0,$C$1)="SND",Allocate!$B$22*AV$232*AV$14,0))</f>
        <v>4.1810088367975382</v>
      </c>
      <c r="AW300" s="57">
        <f ca="1">IF(OFFSET(Assumptions!$B$72,0,$C$1)="BU",AW$14*(AV$300/AV$14+MIN(ABS(OFFSET(Assumptions!$B$83,0,$C$1)-AV$300/AV$14),OFFSET(Assumptions!$B$75,0,$C$1))*SIGN(OFFSET(Assumptions!$B$83,0,$C$1)-AV$300/AV$14)),AV$300+IF(OFFSET(Assumptions!$B$113,0,$C$1)="SND",Allocate!$B$22*AW$232*AW$14,0))</f>
        <v>4.3365748728119344</v>
      </c>
    </row>
    <row r="301" spans="1:49" ht="15" x14ac:dyDescent="0.25">
      <c r="A301" s="2" t="s">
        <v>579</v>
      </c>
      <c r="B301" s="4" t="str">
        <f t="shared" si="201"/>
        <v>From Fiscal</v>
      </c>
      <c r="D301" s="47">
        <f>Fiscal!D$46</f>
        <v>1.74</v>
      </c>
      <c r="E301" s="44">
        <f ca="1">Fiscal!E$46  +IF(OR(OFFSET(Assumptions!$B$72,0,$C$1)="BU",OFFSET(Assumptions!$B$113,0,$C$1)="SND"),Allocate!C$22,0)</f>
        <v>1.899</v>
      </c>
      <c r="F301" s="44">
        <f ca="1">Fiscal!F$46  +IF(OR(OFFSET(Assumptions!$B$72,0,$C$1)="BU",OFFSET(Assumptions!$B$113,0,$C$1)="SND"),Allocate!D$22,0)</f>
        <v>1.9540000000000002</v>
      </c>
      <c r="G301" s="44">
        <f ca="1">Fiscal!G$46  +IF(OR(OFFSET(Assumptions!$B$72,0,$C$1)="BU",OFFSET(Assumptions!$B$113,0,$C$1)="SND"),Allocate!E$22,0)</f>
        <v>1.9029999999999998</v>
      </c>
      <c r="H301" s="44">
        <f ca="1">Fiscal!H$46  +IF(OR(OFFSET(Assumptions!$B$72,0,$C$1)="BU",OFFSET(Assumptions!$B$113,0,$C$1)="SND"),Allocate!F$22,0)</f>
        <v>1.9689999999999999</v>
      </c>
      <c r="I301" s="44">
        <f ca="1">Fiscal!I$46  +IF(OR(OFFSET(Assumptions!$B$72,0,$C$1)="BU",OFFSET(Assumptions!$B$113,0,$C$1)="SND"),Allocate!G$22,0)</f>
        <v>1.994</v>
      </c>
      <c r="J301" s="8">
        <f ca="1">IF(J$6=OFFSET(Assumptions!$B$8,0,$C$1),AVERAGE((G$301-G$300)/G$14,(H$301-H$300)/H$14,(I$301-I$300)/I$14),(I$301-I$300)/I$14)*J$14 + J$300</f>
        <v>2.2797868084671649</v>
      </c>
      <c r="K301" s="8">
        <f ca="1">IF(K$6=OFFSET(Assumptions!$B$8,0,$C$1),AVERAGE((H$301-H$300)/H$14,(I$301-I$300)/I$14,(J$301-J$300)/J$14),(J$301-J$300)/J$14)*K$14 + K$300</f>
        <v>2.4423450790018637</v>
      </c>
      <c r="L301" s="8">
        <f ca="1">IF(L$6=OFFSET(Assumptions!$B$8,0,$C$1),AVERAGE((I$301-I$300)/I$14,(J$301-J$300)/J$14,(K$301-K$300)/K$14),(K$301-K$300)/K$14)*L$14 + L$300</f>
        <v>2.5482092355085237</v>
      </c>
      <c r="M301" s="8">
        <f ca="1">IF(M$6=OFFSET(Assumptions!$B$8,0,$C$1),AVERAGE((J$301-J$300)/J$14,(K$301-K$300)/K$14,(L$301-L$300)/L$14),(L$301-L$300)/L$14)*M$14 + M$300</f>
        <v>2.6583083198470314</v>
      </c>
      <c r="N301" s="8">
        <f ca="1">IF(N$6=OFFSET(Assumptions!$B$8,0,$C$1),AVERAGE((K$301-K$300)/K$14,(L$301-L$300)/L$14,(M$301-M$300)/M$14),(M$301-M$300)/M$14)*N$14 + N$300</f>
        <v>2.7729544494829863</v>
      </c>
      <c r="O301" s="8">
        <f ca="1">IF(O$6=OFFSET(Assumptions!$B$8,0,$C$1),AVERAGE((L$301-L$300)/L$14,(M$301-M$300)/M$14,(N$301-N$300)/N$14),(N$301-N$300)/N$14)*O$14 + O$300</f>
        <v>2.8913228159206277</v>
      </c>
      <c r="P301" s="8">
        <f ca="1">IF(P$6=OFFSET(Assumptions!$B$8,0,$C$1),AVERAGE((M$301-M$300)/M$14,(N$301-N$300)/N$14,(O$301-O$300)/O$14),(O$301-O$300)/O$14)*P$14 + P$300</f>
        <v>3.0135936808842216</v>
      </c>
      <c r="Q301" s="8">
        <f ca="1">IF(Q$6=OFFSET(Assumptions!$B$8,0,$C$1),AVERAGE((N$301-N$300)/N$14,(O$301-O$300)/O$14,(P$301-P$300)/P$14),(P$301-P$300)/P$14)*Q$14 + Q$300</f>
        <v>3.1396349693883829</v>
      </c>
      <c r="R301" s="8">
        <f ca="1">IF(R$6=OFFSET(Assumptions!$B$8,0,$C$1),AVERAGE((O$301-O$300)/O$14,(P$301-P$300)/P$14,(Q$301-Q$300)/Q$14),(Q$301-Q$300)/Q$14)*R$14 + R$300</f>
        <v>3.2693531313822417</v>
      </c>
      <c r="S301" s="8">
        <f ca="1">IF(S$6=OFFSET(Assumptions!$B$8,0,$C$1),AVERAGE((P$301-P$300)/P$14,(Q$301-Q$300)/Q$14,(R$301-R$300)/R$14),(R$301-R$300)/R$14)*S$14 + S$300</f>
        <v>3.4031604058950773</v>
      </c>
      <c r="T301" s="8">
        <f ca="1">IF(T$6=OFFSET(Assumptions!$B$8,0,$C$1),AVERAGE((Q$301-Q$300)/Q$14,(R$301-R$300)/R$14,(S$301-S$300)/S$14),(S$301-S$300)/S$14)*T$14 + T$300</f>
        <v>3.5411055879096285</v>
      </c>
      <c r="U301" s="8">
        <f ca="1">IF(U$6=OFFSET(Assumptions!$B$8,0,$C$1),AVERAGE((R$301-R$300)/R$14,(S$301-S$300)/S$14,(T$301-T$300)/T$14),(T$301-T$300)/T$14)*U$14 + U$300</f>
        <v>3.6836837590479545</v>
      </c>
      <c r="V301" s="8">
        <f ca="1">IF(V$6=OFFSET(Assumptions!$B$8,0,$C$1),AVERAGE((S$301-S$300)/S$14,(T$301-T$300)/T$14,(U$301-U$300)/U$14),(U$301-U$300)/U$14)*V$14 + V$300</f>
        <v>3.8312468743398851</v>
      </c>
      <c r="W301" s="8">
        <f ca="1">IF(W$6=OFFSET(Assumptions!$B$8,0,$C$1),AVERAGE((T$301-T$300)/T$14,(U$301-U$300)/U$14,(V$301-V$300)/V$14),(V$301-V$300)/V$14)*W$14 + W$300</f>
        <v>3.9842224613513508</v>
      </c>
      <c r="X301" s="8">
        <f ca="1">IF(X$6=OFFSET(Assumptions!$B$8,0,$C$1),AVERAGE((U$301-U$300)/U$14,(V$301-V$300)/V$14,(W$301-W$300)/W$14),(W$301-W$300)/W$14)*X$14 + X$300</f>
        <v>4.1430950637266974</v>
      </c>
      <c r="Y301" s="8">
        <f ca="1">IF(Y$6=OFFSET(Assumptions!$B$8,0,$C$1),AVERAGE((V$301-V$300)/V$14,(W$301-W$300)/W$14,(X$301-X$300)/X$14),(X$301-X$300)/X$14)*Y$14 + Y$300</f>
        <v>4.3078484394255616</v>
      </c>
      <c r="Z301" s="8">
        <f ca="1">IF(Z$6=OFFSET(Assumptions!$B$8,0,$C$1),AVERAGE((W$301-W$300)/W$14,(X$301-X$300)/X$14,(Y$301-Y$300)/Y$14),(Y$301-Y$300)/Y$14)*Z$14 + Z$300</f>
        <v>4.4793165111188324</v>
      </c>
      <c r="AA301" s="8">
        <f ca="1">IF(AA$6=OFFSET(Assumptions!$B$8,0,$C$1),AVERAGE((X$301-X$300)/X$14,(Y$301-Y$300)/Y$14,(Z$301-Z$300)/Z$14),(Z$301-Z$300)/Z$14)*AA$14 + AA$300</f>
        <v>4.6577767147378157</v>
      </c>
      <c r="AB301" s="8">
        <f ca="1">IF(AB$6=OFFSET(Assumptions!$B$8,0,$C$1),AVERAGE((Y$301-Y$300)/Y$14,(Z$301-Z$300)/Z$14,(AA$301-AA$300)/AA$14),(AA$301-AA$300)/AA$14)*AB$14 + AB$300</f>
        <v>4.8437649827550056</v>
      </c>
      <c r="AC301" s="8">
        <f ca="1">IF(AC$6=OFFSET(Assumptions!$B$8,0,$C$1),AVERAGE((Z$301-Z$300)/Z$14,(AA$301-AA$300)/AA$14,(AB$301-AB$300)/AB$14),(AB$301-AB$300)/AB$14)*AC$14 + AC$300</f>
        <v>5.0379834461212178</v>
      </c>
      <c r="AD301" s="8">
        <f ca="1">IF(AD$6=OFFSET(Assumptions!$B$8,0,$C$1),AVERAGE((AA$301-AA$300)/AA$14,(AB$301-AB$300)/AB$14,(AC$301-AC$300)/AC$14),(AC$301-AC$300)/AC$14)*AD$14 + AD$300</f>
        <v>5.240636813492662</v>
      </c>
      <c r="AE301" s="8">
        <f ca="1">IF(AE$6=OFFSET(Assumptions!$B$8,0,$C$1),AVERAGE((AB$301-AB$300)/AB$14,(AC$301-AC$300)/AC$14,(AD$301-AD$300)/AD$14),(AD$301-AD$300)/AD$14)*AE$14 + AE$300</f>
        <v>5.4515389747623431</v>
      </c>
      <c r="AF301" s="8">
        <f ca="1">IF(AF$6=OFFSET(Assumptions!$B$8,0,$C$1),AVERAGE((AC$301-AC$300)/AC$14,(AD$301-AD$300)/AD$14,(AE$301-AE$300)/AE$14),(AE$301-AE$300)/AE$14)*AF$14 + AF$300</f>
        <v>5.6712734117650569</v>
      </c>
      <c r="AG301" s="8">
        <f ca="1">IF(AG$6=OFFSET(Assumptions!$B$8,0,$C$1),AVERAGE((AD$301-AD$300)/AD$14,(AE$301-AE$300)/AE$14,(AF$301-AF$300)/AF$14),(AF$301-AF$300)/AF$14)*AG$14 + AG$300</f>
        <v>5.8999629908096924</v>
      </c>
      <c r="AH301" s="8">
        <f ca="1">IF(AH$6=OFFSET(Assumptions!$B$8,0,$C$1),AVERAGE((AE$301-AE$300)/AE$14,(AF$301-AF$300)/AF$14,(AG$301-AG$300)/AG$14),(AG$301-AG$300)/AG$14)*AH$14 + AH$300</f>
        <v>6.1379744315041709</v>
      </c>
      <c r="AI301" s="8">
        <f ca="1">IF(AI$6=OFFSET(Assumptions!$B$8,0,$C$1),AVERAGE((AF$301-AF$300)/AF$14,(AG$301-AG$300)/AG$14,(AH$301-AH$300)/AH$14),(AH$301-AH$300)/AH$14)*AI$14 + AI$300</f>
        <v>6.3848918490718187</v>
      </c>
      <c r="AJ301" s="8">
        <f ca="1">IF(AJ$6=OFFSET(Assumptions!$B$8,0,$C$1),AVERAGE((AG$301-AG$300)/AG$14,(AH$301-AH$300)/AH$14,(AI$301-AI$300)/AI$14),(AI$301-AI$300)/AI$14)*AJ$14 + AJ$300</f>
        <v>6.6415062430236347</v>
      </c>
      <c r="AK301" s="8">
        <f ca="1">IF(AK$6=OFFSET(Assumptions!$B$8,0,$C$1),AVERAGE((AH$301-AH$300)/AH$14,(AI$301-AI$300)/AI$14,(AJ$301-AJ$300)/AJ$14),(AJ$301-AJ$300)/AJ$14)*AK$14 + AK$300</f>
        <v>6.9076065144545122</v>
      </c>
      <c r="AL301" s="8">
        <f ca="1">IF(AL$6=OFFSET(Assumptions!$B$8,0,$C$1),AVERAGE((AI$301-AI$300)/AI$14,(AJ$301-AJ$300)/AJ$14,(AK$301-AK$300)/AK$14),(AK$301-AK$300)/AK$14)*AL$14 + AL$300</f>
        <v>7.1829830488394242</v>
      </c>
      <c r="AM301" s="8">
        <f ca="1">IF(AM$6=OFFSET(Assumptions!$B$8,0,$C$1),AVERAGE((AJ$301-AJ$300)/AJ$14,(AK$301-AK$300)/AK$14,(AL$301-AL$300)/AL$14),(AL$301-AL$300)/AL$14)*AM$14 + AM$300</f>
        <v>7.4680120463839517</v>
      </c>
      <c r="AN301" s="8">
        <f ca="1">IF(AN$6=OFFSET(Assumptions!$B$8,0,$C$1),AVERAGE((AK$301-AK$300)/AK$14,(AL$301-AL$300)/AL$14,(AM$301-AM$300)/AM$14),(AM$301-AM$300)/AM$14)*AN$14 + AN$300</f>
        <v>7.7630899796634321</v>
      </c>
      <c r="AO301" s="8">
        <f ca="1">IF(AO$6=OFFSET(Assumptions!$B$8,0,$C$1),AVERAGE((AL$301-AL$300)/AL$14,(AM$301-AM$300)/AM$14,(AN$301-AN$300)/AN$14),(AN$301-AN$300)/AN$14)*AO$14 + AO$300</f>
        <v>8.0670581796765575</v>
      </c>
      <c r="AP301" s="8">
        <f ca="1">IF(AP$6=OFFSET(Assumptions!$B$8,0,$C$1),AVERAGE((AM$301-AM$300)/AM$14,(AN$301-AN$300)/AN$14,(AO$301-AO$300)/AO$14),(AO$301-AO$300)/AO$14)*AP$14 + AP$300</f>
        <v>8.3812074459008166</v>
      </c>
      <c r="AQ301" s="8">
        <f ca="1">IF(AQ$6=OFFSET(Assumptions!$B$8,0,$C$1),AVERAGE((AN$301-AN$300)/AN$14,(AO$301-AO$300)/AO$14,(AP$301-AP$300)/AP$14),(AP$301-AP$300)/AP$14)*AQ$14 + AQ$300</f>
        <v>8.7046575330836209</v>
      </c>
      <c r="AR301" s="8">
        <f ca="1">IF(AR$6=OFFSET(Assumptions!$B$8,0,$C$1),AVERAGE((AO$301-AO$300)/AO$14,(AP$301-AP$300)/AP$14,(AQ$301-AQ$300)/AQ$14),(AQ$301-AQ$300)/AQ$14)*AR$14 + AR$300</f>
        <v>9.0377746445878682</v>
      </c>
      <c r="AS301" s="8">
        <f ca="1">IF(AS$6=OFFSET(Assumptions!$B$8,0,$C$1),AVERAGE((AP$301-AP$300)/AP$14,(AQ$301-AQ$300)/AQ$14,(AR$301-AR$300)/AR$14),(AR$301-AR$300)/AR$14)*AS$14 + AS$300</f>
        <v>9.3813359330263069</v>
      </c>
      <c r="AT301" s="8">
        <f ca="1">IF(AT$6=OFFSET(Assumptions!$B$8,0,$C$1),AVERAGE((AQ$301-AQ$300)/AQ$14,(AR$301-AR$300)/AR$14,(AS$301-AS$300)/AS$14),(AS$301-AS$300)/AS$14)*AT$14 + AT$300</f>
        <v>9.735615789552126</v>
      </c>
      <c r="AU301" s="8">
        <f ca="1">IF(AU$6=OFFSET(Assumptions!$B$8,0,$C$1),AVERAGE((AR$301-AR$300)/AR$14,(AS$301-AS$300)/AS$14,(AT$301-AT$300)/AT$14),(AT$301-AT$300)/AT$14)*AU$14 + AU$300</f>
        <v>10.101085327283439</v>
      </c>
      <c r="AV301" s="8">
        <f ca="1">IF(AV$6=OFFSET(Assumptions!$B$8,0,$C$1),AVERAGE((AS$301-AS$300)/AS$14,(AT$301-AT$300)/AT$14,(AU$301-AU$300)/AU$14),(AU$301-AU$300)/AU$14)*AV$14 + AV$300</f>
        <v>10.478874540776639</v>
      </c>
      <c r="AW301" s="8">
        <f ca="1">IF(AW$6=OFFSET(Assumptions!$B$8,0,$C$1),AVERAGE((AT$301-AT$300)/AT$14,(AU$301-AU$300)/AU$14,(AV$301-AV$300)/AV$14),(AV$301-AV$300)/AV$14)*AW$14 + AW$300</f>
        <v>10.868770146797273</v>
      </c>
    </row>
    <row r="302" spans="1:49" ht="15" x14ac:dyDescent="0.25">
      <c r="A302" s="2"/>
      <c r="B302" s="4"/>
      <c r="D302" s="47"/>
      <c r="E302" s="44"/>
      <c r="F302" s="44"/>
      <c r="G302" s="44"/>
      <c r="H302" s="44"/>
      <c r="I302" s="44"/>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row>
    <row r="303" spans="1:49" ht="15" x14ac:dyDescent="0.25">
      <c r="A303" s="22" t="s">
        <v>628</v>
      </c>
      <c r="B303" s="4"/>
      <c r="D303" s="47"/>
      <c r="E303" s="44"/>
      <c r="F303" s="44"/>
      <c r="G303" s="44"/>
      <c r="H303" s="44"/>
      <c r="I303" s="44"/>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row>
    <row r="304" spans="1:49" ht="15" x14ac:dyDescent="0.25">
      <c r="A304" s="2" t="s">
        <v>580</v>
      </c>
      <c r="B304" s="4" t="str">
        <f t="shared" si="201"/>
        <v>From Fiscal</v>
      </c>
      <c r="D304" s="47">
        <f>Fiscal!D$64</f>
        <v>0.32</v>
      </c>
      <c r="E304" s="44">
        <f ca="1">Fiscal!E$64  +IF(OR(OFFSET(Assumptions!$B$72,0,$C$1)="BU",OFFSET(Assumptions!$B$113,0,$C$1)="SND"),Allocate!C$23,0)</f>
        <v>0.57699999999999996</v>
      </c>
      <c r="F304" s="44">
        <f ca="1">Fiscal!F$64  +IF(OR(OFFSET(Assumptions!$B$72,0,$C$1)="BU",OFFSET(Assumptions!$B$113,0,$C$1)="SND"),Allocate!D$23,0)</f>
        <v>0.56299999999999994</v>
      </c>
      <c r="G304" s="44">
        <f ca="1">Fiscal!G$64  +IF(OR(OFFSET(Assumptions!$B$72,0,$C$1)="BU",OFFSET(Assumptions!$B$113,0,$C$1)="SND"),Allocate!E$23,0)</f>
        <v>0.53800000000000003</v>
      </c>
      <c r="H304" s="44">
        <f ca="1">Fiscal!H$64  +IF(OR(OFFSET(Assumptions!$B$72,0,$C$1)="BU",OFFSET(Assumptions!$B$113,0,$C$1)="SND"),Allocate!F$23,0)</f>
        <v>0.54900000000000004</v>
      </c>
      <c r="I304" s="44">
        <f ca="1">Fiscal!I$64  +IF(OR(OFFSET(Assumptions!$B$72,0,$C$1)="BU",OFFSET(Assumptions!$B$113,0,$C$1)="SND"),Allocate!G$23,0)</f>
        <v>0.55200000000000005</v>
      </c>
      <c r="J304" s="57">
        <f ca="1">IF(OFFSET(Assumptions!$B$72,0,$C$1)="BU",J$14*(I$304/I$14+MIN(ABS(OFFSET(Assumptions!$B$84,0,$C$1)-I$304/I$14),OFFSET(Assumptions!$B$75,0,$C$1))*SIGN(OFFSET(Assumptions!$B$84,0,$C$1)-I$304/I$14)),I$304+IF(OFFSET(Assumptions!$B$113,0,$C$1)="SND",Allocate!$B$23*J$232*J$14,0))</f>
        <v>0.62359402369910744</v>
      </c>
      <c r="K304" s="57">
        <f ca="1">IF(OFFSET(Assumptions!$B$72,0,$C$1)="BU",K$14*(J$304/J$14+MIN(ABS(OFFSET(Assumptions!$B$84,0,$C$1)-J$304/J$14),OFFSET(Assumptions!$B$75,0,$C$1))*SIGN(OFFSET(Assumptions!$B$84,0,$C$1)-J$304/J$14)),J$304+IF(OFFSET(Assumptions!$B$113,0,$C$1)="SND",Allocate!$B$23*K$232*K$14,0))</f>
        <v>0.64965414101038543</v>
      </c>
      <c r="L304" s="57">
        <f ca="1">IF(OFFSET(Assumptions!$B$72,0,$C$1)="BU",L$14*(K$304/K$14+MIN(ABS(OFFSET(Assumptions!$B$84,0,$C$1)-K$304/K$14),OFFSET(Assumptions!$B$75,0,$C$1))*SIGN(OFFSET(Assumptions!$B$84,0,$C$1)-K$304/K$14)),K$304+IF(OFFSET(Assumptions!$B$113,0,$C$1)="SND",Allocate!$B$23*L$232*L$14,0))</f>
        <v>0.67781358835892724</v>
      </c>
      <c r="M304" s="57">
        <f ca="1">IF(OFFSET(Assumptions!$B$72,0,$C$1)="BU",M$14*(L$304/L$14+MIN(ABS(OFFSET(Assumptions!$B$84,0,$C$1)-L$304/L$14),OFFSET(Assumptions!$B$75,0,$C$1))*SIGN(OFFSET(Assumptions!$B$84,0,$C$1)-L$304/L$14)),L$304+IF(OFFSET(Assumptions!$B$113,0,$C$1)="SND",Allocate!$B$23*M$232*M$14,0))</f>
        <v>0.70709950977802272</v>
      </c>
      <c r="N304" s="57">
        <f ca="1">IF(OFFSET(Assumptions!$B$72,0,$C$1)="BU",N$14*(M$304/M$14+MIN(ABS(OFFSET(Assumptions!$B$84,0,$C$1)-M$304/M$14),OFFSET(Assumptions!$B$75,0,$C$1))*SIGN(OFFSET(Assumptions!$B$84,0,$C$1)-M$304/M$14)),M$304+IF(OFFSET(Assumptions!$B$113,0,$C$1)="SND",Allocate!$B$23*N$232*N$14,0))</f>
        <v>0.73759492728030718</v>
      </c>
      <c r="O304" s="57">
        <f ca="1">IF(OFFSET(Assumptions!$B$72,0,$C$1)="BU",O$14*(N$304/N$14+MIN(ABS(OFFSET(Assumptions!$B$84,0,$C$1)-N$304/N$14),OFFSET(Assumptions!$B$75,0,$C$1))*SIGN(OFFSET(Assumptions!$B$84,0,$C$1)-N$304/N$14)),N$304+IF(OFFSET(Assumptions!$B$113,0,$C$1)="SND",Allocate!$B$23*O$232*O$14,0))</f>
        <v>0.76908044506482742</v>
      </c>
      <c r="P304" s="57">
        <f ca="1">IF(OFFSET(Assumptions!$B$72,0,$C$1)="BU",P$14*(O$304/O$14+MIN(ABS(OFFSET(Assumptions!$B$84,0,$C$1)-O$304/O$14),OFFSET(Assumptions!$B$75,0,$C$1))*SIGN(OFFSET(Assumptions!$B$84,0,$C$1)-O$304/O$14)),O$304+IF(OFFSET(Assumptions!$B$113,0,$C$1)="SND",Allocate!$B$23*P$232*P$14,0))</f>
        <v>0.80160401203800202</v>
      </c>
      <c r="Q304" s="57">
        <f ca="1">IF(OFFSET(Assumptions!$B$72,0,$C$1)="BU",Q$14*(P$304/P$14+MIN(ABS(OFFSET(Assumptions!$B$84,0,$C$1)-P$304/P$14),OFFSET(Assumptions!$B$75,0,$C$1))*SIGN(OFFSET(Assumptions!$B$84,0,$C$1)-P$304/P$14)),P$304+IF(OFFSET(Assumptions!$B$113,0,$C$1)="SND",Allocate!$B$23*Q$232*Q$14,0))</f>
        <v>0.83513049677556295</v>
      </c>
      <c r="R304" s="57">
        <f ca="1">IF(OFFSET(Assumptions!$B$72,0,$C$1)="BU",R$14*(Q$304/Q$14+MIN(ABS(OFFSET(Assumptions!$B$84,0,$C$1)-Q$304/Q$14),OFFSET(Assumptions!$B$75,0,$C$1))*SIGN(OFFSET(Assumptions!$B$84,0,$C$1)-Q$304/Q$14)),Q$304+IF(OFFSET(Assumptions!$B$113,0,$C$1)="SND",Allocate!$B$23*R$232*R$14,0))</f>
        <v>0.86963501533360654</v>
      </c>
      <c r="S304" s="57">
        <f ca="1">IF(OFFSET(Assumptions!$B$72,0,$C$1)="BU",S$14*(R$304/R$14+MIN(ABS(OFFSET(Assumptions!$B$84,0,$C$1)-R$304/R$14),OFFSET(Assumptions!$B$75,0,$C$1))*SIGN(OFFSET(Assumptions!$B$84,0,$C$1)-R$304/R$14)),R$304+IF(OFFSET(Assumptions!$B$113,0,$C$1)="SND",Allocate!$B$23*S$232*S$14,0))</f>
        <v>0.90522722166511427</v>
      </c>
      <c r="T304" s="57">
        <f ca="1">IF(OFFSET(Assumptions!$B$72,0,$C$1)="BU",T$14*(S$304/S$14+MIN(ABS(OFFSET(Assumptions!$B$84,0,$C$1)-S$304/S$14),OFFSET(Assumptions!$B$75,0,$C$1))*SIGN(OFFSET(Assumptions!$B$84,0,$C$1)-S$304/S$14)),S$304+IF(OFFSET(Assumptions!$B$113,0,$C$1)="SND",Allocate!$B$23*T$232*T$14,0))</f>
        <v>0.94192009504269969</v>
      </c>
      <c r="U304" s="57">
        <f ca="1">IF(OFFSET(Assumptions!$B$72,0,$C$1)="BU",U$14*(T$304/T$14+MIN(ABS(OFFSET(Assumptions!$B$84,0,$C$1)-T$304/T$14),OFFSET(Assumptions!$B$75,0,$C$1))*SIGN(OFFSET(Assumptions!$B$84,0,$C$1)-T$304/T$14)),T$304+IF(OFFSET(Assumptions!$B$113,0,$C$1)="SND",Allocate!$B$23*U$232*U$14,0))</f>
        <v>0.97984532522170287</v>
      </c>
      <c r="V304" s="57">
        <f ca="1">IF(OFFSET(Assumptions!$B$72,0,$C$1)="BU",V$14*(U$304/U$14+MIN(ABS(OFFSET(Assumptions!$B$84,0,$C$1)-U$304/U$14),OFFSET(Assumptions!$B$75,0,$C$1))*SIGN(OFFSET(Assumptions!$B$84,0,$C$1)-U$304/U$14)),U$304+IF(OFFSET(Assumptions!$B$113,0,$C$1)="SND",Allocate!$B$23*V$232*V$14,0))</f>
        <v>1.0190965308494406</v>
      </c>
      <c r="W304" s="57">
        <f ca="1">IF(OFFSET(Assumptions!$B$72,0,$C$1)="BU",W$14*(V$304/V$14+MIN(ABS(OFFSET(Assumptions!$B$84,0,$C$1)-V$304/V$14),OFFSET(Assumptions!$B$75,0,$C$1))*SIGN(OFFSET(Assumptions!$B$84,0,$C$1)-V$304/V$14)),V$304+IF(OFFSET(Assumptions!$B$113,0,$C$1)="SND",Allocate!$B$23*W$232*W$14,0))</f>
        <v>1.0597874325692371</v>
      </c>
      <c r="X304" s="57">
        <f ca="1">IF(OFFSET(Assumptions!$B$72,0,$C$1)="BU",X$14*(W$304/W$14+MIN(ABS(OFFSET(Assumptions!$B$84,0,$C$1)-W$304/W$14),OFFSET(Assumptions!$B$75,0,$C$1))*SIGN(OFFSET(Assumptions!$B$84,0,$C$1)-W$304/W$14)),W$304+IF(OFFSET(Assumptions!$B$113,0,$C$1)="SND",Allocate!$B$23*X$232*X$14,0))</f>
        <v>1.102046917075997</v>
      </c>
      <c r="Y304" s="57">
        <f ca="1">IF(OFFSET(Assumptions!$B$72,0,$C$1)="BU",Y$14*(X$304/X$14+MIN(ABS(OFFSET(Assumptions!$B$84,0,$C$1)-X$304/X$14),OFFSET(Assumptions!$B$75,0,$C$1))*SIGN(OFFSET(Assumptions!$B$84,0,$C$1)-X$304/X$14)),X$304+IF(OFFSET(Assumptions!$B$113,0,$C$1)="SND",Allocate!$B$23*Y$232*Y$14,0))</f>
        <v>1.145870664051158</v>
      </c>
      <c r="Z304" s="57">
        <f ca="1">IF(OFFSET(Assumptions!$B$72,0,$C$1)="BU",Z$14*(Y$304/Y$14+MIN(ABS(OFFSET(Assumptions!$B$84,0,$C$1)-Y$304/Y$14),OFFSET(Assumptions!$B$75,0,$C$1))*SIGN(OFFSET(Assumptions!$B$84,0,$C$1)-Y$304/Y$14)),Y$304+IF(OFFSET(Assumptions!$B$113,0,$C$1)="SND",Allocate!$B$23*Z$232*Z$14,0))</f>
        <v>1.1914804936302461</v>
      </c>
      <c r="AA304" s="57">
        <f ca="1">IF(OFFSET(Assumptions!$B$72,0,$C$1)="BU",AA$14*(Z$304/Z$14+MIN(ABS(OFFSET(Assumptions!$B$84,0,$C$1)-Z$304/Z$14),OFFSET(Assumptions!$B$75,0,$C$1))*SIGN(OFFSET(Assumptions!$B$84,0,$C$1)-Z$304/Z$14)),Z$304+IF(OFFSET(Assumptions!$B$113,0,$C$1)="SND",Allocate!$B$23*AA$232*AA$14,0))</f>
        <v>1.2389502026748054</v>
      </c>
      <c r="AB304" s="57">
        <f ca="1">IF(OFFSET(Assumptions!$B$72,0,$C$1)="BU",AB$14*(AA$304/AA$14+MIN(ABS(OFFSET(Assumptions!$B$84,0,$C$1)-AA$304/AA$14),OFFSET(Assumptions!$B$75,0,$C$1))*SIGN(OFFSET(Assumptions!$B$84,0,$C$1)-AA$304/AA$14)),AA$304+IF(OFFSET(Assumptions!$B$113,0,$C$1)="SND",Allocate!$B$23*AB$232*AB$14,0))</f>
        <v>1.288422347104984</v>
      </c>
      <c r="AC304" s="57">
        <f ca="1">IF(OFFSET(Assumptions!$B$72,0,$C$1)="BU",AC$14*(AB$304/AB$14+MIN(ABS(OFFSET(Assumptions!$B$84,0,$C$1)-AB$304/AB$14),OFFSET(Assumptions!$B$75,0,$C$1))*SIGN(OFFSET(Assumptions!$B$84,0,$C$1)-AB$304/AB$14)),AB$304+IF(OFFSET(Assumptions!$B$113,0,$C$1)="SND",Allocate!$B$23*AC$232*AC$14,0))</f>
        <v>1.3400836909794946</v>
      </c>
      <c r="AD304" s="57">
        <f ca="1">IF(OFFSET(Assumptions!$B$72,0,$C$1)="BU",AD$14*(AC$304/AC$14+MIN(ABS(OFFSET(Assumptions!$B$84,0,$C$1)-AC$304/AC$14),OFFSET(Assumptions!$B$75,0,$C$1))*SIGN(OFFSET(Assumptions!$B$84,0,$C$1)-AC$304/AC$14)),AC$304+IF(OFFSET(Assumptions!$B$113,0,$C$1)="SND",Allocate!$B$23*AD$232*AD$14,0))</f>
        <v>1.3939886859920594</v>
      </c>
      <c r="AE304" s="57">
        <f ca="1">IF(OFFSET(Assumptions!$B$72,0,$C$1)="BU",AE$14*(AD$304/AD$14+MIN(ABS(OFFSET(Assumptions!$B$84,0,$C$1)-AD$304/AD$14),OFFSET(Assumptions!$B$75,0,$C$1))*SIGN(OFFSET(Assumptions!$B$84,0,$C$1)-AD$304/AD$14)),AD$304+IF(OFFSET(Assumptions!$B$113,0,$C$1)="SND",Allocate!$B$23*AE$232*AE$14,0))</f>
        <v>1.4500878275895615</v>
      </c>
      <c r="AF304" s="57">
        <f ca="1">IF(OFFSET(Assumptions!$B$72,0,$C$1)="BU",AF$14*(AE$304/AE$14+MIN(ABS(OFFSET(Assumptions!$B$84,0,$C$1)-AE$304/AE$14),OFFSET(Assumptions!$B$75,0,$C$1))*SIGN(OFFSET(Assumptions!$B$84,0,$C$1)-AE$304/AE$14)),AE$304+IF(OFFSET(Assumptions!$B$113,0,$C$1)="SND",Allocate!$B$23*AF$232*AF$14,0))</f>
        <v>1.5085363196346488</v>
      </c>
      <c r="AG304" s="57">
        <f ca="1">IF(OFFSET(Assumptions!$B$72,0,$C$1)="BU",AG$14*(AF$304/AF$14+MIN(ABS(OFFSET(Assumptions!$B$84,0,$C$1)-AF$304/AF$14),OFFSET(Assumptions!$B$75,0,$C$1))*SIGN(OFFSET(Assumptions!$B$84,0,$C$1)-AF$304/AF$14)),AF$304+IF(OFFSET(Assumptions!$B$113,0,$C$1)="SND",Allocate!$B$23*AG$232*AG$14,0))</f>
        <v>1.5693668440800259</v>
      </c>
      <c r="AH304" s="57">
        <f ca="1">IF(OFFSET(Assumptions!$B$72,0,$C$1)="BU",AH$14*(AG$304/AG$14+MIN(ABS(OFFSET(Assumptions!$B$84,0,$C$1)-AG$304/AG$14),OFFSET(Assumptions!$B$75,0,$C$1))*SIGN(OFFSET(Assumptions!$B$84,0,$C$1)-AG$304/AG$14)),AG$304+IF(OFFSET(Assumptions!$B$113,0,$C$1)="SND",Allocate!$B$23*AH$232*AH$14,0))</f>
        <v>1.6326769468924458</v>
      </c>
      <c r="AI304" s="57">
        <f ca="1">IF(OFFSET(Assumptions!$B$72,0,$C$1)="BU",AI$14*(AH$304/AH$14+MIN(ABS(OFFSET(Assumptions!$B$84,0,$C$1)-AH$304/AH$14),OFFSET(Assumptions!$B$75,0,$C$1))*SIGN(OFFSET(Assumptions!$B$84,0,$C$1)-AH$304/AH$14)),AH$304+IF(OFFSET(Assumptions!$B$113,0,$C$1)="SND",Allocate!$B$23*AI$232*AI$14,0))</f>
        <v>1.6983560043645252</v>
      </c>
      <c r="AJ304" s="57">
        <f ca="1">IF(OFFSET(Assumptions!$B$72,0,$C$1)="BU",AJ$14*(AI$304/AI$14+MIN(ABS(OFFSET(Assumptions!$B$84,0,$C$1)-AI$304/AI$14),OFFSET(Assumptions!$B$75,0,$C$1))*SIGN(OFFSET(Assumptions!$B$84,0,$C$1)-AI$304/AI$14)),AI$304+IF(OFFSET(Assumptions!$B$113,0,$C$1)="SND",Allocate!$B$23*AJ$232*AJ$14,0))</f>
        <v>1.7666144192408535</v>
      </c>
      <c r="AK304" s="57">
        <f ca="1">IF(OFFSET(Assumptions!$B$72,0,$C$1)="BU",AK$14*(AJ$304/AJ$14+MIN(ABS(OFFSET(Assumptions!$B$84,0,$C$1)-AJ$304/AJ$14),OFFSET(Assumptions!$B$75,0,$C$1))*SIGN(OFFSET(Assumptions!$B$84,0,$C$1)-AJ$304/AJ$14)),AJ$304+IF(OFFSET(Assumptions!$B$113,0,$C$1)="SND",Allocate!$B$23*AK$232*AK$14,0))</f>
        <v>1.8373960400467502</v>
      </c>
      <c r="AL304" s="57">
        <f ca="1">IF(OFFSET(Assumptions!$B$72,0,$C$1)="BU",AL$14*(AK$304/AK$14+MIN(ABS(OFFSET(Assumptions!$B$84,0,$C$1)-AK$304/AK$14),OFFSET(Assumptions!$B$75,0,$C$1))*SIGN(OFFSET(Assumptions!$B$84,0,$C$1)-AK$304/AK$14)),AK$304+IF(OFFSET(Assumptions!$B$113,0,$C$1)="SND",Allocate!$B$23*AL$232*AL$14,0))</f>
        <v>1.9106451101467705</v>
      </c>
      <c r="AM304" s="57">
        <f ca="1">IF(OFFSET(Assumptions!$B$72,0,$C$1)="BU",AM$14*(AL$304/AL$14+MIN(ABS(OFFSET(Assumptions!$B$84,0,$C$1)-AL$304/AL$14),OFFSET(Assumptions!$B$75,0,$C$1))*SIGN(OFFSET(Assumptions!$B$84,0,$C$1)-AL$304/AL$14)),AL$304+IF(OFFSET(Assumptions!$B$113,0,$C$1)="SND",Allocate!$B$23*AM$232*AM$14,0))</f>
        <v>1.9864616973091862</v>
      </c>
      <c r="AN304" s="57">
        <f ca="1">IF(OFFSET(Assumptions!$B$72,0,$C$1)="BU",AN$14*(AM$304/AM$14+MIN(ABS(OFFSET(Assumptions!$B$84,0,$C$1)-AM$304/AM$14),OFFSET(Assumptions!$B$75,0,$C$1))*SIGN(OFFSET(Assumptions!$B$84,0,$C$1)-AM$304/AM$14)),AM$304+IF(OFFSET(Assumptions!$B$113,0,$C$1)="SND",Allocate!$B$23*AN$232*AN$14,0))</f>
        <v>2.0649512616725252</v>
      </c>
      <c r="AO304" s="57">
        <f ca="1">IF(OFFSET(Assumptions!$B$72,0,$C$1)="BU",AO$14*(AN$304/AN$14+MIN(ABS(OFFSET(Assumptions!$B$84,0,$C$1)-AN$304/AN$14),OFFSET(Assumptions!$B$75,0,$C$1))*SIGN(OFFSET(Assumptions!$B$84,0,$C$1)-AN$304/AN$14)),AN$304+IF(OFFSET(Assumptions!$B$113,0,$C$1)="SND",Allocate!$B$23*AO$232*AO$14,0))</f>
        <v>2.1458056018604821</v>
      </c>
      <c r="AP304" s="57">
        <f ca="1">IF(OFFSET(Assumptions!$B$72,0,$C$1)="BU",AP$14*(AO$304/AO$14+MIN(ABS(OFFSET(Assumptions!$B$84,0,$C$1)-AO$304/AO$14),OFFSET(Assumptions!$B$75,0,$C$1))*SIGN(OFFSET(Assumptions!$B$84,0,$C$1)-AO$304/AO$14)),AO$304+IF(OFFSET(Assumptions!$B$113,0,$C$1)="SND",Allocate!$B$23*AP$232*AP$14,0))</f>
        <v>2.2293680654339632</v>
      </c>
      <c r="AQ304" s="57">
        <f ca="1">IF(OFFSET(Assumptions!$B$72,0,$C$1)="BU",AQ$14*(AP$304/AP$14+MIN(ABS(OFFSET(Assumptions!$B$84,0,$C$1)-AP$304/AP$14),OFFSET(Assumptions!$B$75,0,$C$1))*SIGN(OFFSET(Assumptions!$B$84,0,$C$1)-AP$304/AP$14)),AP$304+IF(OFFSET(Assumptions!$B$113,0,$C$1)="SND",Allocate!$B$23*AQ$232*AQ$14,0))</f>
        <v>2.3154045106337362</v>
      </c>
      <c r="AR304" s="57">
        <f ca="1">IF(OFFSET(Assumptions!$B$72,0,$C$1)="BU",AR$14*(AQ$304/AQ$14+MIN(ABS(OFFSET(Assumptions!$B$84,0,$C$1)-AQ$304/AQ$14),OFFSET(Assumptions!$B$75,0,$C$1))*SIGN(OFFSET(Assumptions!$B$84,0,$C$1)-AQ$304/AQ$14)),AQ$304+IF(OFFSET(Assumptions!$B$113,0,$C$1)="SND",Allocate!$B$23*AR$232*AR$14,0))</f>
        <v>2.4040123461074177</v>
      </c>
      <c r="AS304" s="57">
        <f ca="1">IF(OFFSET(Assumptions!$B$72,0,$C$1)="BU",AS$14*(AR$304/AR$14+MIN(ABS(OFFSET(Assumptions!$B$84,0,$C$1)-AR$304/AR$14),OFFSET(Assumptions!$B$75,0,$C$1))*SIGN(OFFSET(Assumptions!$B$84,0,$C$1)-AR$304/AR$14)),AR$304+IF(OFFSET(Assumptions!$B$113,0,$C$1)="SND",Allocate!$B$23*AS$232*AS$14,0))</f>
        <v>2.4953982913793737</v>
      </c>
      <c r="AT304" s="57">
        <f ca="1">IF(OFFSET(Assumptions!$B$72,0,$C$1)="BU",AT$14*(AS$304/AS$14+MIN(ABS(OFFSET(Assumptions!$B$84,0,$C$1)-AS$304/AS$14),OFFSET(Assumptions!$B$75,0,$C$1))*SIGN(OFFSET(Assumptions!$B$84,0,$C$1)-AS$304/AS$14)),AS$304+IF(OFFSET(Assumptions!$B$113,0,$C$1)="SND",Allocate!$B$23*AT$232*AT$14,0))</f>
        <v>2.5896353334121995</v>
      </c>
      <c r="AU304" s="57">
        <f ca="1">IF(OFFSET(Assumptions!$B$72,0,$C$1)="BU",AU$14*(AT$304/AT$14+MIN(ABS(OFFSET(Assumptions!$B$84,0,$C$1)-AT$304/AT$14),OFFSET(Assumptions!$B$75,0,$C$1))*SIGN(OFFSET(Assumptions!$B$84,0,$C$1)-AT$304/AT$14)),AT$304+IF(OFFSET(Assumptions!$B$113,0,$C$1)="SND",Allocate!$B$23*AU$232*AU$14,0))</f>
        <v>2.6868487864338872</v>
      </c>
      <c r="AV304" s="57">
        <f ca="1">IF(OFFSET(Assumptions!$B$72,0,$C$1)="BU",AV$14*(AU$304/AU$14+MIN(ABS(OFFSET(Assumptions!$B$84,0,$C$1)-AU$304/AU$14),OFFSET(Assumptions!$B$75,0,$C$1))*SIGN(OFFSET(Assumptions!$B$84,0,$C$1)-AU$304/AU$14)),AU$304+IF(OFFSET(Assumptions!$B$113,0,$C$1)="SND",Allocate!$B$23*AV$232*AV$14,0))</f>
        <v>2.7873392245316917</v>
      </c>
      <c r="AW304" s="57">
        <f ca="1">IF(OFFSET(Assumptions!$B$72,0,$C$1)="BU",AW$14*(AV$304/AV$14+MIN(ABS(OFFSET(Assumptions!$B$84,0,$C$1)-AV$304/AV$14),OFFSET(Assumptions!$B$75,0,$C$1))*SIGN(OFFSET(Assumptions!$B$84,0,$C$1)-AV$304/AV$14)),AV$304+IF(OFFSET(Assumptions!$B$113,0,$C$1)="SND",Allocate!$B$23*AW$232*AW$14,0))</f>
        <v>2.8910499152079563</v>
      </c>
    </row>
    <row r="305" spans="1:49" ht="15" x14ac:dyDescent="0.25">
      <c r="A305" s="2" t="s">
        <v>581</v>
      </c>
      <c r="B305" s="4" t="str">
        <f t="shared" si="201"/>
        <v>From Fiscal</v>
      </c>
      <c r="D305" s="47">
        <f>Fiscal!D$47</f>
        <v>1.1140000000000001</v>
      </c>
      <c r="E305" s="44">
        <f ca="1">Fiscal!E$47  +IF(OR(OFFSET(Assumptions!$B$72,0,$C$1)="BU",OFFSET(Assumptions!$B$113,0,$C$1)="SND"),Allocate!C$23,0)</f>
        <v>1.587</v>
      </c>
      <c r="F305" s="44">
        <f ca="1">Fiscal!F$47  +IF(OR(OFFSET(Assumptions!$B$72,0,$C$1)="BU",OFFSET(Assumptions!$B$113,0,$C$1)="SND"),Allocate!D$23,0)</f>
        <v>1.6890000000000001</v>
      </c>
      <c r="G305" s="44">
        <f ca="1">Fiscal!G$47  +IF(OR(OFFSET(Assumptions!$B$72,0,$C$1)="BU",OFFSET(Assumptions!$B$113,0,$C$1)="SND"),Allocate!E$23,0)</f>
        <v>1.6559999999999999</v>
      </c>
      <c r="H305" s="44">
        <f ca="1">Fiscal!H$47  +IF(OR(OFFSET(Assumptions!$B$72,0,$C$1)="BU",OFFSET(Assumptions!$B$113,0,$C$1)="SND"),Allocate!F$23,0)</f>
        <v>1.6819999999999999</v>
      </c>
      <c r="I305" s="44">
        <f ca="1">Fiscal!I$47  +IF(OR(OFFSET(Assumptions!$B$72,0,$C$1)="BU",OFFSET(Assumptions!$B$113,0,$C$1)="SND"),Allocate!G$23,0)</f>
        <v>1.7110000000000001</v>
      </c>
      <c r="J305" s="8">
        <f ca="1">IF(J$6=OFFSET(Assumptions!$B$8,0,$C$1),AVERAGE((G$305-G$304)/G$14,(H$305-H$304)/H$14,(I$305-I$304)/I$14),(I$305-I$304)/I$14)*J$14 + J$304</f>
        <v>1.8605291287125332</v>
      </c>
      <c r="K305" s="8">
        <f ca="1">IF(K$6=OFFSET(Assumptions!$B$8,0,$C$1),AVERAGE((H$305-H$304)/H$14,(I$305-I$304)/I$14,(J$305-J$304)/J$14),(J$305-J$304)/J$14)*K$14 + K$304</f>
        <v>1.9382810081607773</v>
      </c>
      <c r="L305" s="8">
        <f ca="1">IF(L$6=OFFSET(Assumptions!$B$8,0,$C$1),AVERAGE((I$305-I$304)/I$14,(J$305-J$304)/J$14,(K$305-K$304)/K$14),(K$305-K$304)/K$14)*L$14 + L$304</f>
        <v>2.0222963611778364</v>
      </c>
      <c r="M305" s="8">
        <f ca="1">IF(M$6=OFFSET(Assumptions!$B$8,0,$C$1),AVERAGE((J$305-J$304)/J$14,(K$305-K$304)/K$14,(L$305-L$304)/L$14),(L$305-L$304)/L$14)*M$14 + M$304</f>
        <v>2.1096726152641074</v>
      </c>
      <c r="N305" s="8">
        <f ca="1">IF(N$6=OFFSET(Assumptions!$B$8,0,$C$1),AVERAGE((K$305-K$304)/K$14,(L$305-L$304)/L$14,(M$305-M$304)/M$14),(M$305-M$304)/M$14)*N$14 + N$304</f>
        <v>2.2006574714349338</v>
      </c>
      <c r="O305" s="8">
        <f ca="1">IF(O$6=OFFSET(Assumptions!$B$8,0,$C$1),AVERAGE((L$305-L$304)/L$14,(M$305-M$304)/M$14,(N$305-N$304)/N$14),(N$305-N$304)/N$14)*O$14 + O$304</f>
        <v>2.2945963495261736</v>
      </c>
      <c r="P305" s="8">
        <f ca="1">IF(P$6=OFFSET(Assumptions!$B$8,0,$C$1),AVERAGE((M$305-M$304)/M$14,(N$305-N$304)/N$14,(O$305-O$304)/O$14),(O$305-O$304)/O$14)*P$14 + P$304</f>
        <v>2.3916323078958159</v>
      </c>
      <c r="Q305" s="8">
        <f ca="1">IF(Q$6=OFFSET(Assumptions!$B$8,0,$C$1),AVERAGE((N$305-N$304)/N$14,(O$305-O$304)/O$14,(P$305-P$304)/P$14),(P$305-P$304)/P$14)*Q$14 + Q$304</f>
        <v>2.4916605298911989</v>
      </c>
      <c r="R305" s="8">
        <f ca="1">IF(R$6=OFFSET(Assumptions!$B$8,0,$C$1),AVERAGE((O$305-O$304)/O$14,(P$305-P$304)/P$14,(Q$305-Q$304)/Q$14),(Q$305-Q$304)/Q$14)*R$14 + R$304</f>
        <v>2.5946067728148128</v>
      </c>
      <c r="S305" s="8">
        <f ca="1">IF(S$6=OFFSET(Assumptions!$B$8,0,$C$1),AVERAGE((P$305-P$304)/P$14,(Q$305-Q$304)/Q$14,(R$305-R$304)/R$14),(R$305-R$304)/R$14)*S$14 + S$304</f>
        <v>2.7007981956288152</v>
      </c>
      <c r="T305" s="8">
        <f ca="1">IF(T$6=OFFSET(Assumptions!$B$8,0,$C$1),AVERAGE((Q$305-Q$304)/Q$14,(R$305-R$304)/R$14,(S$305-S$304)/S$14),(S$305-S$304)/S$14)*T$14 + T$304</f>
        <v>2.8102735227498119</v>
      </c>
      <c r="U305" s="8">
        <f ca="1">IF(U$6=OFFSET(Assumptions!$B$8,0,$C$1),AVERAGE((R$305-R$304)/R$14,(S$305-S$304)/S$14,(T$305-T$304)/T$14),(T$305-T$304)/T$14)*U$14 + U$304</f>
        <v>2.9234256582411069</v>
      </c>
      <c r="V305" s="8">
        <f ca="1">IF(V$6=OFFSET(Assumptions!$B$8,0,$C$1),AVERAGE((S$305-S$304)/S$14,(T$305-T$304)/T$14,(U$305-U$304)/U$14),(U$305-U$304)/U$14)*V$14 + V$304</f>
        <v>3.0405339187954583</v>
      </c>
      <c r="W305" s="8">
        <f ca="1">IF(W$6=OFFSET(Assumptions!$B$8,0,$C$1),AVERAGE((T$305-T$304)/T$14,(U$305-U$304)/U$14,(V$305-V$304)/V$14),(V$305-V$304)/V$14)*W$14 + W$304</f>
        <v>3.1619375965827707</v>
      </c>
      <c r="X305" s="8">
        <f ca="1">IF(X$6=OFFSET(Assumptions!$B$8,0,$C$1),AVERAGE((U$305-U$304)/U$14,(V$305-V$304)/V$14,(W$305-W$304)/W$14),(W$305-W$304)/W$14)*X$14 + X$304</f>
        <v>3.2880212325721052</v>
      </c>
      <c r="Y305" s="8">
        <f ca="1">IF(Y$6=OFFSET(Assumptions!$B$8,0,$C$1),AVERAGE((V$305-V$304)/V$14,(W$305-W$304)/W$14,(X$305-X$304)/X$14),(X$305-X$304)/X$14)*Y$14 + Y$304</f>
        <v>3.4187719368411322</v>
      </c>
      <c r="Z305" s="8">
        <f ca="1">IF(Z$6=OFFSET(Assumptions!$B$8,0,$C$1),AVERAGE((W$305-W$304)/W$14,(X$305-X$304)/X$14,(Y$305-Y$304)/Y$14),(Y$305-Y$304)/Y$14)*Z$14 + Z$304</f>
        <v>3.5548515226975432</v>
      </c>
      <c r="AA305" s="8">
        <f ca="1">IF(AA$6=OFFSET(Assumptions!$B$8,0,$C$1),AVERAGE((X$305-X$304)/X$14,(Y$305-Y$304)/Y$14,(Z$305-Z$304)/Z$14),(Z$305-Z$304)/Z$14)*AA$14 + AA$304</f>
        <v>3.6964801673805243</v>
      </c>
      <c r="AB305" s="8">
        <f ca="1">IF(AB$6=OFFSET(Assumptions!$B$8,0,$C$1),AVERAGE((Y$305-Y$304)/Y$14,(Z$305-Z$304)/Z$14,(AA$305-AA$304)/AA$14),(AA$305-AA$304)/AA$14)*AB$14 + AB$304</f>
        <v>3.8440831947896412</v>
      </c>
      <c r="AC305" s="8">
        <f ca="1">IF(AC$6=OFFSET(Assumptions!$B$8,0,$C$1),AVERAGE((Z$305-Z$304)/Z$14,(AA$305-AA$304)/AA$14,(AB$305-AB$304)/AB$14),(AB$305-AB$304)/AB$14)*AC$14 + AC$304</f>
        <v>3.9982178263834482</v>
      </c>
      <c r="AD305" s="8">
        <f ca="1">IF(AD$6=OFFSET(Assumptions!$B$8,0,$C$1),AVERAGE((AA$305-AA$304)/AA$14,(AB$305-AB$304)/AB$14,(AC$305-AC$304)/AC$14),(AC$305-AC$304)/AC$14)*AD$14 + AD$304</f>
        <v>4.1590465219650028</v>
      </c>
      <c r="AE305" s="8">
        <f ca="1">IF(AE$6=OFFSET(Assumptions!$B$8,0,$C$1),AVERAGE((AB$305-AB$304)/AB$14,(AC$305-AC$304)/AC$14,(AD$305-AD$304)/AD$14),(AD$305-AD$304)/AD$14)*AE$14 + AE$304</f>
        <v>4.3264215818136895</v>
      </c>
      <c r="AF305" s="8">
        <f ca="1">IF(AF$6=OFFSET(Assumptions!$B$8,0,$C$1),AVERAGE((AC$305-AC$304)/AC$14,(AD$305-AD$304)/AD$14,(AE$305-AE$304)/AE$14),(AE$305-AE$304)/AE$14)*AF$14 + AF$304</f>
        <v>4.5008060657029691</v>
      </c>
      <c r="AG305" s="8">
        <f ca="1">IF(AG$6=OFFSET(Assumptions!$B$8,0,$C$1),AVERAGE((AD$305-AD$304)/AD$14,(AE$305-AE$304)/AE$14,(AF$305-AF$304)/AF$14),(AF$305-AF$304)/AF$14)*AG$14 + AG$304</f>
        <v>4.682297482144274</v>
      </c>
      <c r="AH305" s="8">
        <f ca="1">IF(AH$6=OFFSET(Assumptions!$B$8,0,$C$1),AVERAGE((AE$305-AE$304)/AE$14,(AF$305-AF$304)/AF$14,(AG$305-AG$304)/AG$14),(AG$305-AG$304)/AG$14)*AH$14 + AH$304</f>
        <v>4.8711868652168864</v>
      </c>
      <c r="AI305" s="8">
        <f ca="1">IF(AI$6=OFFSET(Assumptions!$B$8,0,$C$1),AVERAGE((AF$305-AF$304)/AF$14,(AG$305-AG$304)/AG$14,(AH$305-AH$304)/AH$14),(AH$305-AH$304)/AH$14)*AI$14 + AI$304</f>
        <v>5.067144162639849</v>
      </c>
      <c r="AJ305" s="8">
        <f ca="1">IF(AJ$6=OFFSET(Assumptions!$B$8,0,$C$1),AVERAGE((AG$305-AG$304)/AG$14,(AH$305-AH$304)/AH$14,(AI$305-AI$304)/AI$14),(AI$305-AI$304)/AI$14)*AJ$14 + AJ$304</f>
        <v>5.2707971232692969</v>
      </c>
      <c r="AK305" s="8">
        <f ca="1">IF(AK$6=OFFSET(Assumptions!$B$8,0,$C$1),AVERAGE((AH$305-AH$304)/AH$14,(AI$305-AI$304)/AI$14,(AJ$305-AJ$304)/AJ$14),(AJ$305-AJ$304)/AJ$14)*AK$14 + AK$304</f>
        <v>5.4819782159065777</v>
      </c>
      <c r="AL305" s="8">
        <f ca="1">IF(AL$6=OFFSET(Assumptions!$B$8,0,$C$1),AVERAGE((AI$305-AI$304)/AI$14,(AJ$305-AJ$304)/AJ$14,(AK$305-AK$304)/AK$14),(AK$305-AK$304)/AK$14)*AL$14 + AL$304</f>
        <v>5.7005210873789185</v>
      </c>
      <c r="AM305" s="8">
        <f ca="1">IF(AM$6=OFFSET(Assumptions!$B$8,0,$C$1),AVERAGE((AJ$305-AJ$304)/AJ$14,(AK$305-AK$304)/AK$14,(AL$305-AL$304)/AL$14),(AL$305-AL$304)/AL$14)*AM$14 + AM$304</f>
        <v>5.9267242957074666</v>
      </c>
      <c r="AN305" s="8">
        <f ca="1">IF(AN$6=OFFSET(Assumptions!$B$8,0,$C$1),AVERAGE((AK$305-AK$304)/AK$14,(AL$305-AL$304)/AL$14,(AM$305-AM$304)/AM$14),(AM$305-AM$304)/AM$14)*AN$14 + AN$304</f>
        <v>6.1609024873644342</v>
      </c>
      <c r="AO305" s="8">
        <f ca="1">IF(AO$6=OFFSET(Assumptions!$B$8,0,$C$1),AVERAGE((AL$305-AL$304)/AL$14,(AM$305-AM$304)/AM$14,(AN$305-AN$304)/AN$14),(AN$305-AN$304)/AN$14)*AO$14 + AO$304</f>
        <v>6.4021361255737563</v>
      </c>
      <c r="AP305" s="8">
        <f ca="1">IF(AP$6=OFFSET(Assumptions!$B$8,0,$C$1),AVERAGE((AM$305-AM$304)/AM$14,(AN$305-AN$304)/AN$14,(AO$305-AO$304)/AO$14),(AO$305-AO$304)/AO$14)*AP$14 + AP$304</f>
        <v>6.6514496078024727</v>
      </c>
      <c r="AQ305" s="8">
        <f ca="1">IF(AQ$6=OFFSET(Assumptions!$B$8,0,$C$1),AVERAGE((AN$305-AN$304)/AN$14,(AO$305-AO$304)/AO$14,(AP$305-AP$304)/AP$14),(AP$305-AP$304)/AP$14)*AQ$14 + AQ$304</f>
        <v>6.9081443584601452</v>
      </c>
      <c r="AR305" s="8">
        <f ca="1">IF(AR$6=OFFSET(Assumptions!$B$8,0,$C$1),AVERAGE((AO$305-AO$304)/AO$14,(AP$305-AP$304)/AP$14,(AQ$305-AQ$304)/AQ$14),(AQ$305-AQ$304)/AQ$14)*AR$14 + AR$304</f>
        <v>7.172511001926404</v>
      </c>
      <c r="AS305" s="8">
        <f ca="1">IF(AS$6=OFFSET(Assumptions!$B$8,0,$C$1),AVERAGE((AP$305-AP$304)/AP$14,(AQ$305-AQ$304)/AQ$14,(AR$305-AR$304)/AR$14),(AR$305-AR$304)/AR$14)*AS$14 + AS$304</f>
        <v>7.4451662979550965</v>
      </c>
      <c r="AT305" s="8">
        <f ca="1">IF(AT$6=OFFSET(Assumptions!$B$8,0,$C$1),AVERAGE((AQ$305-AQ$304)/AQ$14,(AR$305-AR$304)/AR$14,(AS$305-AS$304)/AS$14),(AS$305-AS$304)/AS$14)*AT$14 + AT$304</f>
        <v>7.7263280074046703</v>
      </c>
      <c r="AU305" s="8">
        <f ca="1">IF(AU$6=OFFSET(Assumptions!$B$8,0,$C$1),AVERAGE((AR$305-AR$304)/AR$14,(AS$305-AS$304)/AS$14,(AT$305-AT$304)/AT$14),(AT$305-AT$304)/AT$14)*AU$14 + AU$304</f>
        <v>8.016370012580861</v>
      </c>
      <c r="AV305" s="8">
        <f ca="1">IF(AV$6=OFFSET(Assumptions!$B$8,0,$C$1),AVERAGE((AS$305-AS$304)/AS$14,(AT$305-AT$304)/AT$14,(AU$305-AU$304)/AU$14),(AU$305-AU$304)/AU$14)*AV$14 + AV$304</f>
        <v>8.3161890937981351</v>
      </c>
      <c r="AW305" s="8">
        <f ca="1">IF(AW$6=OFFSET(Assumptions!$B$8,0,$C$1),AVERAGE((AT$305-AT$304)/AT$14,(AU$305-AU$304)/AU$14,(AV$305-AV$304)/AV$14),(AV$305-AV$304)/AV$14)*AW$14 + AW$304</f>
        <v>8.6256159863419111</v>
      </c>
    </row>
    <row r="306" spans="1:49" ht="15" x14ac:dyDescent="0.25">
      <c r="A306" s="2"/>
      <c r="B306" s="4"/>
      <c r="D306" s="47"/>
      <c r="E306" s="44"/>
      <c r="F306" s="44"/>
      <c r="G306" s="44"/>
      <c r="H306" s="44"/>
      <c r="I306" s="44"/>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row>
    <row r="307" spans="1:49" ht="15" x14ac:dyDescent="0.25">
      <c r="A307" s="22" t="s">
        <v>629</v>
      </c>
      <c r="B307" s="4"/>
      <c r="D307" s="47"/>
      <c r="E307" s="44"/>
      <c r="F307" s="44"/>
      <c r="G307" s="44"/>
      <c r="H307" s="44"/>
      <c r="I307" s="44"/>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row>
    <row r="308" spans="1:49" ht="15" x14ac:dyDescent="0.25">
      <c r="A308" s="2" t="s">
        <v>582</v>
      </c>
      <c r="B308" s="4" t="str">
        <f t="shared" si="201"/>
        <v>From Fiscal</v>
      </c>
      <c r="D308" s="47">
        <f>Fiscal!D$65</f>
        <v>0.72299999999999998</v>
      </c>
      <c r="E308" s="44">
        <f ca="1">Fiscal!E$65  +IF(OR(OFFSET(Assumptions!$B$72,0,$C$1)="BU",OFFSET(Assumptions!$B$113,0,$C$1)="SND"),Allocate!C$24,0)</f>
        <v>0.67600000000000005</v>
      </c>
      <c r="F308" s="44">
        <f ca="1">Fiscal!F$65  +IF(OR(OFFSET(Assumptions!$B$72,0,$C$1)="BU",OFFSET(Assumptions!$B$113,0,$C$1)="SND"),Allocate!D$24,0)</f>
        <v>0.70899999999999996</v>
      </c>
      <c r="G308" s="44">
        <f ca="1">Fiscal!G$65  +IF(OR(OFFSET(Assumptions!$B$72,0,$C$1)="BU",OFFSET(Assumptions!$B$113,0,$C$1)="SND"),Allocate!E$24,0)</f>
        <v>0.78700000000000003</v>
      </c>
      <c r="H308" s="44">
        <f ca="1">Fiscal!H$65  +IF(OR(OFFSET(Assumptions!$B$72,0,$C$1)="BU",OFFSET(Assumptions!$B$113,0,$C$1)="SND"),Allocate!F$24,0)</f>
        <v>0.81300000000000006</v>
      </c>
      <c r="I308" s="44">
        <f ca="1">Fiscal!I$65  +IF(OR(OFFSET(Assumptions!$B$72,0,$C$1)="BU",OFFSET(Assumptions!$B$113,0,$C$1)="SND"),Allocate!G$24,0)</f>
        <v>0.85499999999999998</v>
      </c>
      <c r="J308" s="57">
        <f ca="1">IF(OFFSET(Assumptions!$B$72,0,$C$1)="BU",J$14*(I$308/I$14+MIN(ABS(OFFSET(Assumptions!$B$85,0,$C$1)-I$308/I$14),OFFSET(Assumptions!$B$75,0,$C$1))*SIGN(OFFSET(Assumptions!$B$85,0,$C$1)-I$308/I$14)),I$308+IF(OFFSET(Assumptions!$B$113,0,$C$1)="SND",Allocate!$B$24*J$232*J$14,0))</f>
        <v>0.93539103554866121</v>
      </c>
      <c r="K308" s="57">
        <f ca="1">IF(OFFSET(Assumptions!$B$72,0,$C$1)="BU",K$14*(J$308/J$14+MIN(ABS(OFFSET(Assumptions!$B$85,0,$C$1)-J$308/J$14),OFFSET(Assumptions!$B$75,0,$C$1))*SIGN(OFFSET(Assumptions!$B$85,0,$C$1)-J$308/J$14)),J$308+IF(OFFSET(Assumptions!$B$113,0,$C$1)="SND",Allocate!$B$24*K$232*K$14,0))</f>
        <v>0.97448121151557809</v>
      </c>
      <c r="L308" s="57">
        <f ca="1">IF(OFFSET(Assumptions!$B$72,0,$C$1)="BU",L$14*(K$308/K$14+MIN(ABS(OFFSET(Assumptions!$B$85,0,$C$1)-K$308/K$14),OFFSET(Assumptions!$B$75,0,$C$1))*SIGN(OFFSET(Assumptions!$B$85,0,$C$1)-K$308/K$14)),K$308+IF(OFFSET(Assumptions!$B$113,0,$C$1)="SND",Allocate!$B$24*L$232*L$14,0))</f>
        <v>1.0167203825383908</v>
      </c>
      <c r="M308" s="57">
        <f ca="1">IF(OFFSET(Assumptions!$B$72,0,$C$1)="BU",M$14*(L$308/L$14+MIN(ABS(OFFSET(Assumptions!$B$85,0,$C$1)-L$308/L$14),OFFSET(Assumptions!$B$75,0,$C$1))*SIGN(OFFSET(Assumptions!$B$85,0,$C$1)-L$308/L$14)),L$308+IF(OFFSET(Assumptions!$B$113,0,$C$1)="SND",Allocate!$B$24*M$232*M$14,0))</f>
        <v>1.060649264667034</v>
      </c>
      <c r="N308" s="57">
        <f ca="1">IF(OFFSET(Assumptions!$B$72,0,$C$1)="BU",N$14*(M$308/M$14+MIN(ABS(OFFSET(Assumptions!$B$85,0,$C$1)-M$308/M$14),OFFSET(Assumptions!$B$75,0,$C$1))*SIGN(OFFSET(Assumptions!$B$85,0,$C$1)-M$308/M$14)),M$308+IF(OFFSET(Assumptions!$B$113,0,$C$1)="SND",Allocate!$B$24*N$232*N$14,0))</f>
        <v>1.1063923909204607</v>
      </c>
      <c r="O308" s="57">
        <f ca="1">IF(OFFSET(Assumptions!$B$72,0,$C$1)="BU",O$14*(N$308/N$14+MIN(ABS(OFFSET(Assumptions!$B$85,0,$C$1)-N$308/N$14),OFFSET(Assumptions!$B$75,0,$C$1))*SIGN(OFFSET(Assumptions!$B$85,0,$C$1)-N$308/N$14)),N$308+IF(OFFSET(Assumptions!$B$113,0,$C$1)="SND",Allocate!$B$24*O$232*O$14,0))</f>
        <v>1.1536206675972411</v>
      </c>
      <c r="P308" s="57">
        <f ca="1">IF(OFFSET(Assumptions!$B$72,0,$C$1)="BU",P$14*(O$308/O$14+MIN(ABS(OFFSET(Assumptions!$B$85,0,$C$1)-O$308/O$14),OFFSET(Assumptions!$B$75,0,$C$1))*SIGN(OFFSET(Assumptions!$B$85,0,$C$1)-O$308/O$14)),O$308+IF(OFFSET(Assumptions!$B$113,0,$C$1)="SND",Allocate!$B$24*P$232*P$14,0))</f>
        <v>1.2024060180570031</v>
      </c>
      <c r="Q308" s="57">
        <f ca="1">IF(OFFSET(Assumptions!$B$72,0,$C$1)="BU",Q$14*(P$308/P$14+MIN(ABS(OFFSET(Assumptions!$B$85,0,$C$1)-P$308/P$14),OFFSET(Assumptions!$B$75,0,$C$1))*SIGN(OFFSET(Assumptions!$B$85,0,$C$1)-P$308/P$14)),P$308+IF(OFFSET(Assumptions!$B$113,0,$C$1)="SND",Allocate!$B$24*Q$232*Q$14,0))</f>
        <v>1.2526957451633445</v>
      </c>
      <c r="R308" s="57">
        <f ca="1">IF(OFFSET(Assumptions!$B$72,0,$C$1)="BU",R$14*(Q$308/Q$14+MIN(ABS(OFFSET(Assumptions!$B$85,0,$C$1)-Q$308/Q$14),OFFSET(Assumptions!$B$75,0,$C$1))*SIGN(OFFSET(Assumptions!$B$85,0,$C$1)-Q$308/Q$14)),Q$308+IF(OFFSET(Assumptions!$B$113,0,$C$1)="SND",Allocate!$B$24*R$232*R$14,0))</f>
        <v>1.3044525230004098</v>
      </c>
      <c r="S308" s="57">
        <f ca="1">IF(OFFSET(Assumptions!$B$72,0,$C$1)="BU",S$14*(R$308/R$14+MIN(ABS(OFFSET(Assumptions!$B$85,0,$C$1)-R$308/R$14),OFFSET(Assumptions!$B$75,0,$C$1))*SIGN(OFFSET(Assumptions!$B$85,0,$C$1)-R$308/R$14)),R$308+IF(OFFSET(Assumptions!$B$113,0,$C$1)="SND",Allocate!$B$24*S$232*S$14,0))</f>
        <v>1.3578408324976714</v>
      </c>
      <c r="T308" s="57">
        <f ca="1">IF(OFFSET(Assumptions!$B$72,0,$C$1)="BU",T$14*(S$308/S$14+MIN(ABS(OFFSET(Assumptions!$B$85,0,$C$1)-S$308/S$14),OFFSET(Assumptions!$B$75,0,$C$1))*SIGN(OFFSET(Assumptions!$B$85,0,$C$1)-S$308/S$14)),S$308+IF(OFFSET(Assumptions!$B$113,0,$C$1)="SND",Allocate!$B$24*T$232*T$14,0))</f>
        <v>1.4128801425640496</v>
      </c>
      <c r="U308" s="57">
        <f ca="1">IF(OFFSET(Assumptions!$B$72,0,$C$1)="BU",U$14*(T$308/T$14+MIN(ABS(OFFSET(Assumptions!$B$85,0,$C$1)-T$308/T$14),OFFSET(Assumptions!$B$75,0,$C$1))*SIGN(OFFSET(Assumptions!$B$85,0,$C$1)-T$308/T$14)),T$308+IF(OFFSET(Assumptions!$B$113,0,$C$1)="SND",Allocate!$B$24*U$232*U$14,0))</f>
        <v>1.4697679878325542</v>
      </c>
      <c r="V308" s="57">
        <f ca="1">IF(OFFSET(Assumptions!$B$72,0,$C$1)="BU",V$14*(U$308/U$14+MIN(ABS(OFFSET(Assumptions!$B$85,0,$C$1)-U$308/U$14),OFFSET(Assumptions!$B$75,0,$C$1))*SIGN(OFFSET(Assumptions!$B$85,0,$C$1)-U$308/U$14)),U$308+IF(OFFSET(Assumptions!$B$113,0,$C$1)="SND",Allocate!$B$24*V$232*V$14,0))</f>
        <v>1.5286447962741612</v>
      </c>
      <c r="W308" s="57">
        <f ca="1">IF(OFFSET(Assumptions!$B$72,0,$C$1)="BU",W$14*(V$308/V$14+MIN(ABS(OFFSET(Assumptions!$B$85,0,$C$1)-V$308/V$14),OFFSET(Assumptions!$B$75,0,$C$1))*SIGN(OFFSET(Assumptions!$B$85,0,$C$1)-V$308/V$14)),V$308+IF(OFFSET(Assumptions!$B$113,0,$C$1)="SND",Allocate!$B$24*W$232*W$14,0))</f>
        <v>1.5896811488538558</v>
      </c>
      <c r="X308" s="57">
        <f ca="1">IF(OFFSET(Assumptions!$B$72,0,$C$1)="BU",X$14*(W$308/W$14+MIN(ABS(OFFSET(Assumptions!$B$85,0,$C$1)-W$308/W$14),OFFSET(Assumptions!$B$75,0,$C$1))*SIGN(OFFSET(Assumptions!$B$85,0,$C$1)-W$308/W$14)),W$308+IF(OFFSET(Assumptions!$B$113,0,$C$1)="SND",Allocate!$B$24*X$232*X$14,0))</f>
        <v>1.6530703756139955</v>
      </c>
      <c r="Y308" s="57">
        <f ca="1">IF(OFFSET(Assumptions!$B$72,0,$C$1)="BU",Y$14*(X$308/X$14+MIN(ABS(OFFSET(Assumptions!$B$85,0,$C$1)-X$308/X$14),OFFSET(Assumptions!$B$75,0,$C$1))*SIGN(OFFSET(Assumptions!$B$85,0,$C$1)-X$308/X$14)),X$308+IF(OFFSET(Assumptions!$B$113,0,$C$1)="SND",Allocate!$B$24*Y$232*Y$14,0))</f>
        <v>1.718805996076737</v>
      </c>
      <c r="Z308" s="57">
        <f ca="1">IF(OFFSET(Assumptions!$B$72,0,$C$1)="BU",Z$14*(Y$308/Y$14+MIN(ABS(OFFSET(Assumptions!$B$85,0,$C$1)-Y$308/Y$14),OFFSET(Assumptions!$B$75,0,$C$1))*SIGN(OFFSET(Assumptions!$B$85,0,$C$1)-Y$308/Y$14)),Y$308+IF(OFFSET(Assumptions!$B$113,0,$C$1)="SND",Allocate!$B$24*Z$232*Z$14,0))</f>
        <v>1.787220740445369</v>
      </c>
      <c r="AA308" s="57">
        <f ca="1">IF(OFFSET(Assumptions!$B$72,0,$C$1)="BU",AA$14*(Z$308/Z$14+MIN(ABS(OFFSET(Assumptions!$B$85,0,$C$1)-Z$308/Z$14),OFFSET(Assumptions!$B$75,0,$C$1))*SIGN(OFFSET(Assumptions!$B$85,0,$C$1)-Z$308/Z$14)),Z$308+IF(OFFSET(Assumptions!$B$113,0,$C$1)="SND",Allocate!$B$24*AA$232*AA$14,0))</f>
        <v>1.8584253040122078</v>
      </c>
      <c r="AB308" s="57">
        <f ca="1">IF(OFFSET(Assumptions!$B$72,0,$C$1)="BU",AB$14*(AA$308/AA$14+MIN(ABS(OFFSET(Assumptions!$B$85,0,$C$1)-AA$308/AA$14),OFFSET(Assumptions!$B$75,0,$C$1))*SIGN(OFFSET(Assumptions!$B$85,0,$C$1)-AA$308/AA$14)),AA$308+IF(OFFSET(Assumptions!$B$113,0,$C$1)="SND",Allocate!$B$24*AB$232*AB$14,0))</f>
        <v>1.9326335206574761</v>
      </c>
      <c r="AC308" s="57">
        <f ca="1">IF(OFFSET(Assumptions!$B$72,0,$C$1)="BU",AC$14*(AB$308/AB$14+MIN(ABS(OFFSET(Assumptions!$B$85,0,$C$1)-AB$308/AB$14),OFFSET(Assumptions!$B$75,0,$C$1))*SIGN(OFFSET(Assumptions!$B$85,0,$C$1)-AB$308/AB$14)),AB$308+IF(OFFSET(Assumptions!$B$113,0,$C$1)="SND",Allocate!$B$24*AC$232*AC$14,0))</f>
        <v>2.0101255364692419</v>
      </c>
      <c r="AD308" s="57">
        <f ca="1">IF(OFFSET(Assumptions!$B$72,0,$C$1)="BU",AD$14*(AC$308/AC$14+MIN(ABS(OFFSET(Assumptions!$B$85,0,$C$1)-AC$308/AC$14),OFFSET(Assumptions!$B$75,0,$C$1))*SIGN(OFFSET(Assumptions!$B$85,0,$C$1)-AC$308/AC$14)),AC$308+IF(OFFSET(Assumptions!$B$113,0,$C$1)="SND",Allocate!$B$24*AD$232*AD$14,0))</f>
        <v>2.0909830289880889</v>
      </c>
      <c r="AE308" s="57">
        <f ca="1">IF(OFFSET(Assumptions!$B$72,0,$C$1)="BU",AE$14*(AD$308/AD$14+MIN(ABS(OFFSET(Assumptions!$B$85,0,$C$1)-AD$308/AD$14),OFFSET(Assumptions!$B$75,0,$C$1))*SIGN(OFFSET(Assumptions!$B$85,0,$C$1)-AD$308/AD$14)),AD$308+IF(OFFSET(Assumptions!$B$113,0,$C$1)="SND",Allocate!$B$24*AE$232*AE$14,0))</f>
        <v>2.1751317413843423</v>
      </c>
      <c r="AF308" s="57">
        <f ca="1">IF(OFFSET(Assumptions!$B$72,0,$C$1)="BU",AF$14*(AE$308/AE$14+MIN(ABS(OFFSET(Assumptions!$B$85,0,$C$1)-AE$308/AE$14),OFFSET(Assumptions!$B$75,0,$C$1))*SIGN(OFFSET(Assumptions!$B$85,0,$C$1)-AE$308/AE$14)),AE$308+IF(OFFSET(Assumptions!$B$113,0,$C$1)="SND",Allocate!$B$24*AF$232*AF$14,0))</f>
        <v>2.2628044794519733</v>
      </c>
      <c r="AG308" s="57">
        <f ca="1">IF(OFFSET(Assumptions!$B$72,0,$C$1)="BU",AG$14*(AF$308/AF$14+MIN(ABS(OFFSET(Assumptions!$B$85,0,$C$1)-AF$308/AF$14),OFFSET(Assumptions!$B$75,0,$C$1))*SIGN(OFFSET(Assumptions!$B$85,0,$C$1)-AF$308/AF$14)),AF$308+IF(OFFSET(Assumptions!$B$113,0,$C$1)="SND",Allocate!$B$24*AG$232*AG$14,0))</f>
        <v>2.3540502661200389</v>
      </c>
      <c r="AH308" s="57">
        <f ca="1">IF(OFFSET(Assumptions!$B$72,0,$C$1)="BU",AH$14*(AG$308/AG$14+MIN(ABS(OFFSET(Assumptions!$B$85,0,$C$1)-AG$308/AG$14),OFFSET(Assumptions!$B$75,0,$C$1))*SIGN(OFFSET(Assumptions!$B$85,0,$C$1)-AG$308/AG$14)),AG$308+IF(OFFSET(Assumptions!$B$113,0,$C$1)="SND",Allocate!$B$24*AH$232*AH$14,0))</f>
        <v>2.4490154203386689</v>
      </c>
      <c r="AI308" s="57">
        <f ca="1">IF(OFFSET(Assumptions!$B$72,0,$C$1)="BU",AI$14*(AH$308/AH$14+MIN(ABS(OFFSET(Assumptions!$B$85,0,$C$1)-AH$308/AH$14),OFFSET(Assumptions!$B$75,0,$C$1))*SIGN(OFFSET(Assumptions!$B$85,0,$C$1)-AH$308/AH$14)),AH$308+IF(OFFSET(Assumptions!$B$113,0,$C$1)="SND",Allocate!$B$24*AI$232*AI$14,0))</f>
        <v>2.5475340065467877</v>
      </c>
      <c r="AJ308" s="57">
        <f ca="1">IF(OFFSET(Assumptions!$B$72,0,$C$1)="BU",AJ$14*(AI$308/AI$14+MIN(ABS(OFFSET(Assumptions!$B$85,0,$C$1)-AI$308/AI$14),OFFSET(Assumptions!$B$75,0,$C$1))*SIGN(OFFSET(Assumptions!$B$85,0,$C$1)-AI$308/AI$14)),AI$308+IF(OFFSET(Assumptions!$B$113,0,$C$1)="SND",Allocate!$B$24*AJ$232*AJ$14,0))</f>
        <v>2.6499216288612804</v>
      </c>
      <c r="AK308" s="57">
        <f ca="1">IF(OFFSET(Assumptions!$B$72,0,$C$1)="BU",AK$14*(AJ$308/AJ$14+MIN(ABS(OFFSET(Assumptions!$B$85,0,$C$1)-AJ$308/AJ$14),OFFSET(Assumptions!$B$75,0,$C$1))*SIGN(OFFSET(Assumptions!$B$85,0,$C$1)-AJ$308/AJ$14)),AJ$308+IF(OFFSET(Assumptions!$B$113,0,$C$1)="SND",Allocate!$B$24*AK$232*AK$14,0))</f>
        <v>2.7560940600701254</v>
      </c>
      <c r="AL308" s="57">
        <f ca="1">IF(OFFSET(Assumptions!$B$72,0,$C$1)="BU",AL$14*(AK$308/AK$14+MIN(ABS(OFFSET(Assumptions!$B$85,0,$C$1)-AK$308/AK$14),OFFSET(Assumptions!$B$75,0,$C$1))*SIGN(OFFSET(Assumptions!$B$85,0,$C$1)-AK$308/AK$14)),AK$308+IF(OFFSET(Assumptions!$B$113,0,$C$1)="SND",Allocate!$B$24*AL$232*AL$14,0))</f>
        <v>2.8659676652201558</v>
      </c>
      <c r="AM308" s="57">
        <f ca="1">IF(OFFSET(Assumptions!$B$72,0,$C$1)="BU",AM$14*(AL$308/AL$14+MIN(ABS(OFFSET(Assumptions!$B$85,0,$C$1)-AL$308/AL$14),OFFSET(Assumptions!$B$75,0,$C$1))*SIGN(OFFSET(Assumptions!$B$85,0,$C$1)-AL$308/AL$14)),AL$308+IF(OFFSET(Assumptions!$B$113,0,$C$1)="SND",Allocate!$B$24*AM$232*AM$14,0))</f>
        <v>2.9796925459637791</v>
      </c>
      <c r="AN308" s="57">
        <f ca="1">IF(OFFSET(Assumptions!$B$72,0,$C$1)="BU",AN$14*(AM$308/AM$14+MIN(ABS(OFFSET(Assumptions!$B$85,0,$C$1)-AM$308/AM$14),OFFSET(Assumptions!$B$75,0,$C$1))*SIGN(OFFSET(Assumptions!$B$85,0,$C$1)-AM$308/AM$14)),AM$308+IF(OFFSET(Assumptions!$B$113,0,$C$1)="SND",Allocate!$B$24*AN$232*AN$14,0))</f>
        <v>3.0974268925087878</v>
      </c>
      <c r="AO308" s="57">
        <f ca="1">IF(OFFSET(Assumptions!$B$72,0,$C$1)="BU",AO$14*(AN$308/AN$14+MIN(ABS(OFFSET(Assumptions!$B$85,0,$C$1)-AN$308/AN$14),OFFSET(Assumptions!$B$75,0,$C$1))*SIGN(OFFSET(Assumptions!$B$85,0,$C$1)-AN$308/AN$14)),AN$308+IF(OFFSET(Assumptions!$B$113,0,$C$1)="SND",Allocate!$B$24*AO$232*AO$14,0))</f>
        <v>3.2187084027907233</v>
      </c>
      <c r="AP308" s="57">
        <f ca="1">IF(OFFSET(Assumptions!$B$72,0,$C$1)="BU",AP$14*(AO$308/AO$14+MIN(ABS(OFFSET(Assumptions!$B$85,0,$C$1)-AO$308/AO$14),OFFSET(Assumptions!$B$75,0,$C$1))*SIGN(OFFSET(Assumptions!$B$85,0,$C$1)-AO$308/AO$14)),AO$308+IF(OFFSET(Assumptions!$B$113,0,$C$1)="SND",Allocate!$B$24*AP$232*AP$14,0))</f>
        <v>3.3440520981509447</v>
      </c>
      <c r="AQ308" s="57">
        <f ca="1">IF(OFFSET(Assumptions!$B$72,0,$C$1)="BU",AQ$14*(AP$308/AP$14+MIN(ABS(OFFSET(Assumptions!$B$85,0,$C$1)-AP$308/AP$14),OFFSET(Assumptions!$B$75,0,$C$1))*SIGN(OFFSET(Assumptions!$B$85,0,$C$1)-AP$308/AP$14)),AP$308+IF(OFFSET(Assumptions!$B$113,0,$C$1)="SND",Allocate!$B$24*AQ$232*AQ$14,0))</f>
        <v>3.4731067659506043</v>
      </c>
      <c r="AR308" s="57">
        <f ca="1">IF(OFFSET(Assumptions!$B$72,0,$C$1)="BU",AR$14*(AQ$308/AQ$14+MIN(ABS(OFFSET(Assumptions!$B$85,0,$C$1)-AQ$308/AQ$14),OFFSET(Assumptions!$B$75,0,$C$1))*SIGN(OFFSET(Assumptions!$B$85,0,$C$1)-AQ$308/AQ$14)),AQ$308+IF(OFFSET(Assumptions!$B$113,0,$C$1)="SND",Allocate!$B$24*AR$232*AR$14,0))</f>
        <v>3.6060185191611267</v>
      </c>
      <c r="AS308" s="57">
        <f ca="1">IF(OFFSET(Assumptions!$B$72,0,$C$1)="BU",AS$14*(AR$308/AR$14+MIN(ABS(OFFSET(Assumptions!$B$85,0,$C$1)-AR$308/AR$14),OFFSET(Assumptions!$B$75,0,$C$1))*SIGN(OFFSET(Assumptions!$B$85,0,$C$1)-AR$308/AR$14)),AR$308+IF(OFFSET(Assumptions!$B$113,0,$C$1)="SND",Allocate!$B$24*AS$232*AS$14,0))</f>
        <v>3.7430974370690611</v>
      </c>
      <c r="AT308" s="57">
        <f ca="1">IF(OFFSET(Assumptions!$B$72,0,$C$1)="BU",AT$14*(AS$308/AS$14+MIN(ABS(OFFSET(Assumptions!$B$85,0,$C$1)-AS$308/AS$14),OFFSET(Assumptions!$B$75,0,$C$1))*SIGN(OFFSET(Assumptions!$B$85,0,$C$1)-AS$308/AS$14)),AS$308+IF(OFFSET(Assumptions!$B$113,0,$C$1)="SND",Allocate!$B$24*AT$232*AT$14,0))</f>
        <v>3.8844530001182993</v>
      </c>
      <c r="AU308" s="57">
        <f ca="1">IF(OFFSET(Assumptions!$B$72,0,$C$1)="BU",AU$14*(AT$308/AT$14+MIN(ABS(OFFSET(Assumptions!$B$85,0,$C$1)-AT$308/AT$14),OFFSET(Assumptions!$B$75,0,$C$1))*SIGN(OFFSET(Assumptions!$B$85,0,$C$1)-AT$308/AT$14)),AT$308+IF(OFFSET(Assumptions!$B$113,0,$C$1)="SND",Allocate!$B$24*AU$232*AU$14,0))</f>
        <v>4.0302731796508313</v>
      </c>
      <c r="AV308" s="57">
        <f ca="1">IF(OFFSET(Assumptions!$B$72,0,$C$1)="BU",AV$14*(AU$308/AU$14+MIN(ABS(OFFSET(Assumptions!$B$85,0,$C$1)-AU$308/AU$14),OFFSET(Assumptions!$B$75,0,$C$1))*SIGN(OFFSET(Assumptions!$B$85,0,$C$1)-AU$308/AU$14)),AU$308+IF(OFFSET(Assumptions!$B$113,0,$C$1)="SND",Allocate!$B$24*AV$232*AV$14,0))</f>
        <v>4.1810088367975382</v>
      </c>
      <c r="AW308" s="57">
        <f ca="1">IF(OFFSET(Assumptions!$B$72,0,$C$1)="BU",AW$14*(AV$308/AV$14+MIN(ABS(OFFSET(Assumptions!$B$85,0,$C$1)-AV$308/AV$14),OFFSET(Assumptions!$B$75,0,$C$1))*SIGN(OFFSET(Assumptions!$B$85,0,$C$1)-AV$308/AV$14)),AV$308+IF(OFFSET(Assumptions!$B$113,0,$C$1)="SND",Allocate!$B$24*AW$232*AW$14,0))</f>
        <v>4.3365748728119344</v>
      </c>
    </row>
    <row r="309" spans="1:49" ht="15" x14ac:dyDescent="0.25">
      <c r="A309" s="2" t="s">
        <v>583</v>
      </c>
      <c r="B309" s="4" t="str">
        <f t="shared" si="201"/>
        <v>From Fiscal</v>
      </c>
      <c r="D309" s="47">
        <f>Fiscal!D$48</f>
        <v>0.61599999999999999</v>
      </c>
      <c r="E309" s="44">
        <f ca="1">Fiscal!E$48  +IF(OR(OFFSET(Assumptions!$B$72,0,$C$1)="BU",OFFSET(Assumptions!$B$113,0,$C$1)="SND"),Allocate!C$24,0)</f>
        <v>0.67800000000000005</v>
      </c>
      <c r="F309" s="44">
        <f ca="1">Fiscal!F$48  +IF(OR(OFFSET(Assumptions!$B$72,0,$C$1)="BU",OFFSET(Assumptions!$B$113,0,$C$1)="SND"),Allocate!D$24,0)</f>
        <v>0.71199999999999997</v>
      </c>
      <c r="G309" s="44">
        <f ca="1">Fiscal!G$48  +IF(OR(OFFSET(Assumptions!$B$72,0,$C$1)="BU",OFFSET(Assumptions!$B$113,0,$C$1)="SND"),Allocate!E$24,0)</f>
        <v>0.78900000000000003</v>
      </c>
      <c r="H309" s="44">
        <f ca="1">Fiscal!H$48  +IF(OR(OFFSET(Assumptions!$B$72,0,$C$1)="BU",OFFSET(Assumptions!$B$113,0,$C$1)="SND"),Allocate!F$24,0)</f>
        <v>0.81500000000000006</v>
      </c>
      <c r="I309" s="44">
        <f ca="1">Fiscal!I$48  +IF(OR(OFFSET(Assumptions!$B$72,0,$C$1)="BU",OFFSET(Assumptions!$B$113,0,$C$1)="SND"),Allocate!G$24,0)</f>
        <v>0.8580000000000001</v>
      </c>
      <c r="J309" s="8">
        <f ca="1">IF(J$6=OFFSET(Assumptions!$B$8,0,$C$1),AVERAGE((G$309-G$308)/G$14,(H$309-H$308)/H$14,(I$309-I$308)/I$14),(I$309-I$308)/I$14)*J$14 + J$308</f>
        <v>0.93791599786156332</v>
      </c>
      <c r="K309" s="8">
        <f ca="1">IF(K$6=OFFSET(Assumptions!$B$8,0,$C$1),AVERAGE((H$309-H$308)/H$14,(I$309-I$308)/I$14,(J$309-J$308)/J$14),(J$309-J$308)/J$14)*K$14 + K$308</f>
        <v>0.97711169250181584</v>
      </c>
      <c r="L309" s="8">
        <f ca="1">IF(L$6=OFFSET(Assumptions!$B$8,0,$C$1),AVERAGE((I$309-I$308)/I$14,(J$309-J$308)/J$14,(K$309-K$308)/K$14),(K$309-K$308)/K$14)*L$14 + L$308</f>
        <v>1.0194648824866537</v>
      </c>
      <c r="M309" s="8">
        <f ca="1">IF(M$6=OFFSET(Assumptions!$B$8,0,$C$1),AVERAGE((J$309-J$308)/J$14,(K$309-K$308)/K$14,(L$309-L$308)/L$14),(L$309-L$308)/L$14)*M$14 + M$308</f>
        <v>1.0635123447252268</v>
      </c>
      <c r="N309" s="8">
        <f ca="1">IF(N$6=OFFSET(Assumptions!$B$8,0,$C$1),AVERAGE((K$309-K$308)/K$14,(L$309-L$308)/L$14,(M$309-M$308)/M$14),(M$309-M$308)/M$14)*N$14 + N$308</f>
        <v>1.1093789483966261</v>
      </c>
      <c r="O309" s="8">
        <f ca="1">IF(O$6=OFFSET(Assumptions!$B$8,0,$C$1),AVERAGE((L$309-L$308)/L$14,(M$309-M$308)/M$14,(N$309-N$308)/N$14),(N$309-N$308)/N$14)*O$14 + O$308</f>
        <v>1.15673471145523</v>
      </c>
      <c r="P309" s="8">
        <f ca="1">IF(P$6=OFFSET(Assumptions!$B$8,0,$C$1),AVERAGE((M$309-M$308)/M$14,(N$309-N$308)/N$14,(O$309-O$308)/O$14),(O$309-O$308)/O$14)*P$14 + P$308</f>
        <v>1.2056517514081035</v>
      </c>
      <c r="Q309" s="8">
        <f ca="1">IF(Q$6=OFFSET(Assumptions!$B$8,0,$C$1),AVERAGE((N$309-N$308)/N$14,(O$309-O$308)/O$14,(P$309-P$308)/P$14),(P$309-P$308)/P$14)*Q$14 + Q$308</f>
        <v>1.2560772288700117</v>
      </c>
      <c r="R309" s="8">
        <f ca="1">IF(R$6=OFFSET(Assumptions!$B$8,0,$C$1),AVERAGE((O$309-O$308)/O$14,(P$309-P$308)/P$14,(Q$309-Q$308)/Q$14),(Q$309-Q$308)/Q$14)*R$14 + R$308</f>
        <v>1.3079737171688084</v>
      </c>
      <c r="S309" s="8">
        <f ca="1">IF(S$6=OFFSET(Assumptions!$B$8,0,$C$1),AVERAGE((P$309-P$308)/P$14,(Q$309-Q$308)/Q$14,(R$309-R$308)/R$14),(R$309-R$308)/R$14)*S$14 + S$308</f>
        <v>1.3615061412281162</v>
      </c>
      <c r="T309" s="8">
        <f ca="1">IF(T$6=OFFSET(Assumptions!$B$8,0,$C$1),AVERAGE((Q$309-Q$308)/Q$14,(R$309-R$308)/R$14,(S$309-S$308)/S$14),(S$309-S$308)/S$14)*T$14 + T$308</f>
        <v>1.4166940225105573</v>
      </c>
      <c r="U309" s="8">
        <f ca="1">IF(U$6=OFFSET(Assumptions!$B$8,0,$C$1),AVERAGE((R$309-R$308)/R$14,(S$309-S$308)/S$14,(T$309-T$308)/T$14),(T$309-T$308)/T$14)*U$14 + U$308</f>
        <v>1.4737354288673195</v>
      </c>
      <c r="V309" s="8">
        <f ca="1">IF(V$6=OFFSET(Assumptions!$B$8,0,$C$1),AVERAGE((S$309-S$308)/S$14,(T$309-T$308)/T$14,(U$309-U$308)/U$14),(U$309-U$308)/U$14)*V$14 + V$308</f>
        <v>1.532771167335802</v>
      </c>
      <c r="W309" s="8">
        <f ca="1">IF(W$6=OFFSET(Assumptions!$B$8,0,$C$1),AVERAGE((T$309-T$308)/T$14,(U$309-U$308)/U$14,(V$309-V$308)/V$14),(V$309-V$308)/V$14)*W$14 + W$308</f>
        <v>1.5939722793413664</v>
      </c>
      <c r="X309" s="8">
        <f ca="1">IF(X$6=OFFSET(Assumptions!$B$8,0,$C$1),AVERAGE((U$309-U$308)/U$14,(V$309-V$308)/V$14,(W$309-W$308)/W$14),(W$309-W$308)/W$14)*X$14 + X$308</f>
        <v>1.6575326167948212</v>
      </c>
      <c r="Y309" s="8">
        <f ca="1">IF(Y$6=OFFSET(Assumptions!$B$8,0,$C$1),AVERAGE((V$309-V$308)/V$14,(W$309-W$308)/W$14,(X$309-X$308)/X$14),(X$309-X$308)/X$14)*Y$14 + Y$308</f>
        <v>1.7234456817251445</v>
      </c>
      <c r="Z309" s="8">
        <f ca="1">IF(Z$6=OFFSET(Assumptions!$B$8,0,$C$1),AVERAGE((W$309-W$308)/W$14,(X$309-X$308)/X$14,(Y$309-Y$308)/Y$14),(Y$309-Y$308)/Y$14)*Z$14 + Z$308</f>
        <v>1.7920451024960646</v>
      </c>
      <c r="AA309" s="8">
        <f ca="1">IF(AA$6=OFFSET(Assumptions!$B$8,0,$C$1),AVERAGE((X$309-X$308)/X$14,(Y$309-Y$308)/Y$14,(Z$309-Z$308)/Z$14),(Z$309-Z$308)/Z$14)*AA$14 + AA$308</f>
        <v>1.8634418732069535</v>
      </c>
      <c r="AB309" s="8">
        <f ca="1">IF(AB$6=OFFSET(Assumptions!$B$8,0,$C$1),AVERAGE((Y$309-Y$308)/Y$14,(Z$309-Z$308)/Z$14,(AA$309-AA$308)/AA$14),(AA$309-AA$308)/AA$14)*AB$14 + AB$308</f>
        <v>1.9378504049538381</v>
      </c>
      <c r="AC309" s="8">
        <f ca="1">IF(AC$6=OFFSET(Assumptions!$B$8,0,$C$1),AVERAGE((Z$309-Z$308)/Z$14,(AA$309-AA$308)/AA$14,(AB$309-AB$308)/AB$14),(AB$309-AB$308)/AB$14)*AC$14 + AC$308</f>
        <v>2.0155516000414782</v>
      </c>
      <c r="AD309" s="8">
        <f ca="1">IF(AD$6=OFFSET(Assumptions!$B$8,0,$C$1),AVERAGE((AA$309-AA$308)/AA$14,(AB$309-AB$308)/AB$14,(AC$309-AC$308)/AC$14),(AC$309-AC$308)/AC$14)*AD$14 + AD$308</f>
        <v>2.0966273564879949</v>
      </c>
      <c r="AE309" s="8">
        <f ca="1">IF(AE$6=OFFSET(Assumptions!$B$8,0,$C$1),AVERAGE((AB$309-AB$308)/AB$14,(AC$309-AC$308)/AC$14,(AD$309-AD$308)/AD$14),(AD$309-AD$308)/AD$14)*AE$14 + AE$308</f>
        <v>2.1810032170173872</v>
      </c>
      <c r="AF309" s="8">
        <f ca="1">IF(AF$6=OFFSET(Assumptions!$B$8,0,$C$1),AVERAGE((AC$309-AC$308)/AC$14,(AD$309-AD$308)/AD$14,(AE$309-AE$308)/AE$14),(AE$309-AE$308)/AE$14)*AF$14 + AF$308</f>
        <v>2.2689126158515602</v>
      </c>
      <c r="AG309" s="8">
        <f ca="1">IF(AG$6=OFFSET(Assumptions!$B$8,0,$C$1),AVERAGE((AD$309-AD$308)/AD$14,(AE$309-AE$308)/AE$14,(AF$309-AF$308)/AF$14),(AF$309-AF$308)/AF$14)*AG$14 + AG$308</f>
        <v>2.3604047082503761</v>
      </c>
      <c r="AH309" s="8">
        <f ca="1">IF(AH$6=OFFSET(Assumptions!$B$8,0,$C$1),AVERAGE((AE$309-AE$308)/AE$14,(AF$309-AF$308)/AF$14,(AG$309-AG$308)/AG$14),(AG$309-AG$308)/AG$14)*AH$14 + AH$308</f>
        <v>2.4556262081322937</v>
      </c>
      <c r="AI309" s="8">
        <f ca="1">IF(AI$6=OFFSET(Assumptions!$B$8,0,$C$1),AVERAGE((AF$309-AF$308)/AF$14,(AG$309-AG$308)/AG$14,(AH$309-AH$308)/AH$14),(AH$309-AH$308)/AH$14)*AI$14 + AI$308</f>
        <v>2.5544107320155045</v>
      </c>
      <c r="AJ309" s="8">
        <f ca="1">IF(AJ$6=OFFSET(Assumptions!$B$8,0,$C$1),AVERAGE((AG$309-AG$308)/AG$14,(AH$309-AH$308)/AH$14,(AI$309-AI$308)/AI$14),(AI$309-AI$308)/AI$14)*AJ$14 + AJ$308</f>
        <v>2.6570747359477664</v>
      </c>
      <c r="AK309" s="8">
        <f ca="1">IF(AK$6=OFFSET(Assumptions!$B$8,0,$C$1),AVERAGE((AH$309-AH$308)/AH$14,(AI$309-AI$308)/AI$14,(AJ$309-AJ$308)/AJ$14),(AJ$309-AJ$308)/AJ$14)*AK$14 + AK$308</f>
        <v>2.7635337653570251</v>
      </c>
      <c r="AL309" s="8">
        <f ca="1">IF(AL$6=OFFSET(Assumptions!$B$8,0,$C$1),AVERAGE((AI$309-AI$308)/AI$14,(AJ$309-AJ$308)/AJ$14,(AK$309-AK$308)/AK$14),(AK$309-AK$308)/AK$14)*AL$14 + AL$308</f>
        <v>2.8737039595288048</v>
      </c>
      <c r="AM309" s="8">
        <f ca="1">IF(AM$6=OFFSET(Assumptions!$B$8,0,$C$1),AVERAGE((AJ$309-AJ$308)/AJ$14,(AK$309-AK$308)/AK$14,(AL$309-AL$308)/AL$14),(AL$309-AL$308)/AL$14)*AM$14 + AM$308</f>
        <v>2.9877358252947386</v>
      </c>
      <c r="AN309" s="8">
        <f ca="1">IF(AN$6=OFFSET(Assumptions!$B$8,0,$C$1),AVERAGE((AK$309-AK$308)/AK$14,(AL$309-AL$308)/AL$14,(AM$309-AM$308)/AM$14),(AM$309-AM$308)/AM$14)*AN$14 + AN$308</f>
        <v>3.1057879798758119</v>
      </c>
      <c r="AO309" s="8">
        <f ca="1">IF(AO$6=OFFSET(Assumptions!$B$8,0,$C$1),AVERAGE((AL$309-AL$308)/AL$14,(AM$309-AM$308)/AM$14,(AN$309-AN$308)/AN$14),(AN$309-AN$308)/AN$14)*AO$14 + AO$308</f>
        <v>3.2273968732853118</v>
      </c>
      <c r="AP309" s="8">
        <f ca="1">IF(AP$6=OFFSET(Assumptions!$B$8,0,$C$1),AVERAGE((AM$309-AM$308)/AM$14,(AN$309-AN$308)/AN$14,(AO$309-AO$308)/AO$14),(AO$309-AO$308)/AO$14)*AP$14 + AP$308</f>
        <v>3.3530789170954503</v>
      </c>
      <c r="AQ309" s="8">
        <f ca="1">IF(AQ$6=OFFSET(Assumptions!$B$8,0,$C$1),AVERAGE((AN$309-AN$308)/AN$14,(AO$309-AO$308)/AO$14,(AP$309-AP$308)/AP$14),(AP$309-AP$308)/AP$14)*AQ$14 + AQ$308</f>
        <v>3.4824819506160911</v>
      </c>
      <c r="AR309" s="8">
        <f ca="1">IF(AR$6=OFFSET(Assumptions!$B$8,0,$C$1),AVERAGE((AO$309-AO$308)/AO$14,(AP$309-AP$308)/AP$14,(AQ$309-AQ$308)/AQ$14),(AQ$309-AQ$308)/AQ$14)*AR$14 + AR$308</f>
        <v>3.615752481230976</v>
      </c>
      <c r="AS309" s="8">
        <f ca="1">IF(AS$6=OFFSET(Assumptions!$B$8,0,$C$1),AVERAGE((AP$309-AP$308)/AP$14,(AQ$309-AQ$308)/AQ$14,(AR$309-AR$308)/AR$14),(AR$309-AR$308)/AR$14)*AS$14 + AS$308</f>
        <v>3.7532014252439905</v>
      </c>
      <c r="AT309" s="8">
        <f ca="1">IF(AT$6=OFFSET(Assumptions!$B$8,0,$C$1),AVERAGE((AQ$309-AQ$308)/AQ$14,(AR$309-AR$308)/AR$14,(AS$309-AS$308)/AS$14),(AS$309-AS$308)/AS$14)*AT$14 + AT$308</f>
        <v>3.894938558626762</v>
      </c>
      <c r="AU309" s="8">
        <f ca="1">IF(AU$6=OFFSET(Assumptions!$B$8,0,$C$1),AVERAGE((AR$309-AR$308)/AR$14,(AS$309-AS$308)/AS$14,(AT$309-AT$308)/AT$14),(AT$309-AT$308)/AT$14)*AU$14 + AU$308</f>
        <v>4.0411523601246406</v>
      </c>
      <c r="AV309" s="8">
        <f ca="1">IF(AV$6=OFFSET(Assumptions!$B$8,0,$C$1),AVERAGE((AS$309-AS$308)/AS$14,(AT$309-AT$308)/AT$14,(AU$309-AU$308)/AU$14),(AU$309-AU$308)/AU$14)*AV$14 + AV$308</f>
        <v>4.1922949079074998</v>
      </c>
      <c r="AW309" s="8">
        <f ca="1">IF(AW$6=OFFSET(Assumptions!$B$8,0,$C$1),AVERAGE((AT$309-AT$308)/AT$14,(AU$309-AU$308)/AU$14,(AV$309-AV$308)/AV$14),(AV$309-AV$308)/AV$14)*AW$14 + AW$308</f>
        <v>4.3482808735162326</v>
      </c>
    </row>
    <row r="310" spans="1:49" ht="15" x14ac:dyDescent="0.25">
      <c r="A310" s="2"/>
      <c r="B310" s="4"/>
      <c r="D310" s="47"/>
      <c r="E310" s="44"/>
      <c r="F310" s="44"/>
      <c r="G310" s="44"/>
      <c r="H310" s="44"/>
      <c r="I310" s="44"/>
      <c r="J310" s="8"/>
      <c r="K310" s="8"/>
      <c r="L310" s="8"/>
      <c r="M310" s="8"/>
      <c r="N310" s="8"/>
      <c r="O310" s="8"/>
      <c r="P310" s="8"/>
      <c r="Q310" s="8"/>
      <c r="R310" s="8"/>
      <c r="S310" s="8"/>
    </row>
    <row r="311" spans="1:49" ht="15" x14ac:dyDescent="0.25">
      <c r="A311" s="22" t="s">
        <v>630</v>
      </c>
      <c r="B311" s="4"/>
      <c r="D311" s="47"/>
      <c r="E311" s="44"/>
      <c r="F311" s="44"/>
      <c r="G311" s="44"/>
      <c r="H311" s="44"/>
      <c r="I311" s="44"/>
      <c r="J311" s="8"/>
      <c r="K311" s="8"/>
      <c r="L311" s="8"/>
      <c r="M311" s="8"/>
      <c r="N311" s="8"/>
      <c r="O311" s="8"/>
      <c r="P311" s="8"/>
      <c r="Q311" s="8"/>
      <c r="R311" s="8"/>
      <c r="S311" s="8"/>
    </row>
    <row r="312" spans="1:49" ht="15" x14ac:dyDescent="0.25">
      <c r="A312" s="2" t="s">
        <v>584</v>
      </c>
      <c r="B312" s="4" t="str">
        <f t="shared" si="201"/>
        <v>From Fiscal</v>
      </c>
      <c r="D312" s="47">
        <f>Fiscal!D$66</f>
        <v>0.14499999999999999</v>
      </c>
      <c r="E312" s="44">
        <f>Fiscal!E$66</f>
        <v>0.51200000000000001</v>
      </c>
      <c r="F312" s="44">
        <f>Fiscal!F$66</f>
        <v>0.439</v>
      </c>
      <c r="G312" s="44">
        <f>Fiscal!G$66</f>
        <v>0.46600000000000003</v>
      </c>
      <c r="H312" s="44">
        <f>Fiscal!H$66</f>
        <v>0.46200000000000002</v>
      </c>
      <c r="I312" s="44">
        <f>Fiscal!I$66</f>
        <v>0.46200000000000002</v>
      </c>
      <c r="J312" s="8">
        <f ca="1">IF(J$6&lt;OFFSET(Assumptions!$B$55,0,$C$1),I$312,0)</f>
        <v>0</v>
      </c>
      <c r="K312" s="8">
        <f ca="1">IF(K$6&lt;OFFSET(Assumptions!$B$55,0,$C$1),J$312,0)</f>
        <v>0</v>
      </c>
      <c r="L312" s="8">
        <f ca="1">IF(L$6&lt;OFFSET(Assumptions!$B$55,0,$C$1),K$312,0)</f>
        <v>0</v>
      </c>
      <c r="M312" s="8">
        <f ca="1">IF(M$6&lt;OFFSET(Assumptions!$B$55,0,$C$1),L$312,0)</f>
        <v>0</v>
      </c>
      <c r="N312" s="8">
        <f ca="1">IF(N$6&lt;OFFSET(Assumptions!$B$55,0,$C$1),M$312,0)</f>
        <v>0</v>
      </c>
      <c r="O312" s="8">
        <f ca="1">IF(O$6&lt;OFFSET(Assumptions!$B$55,0,$C$1),N$312,0)</f>
        <v>0</v>
      </c>
      <c r="P312" s="8">
        <f ca="1">IF(P$6&lt;OFFSET(Assumptions!$B$55,0,$C$1),O$312,0)</f>
        <v>0</v>
      </c>
      <c r="Q312" s="8">
        <f ca="1">IF(Q$6&lt;OFFSET(Assumptions!$B$55,0,$C$1),P$312,0)</f>
        <v>0</v>
      </c>
      <c r="R312" s="8">
        <f ca="1">IF(R$6&lt;OFFSET(Assumptions!$B$55,0,$C$1),Q$312,0)</f>
        <v>0</v>
      </c>
      <c r="S312" s="8">
        <f ca="1">IF(S$6&lt;OFFSET(Assumptions!$B$55,0,$C$1),R$312,0)</f>
        <v>0</v>
      </c>
      <c r="T312" s="8">
        <f ca="1">IF(T$6&lt;OFFSET(Assumptions!$B$55,0,$C$1),S$312,0)</f>
        <v>0</v>
      </c>
      <c r="U312" s="8">
        <f ca="1">IF(U$6&lt;OFFSET(Assumptions!$B$55,0,$C$1),T$312,0)</f>
        <v>0</v>
      </c>
      <c r="V312" s="8">
        <f ca="1">IF(V$6&lt;OFFSET(Assumptions!$B$55,0,$C$1),U$312,0)</f>
        <v>0</v>
      </c>
      <c r="W312" s="8">
        <f ca="1">IF(W$6&lt;OFFSET(Assumptions!$B$55,0,$C$1),V$312,0)</f>
        <v>0</v>
      </c>
      <c r="X312" s="8">
        <f ca="1">IF(X$6&lt;OFFSET(Assumptions!$B$55,0,$C$1),W$312,0)</f>
        <v>0</v>
      </c>
      <c r="Y312" s="8">
        <f ca="1">IF(Y$6&lt;OFFSET(Assumptions!$B$55,0,$C$1),X$312,0)</f>
        <v>0</v>
      </c>
      <c r="Z312" s="8">
        <f ca="1">IF(Z$6&lt;OFFSET(Assumptions!$B$55,0,$C$1),Y$312,0)</f>
        <v>0</v>
      </c>
      <c r="AA312" s="8">
        <f ca="1">IF(AA$6&lt;OFFSET(Assumptions!$B$55,0,$C$1),Z$312,0)</f>
        <v>0</v>
      </c>
      <c r="AB312" s="8">
        <f ca="1">IF(AB$6&lt;OFFSET(Assumptions!$B$55,0,$C$1),AA$312,0)</f>
        <v>0</v>
      </c>
      <c r="AC312" s="8">
        <f ca="1">IF(AC$6&lt;OFFSET(Assumptions!$B$55,0,$C$1),AB$312,0)</f>
        <v>0</v>
      </c>
      <c r="AD312" s="8">
        <f ca="1">IF(AD$6&lt;OFFSET(Assumptions!$B$55,0,$C$1),AC$312,0)</f>
        <v>0</v>
      </c>
      <c r="AE312" s="8">
        <f ca="1">IF(AE$6&lt;OFFSET(Assumptions!$B$55,0,$C$1),AD$312,0)</f>
        <v>0</v>
      </c>
      <c r="AF312" s="8">
        <f ca="1">IF(AF$6&lt;OFFSET(Assumptions!$B$55,0,$C$1),AE$312,0)</f>
        <v>0</v>
      </c>
      <c r="AG312" s="8">
        <f ca="1">IF(AG$6&lt;OFFSET(Assumptions!$B$55,0,$C$1),AF$312,0)</f>
        <v>0</v>
      </c>
      <c r="AH312" s="8">
        <f ca="1">IF(AH$6&lt;OFFSET(Assumptions!$B$55,0,$C$1),AG$312,0)</f>
        <v>0</v>
      </c>
      <c r="AI312" s="8">
        <f ca="1">IF(AI$6&lt;OFFSET(Assumptions!$B$55,0,$C$1),AH$312,0)</f>
        <v>0</v>
      </c>
      <c r="AJ312" s="8">
        <f ca="1">IF(AJ$6&lt;OFFSET(Assumptions!$B$55,0,$C$1),AI$312,0)</f>
        <v>0</v>
      </c>
      <c r="AK312" s="8">
        <f ca="1">IF(AK$6&lt;OFFSET(Assumptions!$B$55,0,$C$1),AJ$312,0)</f>
        <v>0</v>
      </c>
      <c r="AL312" s="8">
        <f ca="1">IF(AL$6&lt;OFFSET(Assumptions!$B$55,0,$C$1),AK$312,0)</f>
        <v>0</v>
      </c>
      <c r="AM312" s="8">
        <f ca="1">IF(AM$6&lt;OFFSET(Assumptions!$B$55,0,$C$1),AL$312,0)</f>
        <v>0</v>
      </c>
      <c r="AN312" s="8">
        <f ca="1">IF(AN$6&lt;OFFSET(Assumptions!$B$55,0,$C$1),AM$312,0)</f>
        <v>0</v>
      </c>
      <c r="AO312" s="8">
        <f ca="1">IF(AO$6&lt;OFFSET(Assumptions!$B$55,0,$C$1),AN$312,0)</f>
        <v>0</v>
      </c>
      <c r="AP312" s="8">
        <f ca="1">IF(AP$6&lt;OFFSET(Assumptions!$B$55,0,$C$1),AO$312,0)</f>
        <v>0</v>
      </c>
      <c r="AQ312" s="8">
        <f ca="1">IF(AQ$6&lt;OFFSET(Assumptions!$B$55,0,$C$1),AP$312,0)</f>
        <v>0</v>
      </c>
      <c r="AR312" s="8">
        <f ca="1">IF(AR$6&lt;OFFSET(Assumptions!$B$55,0,$C$1),AQ$312,0)</f>
        <v>0</v>
      </c>
      <c r="AS312" s="8">
        <f ca="1">IF(AS$6&lt;OFFSET(Assumptions!$B$55,0,$C$1),AR$312,0)</f>
        <v>0</v>
      </c>
      <c r="AT312" s="8">
        <f ca="1">IF(AT$6&lt;OFFSET(Assumptions!$B$55,0,$C$1),AS$312,0)</f>
        <v>0</v>
      </c>
      <c r="AU312" s="8">
        <f ca="1">IF(AU$6&lt;OFFSET(Assumptions!$B$55,0,$C$1),AT$312,0)</f>
        <v>0</v>
      </c>
      <c r="AV312" s="8">
        <f ca="1">IF(AV$6&lt;OFFSET(Assumptions!$B$55,0,$C$1),AU$312,0)</f>
        <v>0</v>
      </c>
      <c r="AW312" s="8">
        <f ca="1">IF(AW$6&lt;OFFSET(Assumptions!$B$55,0,$C$1),AV$312,0)</f>
        <v>0</v>
      </c>
    </row>
    <row r="313" spans="1:49" ht="15" x14ac:dyDescent="0.25">
      <c r="A313" s="2" t="s">
        <v>585</v>
      </c>
      <c r="B313" s="4" t="str">
        <f t="shared" si="201"/>
        <v>From Fiscal</v>
      </c>
      <c r="D313" s="47">
        <f>Fiscal!D$49</f>
        <v>0.14499999999999999</v>
      </c>
      <c r="E313" s="44">
        <f>Fiscal!E$49</f>
        <v>0.51200000000000001</v>
      </c>
      <c r="F313" s="44">
        <f>Fiscal!F$49</f>
        <v>0.439</v>
      </c>
      <c r="G313" s="44">
        <f>Fiscal!G$49</f>
        <v>0.46600000000000003</v>
      </c>
      <c r="H313" s="44">
        <f>Fiscal!H$49</f>
        <v>0.46200000000000002</v>
      </c>
      <c r="I313" s="44">
        <f>Fiscal!I$49</f>
        <v>0.46200000000000002</v>
      </c>
      <c r="J313" s="8">
        <f ca="1">IF(J$6&lt;OFFSET(Assumptions!$B$55,0,$C$1),I$313,0)</f>
        <v>0</v>
      </c>
      <c r="K313" s="8">
        <f ca="1">IF(K$6&lt;OFFSET(Assumptions!$B$55,0,$C$1),J$313,0)</f>
        <v>0</v>
      </c>
      <c r="L313" s="8">
        <f ca="1">IF(L$6&lt;OFFSET(Assumptions!$B$55,0,$C$1),K$313,0)</f>
        <v>0</v>
      </c>
      <c r="M313" s="8">
        <f ca="1">IF(M$6&lt;OFFSET(Assumptions!$B$55,0,$C$1),L$313,0)</f>
        <v>0</v>
      </c>
      <c r="N313" s="8">
        <f ca="1">IF(N$6&lt;OFFSET(Assumptions!$B$55,0,$C$1),M$313,0)</f>
        <v>0</v>
      </c>
      <c r="O313" s="8">
        <f ca="1">IF(O$6&lt;OFFSET(Assumptions!$B$55,0,$C$1),N$313,0)</f>
        <v>0</v>
      </c>
      <c r="P313" s="8">
        <f ca="1">IF(P$6&lt;OFFSET(Assumptions!$B$55,0,$C$1),O$313,0)</f>
        <v>0</v>
      </c>
      <c r="Q313" s="8">
        <f ca="1">IF(Q$6&lt;OFFSET(Assumptions!$B$55,0,$C$1),P$313,0)</f>
        <v>0</v>
      </c>
      <c r="R313" s="8">
        <f ca="1">IF(R$6&lt;OFFSET(Assumptions!$B$55,0,$C$1),Q$313,0)</f>
        <v>0</v>
      </c>
      <c r="S313" s="8">
        <f ca="1">IF(S$6&lt;OFFSET(Assumptions!$B$55,0,$C$1),R$313,0)</f>
        <v>0</v>
      </c>
      <c r="T313" s="8">
        <f ca="1">IF(T$6&lt;OFFSET(Assumptions!$B$55,0,$C$1),S$313,0)</f>
        <v>0</v>
      </c>
      <c r="U313" s="8">
        <f ca="1">IF(U$6&lt;OFFSET(Assumptions!$B$55,0,$C$1),T$313,0)</f>
        <v>0</v>
      </c>
      <c r="V313" s="8">
        <f ca="1">IF(V$6&lt;OFFSET(Assumptions!$B$55,0,$C$1),U$313,0)</f>
        <v>0</v>
      </c>
      <c r="W313" s="8">
        <f ca="1">IF(W$6&lt;OFFSET(Assumptions!$B$55,0,$C$1),V$313,0)</f>
        <v>0</v>
      </c>
      <c r="X313" s="8">
        <f ca="1">IF(X$6&lt;OFFSET(Assumptions!$B$55,0,$C$1),W$313,0)</f>
        <v>0</v>
      </c>
      <c r="Y313" s="8">
        <f ca="1">IF(Y$6&lt;OFFSET(Assumptions!$B$55,0,$C$1),X$313,0)</f>
        <v>0</v>
      </c>
      <c r="Z313" s="8">
        <f ca="1">IF(Z$6&lt;OFFSET(Assumptions!$B$55,0,$C$1),Y$313,0)</f>
        <v>0</v>
      </c>
      <c r="AA313" s="8">
        <f ca="1">IF(AA$6&lt;OFFSET(Assumptions!$B$55,0,$C$1),Z$313,0)</f>
        <v>0</v>
      </c>
      <c r="AB313" s="8">
        <f ca="1">IF(AB$6&lt;OFFSET(Assumptions!$B$55,0,$C$1),AA$313,0)</f>
        <v>0</v>
      </c>
      <c r="AC313" s="8">
        <f ca="1">IF(AC$6&lt;OFFSET(Assumptions!$B$55,0,$C$1),AB$313,0)</f>
        <v>0</v>
      </c>
      <c r="AD313" s="8">
        <f ca="1">IF(AD$6&lt;OFFSET(Assumptions!$B$55,0,$C$1),AC$313,0)</f>
        <v>0</v>
      </c>
      <c r="AE313" s="8">
        <f ca="1">IF(AE$6&lt;OFFSET(Assumptions!$B$55,0,$C$1),AD$313,0)</f>
        <v>0</v>
      </c>
      <c r="AF313" s="8">
        <f ca="1">IF(AF$6&lt;OFFSET(Assumptions!$B$55,0,$C$1),AE$313,0)</f>
        <v>0</v>
      </c>
      <c r="AG313" s="8">
        <f ca="1">IF(AG$6&lt;OFFSET(Assumptions!$B$55,0,$C$1),AF$313,0)</f>
        <v>0</v>
      </c>
      <c r="AH313" s="8">
        <f ca="1">IF(AH$6&lt;OFFSET(Assumptions!$B$55,0,$C$1),AG$313,0)</f>
        <v>0</v>
      </c>
      <c r="AI313" s="8">
        <f ca="1">IF(AI$6&lt;OFFSET(Assumptions!$B$55,0,$C$1),AH$313,0)</f>
        <v>0</v>
      </c>
      <c r="AJ313" s="8">
        <f ca="1">IF(AJ$6&lt;OFFSET(Assumptions!$B$55,0,$C$1),AI$313,0)</f>
        <v>0</v>
      </c>
      <c r="AK313" s="8">
        <f ca="1">IF(AK$6&lt;OFFSET(Assumptions!$B$55,0,$C$1),AJ$313,0)</f>
        <v>0</v>
      </c>
      <c r="AL313" s="8">
        <f ca="1">IF(AL$6&lt;OFFSET(Assumptions!$B$55,0,$C$1),AK$313,0)</f>
        <v>0</v>
      </c>
      <c r="AM313" s="8">
        <f ca="1">IF(AM$6&lt;OFFSET(Assumptions!$B$55,0,$C$1),AL$313,0)</f>
        <v>0</v>
      </c>
      <c r="AN313" s="8">
        <f ca="1">IF(AN$6&lt;OFFSET(Assumptions!$B$55,0,$C$1),AM$313,0)</f>
        <v>0</v>
      </c>
      <c r="AO313" s="8">
        <f ca="1">IF(AO$6&lt;OFFSET(Assumptions!$B$55,0,$C$1),AN$313,0)</f>
        <v>0</v>
      </c>
      <c r="AP313" s="8">
        <f ca="1">IF(AP$6&lt;OFFSET(Assumptions!$B$55,0,$C$1),AO$313,0)</f>
        <v>0</v>
      </c>
      <c r="AQ313" s="8">
        <f ca="1">IF(AQ$6&lt;OFFSET(Assumptions!$B$55,0,$C$1),AP$313,0)</f>
        <v>0</v>
      </c>
      <c r="AR313" s="8">
        <f ca="1">IF(AR$6&lt;OFFSET(Assumptions!$B$55,0,$C$1),AQ$313,0)</f>
        <v>0</v>
      </c>
      <c r="AS313" s="8">
        <f ca="1">IF(AS$6&lt;OFFSET(Assumptions!$B$55,0,$C$1),AR$313,0)</f>
        <v>0</v>
      </c>
      <c r="AT313" s="8">
        <f ca="1">IF(AT$6&lt;OFFSET(Assumptions!$B$55,0,$C$1),AS$313,0)</f>
        <v>0</v>
      </c>
      <c r="AU313" s="8">
        <f ca="1">IF(AU$6&lt;OFFSET(Assumptions!$B$55,0,$C$1),AT$313,0)</f>
        <v>0</v>
      </c>
      <c r="AV313" s="8">
        <f ca="1">IF(AV$6&lt;OFFSET(Assumptions!$B$55,0,$C$1),AU$313,0)</f>
        <v>0</v>
      </c>
      <c r="AW313" s="8">
        <f ca="1">IF(AW$6&lt;OFFSET(Assumptions!$B$55,0,$C$1),AV$313,0)</f>
        <v>0</v>
      </c>
    </row>
    <row r="314" spans="1:49" ht="15" x14ac:dyDescent="0.25">
      <c r="A314" s="2"/>
      <c r="B314" s="4"/>
      <c r="D314" s="47"/>
      <c r="E314" s="44"/>
      <c r="F314" s="44"/>
      <c r="G314" s="44"/>
      <c r="H314" s="44"/>
      <c r="I314" s="44"/>
      <c r="J314" s="8"/>
      <c r="K314" s="8"/>
      <c r="L314" s="8"/>
      <c r="M314" s="8"/>
      <c r="N314" s="8"/>
      <c r="O314" s="8"/>
      <c r="P314" s="8"/>
      <c r="Q314" s="8"/>
      <c r="R314" s="8"/>
      <c r="S314" s="8"/>
    </row>
    <row r="315" spans="1:49" ht="15" x14ac:dyDescent="0.25">
      <c r="A315" s="22" t="s">
        <v>587</v>
      </c>
      <c r="B315" s="4"/>
      <c r="D315" s="47"/>
      <c r="E315" s="44"/>
      <c r="F315" s="44"/>
      <c r="G315" s="44"/>
      <c r="H315" s="44"/>
      <c r="I315" s="44"/>
      <c r="J315" s="8"/>
      <c r="K315" s="8"/>
      <c r="L315" s="8"/>
      <c r="M315" s="8"/>
      <c r="N315" s="8"/>
      <c r="O315" s="8"/>
      <c r="P315" s="8"/>
      <c r="Q315" s="8"/>
      <c r="R315" s="8"/>
      <c r="S315" s="8"/>
    </row>
    <row r="316" spans="1:49" ht="15" x14ac:dyDescent="0.25">
      <c r="A316" s="2" t="s">
        <v>744</v>
      </c>
      <c r="B316" s="4" t="str">
        <f t="shared" si="201"/>
        <v>From Fiscal</v>
      </c>
      <c r="D316" s="47">
        <f>Fiscal!D$199</f>
        <v>4.8250000000000002</v>
      </c>
      <c r="E316" s="44">
        <f>Fiscal!E$199</f>
        <v>5.4420000000000002</v>
      </c>
      <c r="F316" s="44">
        <f>Fiscal!F$199</f>
        <v>5.3979999999999997</v>
      </c>
      <c r="G316" s="44">
        <f>Fiscal!G$199</f>
        <v>5.5609999999999999</v>
      </c>
      <c r="H316" s="44">
        <f>Fiscal!H$199</f>
        <v>5.66</v>
      </c>
      <c r="I316" s="44">
        <f>Fiscal!I$199</f>
        <v>5.7380000000000004</v>
      </c>
      <c r="J316" s="8">
        <f ca="1">IF(J$6=OFFSET(Assumptions!$B$8,0,$C$1),AVERAGE(G$316/(SUM(G$236,G$272,G$276,G$280,G$297,G$301,G$305,G$309)-SUM(G$235,G$271,G$275,G$279,G$296,G$300,G$304,G$308)),H$316/(SUM(H$236,H$272,H$276,H$280,H$297,H$301,H$305,H$309)-SUM(H$235,H$271,H$275,H$279,H$296,H$300,H$304,H$308)),I$316/(SUM(I$236,I$272,I$276,I$280,I$297,I$301,I$305,I$309)-SUM(I$235,I$271,I$275,I$279,I$296,I$300,I$304,I$308))),I$316/(SUM(I$236,I$272,I$276,I$280,I$297,I$301,I$305,I$309)-SUM(I$235,I$271,I$275,I$279,I$296,I$300,I$304,I$308)))*(SUM(J$236,J$272,J$276,J$280,J$297,J$301,J$305,J$309)-SUM(J$235,J$271,J$275,J$279,J$296,J$300,J$304,J$308))</f>
        <v>6.1499258137779158</v>
      </c>
      <c r="K316" s="8">
        <f ca="1">IF(K$6=OFFSET(Assumptions!$B$8,0,$C$1),AVERAGE(H$316/(SUM(H$236,H$272,H$276,H$280,H$297,H$301,H$305,H$309)-SUM(H$235,H$271,H$275,H$279,H$296,H$300,H$304,H$308)),I$316/(SUM(I$236,I$272,I$276,I$280,I$297,I$301,I$305,I$309)-SUM(I$235,I$271,I$275,I$279,I$296,I$300,I$304,I$308)),J$316/(SUM(J$236,J$272,J$276,J$280,J$297,J$301,J$305,J$309)-SUM(J$235,J$271,J$275,J$279,J$296,J$300,J$304,J$308))),J$316/(SUM(J$236,J$272,J$276,J$280,J$297,J$301,J$305,J$309)-SUM(J$235,J$271,J$275,J$279,J$296,J$300,J$304,J$308)))*(SUM(K$236,K$272,K$276,K$280,K$297,K$301,K$305,K$309)-SUM(K$235,K$271,K$275,K$279,K$296,K$300,K$304,K$308))</f>
        <v>6.4049343964868566</v>
      </c>
      <c r="L316" s="8">
        <f ca="1">IF(L$6=OFFSET(Assumptions!$B$8,0,$C$1),AVERAGE(I$316/(SUM(I$236,I$272,I$276,I$280,I$297,I$301,I$305,I$309)-SUM(I$235,I$271,I$275,I$279,I$296,I$300,I$304,I$308)),J$316/(SUM(J$236,J$272,J$276,J$280,J$297,J$301,J$305,J$309)-SUM(J$235,J$271,J$275,J$279,J$296,J$300,J$304,J$308)),K$316/(SUM(K$236,K$272,K$276,K$280,K$297,K$301,K$305,K$309)-SUM(K$235,K$271,K$275,K$279,K$296,K$300,K$304,K$308))),K$316/(SUM(K$236,K$272,K$276,K$280,K$297,K$301,K$305,K$309)-SUM(K$235,K$271,K$275,K$279,K$296,K$300,K$304,K$308)))*(SUM(L$236,L$272,L$276,L$280,L$297,L$301,L$305,L$309)-SUM(L$235,L$271,L$275,L$279,L$296,L$300,L$304,L$308))</f>
        <v>6.6810452181561271</v>
      </c>
      <c r="M316" s="8">
        <f ca="1">IF(M$6=OFFSET(Assumptions!$B$8,0,$C$1),AVERAGE(J$316/(SUM(J$236,J$272,J$276,J$280,J$297,J$301,J$305,J$309)-SUM(J$235,J$271,J$275,J$279,J$296,J$300,J$304,J$308)),K$316/(SUM(K$236,K$272,K$276,K$280,K$297,K$301,K$305,K$309)-SUM(K$235,K$271,K$275,K$279,K$296,K$300,K$304,K$308)),L$316/(SUM(L$236,L$272,L$276,L$280,L$297,L$301,L$305,L$309)-SUM(L$235,L$271,L$275,L$279,L$296,L$300,L$304,L$308))),L$316/(SUM(L$236,L$272,L$276,L$280,L$297,L$301,L$305,L$309)-SUM(L$235,L$271,L$275,L$279,L$296,L$300,L$304,L$308)))*(SUM(M$236,M$272,M$276,M$280,M$297,M$301,M$305,M$309)-SUM(M$235,M$271,M$275,M$279,M$296,M$300,M$304,M$308))</f>
        <v>6.9688259877506358</v>
      </c>
      <c r="N316" s="8">
        <f ca="1">IF(N$6=OFFSET(Assumptions!$B$8,0,$C$1),AVERAGE(K$316/(SUM(K$236,K$272,K$276,K$280,K$297,K$301,K$305,K$309)-SUM(K$235,K$271,K$275,K$279,K$296,K$300,K$304,K$308)),L$316/(SUM(L$236,L$272,L$276,L$280,L$297,L$301,L$305,L$309)-SUM(L$235,L$271,L$275,L$279,L$296,L$300,L$304,L$308)),M$316/(SUM(M$236,M$272,M$276,M$280,M$297,M$301,M$305,M$309)-SUM(M$235,M$271,M$275,M$279,M$296,M$300,M$304,M$308))),M$316/(SUM(M$236,M$272,M$276,M$280,M$297,M$301,M$305,M$309)-SUM(M$235,M$271,M$275,M$279,M$296,M$300,M$304,M$308)))*(SUM(N$236,N$272,N$276,N$280,N$297,N$301,N$305,N$309)-SUM(N$235,N$271,N$275,N$279,N$296,N$300,N$304,N$308))</f>
        <v>7.268423697108565</v>
      </c>
      <c r="O316" s="8">
        <f ca="1">IF(O$6=OFFSET(Assumptions!$B$8,0,$C$1),AVERAGE(L$316/(SUM(L$236,L$272,L$276,L$280,L$297,L$301,L$305,L$309)-SUM(L$235,L$271,L$275,L$279,L$296,L$300,L$304,L$308)),M$316/(SUM(M$236,M$272,M$276,M$280,M$297,M$301,M$305,M$309)-SUM(M$235,M$271,M$275,M$279,M$296,M$300,M$304,M$308)),N$316/(SUM(N$236,N$272,N$276,N$280,N$297,N$301,N$305,N$309)-SUM(N$235,N$271,N$275,N$279,N$296,N$300,N$304,N$308))),N$316/(SUM(N$236,N$272,N$276,N$280,N$297,N$301,N$305,N$309)-SUM(N$235,N$271,N$275,N$279,N$296,N$300,N$304,N$308)))*(SUM(O$236,O$272,O$276,O$280,O$297,O$301,O$305,O$309)-SUM(O$235,O$271,O$275,O$279,O$296,O$300,O$304,O$308))</f>
        <v>7.5777445547958751</v>
      </c>
      <c r="P316" s="8">
        <f ca="1">IF(P$6=OFFSET(Assumptions!$B$8,0,$C$1),AVERAGE(M$316/(SUM(M$236,M$272,M$276,M$280,M$297,M$301,M$305,M$309)-SUM(M$235,M$271,M$275,M$279,M$296,M$300,M$304,M$308)),N$316/(SUM(N$236,N$272,N$276,N$280,N$297,N$301,N$305,N$309)-SUM(N$235,N$271,N$275,N$279,N$296,N$300,N$304,N$308)),O$316/(SUM(O$236,O$272,O$276,O$280,O$297,O$301,O$305,O$309)-SUM(O$235,O$271,O$275,O$279,O$296,O$300,O$304,O$308))),O$316/(SUM(O$236,O$272,O$276,O$280,O$297,O$301,O$305,O$309)-SUM(O$235,O$271,O$275,O$279,O$296,O$300,O$304,O$308)))*(SUM(P$236,P$272,P$276,P$280,P$297,P$301,P$305,P$309)-SUM(P$235,P$271,P$275,P$279,P$296,P$300,P$304,P$308))</f>
        <v>7.8971986807881667</v>
      </c>
      <c r="Q316" s="8">
        <f ca="1">IF(Q$6=OFFSET(Assumptions!$B$8,0,$C$1),AVERAGE(N$316/(SUM(N$236,N$272,N$276,N$280,N$297,N$301,N$305,N$309)-SUM(N$235,N$271,N$275,N$279,N$296,N$300,N$304,N$308)),O$316/(SUM(O$236,O$272,O$276,O$280,O$297,O$301,O$305,O$309)-SUM(O$235,O$271,O$275,O$279,O$296,O$300,O$304,O$308)),P$316/(SUM(P$236,P$272,P$276,P$280,P$297,P$301,P$305,P$309)-SUM(P$235,P$271,P$275,P$279,P$296,P$300,P$304,P$308))),P$316/(SUM(P$236,P$272,P$276,P$280,P$297,P$301,P$305,P$309)-SUM(P$235,P$271,P$275,P$279,P$296,P$300,P$304,P$308)))*(SUM(Q$236,Q$272,Q$276,Q$280,Q$297,Q$301,Q$305,Q$309)-SUM(Q$235,Q$271,Q$275,Q$279,Q$296,Q$300,Q$304,Q$308))</f>
        <v>8.2261372921396259</v>
      </c>
      <c r="R316" s="8">
        <f ca="1">IF(R$6=OFFSET(Assumptions!$B$8,0,$C$1),AVERAGE(O$316/(SUM(O$236,O$272,O$276,O$280,O$297,O$301,O$305,O$309)-SUM(O$235,O$271,O$275,O$279,O$296,O$300,O$304,O$308)),P$316/(SUM(P$236,P$272,P$276,P$280,P$297,P$301,P$305,P$309)-SUM(P$235,P$271,P$275,P$279,P$296,P$300,P$304,P$308)),Q$316/(SUM(Q$236,Q$272,Q$276,Q$280,Q$297,Q$301,Q$305,Q$309)-SUM(Q$235,Q$271,Q$275,Q$279,Q$296,Q$300,Q$304,Q$308))),Q$316/(SUM(Q$236,Q$272,Q$276,Q$280,Q$297,Q$301,Q$305,Q$309)-SUM(Q$235,Q$271,Q$275,Q$279,Q$296,Q$300,Q$304,Q$308)))*(SUM(R$236,R$272,R$276,R$280,R$297,R$301,R$305,R$309)-SUM(R$235,R$271,R$275,R$279,R$296,R$300,R$304,R$308))</f>
        <v>8.5640122399243115</v>
      </c>
      <c r="S316" s="8">
        <f ca="1">IF(S$6=OFFSET(Assumptions!$B$8,0,$C$1),AVERAGE(P$316/(SUM(P$236,P$272,P$276,P$280,P$297,P$301,P$305,P$309)-SUM(P$235,P$271,P$275,P$279,P$296,P$300,P$304,P$308)),Q$316/(SUM(Q$236,Q$272,Q$276,Q$280,Q$297,Q$301,Q$305,Q$309)-SUM(Q$235,Q$271,Q$275,Q$279,Q$296,Q$300,Q$304,Q$308)),R$316/(SUM(R$236,R$272,R$276,R$280,R$297,R$301,R$305,R$309)-SUM(R$235,R$271,R$275,R$279,R$296,R$300,R$304,R$308))),R$316/(SUM(R$236,R$272,R$276,R$280,R$297,R$301,R$305,R$309)-SUM(R$235,R$271,R$275,R$279,R$296,R$300,R$304,R$308)))*(SUM(S$236,S$272,S$276,S$280,S$297,S$301,S$305,S$309)-SUM(S$235,S$271,S$275,S$279,S$296,S$300,S$304,S$308))</f>
        <v>8.9126294369275936</v>
      </c>
      <c r="T316" s="8">
        <f ca="1">IF(T$6=OFFSET(Assumptions!$B$8,0,$C$1),AVERAGE(Q$316/(SUM(Q$236,Q$272,Q$276,Q$280,Q$297,Q$301,Q$305,Q$309)-SUM(Q$235,Q$271,Q$275,Q$279,Q$296,Q$300,Q$304,Q$308)),R$316/(SUM(R$236,R$272,R$276,R$280,R$297,R$301,R$305,R$309)-SUM(R$235,R$271,R$275,R$279,R$296,R$300,R$304,R$308)),S$316/(SUM(S$236,S$272,S$276,S$280,S$297,S$301,S$305,S$309)-SUM(S$235,S$271,S$275,S$279,S$296,S$300,S$304,S$308))),S$316/(SUM(S$236,S$272,S$276,S$280,S$297,S$301,S$305,S$309)-SUM(S$235,S$271,S$275,S$279,S$296,S$300,S$304,S$308)))*(SUM(T$236,T$272,T$276,T$280,T$297,T$301,T$305,T$309)-SUM(T$235,T$271,T$275,T$279,T$296,T$300,T$304,T$308))</f>
        <v>9.2719340766966951</v>
      </c>
      <c r="U316" s="8">
        <f ca="1">IF(U$6=OFFSET(Assumptions!$B$8,0,$C$1),AVERAGE(R$316/(SUM(R$236,R$272,R$276,R$280,R$297,R$301,R$305,R$309)-SUM(R$235,R$271,R$275,R$279,R$296,R$300,R$304,R$308)),S$316/(SUM(S$236,S$272,S$276,S$280,S$297,S$301,S$305,S$309)-SUM(S$235,S$271,S$275,S$279,S$296,S$300,S$304,S$308)),T$316/(SUM(T$236,T$272,T$276,T$280,T$297,T$301,T$305,T$309)-SUM(T$235,T$271,T$275,T$279,T$296,T$300,T$304,T$308))),T$316/(SUM(T$236,T$272,T$276,T$280,T$297,T$301,T$305,T$309)-SUM(T$235,T$271,T$275,T$279,T$296,T$300,T$304,T$308)))*(SUM(U$236,U$272,U$276,U$280,U$297,U$301,U$305,U$309)-SUM(U$235,U$271,U$275,U$279,U$296,U$300,U$304,U$308))</f>
        <v>9.6433409127684406</v>
      </c>
      <c r="V316" s="8">
        <f ca="1">IF(V$6=OFFSET(Assumptions!$B$8,0,$C$1),AVERAGE(S$316/(SUM(S$236,S$272,S$276,S$280,S$297,S$301,S$305,S$309)-SUM(S$235,S$271,S$275,S$279,S$296,S$300,S$304,S$308)),T$316/(SUM(T$236,T$272,T$276,T$280,T$297,T$301,T$305,T$309)-SUM(T$235,T$271,T$275,T$279,T$296,T$300,T$304,T$308)),U$316/(SUM(U$236,U$272,U$276,U$280,U$297,U$301,U$305,U$309)-SUM(U$235,U$271,U$275,U$279,U$296,U$300,U$304,U$308))),U$316/(SUM(U$236,U$272,U$276,U$280,U$297,U$301,U$305,U$309)-SUM(U$235,U$271,U$275,U$279,U$296,U$300,U$304,U$308)))*(SUM(V$236,V$272,V$276,V$280,V$297,V$301,V$305,V$309)-SUM(V$235,V$271,V$275,V$279,V$296,V$300,V$304,V$308))</f>
        <v>10.027769314635558</v>
      </c>
      <c r="W316" s="8">
        <f ca="1">IF(W$6=OFFSET(Assumptions!$B$8,0,$C$1),AVERAGE(T$316/(SUM(T$236,T$272,T$276,T$280,T$297,T$301,T$305,T$309)-SUM(T$235,T$271,T$275,T$279,T$296,T$300,T$304,T$308)),U$316/(SUM(U$236,U$272,U$276,U$280,U$297,U$301,U$305,U$309)-SUM(U$235,U$271,U$275,U$279,U$296,U$300,U$304,U$308)),V$316/(SUM(V$236,V$272,V$276,V$280,V$297,V$301,V$305,V$309)-SUM(V$235,V$271,V$275,V$279,V$296,V$300,V$304,V$308))),V$316/(SUM(V$236,V$272,V$276,V$280,V$297,V$301,V$305,V$309)-SUM(V$235,V$271,V$275,V$279,V$296,V$300,V$304,V$308)))*(SUM(W$236,W$272,W$276,W$280,W$297,W$301,W$305,W$309)-SUM(W$235,W$271,W$275,W$279,W$296,W$300,W$304,W$308))</f>
        <v>10.426336060772906</v>
      </c>
      <c r="X316" s="8">
        <f ca="1">IF(X$6=OFFSET(Assumptions!$B$8,0,$C$1),AVERAGE(U$316/(SUM(U$236,U$272,U$276,U$280,U$297,U$301,U$305,U$309)-SUM(U$235,U$271,U$275,U$279,U$296,U$300,U$304,U$308)),V$316/(SUM(V$236,V$272,V$276,V$280,V$297,V$301,V$305,V$309)-SUM(V$235,V$271,V$275,V$279,V$296,V$300,V$304,V$308)),W$316/(SUM(W$236,W$272,W$276,W$280,W$297,W$301,W$305,W$309)-SUM(W$235,W$271,W$275,W$279,W$296,W$300,W$304,W$308))),W$316/(SUM(W$236,W$272,W$276,W$280,W$297,W$301,W$305,W$309)-SUM(W$235,W$271,W$275,W$279,W$296,W$300,W$304,W$308)))*(SUM(X$236,X$272,X$276,X$280,X$297,X$301,X$305,X$309)-SUM(X$235,X$271,X$275,X$279,X$296,X$300,X$304,X$308))</f>
        <v>10.840246109958853</v>
      </c>
      <c r="Y316" s="8">
        <f ca="1">IF(Y$6=OFFSET(Assumptions!$B$8,0,$C$1),AVERAGE(V$316/(SUM(V$236,V$272,V$276,V$280,V$297,V$301,V$305,V$309)-SUM(V$235,V$271,V$275,V$279,V$296,V$300,V$304,V$308)),W$316/(SUM(W$236,W$272,W$276,W$280,W$297,W$301,W$305,W$309)-SUM(W$235,W$271,W$275,W$279,W$296,W$300,W$304,W$308)),X$316/(SUM(X$236,X$272,X$276,X$280,X$297,X$301,X$305,X$309)-SUM(X$235,X$271,X$275,X$279,X$296,X$300,X$304,X$308))),X$316/(SUM(X$236,X$272,X$276,X$280,X$297,X$301,X$305,X$309)-SUM(X$235,X$271,X$275,X$279,X$296,X$300,X$304,X$308)))*(SUM(Y$236,Y$272,Y$276,Y$280,Y$297,Y$301,Y$305,Y$309)-SUM(Y$235,Y$271,Y$275,Y$279,Y$296,Y$300,Y$304,Y$308))</f>
        <v>11.269639302754427</v>
      </c>
      <c r="Z316" s="8">
        <f ca="1">IF(Z$6=OFFSET(Assumptions!$B$8,0,$C$1),AVERAGE(W$316/(SUM(W$236,W$272,W$276,W$280,W$297,W$301,W$305,W$309)-SUM(W$235,W$271,W$275,W$279,W$296,W$300,W$304,W$308)),X$316/(SUM(X$236,X$272,X$276,X$280,X$297,X$301,X$305,X$309)-SUM(X$235,X$271,X$275,X$279,X$296,X$300,X$304,X$308)),Y$316/(SUM(Y$236,Y$272,Y$276,Y$280,Y$297,Y$301,Y$305,Y$309)-SUM(Y$235,Y$271,Y$275,Y$279,Y$296,Y$300,Y$304,Y$308))),Y$316/(SUM(Y$236,Y$272,Y$276,Y$280,Y$297,Y$301,Y$305,Y$309)-SUM(Y$235,Y$271,Y$275,Y$279,Y$296,Y$300,Y$304,Y$308)))*(SUM(Z$236,Z$272,Z$276,Z$280,Z$297,Z$301,Z$305,Z$309)-SUM(Z$235,Z$271,Z$275,Z$279,Z$296,Z$300,Z$304,Z$308))</f>
        <v>11.716572482557442</v>
      </c>
      <c r="AA316" s="8">
        <f ca="1">IF(AA$6=OFFSET(Assumptions!$B$8,0,$C$1),AVERAGE(X$316/(SUM(X$236,X$272,X$276,X$280,X$297,X$301,X$305,X$309)-SUM(X$235,X$271,X$275,X$279,X$296,X$300,X$304,X$308)),Y$316/(SUM(Y$236,Y$272,Y$276,Y$280,Y$297,Y$301,Y$305,Y$309)-SUM(Y$235,Y$271,Y$275,Y$279,Y$296,Y$300,Y$304,Y$308)),Z$316/(SUM(Z$236,Z$272,Z$276,Z$280,Z$297,Z$301,Z$305,Z$309)-SUM(Z$235,Z$271,Z$275,Z$279,Z$296,Z$300,Z$304,Z$308))),Z$316/(SUM(Z$236,Z$272,Z$276,Z$280,Z$297,Z$301,Z$305,Z$309)-SUM(Z$235,Z$271,Z$275,Z$279,Z$296,Z$300,Z$304,Z$308)))*(SUM(AA$236,AA$272,AA$276,AA$280,AA$297,AA$301,AA$305,AA$309)-SUM(AA$235,AA$271,AA$275,AA$279,AA$296,AA$300,AA$304,AA$308))</f>
        <v>12.181709605754094</v>
      </c>
      <c r="AB316" s="8">
        <f ca="1">IF(AB$6=OFFSET(Assumptions!$B$8,0,$C$1),AVERAGE(Y$316/(SUM(Y$236,Y$272,Y$276,Y$280,Y$297,Y$301,Y$305,Y$309)-SUM(Y$235,Y$271,Y$275,Y$279,Y$296,Y$300,Y$304,Y$308)),Z$316/(SUM(Z$236,Z$272,Z$276,Z$280,Z$297,Z$301,Z$305,Z$309)-SUM(Z$235,Z$271,Z$275,Z$279,Z$296,Z$300,Z$304,Z$308)),AA$316/(SUM(AA$236,AA$272,AA$276,AA$280,AA$297,AA$301,AA$305,AA$309)-SUM(AA$235,AA$271,AA$275,AA$279,AA$296,AA$300,AA$304,AA$308))),AA$316/(SUM(AA$236,AA$272,AA$276,AA$280,AA$297,AA$301,AA$305,AA$309)-SUM(AA$235,AA$271,AA$275,AA$279,AA$296,AA$300,AA$304,AA$308)))*(SUM(AB$236,AB$272,AB$276,AB$280,AB$297,AB$301,AB$305,AB$309)-SUM(AB$235,AB$271,AB$275,AB$279,AB$296,AB$300,AB$304,AB$308))</f>
        <v>12.666511379717637</v>
      </c>
      <c r="AC316" s="8">
        <f ca="1">IF(AC$6=OFFSET(Assumptions!$B$8,0,$C$1),AVERAGE(Z$316/(SUM(Z$236,Z$272,Z$276,Z$280,Z$297,Z$301,Z$305,Z$309)-SUM(Z$235,Z$271,Z$275,Z$279,Z$296,Z$300,Z$304,Z$308)),AA$316/(SUM(AA$236,AA$272,AA$276,AA$280,AA$297,AA$301,AA$305,AA$309)-SUM(AA$235,AA$271,AA$275,AA$279,AA$296,AA$300,AA$304,AA$308)),AB$316/(SUM(AB$236,AB$272,AB$276,AB$280,AB$297,AB$301,AB$305,AB$309)-SUM(AB$235,AB$271,AB$275,AB$279,AB$296,AB$300,AB$304,AB$308))),AB$316/(SUM(AB$236,AB$272,AB$276,AB$280,AB$297,AB$301,AB$305,AB$309)-SUM(AB$235,AB$271,AB$275,AB$279,AB$296,AB$300,AB$304,AB$308)))*(SUM(AC$236,AC$272,AC$276,AC$280,AC$297,AC$301,AC$305,AC$309)-SUM(AC$235,AC$271,AC$275,AC$279,AC$296,AC$300,AC$304,AC$308))</f>
        <v>13.172933407866896</v>
      </c>
      <c r="AD316" s="8">
        <f ca="1">IF(AD$6=OFFSET(Assumptions!$B$8,0,$C$1),AVERAGE(AA$316/(SUM(AA$236,AA$272,AA$276,AA$280,AA$297,AA$301,AA$305,AA$309)-SUM(AA$235,AA$271,AA$275,AA$279,AA$296,AA$300,AA$304,AA$308)),AB$316/(SUM(AB$236,AB$272,AB$276,AB$280,AB$297,AB$301,AB$305,AB$309)-SUM(AB$235,AB$271,AB$275,AB$279,AB$296,AB$300,AB$304,AB$308)),AC$316/(SUM(AC$236,AC$272,AC$276,AC$280,AC$297,AC$301,AC$305,AC$309)-SUM(AC$235,AC$271,AC$275,AC$279,AC$296,AC$300,AC$304,AC$308))),AC$316/(SUM(AC$236,AC$272,AC$276,AC$280,AC$297,AC$301,AC$305,AC$309)-SUM(AC$235,AC$271,AC$275,AC$279,AC$296,AC$300,AC$304,AC$308)))*(SUM(AD$236,AD$272,AD$276,AD$280,AD$297,AD$301,AD$305,AD$309)-SUM(AD$235,AD$271,AD$275,AD$279,AD$296,AD$300,AD$304,AD$308))</f>
        <v>13.701388914044665</v>
      </c>
      <c r="AE316" s="8">
        <f ca="1">IF(AE$6=OFFSET(Assumptions!$B$8,0,$C$1),AVERAGE(AB$316/(SUM(AB$236,AB$272,AB$276,AB$280,AB$297,AB$301,AB$305,AB$309)-SUM(AB$235,AB$271,AB$275,AB$279,AB$296,AB$300,AB$304,AB$308)),AC$316/(SUM(AC$236,AC$272,AC$276,AC$280,AC$297,AC$301,AC$305,AC$309)-SUM(AC$235,AC$271,AC$275,AC$279,AC$296,AC$300,AC$304,AC$308)),AD$316/(SUM(AD$236,AD$272,AD$276,AD$280,AD$297,AD$301,AD$305,AD$309)-SUM(AD$235,AD$271,AD$275,AD$279,AD$296,AD$300,AD$304,AD$308))),AD$316/(SUM(AD$236,AD$272,AD$276,AD$280,AD$297,AD$301,AD$305,AD$309)-SUM(AD$235,AD$271,AD$275,AD$279,AD$296,AD$300,AD$304,AD$308)))*(SUM(AE$236,AE$272,AE$276,AE$280,AE$297,AE$301,AE$305,AE$309)-SUM(AE$235,AE$271,AE$275,AE$279,AE$296,AE$300,AE$304,AE$308))</f>
        <v>14.251391745361641</v>
      </c>
      <c r="AF316" s="8">
        <f ca="1">IF(AF$6=OFFSET(Assumptions!$B$8,0,$C$1),AVERAGE(AC$316/(SUM(AC$236,AC$272,AC$276,AC$280,AC$297,AC$301,AC$305,AC$309)-SUM(AC$235,AC$271,AC$275,AC$279,AC$296,AC$300,AC$304,AC$308)),AD$316/(SUM(AD$236,AD$272,AD$276,AD$280,AD$297,AD$301,AD$305,AD$309)-SUM(AD$235,AD$271,AD$275,AD$279,AD$296,AD$300,AD$304,AD$308)),AE$316/(SUM(AE$236,AE$272,AE$276,AE$280,AE$297,AE$301,AE$305,AE$309)-SUM(AE$235,AE$271,AE$275,AE$279,AE$296,AE$300,AE$304,AE$308))),AE$316/(SUM(AE$236,AE$272,AE$276,AE$280,AE$297,AE$301,AE$305,AE$309)-SUM(AE$235,AE$271,AE$275,AE$279,AE$296,AE$300,AE$304,AE$308)))*(SUM(AF$236,AF$272,AF$276,AF$280,AF$297,AF$301,AF$305,AF$309)-SUM(AF$235,AF$271,AF$275,AF$279,AF$296,AF$300,AF$304,AF$308))</f>
        <v>14.824526816630685</v>
      </c>
      <c r="AG316" s="8">
        <f ca="1">IF(AG$6=OFFSET(Assumptions!$B$8,0,$C$1),AVERAGE(AD$316/(SUM(AD$236,AD$272,AD$276,AD$280,AD$297,AD$301,AD$305,AD$309)-SUM(AD$235,AD$271,AD$275,AD$279,AD$296,AD$300,AD$304,AD$308)),AE$316/(SUM(AE$236,AE$272,AE$276,AE$280,AE$297,AE$301,AE$305,AE$309)-SUM(AE$235,AE$271,AE$275,AE$279,AE$296,AE$300,AE$304,AE$308)),AF$316/(SUM(AF$236,AF$272,AF$276,AF$280,AF$297,AF$301,AF$305,AF$309)-SUM(AF$235,AF$271,AF$275,AF$279,AF$296,AF$300,AF$304,AF$308))),AF$316/(SUM(AF$236,AF$272,AF$276,AF$280,AF$297,AF$301,AF$305,AF$309)-SUM(AF$235,AF$271,AF$275,AF$279,AF$296,AF$300,AF$304,AF$308)))*(SUM(AG$236,AG$272,AG$276,AG$280,AG$297,AG$301,AG$305,AG$309)-SUM(AG$235,AG$271,AG$275,AG$279,AG$296,AG$300,AG$304,AG$308))</f>
        <v>15.420993564844119</v>
      </c>
      <c r="AH316" s="8">
        <f ca="1">IF(AH$6=OFFSET(Assumptions!$B$8,0,$C$1),AVERAGE(AE$316/(SUM(AE$236,AE$272,AE$276,AE$280,AE$297,AE$301,AE$305,AE$309)-SUM(AE$235,AE$271,AE$275,AE$279,AE$296,AE$300,AE$304,AE$308)),AF$316/(SUM(AF$236,AF$272,AF$276,AF$280,AF$297,AF$301,AF$305,AF$309)-SUM(AF$235,AF$271,AF$275,AF$279,AF$296,AF$300,AF$304,AF$308)),AG$316/(SUM(AG$236,AG$272,AG$276,AG$280,AG$297,AG$301,AG$305,AG$309)-SUM(AG$235,AG$271,AG$275,AG$279,AG$296,AG$300,AG$304,AG$308))),AG$316/(SUM(AG$236,AG$272,AG$276,AG$280,AG$297,AG$301,AG$305,AG$309)-SUM(AG$235,AG$271,AG$275,AG$279,AG$296,AG$300,AG$304,AG$308)))*(SUM(AH$236,AH$272,AH$276,AH$280,AH$297,AH$301,AH$305,AH$309)-SUM(AH$235,AH$271,AH$275,AH$279,AH$296,AH$300,AH$304,AH$308))</f>
        <v>16.041992950781282</v>
      </c>
      <c r="AI316" s="8">
        <f ca="1">IF(AI$6=OFFSET(Assumptions!$B$8,0,$C$1),AVERAGE(AF$316/(SUM(AF$236,AF$272,AF$276,AF$280,AF$297,AF$301,AF$305,AF$309)-SUM(AF$235,AF$271,AF$275,AF$279,AF$296,AF$300,AF$304,AF$308)),AG$316/(SUM(AG$236,AG$272,AG$276,AG$280,AG$297,AG$301,AG$305,AG$309)-SUM(AG$235,AG$271,AG$275,AG$279,AG$296,AG$300,AG$304,AG$308)),AH$316/(SUM(AH$236,AH$272,AH$276,AH$280,AH$297,AH$301,AH$305,AH$309)-SUM(AH$235,AH$271,AH$275,AH$279,AH$296,AH$300,AH$304,AH$308))),AH$316/(SUM(AH$236,AH$272,AH$276,AH$280,AH$297,AH$301,AH$305,AH$309)-SUM(AH$235,AH$271,AH$275,AH$279,AH$296,AH$300,AH$304,AH$308)))*(SUM(AI$236,AI$272,AI$276,AI$280,AI$297,AI$301,AI$305,AI$309)-SUM(AI$235,AI$271,AI$275,AI$279,AI$296,AI$300,AI$304,AI$308))</f>
        <v>16.686195585447791</v>
      </c>
      <c r="AJ316" s="8">
        <f ca="1">IF(AJ$6=OFFSET(Assumptions!$B$8,0,$C$1),AVERAGE(AG$316/(SUM(AG$236,AG$272,AG$276,AG$280,AG$297,AG$301,AG$305,AG$309)-SUM(AG$235,AG$271,AG$275,AG$279,AG$296,AG$300,AG$304,AG$308)),AH$316/(SUM(AH$236,AH$272,AH$276,AH$280,AH$297,AH$301,AH$305,AH$309)-SUM(AH$235,AH$271,AH$275,AH$279,AH$296,AH$300,AH$304,AH$308)),AI$316/(SUM(AI$236,AI$272,AI$276,AI$280,AI$297,AI$301,AI$305,AI$309)-SUM(AI$235,AI$271,AI$275,AI$279,AI$296,AI$300,AI$304,AI$308))),AI$316/(SUM(AI$236,AI$272,AI$276,AI$280,AI$297,AI$301,AI$305,AI$309)-SUM(AI$235,AI$271,AI$275,AI$279,AI$296,AI$300,AI$304,AI$308)))*(SUM(AJ$236,AJ$272,AJ$276,AJ$280,AJ$297,AJ$301,AJ$305,AJ$309)-SUM(AJ$235,AJ$271,AJ$275,AJ$279,AJ$296,AJ$300,AJ$304,AJ$308))</f>
        <v>17.355789212837756</v>
      </c>
      <c r="AK316" s="8">
        <f ca="1">IF(AK$6=OFFSET(Assumptions!$B$8,0,$C$1),AVERAGE(AH$316/(SUM(AH$236,AH$272,AH$276,AH$280,AH$297,AH$301,AH$305,AH$309)-SUM(AH$235,AH$271,AH$275,AH$279,AH$296,AH$300,AH$304,AH$308)),AI$316/(SUM(AI$236,AI$272,AI$276,AI$280,AI$297,AI$301,AI$305,AI$309)-SUM(AI$235,AI$271,AI$275,AI$279,AI$296,AI$300,AI$304,AI$308)),AJ$316/(SUM(AJ$236,AJ$272,AJ$276,AJ$280,AJ$297,AJ$301,AJ$305,AJ$309)-SUM(AJ$235,AJ$271,AJ$275,AJ$279,AJ$296,AJ$300,AJ$304,AJ$308))),AJ$316/(SUM(AJ$236,AJ$272,AJ$276,AJ$280,AJ$297,AJ$301,AJ$305,AJ$309)-SUM(AJ$235,AJ$271,AJ$275,AJ$279,AJ$296,AJ$300,AJ$304,AJ$308)))*(SUM(AK$236,AK$272,AK$276,AK$280,AK$297,AK$301,AK$305,AK$309)-SUM(AK$235,AK$271,AK$275,AK$279,AK$296,AK$300,AK$304,AK$308))</f>
        <v>18.050222404851326</v>
      </c>
      <c r="AL316" s="8">
        <f ca="1">IF(AL$6=OFFSET(Assumptions!$B$8,0,$C$1),AVERAGE(AI$316/(SUM(AI$236,AI$272,AI$276,AI$280,AI$297,AI$301,AI$305,AI$309)-SUM(AI$235,AI$271,AI$275,AI$279,AI$296,AI$300,AI$304,AI$308)),AJ$316/(SUM(AJ$236,AJ$272,AJ$276,AJ$280,AJ$297,AJ$301,AJ$305,AJ$309)-SUM(AJ$235,AJ$271,AJ$275,AJ$279,AJ$296,AJ$300,AJ$304,AJ$308)),AK$316/(SUM(AK$236,AK$272,AK$276,AK$280,AK$297,AK$301,AK$305,AK$309)-SUM(AK$235,AK$271,AK$275,AK$279,AK$296,AK$300,AK$304,AK$308))),AK$316/(SUM(AK$236,AK$272,AK$276,AK$280,AK$297,AK$301,AK$305,AK$309)-SUM(AK$235,AK$271,AK$275,AK$279,AK$296,AK$300,AK$304,AK$308)))*(SUM(AL$236,AL$272,AL$276,AL$280,AL$297,AL$301,AL$305,AL$309)-SUM(AL$235,AL$271,AL$275,AL$279,AL$296,AL$300,AL$304,AL$308))</f>
        <v>18.768947610855047</v>
      </c>
      <c r="AM316" s="8">
        <f ca="1">IF(AM$6=OFFSET(Assumptions!$B$8,0,$C$1),AVERAGE(AJ$316/(SUM(AJ$236,AJ$272,AJ$276,AJ$280,AJ$297,AJ$301,AJ$305,AJ$309)-SUM(AJ$235,AJ$271,AJ$275,AJ$279,AJ$296,AJ$300,AJ$304,AJ$308)),AK$316/(SUM(AK$236,AK$272,AK$276,AK$280,AK$297,AK$301,AK$305,AK$309)-SUM(AK$235,AK$271,AK$275,AK$279,AK$296,AK$300,AK$304,AK$308)),AL$316/(SUM(AL$236,AL$272,AL$276,AL$280,AL$297,AL$301,AL$305,AL$309)-SUM(AL$235,AL$271,AL$275,AL$279,AL$296,AL$300,AL$304,AL$308))),AL$316/(SUM(AL$236,AL$272,AL$276,AL$280,AL$297,AL$301,AL$305,AL$309)-SUM(AL$235,AL$271,AL$275,AL$279,AL$296,AL$300,AL$304,AL$308)))*(SUM(AM$236,AM$272,AM$276,AM$280,AM$297,AM$301,AM$305,AM$309)-SUM(AM$235,AM$271,AM$275,AM$279,AM$296,AM$300,AM$304,AM$308))</f>
        <v>19.512886777185614</v>
      </c>
      <c r="AN316" s="8">
        <f ca="1">IF(AN$6=OFFSET(Assumptions!$B$8,0,$C$1),AVERAGE(AK$316/(SUM(AK$236,AK$272,AK$276,AK$280,AK$297,AK$301,AK$305,AK$309)-SUM(AK$235,AK$271,AK$275,AK$279,AK$296,AK$300,AK$304,AK$308)),AL$316/(SUM(AL$236,AL$272,AL$276,AL$280,AL$297,AL$301,AL$305,AL$309)-SUM(AL$235,AL$271,AL$275,AL$279,AL$296,AL$300,AL$304,AL$308)),AM$316/(SUM(AM$236,AM$272,AM$276,AM$280,AM$297,AM$301,AM$305,AM$309)-SUM(AM$235,AM$271,AM$275,AM$279,AM$296,AM$300,AM$304,AM$308))),AM$316/(SUM(AM$236,AM$272,AM$276,AM$280,AM$297,AM$301,AM$305,AM$309)-SUM(AM$235,AM$271,AM$275,AM$279,AM$296,AM$300,AM$304,AM$308)))*(SUM(AN$236,AN$272,AN$276,AN$280,AN$297,AN$301,AN$305,AN$309)-SUM(AN$235,AN$271,AN$275,AN$279,AN$296,AN$300,AN$304,AN$308))</f>
        <v>20.283136317019469</v>
      </c>
      <c r="AO316" s="8">
        <f ca="1">IF(AO$6=OFFSET(Assumptions!$B$8,0,$C$1),AVERAGE(AL$316/(SUM(AL$236,AL$272,AL$276,AL$280,AL$297,AL$301,AL$305,AL$309)-SUM(AL$235,AL$271,AL$275,AL$279,AL$296,AL$300,AL$304,AL$308)),AM$316/(SUM(AM$236,AM$272,AM$276,AM$280,AM$297,AM$301,AM$305,AM$309)-SUM(AM$235,AM$271,AM$275,AM$279,AM$296,AM$300,AM$304,AM$308)),AN$316/(SUM(AN$236,AN$272,AN$276,AN$280,AN$297,AN$301,AN$305,AN$309)-SUM(AN$235,AN$271,AN$275,AN$279,AN$296,AN$300,AN$304,AN$308))),AN$316/(SUM(AN$236,AN$272,AN$276,AN$280,AN$297,AN$301,AN$305,AN$309)-SUM(AN$235,AN$271,AN$275,AN$279,AN$296,AN$300,AN$304,AN$308)))*(SUM(AO$236,AO$272,AO$276,AO$280,AO$297,AO$301,AO$305,AO$309)-SUM(AO$235,AO$271,AO$275,AO$279,AO$296,AO$300,AO$304,AO$308))</f>
        <v>21.076669579671972</v>
      </c>
      <c r="AP316" s="8">
        <f ca="1">IF(AP$6=OFFSET(Assumptions!$B$8,0,$C$1),AVERAGE(AM$316/(SUM(AM$236,AM$272,AM$276,AM$280,AM$297,AM$301,AM$305,AM$309)-SUM(AM$235,AM$271,AM$275,AM$279,AM$296,AM$300,AM$304,AM$308)),AN$316/(SUM(AN$236,AN$272,AN$276,AN$280,AN$297,AN$301,AN$305,AN$309)-SUM(AN$235,AN$271,AN$275,AN$279,AN$296,AN$300,AN$304,AN$308)),AO$316/(SUM(AO$236,AO$272,AO$276,AO$280,AO$297,AO$301,AO$305,AO$309)-SUM(AO$235,AO$271,AO$275,AO$279,AO$296,AO$300,AO$304,AO$308))),AO$316/(SUM(AO$236,AO$272,AO$276,AO$280,AO$297,AO$301,AO$305,AO$309)-SUM(AO$235,AO$271,AO$275,AO$279,AO$296,AO$300,AO$304,AO$308)))*(SUM(AP$236,AP$272,AP$276,AP$280,AP$297,AP$301,AP$305,AP$309)-SUM(AP$235,AP$271,AP$275,AP$279,AP$296,AP$300,AP$304,AP$308))</f>
        <v>21.89685836426592</v>
      </c>
      <c r="AQ316" s="8">
        <f ca="1">IF(AQ$6=OFFSET(Assumptions!$B$8,0,$C$1),AVERAGE(AN$316/(SUM(AN$236,AN$272,AN$276,AN$280,AN$297,AN$301,AN$305,AN$309)-SUM(AN$235,AN$271,AN$275,AN$279,AN$296,AN$300,AN$304,AN$308)),AO$316/(SUM(AO$236,AO$272,AO$276,AO$280,AO$297,AO$301,AO$305,AO$309)-SUM(AO$235,AO$271,AO$275,AO$279,AO$296,AO$300,AO$304,AO$308)),AP$316/(SUM(AP$236,AP$272,AP$276,AP$280,AP$297,AP$301,AP$305,AP$309)-SUM(AP$235,AP$271,AP$275,AP$279,AP$296,AP$300,AP$304,AP$308))),AP$316/(SUM(AP$236,AP$272,AP$276,AP$280,AP$297,AP$301,AP$305,AP$309)-SUM(AP$235,AP$271,AP$275,AP$279,AP$296,AP$300,AP$304,AP$308)))*(SUM(AQ$236,AQ$272,AQ$276,AQ$280,AQ$297,AQ$301,AQ$305,AQ$309)-SUM(AQ$235,AQ$271,AQ$275,AQ$279,AQ$296,AQ$300,AQ$304,AQ$308))</f>
        <v>22.741342556858676</v>
      </c>
      <c r="AR316" s="8">
        <f ca="1">IF(AR$6=OFFSET(Assumptions!$B$8,0,$C$1),AVERAGE(AO$316/(SUM(AO$236,AO$272,AO$276,AO$280,AO$297,AO$301,AO$305,AO$309)-SUM(AO$235,AO$271,AO$275,AO$279,AO$296,AO$300,AO$304,AO$308)),AP$316/(SUM(AP$236,AP$272,AP$276,AP$280,AP$297,AP$301,AP$305,AP$309)-SUM(AP$235,AP$271,AP$275,AP$279,AP$296,AP$300,AP$304,AP$308)),AQ$316/(SUM(AQ$236,AQ$272,AQ$276,AQ$280,AQ$297,AQ$301,AQ$305,AQ$309)-SUM(AQ$235,AQ$271,AQ$275,AQ$279,AQ$296,AQ$300,AQ$304,AQ$308))),AQ$316/(SUM(AQ$236,AQ$272,AQ$276,AQ$280,AQ$297,AQ$301,AQ$305,AQ$309)-SUM(AQ$235,AQ$271,AQ$275,AQ$279,AQ$296,AQ$300,AQ$304,AQ$308)))*(SUM(AR$236,AR$272,AR$276,AR$280,AR$297,AR$301,AR$305,AR$309)-SUM(AR$235,AR$271,AR$275,AR$279,AR$296,AR$300,AR$304,AR$308))</f>
        <v>23.611078746137526</v>
      </c>
      <c r="AS316" s="8">
        <f ca="1">IF(AS$6=OFFSET(Assumptions!$B$8,0,$C$1),AVERAGE(AP$316/(SUM(AP$236,AP$272,AP$276,AP$280,AP$297,AP$301,AP$305,AP$309)-SUM(AP$235,AP$271,AP$275,AP$279,AP$296,AP$300,AP$304,AP$308)),AQ$316/(SUM(AQ$236,AQ$272,AQ$276,AQ$280,AQ$297,AQ$301,AQ$305,AQ$309)-SUM(AQ$235,AQ$271,AQ$275,AQ$279,AQ$296,AQ$300,AQ$304,AQ$308)),AR$316/(SUM(AR$236,AR$272,AR$276,AR$280,AR$297,AR$301,AR$305,AR$309)-SUM(AR$235,AR$271,AR$275,AR$279,AR$296,AR$300,AR$304,AR$308))),AR$316/(SUM(AR$236,AR$272,AR$276,AR$280,AR$297,AR$301,AR$305,AR$309)-SUM(AR$235,AR$271,AR$275,AR$279,AR$296,AR$300,AR$304,AR$308)))*(SUM(AS$236,AS$272,AS$276,AS$280,AS$297,AS$301,AS$305,AS$309)-SUM(AS$235,AS$271,AS$275,AS$279,AS$296,AS$300,AS$304,AS$308))</f>
        <v>24.508157749629571</v>
      </c>
      <c r="AT316" s="8">
        <f ca="1">IF(AT$6=OFFSET(Assumptions!$B$8,0,$C$1),AVERAGE(AQ$316/(SUM(AQ$236,AQ$272,AQ$276,AQ$280,AQ$297,AQ$301,AQ$305,AQ$309)-SUM(AQ$235,AQ$271,AQ$275,AQ$279,AQ$296,AQ$300,AQ$304,AQ$308)),AR$316/(SUM(AR$236,AR$272,AR$276,AR$280,AR$297,AR$301,AR$305,AR$309)-SUM(AR$235,AR$271,AR$275,AR$279,AR$296,AR$300,AR$304,AR$308)),AS$316/(SUM(AS$236,AS$272,AS$276,AS$280,AS$297,AS$301,AS$305,AS$309)-SUM(AS$235,AS$271,AS$275,AS$279,AS$296,AS$300,AS$304,AS$308))),AS$316/(SUM(AS$236,AS$272,AS$276,AS$280,AS$297,AS$301,AS$305,AS$309)-SUM(AS$235,AS$271,AS$275,AS$279,AS$296,AS$300,AS$304,AS$308)))*(SUM(AT$236,AT$272,AT$276,AT$280,AT$297,AT$301,AT$305,AT$309)-SUM(AT$235,AT$271,AT$275,AT$279,AT$296,AT$300,AT$304,AT$308))</f>
        <v>25.433296326107907</v>
      </c>
      <c r="AU316" s="8">
        <f ca="1">IF(AU$6=OFFSET(Assumptions!$B$8,0,$C$1),AVERAGE(AR$316/(SUM(AR$236,AR$272,AR$276,AR$280,AR$297,AR$301,AR$305,AR$309)-SUM(AR$235,AR$271,AR$275,AR$279,AR$296,AR$300,AR$304,AR$308)),AS$316/(SUM(AS$236,AS$272,AS$276,AS$280,AS$297,AS$301,AS$305,AS$309)-SUM(AS$235,AS$271,AS$275,AS$279,AS$296,AS$300,AS$304,AS$308)),AT$316/(SUM(AT$236,AT$272,AT$276,AT$280,AT$297,AT$301,AT$305,AT$309)-SUM(AT$235,AT$271,AT$275,AT$279,AT$296,AT$300,AT$304,AT$308))),AT$316/(SUM(AT$236,AT$272,AT$276,AT$280,AT$297,AT$301,AT$305,AT$309)-SUM(AT$235,AT$271,AT$275,AT$279,AT$296,AT$300,AT$304,AT$308)))*(SUM(AU$236,AU$272,AU$276,AU$280,AU$297,AU$301,AU$305,AU$309)-SUM(AU$235,AU$271,AU$275,AU$279,AU$296,AU$300,AU$304,AU$308))</f>
        <v>26.387725107305812</v>
      </c>
      <c r="AV316" s="8">
        <f ca="1">IF(AV$6=OFFSET(Assumptions!$B$8,0,$C$1),AVERAGE(AS$316/(SUM(AS$236,AS$272,AS$276,AS$280,AS$297,AS$301,AS$305,AS$309)-SUM(AS$235,AS$271,AS$275,AS$279,AS$296,AS$300,AS$304,AS$308)),AT$316/(SUM(AT$236,AT$272,AT$276,AT$280,AT$297,AT$301,AT$305,AT$309)-SUM(AT$235,AT$271,AT$275,AT$279,AT$296,AT$300,AT$304,AT$308)),AU$316/(SUM(AU$236,AU$272,AU$276,AU$280,AU$297,AU$301,AU$305,AU$309)-SUM(AU$235,AU$271,AU$275,AU$279,AU$296,AU$300,AU$304,AU$308))),AU$316/(SUM(AU$236,AU$272,AU$276,AU$280,AU$297,AU$301,AU$305,AU$309)-SUM(AU$235,AU$271,AU$275,AU$279,AU$296,AU$300,AU$304,AU$308)))*(SUM(AV$236,AV$272,AV$276,AV$280,AV$297,AV$301,AV$305,AV$309)-SUM(AV$235,AV$271,AV$275,AV$279,AV$296,AV$300,AV$304,AV$308))</f>
        <v>27.37427432934501</v>
      </c>
      <c r="AW316" s="8">
        <f ca="1">IF(AW$6=OFFSET(Assumptions!$B$8,0,$C$1),AVERAGE(AT$316/(SUM(AT$236,AT$272,AT$276,AT$280,AT$297,AT$301,AT$305,AT$309)-SUM(AT$235,AT$271,AT$275,AT$279,AT$296,AT$300,AT$304,AT$308)),AU$316/(SUM(AU$236,AU$272,AU$276,AU$280,AU$297,AU$301,AU$305,AU$309)-SUM(AU$235,AU$271,AU$275,AU$279,AU$296,AU$300,AU$304,AU$308)),AV$316/(SUM(AV$236,AV$272,AV$276,AV$280,AV$297,AV$301,AV$305,AV$309)-SUM(AV$235,AV$271,AV$275,AV$279,AV$296,AV$300,AV$304,AV$308))),AV$316/(SUM(AV$236,AV$272,AV$276,AV$280,AV$297,AV$301,AV$305,AV$309)-SUM(AV$235,AV$271,AV$275,AV$279,AV$296,AV$300,AV$304,AV$308)))*(SUM(AW$236,AW$272,AW$276,AW$280,AW$297,AW$301,AW$305,AW$309)-SUM(AW$235,AW$271,AW$275,AW$279,AW$296,AW$300,AW$304,AW$308))</f>
        <v>28.392569125942494</v>
      </c>
    </row>
    <row r="317" spans="1:49" ht="15" x14ac:dyDescent="0.25">
      <c r="A317" s="2" t="s">
        <v>588</v>
      </c>
      <c r="B317" s="4" t="str">
        <f t="shared" si="201"/>
        <v>From Fiscal</v>
      </c>
      <c r="D317" s="47">
        <f>Fiscal!D$200</f>
        <v>7.01</v>
      </c>
      <c r="E317" s="44">
        <f>Fiscal!E$200</f>
        <v>6.5750000000000002</v>
      </c>
      <c r="F317" s="44">
        <f>Fiscal!F$200</f>
        <v>6.7560000000000002</v>
      </c>
      <c r="G317" s="44">
        <f>Fiscal!G$200</f>
        <v>7.0490000000000004</v>
      </c>
      <c r="H317" s="44">
        <f>Fiscal!H$200</f>
        <v>7.0519999999999996</v>
      </c>
      <c r="I317" s="44">
        <f>Fiscal!I$200</f>
        <v>7.0650000000000004</v>
      </c>
      <c r="J317" s="8">
        <f ca="1">IF(J$6=OFFSET(Assumptions!$B$8,0,$C$1),AVERAGE(G$317/(G$293-G$292),H$317/(H$293-H$292),I$317/(I$293-I$292)),I$317/(I$293-I$292))*(J$293-J$292)</f>
        <v>7.6808851294551213</v>
      </c>
      <c r="K317" s="8">
        <f ca="1">IF(K$6=OFFSET(Assumptions!$B$8,0,$C$1),AVERAGE(H$317/(H$293-H$292),I$317/(I$293-I$292),J$317/(J$293-J$292)),J$317/(J$293-J$292))*(K$293-K$292)</f>
        <v>8.0018708347713634</v>
      </c>
      <c r="L317" s="8">
        <f ca="1">IF(L$6=OFFSET(Assumptions!$B$8,0,$C$1),AVERAGE(I$317/(I$293-I$292),J$317/(J$293-J$292),K$317/(K$293-K$292)),K$317/(K$293-K$292))*(L$293-L$292)</f>
        <v>8.3487142491935842</v>
      </c>
      <c r="M317" s="8">
        <f ca="1">IF(M$6=OFFSET(Assumptions!$B$8,0,$C$1),AVERAGE(J$317/(J$293-J$292),K$317/(K$293-K$292),L$317/(L$293-L$292)),L$317/(L$293-L$292))*(M$293-M$292)</f>
        <v>8.7094325848119833</v>
      </c>
      <c r="N317" s="8">
        <f ca="1">IF(N$6=OFFSET(Assumptions!$B$8,0,$C$1),AVERAGE(K$317/(K$293-K$292),L$317/(L$293-L$292),M$317/(M$293-M$292)),M$317/(M$293-M$292))*(N$293-N$292)</f>
        <v>9.0850484340793916</v>
      </c>
      <c r="O317" s="8">
        <f ca="1">IF(O$6=OFFSET(Assumptions!$B$8,0,$C$1),AVERAGE(L$317/(L$293-L$292),M$317/(M$293-M$292),N$317/(N$293-N$292)),N$317/(N$293-N$292))*(O$293-O$292)</f>
        <v>9.4728594716351431</v>
      </c>
      <c r="P317" s="8">
        <f ca="1">IF(P$6=OFFSET(Assumptions!$B$8,0,$C$1),AVERAGE(M$317/(M$293-M$292),N$317/(N$293-N$292),O$317/(O$293-O$292)),O$317/(O$293-O$292))*(P$293-P$292)</f>
        <v>9.8734562901217018</v>
      </c>
      <c r="Q317" s="8">
        <f ca="1">IF(Q$6=OFFSET(Assumptions!$B$8,0,$C$1),AVERAGE(N$317/(N$293-N$292),O$317/(O$293-O$292),P$317/(P$293-P$292)),P$317/(P$293-P$292))*(Q$293-Q$292)</f>
        <v>10.286406171418015</v>
      </c>
      <c r="R317" s="8">
        <f ca="1">IF(R$6=OFFSET(Assumptions!$B$8,0,$C$1),AVERAGE(O$317/(O$293-O$292),P$317/(P$293-P$292),Q$317/(Q$293-Q$292)),Q$317/(Q$293-Q$292))*(R$293-R$292)</f>
        <v>10.711402616892872</v>
      </c>
      <c r="S317" s="8">
        <f ca="1">IF(S$6=OFFSET(Assumptions!$B$8,0,$C$1),AVERAGE(P$317/(P$293-P$292),Q$317/(Q$293-Q$292),R$317/(R$293-R$292)),R$317/(R$293-R$292))*(S$293-S$292)</f>
        <v>11.149796247919856</v>
      </c>
      <c r="T317" s="8">
        <f ca="1">IF(T$6=OFFSET(Assumptions!$B$8,0,$C$1),AVERAGE(Q$317/(Q$293-Q$292),R$317/(R$293-R$292),S$317/(S$293-S$292)),S$317/(S$293-S$292))*(T$293-T$292)</f>
        <v>11.601746931813615</v>
      </c>
      <c r="U317" s="8">
        <f ca="1">IF(U$6=OFFSET(Assumptions!$B$8,0,$C$1),AVERAGE(R$317/(R$293-R$292),S$317/(S$293-S$292),T$317/(T$293-T$292)),T$317/(T$293-T$292))*(U$293-U$292)</f>
        <v>12.068876707665384</v>
      </c>
      <c r="V317" s="8">
        <f ca="1">IF(V$6=OFFSET(Assumptions!$B$8,0,$C$1),AVERAGE(S$317/(S$293-S$292),T$317/(T$293-T$292),U$317/(U$293-U$292)),U$317/(U$293-U$292))*(V$293-V$292)</f>
        <v>12.552338687994988</v>
      </c>
      <c r="W317" s="8">
        <f ca="1">IF(W$6=OFFSET(Assumptions!$B$8,0,$C$1),AVERAGE(T$317/(T$293-T$292),U$317/(U$293-U$292),V$317/(V$293-V$292)),V$317/(V$293-V$292))*(W$293-W$292)</f>
        <v>13.053533584106615</v>
      </c>
      <c r="X317" s="8">
        <f ca="1">IF(X$6=OFFSET(Assumptions!$B$8,0,$C$1),AVERAGE(U$317/(U$293-U$292),V$317/(V$293-V$292),W$317/(W$293-W$292)),W$317/(W$293-W$292))*(X$293-X$292)</f>
        <v>13.57404890944756</v>
      </c>
      <c r="Y317" s="8">
        <f ca="1">IF(Y$6=OFFSET(Assumptions!$B$8,0,$C$1),AVERAGE(V$317/(V$293-V$292),W$317/(W$293-W$292),X$317/(X$293-X$292)),X$317/(X$293-X$292))*(Y$293-Y$292)</f>
        <v>14.1138314501169</v>
      </c>
      <c r="Z317" s="8">
        <f ca="1">IF(Z$6=OFFSET(Assumptions!$B$8,0,$C$1),AVERAGE(W$317/(W$293-W$292),X$317/(X$293-X$292),Y$317/(Y$293-Y$292)),Y$317/(Y$293-Y$292))*(Z$293-Z$292)</f>
        <v>14.675613392305673</v>
      </c>
      <c r="AA317" s="8">
        <f ca="1">IF(AA$6=OFFSET(Assumptions!$B$8,0,$C$1),AVERAGE(X$317/(X$293-X$292),Y$317/(Y$293-Y$292),Z$317/(Z$293-Z$292)),Z$317/(Z$293-Z$292))*(AA$293-AA$292)</f>
        <v>15.26030370113366</v>
      </c>
      <c r="AB317" s="8">
        <f ca="1">IF(AB$6=OFFSET(Assumptions!$B$8,0,$C$1),AVERAGE(Y$317/(Y$293-Y$292),Z$317/(Z$293-Z$292),AA$317/(AA$293-AA$292)),AA$317/(AA$293-AA$292))*(AB$293-AB$292)</f>
        <v>15.869658255595152</v>
      </c>
      <c r="AC317" s="8">
        <f ca="1">IF(AC$6=OFFSET(Assumptions!$B$8,0,$C$1),AVERAGE(Z$317/(Z$293-Z$292),AA$317/(AA$293-AA$292),AB$317/(AB$293-AB$292)),AB$317/(AB$293-AB$292))*(AC$293-AC$292)</f>
        <v>16.505977451824105</v>
      </c>
      <c r="AD317" s="8">
        <f ca="1">IF(AD$6=OFFSET(Assumptions!$B$8,0,$C$1),AVERAGE(AA$317/(AA$293-AA$292),AB$317/(AB$293-AB$292),AC$317/(AC$293-AC$292)),AC$317/(AC$293-AC$292))*(AD$293-AD$292)</f>
        <v>17.169931978102792</v>
      </c>
      <c r="AE317" s="8">
        <f ca="1">IF(AE$6=OFFSET(Assumptions!$B$8,0,$C$1),AVERAGE(AB$317/(AB$293-AB$292),AC$317/(AC$293-AC$292),AD$317/(AD$293-AD$292)),AD$317/(AD$293-AD$292))*(AE$293-AE$292)</f>
        <v>17.860912080694924</v>
      </c>
      <c r="AF317" s="8">
        <f ca="1">IF(AF$6=OFFSET(Assumptions!$B$8,0,$C$1),AVERAGE(AC$317/(AC$293-AC$292),AD$317/(AD$293-AD$292),AE$317/(AE$293-AE$292)),AE$317/(AE$293-AE$292))*(AF$293-AF$292)</f>
        <v>18.580829424875258</v>
      </c>
      <c r="AG317" s="8">
        <f ca="1">IF(AG$6=OFFSET(Assumptions!$B$8,0,$C$1),AVERAGE(AD$317/(AD$293-AD$292),AE$317/(AE$293-AE$292),AF$317/(AF$293-AF$292)),AF$317/(AF$293-AF$292))*(AG$293-AG$292)</f>
        <v>19.330086558319017</v>
      </c>
      <c r="AH317" s="8">
        <f ca="1">IF(AH$6=OFFSET(Assumptions!$B$8,0,$C$1),AVERAGE(AE$317/(AE$293-AE$292),AF$317/(AF$293-AF$292),AG$317/(AG$293-AG$292)),AG$317/(AG$293-AG$292))*(AH$293-AH$292)</f>
        <v>20.109884966827867</v>
      </c>
      <c r="AI317" s="8">
        <f ca="1">IF(AI$6=OFFSET(Assumptions!$B$8,0,$C$1),AVERAGE(AF$317/(AF$293-AF$292),AG$317/(AG$293-AG$292),AH$317/(AH$293-AH$292)),AH$317/(AH$293-AH$292))*(AI$293-AI$292)</f>
        <v>20.918862084442672</v>
      </c>
      <c r="AJ317" s="8">
        <f ca="1">IF(AJ$6=OFFSET(Assumptions!$B$8,0,$C$1),AVERAGE(AG$317/(AG$293-AG$292),AH$317/(AH$293-AH$292),AI$317/(AI$293-AI$292)),AI$317/(AI$293-AI$292))*(AJ$293-AJ$292)</f>
        <v>21.759609467930659</v>
      </c>
      <c r="AK317" s="8">
        <f ca="1">IF(AK$6=OFFSET(Assumptions!$B$8,0,$C$1),AVERAGE(AH$317/(AH$293-AH$292),AI$317/(AI$293-AI$292),AJ$317/(AJ$293-AJ$292)),AJ$317/(AJ$293-AJ$292))*(AK$293-AK$292)</f>
        <v>22.631435492596136</v>
      </c>
      <c r="AL317" s="8">
        <f ca="1">IF(AL$6=OFFSET(Assumptions!$B$8,0,$C$1),AVERAGE(AI$317/(AI$293-AI$292),AJ$317/(AJ$293-AJ$292),AK$317/(AK$293-AK$292)),AK$317/(AK$293-AK$292))*(AL$293-AL$292)</f>
        <v>23.533653397027393</v>
      </c>
      <c r="AM317" s="8">
        <f ca="1">IF(AM$6=OFFSET(Assumptions!$B$8,0,$C$1),AVERAGE(AJ$317/(AJ$293-AJ$292),AK$317/(AK$293-AK$292),AL$317/(AL$293-AL$292)),AL$317/(AL$293-AL$292))*(AM$293-AM$292)</f>
        <v>24.467495728368952</v>
      </c>
      <c r="AN317" s="8">
        <f ca="1">IF(AN$6=OFFSET(Assumptions!$B$8,0,$C$1),AVERAGE(AK$317/(AK$293-AK$292),AL$317/(AL$293-AL$292),AM$317/(AM$293-AM$292)),AM$317/(AM$293-AM$292))*(AN$293-AN$292)</f>
        <v>25.434261452260298</v>
      </c>
      <c r="AO317" s="8">
        <f ca="1">IF(AO$6=OFFSET(Assumptions!$B$8,0,$C$1),AVERAGE(AL$317/(AL$293-AL$292),AM$317/(AM$293-AM$292),AN$317/(AN$293-AN$292)),AN$317/(AN$293-AN$292))*(AO$293-AO$292)</f>
        <v>26.430154414026781</v>
      </c>
      <c r="AP317" s="8">
        <f ca="1">IF(AP$6=OFFSET(Assumptions!$B$8,0,$C$1),AVERAGE(AM$317/(AM$293-AM$292),AN$317/(AN$293-AN$292),AO$317/(AO$293-AO$292)),AO$317/(AO$293-AO$292))*(AP$293-AP$292)</f>
        <v>27.459403668268958</v>
      </c>
      <c r="AQ317" s="8">
        <f ca="1">IF(AQ$6=OFFSET(Assumptions!$B$8,0,$C$1),AVERAGE(AN$317/(AN$293-AN$292),AO$317/(AO$293-AO$292),AP$317/(AP$293-AP$292)),AP$317/(AP$293-AP$292))*(AQ$293-AQ$292)</f>
        <v>28.519125261824477</v>
      </c>
      <c r="AR317" s="8">
        <f ca="1">IF(AR$6=OFFSET(Assumptions!$B$8,0,$C$1),AVERAGE(AO$317/(AO$293-AO$292),AP$317/(AP$293-AP$292),AQ$317/(AQ$293-AQ$292)),AQ$317/(AQ$293-AQ$292))*(AR$293-AR$292)</f>
        <v>29.610518989118113</v>
      </c>
      <c r="AS317" s="8">
        <f ca="1">IF(AS$6=OFFSET(Assumptions!$B$8,0,$C$1),AVERAGE(AP$317/(AP$293-AP$292),AQ$317/(AQ$293-AQ$292),AR$317/(AR$293-AR$292)),AR$317/(AR$293-AR$292))*(AS$293-AS$292)</f>
        <v>30.736131040235612</v>
      </c>
      <c r="AT317" s="8">
        <f ca="1">IF(AT$6=OFFSET(Assumptions!$B$8,0,$C$1),AVERAGE(AQ$317/(AQ$293-AQ$292),AR$317/(AR$293-AR$292),AS$317/(AS$293-AS$292)),AS$317/(AS$293-AS$292))*(AT$293-AT$292)</f>
        <v>31.896860404670672</v>
      </c>
      <c r="AU317" s="8">
        <f ca="1">IF(AU$6=OFFSET(Assumptions!$B$8,0,$C$1),AVERAGE(AR$317/(AR$293-AR$292),AS$317/(AS$293-AS$292),AT$317/(AT$293-AT$292)),AT$317/(AT$293-AT$292))*(AU$293-AU$292)</f>
        <v>33.094250593351433</v>
      </c>
      <c r="AV317" s="8">
        <f ca="1">IF(AV$6=OFFSET(Assumptions!$B$8,0,$C$1),AVERAGE(AS$317/(AS$293-AS$292),AT$317/(AT$293-AT$292),AU$317/(AU$293-AU$292)),AU$317/(AU$293-AU$292))*(AV$293-AV$292)</f>
        <v>34.332003814684882</v>
      </c>
      <c r="AW317" s="8">
        <f ca="1">IF(AW$6=OFFSET(Assumptions!$B$8,0,$C$1),AVERAGE(AT$317/(AT$293-AT$292),AU$317/(AU$293-AU$292),AV$317/(AV$293-AV$292)),AV$317/(AV$293-AV$292))*(AW$293-AW$292)</f>
        <v>35.609421287443084</v>
      </c>
    </row>
    <row r="318" spans="1:49" ht="15" x14ac:dyDescent="0.25">
      <c r="A318" s="2" t="s">
        <v>589</v>
      </c>
      <c r="B318" s="4" t="str">
        <f t="shared" si="201"/>
        <v>From Fiscal</v>
      </c>
      <c r="D318" s="47">
        <f>Fiscal!D$201</f>
        <v>-2.698</v>
      </c>
      <c r="E318" s="44">
        <f>Fiscal!E$201</f>
        <v>-2.8359999999999999</v>
      </c>
      <c r="F318" s="44">
        <f>Fiscal!F$201</f>
        <v>-2.996</v>
      </c>
      <c r="G318" s="44">
        <f>Fiscal!G$201</f>
        <v>-3.0489999999999999</v>
      </c>
      <c r="H318" s="44">
        <f>Fiscal!H$201</f>
        <v>-3.0329999999999999</v>
      </c>
      <c r="I318" s="44">
        <f>Fiscal!I$201</f>
        <v>-3.0619999999999998</v>
      </c>
      <c r="J318" s="8">
        <f t="shared" ref="J318:AW318" ca="1" si="202">SUM(J$236,J$272,J$276,J$280,J$293,J$297,J$301,J$305,J$309)-SUM(J$235,J$271,J$275,J$279,J$292,J$296,J$300,J$304,J$308)-SUM(J$316,J$317)</f>
        <v>-3.3172607753274015</v>
      </c>
      <c r="K318" s="8">
        <f t="shared" ca="1" si="202"/>
        <v>-3.4553865545530709</v>
      </c>
      <c r="L318" s="8">
        <f t="shared" ca="1" si="202"/>
        <v>-3.6047802598380745</v>
      </c>
      <c r="M318" s="8">
        <f t="shared" ca="1" si="202"/>
        <v>-3.7603075217855384</v>
      </c>
      <c r="N318" s="8">
        <f t="shared" ca="1" si="202"/>
        <v>-3.9222407962563608</v>
      </c>
      <c r="O318" s="8">
        <f t="shared" ca="1" si="202"/>
        <v>-4.0894305943019269</v>
      </c>
      <c r="P318" s="8">
        <f t="shared" ca="1" si="202"/>
        <v>-4.2621161792511622</v>
      </c>
      <c r="Q318" s="8">
        <f t="shared" ca="1" si="202"/>
        <v>-4.4400345287600516</v>
      </c>
      <c r="R318" s="8">
        <f t="shared" ca="1" si="202"/>
        <v>-4.6229770251979154</v>
      </c>
      <c r="S318" s="8">
        <f t="shared" ca="1" si="202"/>
        <v>-4.811709446548889</v>
      </c>
      <c r="T318" s="8">
        <f t="shared" ca="1" si="202"/>
        <v>-5.0062547967960924</v>
      </c>
      <c r="U318" s="8">
        <f t="shared" ca="1" si="202"/>
        <v>-5.2073428303405009</v>
      </c>
      <c r="V318" s="8">
        <f t="shared" ca="1" si="202"/>
        <v>-5.4154705762562969</v>
      </c>
      <c r="W318" s="8">
        <f t="shared" ca="1" si="202"/>
        <v>-5.6312417867626365</v>
      </c>
      <c r="X318" s="8">
        <f t="shared" ca="1" si="202"/>
        <v>-5.855325430543477</v>
      </c>
      <c r="Y318" s="8">
        <f t="shared" ca="1" si="202"/>
        <v>-6.0877444747127356</v>
      </c>
      <c r="Z318" s="8">
        <f t="shared" ca="1" si="202"/>
        <v>-6.3296459778635494</v>
      </c>
      <c r="AA318" s="8">
        <f t="shared" ca="1" si="202"/>
        <v>-6.5814064322379267</v>
      </c>
      <c r="AB318" s="8">
        <f t="shared" ca="1" si="202"/>
        <v>-6.8437979802502156</v>
      </c>
      <c r="AC318" s="8">
        <f t="shared" ca="1" si="202"/>
        <v>-7.1178427702934357</v>
      </c>
      <c r="AD318" s="8">
        <f t="shared" ca="1" si="202"/>
        <v>-7.4037992881810908</v>
      </c>
      <c r="AE318" s="8">
        <f t="shared" ca="1" si="202"/>
        <v>-7.7014047101818406</v>
      </c>
      <c r="AF318" s="8">
        <f t="shared" ca="1" si="202"/>
        <v>-8.0114983276738272</v>
      </c>
      <c r="AG318" s="8">
        <f t="shared" ca="1" si="202"/>
        <v>-8.3342230491305713</v>
      </c>
      <c r="AH318" s="8">
        <f t="shared" ca="1" si="202"/>
        <v>-8.6701579594729878</v>
      </c>
      <c r="AI318" s="8">
        <f t="shared" ca="1" si="202"/>
        <v>-9.0186545429829366</v>
      </c>
      <c r="AJ318" s="8">
        <f t="shared" ca="1" si="202"/>
        <v>-9.3808604477748716</v>
      </c>
      <c r="AK318" s="8">
        <f t="shared" ca="1" si="202"/>
        <v>-9.7564775610658927</v>
      </c>
      <c r="AL318" s="8">
        <f t="shared" ca="1" si="202"/>
        <v>-10.145209866307141</v>
      </c>
      <c r="AM318" s="8">
        <f t="shared" ca="1" si="202"/>
        <v>-10.547573330138214</v>
      </c>
      <c r="AN318" s="8">
        <f t="shared" ca="1" si="202"/>
        <v>-10.964143150427503</v>
      </c>
      <c r="AO318" s="8">
        <f t="shared" ca="1" si="202"/>
        <v>-11.393283060799412</v>
      </c>
      <c r="AP318" s="8">
        <f t="shared" ca="1" si="202"/>
        <v>-11.836815921605059</v>
      </c>
      <c r="AQ318" s="8">
        <f t="shared" ca="1" si="202"/>
        <v>-12.293483353701575</v>
      </c>
      <c r="AR318" s="8">
        <f t="shared" ca="1" si="202"/>
        <v>-12.763802507585382</v>
      </c>
      <c r="AS318" s="8">
        <f t="shared" ca="1" si="202"/>
        <v>-13.248886175506357</v>
      </c>
      <c r="AT318" s="8">
        <f t="shared" ca="1" si="202"/>
        <v>-13.749121851232985</v>
      </c>
      <c r="AU318" s="8">
        <f t="shared" ca="1" si="202"/>
        <v>-14.265174838275897</v>
      </c>
      <c r="AV318" s="8">
        <f t="shared" ca="1" si="202"/>
        <v>-14.798610306414915</v>
      </c>
      <c r="AW318" s="8">
        <f t="shared" ca="1" si="202"/>
        <v>-15.349172962207959</v>
      </c>
    </row>
    <row r="319" spans="1:49" ht="15" x14ac:dyDescent="0.25">
      <c r="A319" s="2"/>
      <c r="B319" s="4"/>
      <c r="D319" s="47"/>
      <c r="E319" s="44"/>
      <c r="F319" s="44"/>
      <c r="G319" s="44"/>
      <c r="H319" s="44"/>
      <c r="I319" s="44"/>
      <c r="J319" s="8"/>
      <c r="K319" s="8"/>
      <c r="L319" s="8"/>
      <c r="M319" s="8"/>
      <c r="N319" s="8"/>
      <c r="O319" s="8"/>
      <c r="P319" s="8"/>
      <c r="Q319" s="8"/>
      <c r="R319" s="8"/>
      <c r="S319" s="8"/>
    </row>
    <row r="320" spans="1:49" ht="15" x14ac:dyDescent="0.25">
      <c r="A320" s="22" t="s">
        <v>590</v>
      </c>
      <c r="B320" s="4"/>
      <c r="D320" s="47"/>
      <c r="E320" s="44"/>
      <c r="F320" s="44"/>
      <c r="G320" s="44"/>
      <c r="H320" s="44"/>
      <c r="I320" s="44"/>
      <c r="J320" s="8"/>
      <c r="K320" s="8"/>
      <c r="L320" s="8"/>
      <c r="M320" s="8"/>
      <c r="N320" s="8"/>
      <c r="O320" s="8"/>
      <c r="P320" s="8"/>
      <c r="Q320" s="8"/>
      <c r="R320" s="8"/>
      <c r="S320" s="8"/>
    </row>
    <row r="321" spans="1:49" x14ac:dyDescent="0.2">
      <c r="A321" s="1" t="s">
        <v>324</v>
      </c>
      <c r="B321" s="4" t="str">
        <f t="shared" ref="B321:B332" si="203">$B$43</f>
        <v>From Fiscal</v>
      </c>
      <c r="D321" s="18">
        <f>Fiscal!D$163</f>
        <v>3.6700000000000004</v>
      </c>
      <c r="E321" s="19">
        <f>Fiscal!E$163</f>
        <v>-1.484</v>
      </c>
      <c r="F321" s="19">
        <f>Fiscal!F$163</f>
        <v>1.9680000000000002</v>
      </c>
      <c r="G321" s="19">
        <f>Fiscal!G$163</f>
        <v>2.0750000000000002</v>
      </c>
      <c r="H321" s="19">
        <f>Fiscal!H$163</f>
        <v>2.2360000000000002</v>
      </c>
      <c r="I321" s="19">
        <f>Fiscal!I$163</f>
        <v>2.4220000000000002</v>
      </c>
      <c r="J321" s="7">
        <f ca="1">IF(J$6=OFFSET(Assumptions!$B$8,0,$C$1),AVERAGE((G$321-G$366)/G$14,(H$321-H$366)/H$14,(I$321-I$366)/I$14),(I$321-I$366)/I$14) *J$14 +J$366</f>
        <v>2.0904373223453399</v>
      </c>
      <c r="K321" s="7">
        <f ca="1">IF(K$6=OFFSET(Assumptions!$B$8,0,$C$1),AVERAGE((H$321-H$366)/H$14,(I$321-I$366)/I$14,(J$321-J$366)/J$14),(J$321-J$366)/J$14) *K$14 +K$366</f>
        <v>2.4201475434406792</v>
      </c>
      <c r="L321" s="7">
        <f ca="1">IF(L$6=OFFSET(Assumptions!$B$8,0,$C$1),AVERAGE((I$321-I$366)/I$14,(J$321-J$366)/J$14,(K$321-K$366)/K$14),(K$321-K$366)/K$14) *L$14 +L$366</f>
        <v>2.7767130085828033</v>
      </c>
      <c r="M321" s="7">
        <f ca="1">IF(M$6=OFFSET(Assumptions!$B$8,0,$C$1),AVERAGE((J$321-J$366)/J$14,(K$321-K$366)/K$14,(L$321-L$366)/L$14),(L$321-L$366)/L$14) *M$14 +M$366</f>
        <v>3.1596662611684017</v>
      </c>
      <c r="N321" s="7">
        <f ca="1">IF(N$6=OFFSET(Assumptions!$B$8,0,$C$1),AVERAGE((K$321-K$366)/K$14,(L$321-L$366)/L$14,(M$321-M$366)/M$14),(M$321-M$366)/M$14) *N$14 +N$366</f>
        <v>3.5468212286714413</v>
      </c>
      <c r="O321" s="7">
        <f ca="1">IF(O$6=OFFSET(Assumptions!$B$8,0,$C$1),AVERAGE((L$321-L$366)/L$14,(M$321-M$366)/M$14,(N$321-N$366)/N$14),(N$321-N$366)/N$14) *O$14 +O$366</f>
        <v>3.8810707713486252</v>
      </c>
      <c r="P321" s="7">
        <f ca="1">IF(P$6=OFFSET(Assumptions!$B$8,0,$C$1),AVERAGE((M$321-M$366)/M$14,(N$321-N$366)/N$14,(O$321-O$366)/O$14),(O$321-O$366)/O$14) *P$14 +P$366</f>
        <v>4.2182665312896939</v>
      </c>
      <c r="Q321" s="7">
        <f ca="1">IF(Q$6=OFFSET(Assumptions!$B$8,0,$C$1),AVERAGE((N$321-N$366)/N$14,(O$321-O$366)/O$14,(P$321-P$366)/P$14),(P$321-P$366)/P$14) *Q$14 +Q$366</f>
        <v>4.5570316084027835</v>
      </c>
      <c r="R321" s="7">
        <f ca="1">IF(R$6=OFFSET(Assumptions!$B$8,0,$C$1),AVERAGE((O$321-O$366)/O$14,(P$321-P$366)/P$14,(Q$321-Q$366)/Q$14),(Q$321-Q$366)/Q$14) *R$14 +R$366</f>
        <v>4.89722964108479</v>
      </c>
      <c r="S321" s="7">
        <f ca="1">IF(S$6=OFFSET(Assumptions!$B$8,0,$C$1),AVERAGE((P$321-P$366)/P$14,(Q$321-Q$366)/Q$14,(R$321-R$366)/R$14),(R$321-R$366)/R$14) *S$14 +S$366</f>
        <v>5.2400609429935363</v>
      </c>
      <c r="T321" s="7">
        <f ca="1">IF(T$6=OFFSET(Assumptions!$B$8,0,$C$1),AVERAGE((Q$321-Q$366)/Q$14,(R$321-R$366)/R$14,(S$321-S$366)/S$14),(S$321-S$366)/S$14) *T$14 +T$366</f>
        <v>5.5869879562717797</v>
      </c>
      <c r="U321" s="7">
        <f ca="1">IF(U$6=OFFSET(Assumptions!$B$8,0,$C$1),AVERAGE((R$321-R$366)/R$14,(S$321-S$366)/S$14,(T$321-T$366)/T$14),(T$321-T$366)/T$14) *U$14 +U$366</f>
        <v>5.9381428079556695</v>
      </c>
      <c r="V321" s="7">
        <f ca="1">IF(V$6=OFFSET(Assumptions!$B$8,0,$C$1),AVERAGE((S$321-S$366)/S$14,(T$321-T$366)/T$14,(U$321-U$366)/U$14),(U$321-U$366)/U$14) *V$14 +V$366</f>
        <v>6.2929435677973213</v>
      </c>
      <c r="W321" s="7">
        <f ca="1">IF(W$6=OFFSET(Assumptions!$B$8,0,$C$1),AVERAGE((T$321-T$366)/T$14,(U$321-U$366)/U$14,(V$321-V$366)/V$14),(V$321-V$366)/V$14) *W$14 +W$366</f>
        <v>6.6507390943624758</v>
      </c>
      <c r="X321" s="7">
        <f ca="1">IF(X$6=OFFSET(Assumptions!$B$8,0,$C$1),AVERAGE((U$321-U$366)/U$14,(V$321-V$366)/V$14,(W$321-W$366)/W$14),(W$321-W$366)/W$14) *X$14 +X$366</f>
        <v>7.0115886931069147</v>
      </c>
      <c r="Y321" s="7">
        <f ca="1">IF(Y$6=OFFSET(Assumptions!$B$8,0,$C$1),AVERAGE((V$321-V$366)/V$14,(W$321-W$366)/W$14,(X$321-X$366)/X$14),(X$321-X$366)/X$14) *Y$14 +Y$366</f>
        <v>7.3749811785947923</v>
      </c>
      <c r="Z321" s="7">
        <f ca="1">IF(Z$6=OFFSET(Assumptions!$B$8,0,$C$1),AVERAGE((W$321-W$366)/W$14,(X$321-X$366)/X$14,(Y$321-Y$366)/Y$14),(Y$321-Y$366)/Y$14) *Z$14 +Z$366</f>
        <v>7.7409467585640277</v>
      </c>
      <c r="AA321" s="7">
        <f ca="1">IF(AA$6=OFFSET(Assumptions!$B$8,0,$C$1),AVERAGE((X$321-X$366)/X$14,(Y$321-Y$366)/Y$14,(Z$321-Z$366)/Z$14),(Z$321-Z$366)/Z$14) *AA$14 +AA$366</f>
        <v>8.1125415060043817</v>
      </c>
      <c r="AB321" s="7">
        <f ca="1">IF(AB$6=OFFSET(Assumptions!$B$8,0,$C$1),AVERAGE((Y$321-Y$366)/Y$14,(Z$321-Z$366)/Z$14,(AA$321-AA$366)/AA$14),(AA$321-AA$366)/AA$14) *AB$14 +AB$366</f>
        <v>8.4944110091981706</v>
      </c>
      <c r="AC321" s="7">
        <f ca="1">IF(AC$6=OFFSET(Assumptions!$B$8,0,$C$1),AVERAGE((Z$321-Z$366)/Z$14,(AA$321-AA$366)/AA$14,(AB$321-AB$366)/AB$14),(AB$321-AB$366)/AB$14) *AC$14 +AC$366</f>
        <v>8.8923539255007267</v>
      </c>
      <c r="AD321" s="7">
        <f ca="1">IF(AD$6=OFFSET(Assumptions!$B$8,0,$C$1),AVERAGE((AA$321-AA$366)/AA$14,(AB$321-AB$366)/AB$14,(AC$321-AC$366)/AC$14),(AC$321-AC$366)/AC$14) *AD$14 +AD$366</f>
        <v>9.3131127483595577</v>
      </c>
      <c r="AE321" s="7">
        <f ca="1">IF(AE$6=OFFSET(Assumptions!$B$8,0,$C$1),AVERAGE((AB$321-AB$366)/AB$14,(AC$321-AC$366)/AC$14,(AD$321-AD$366)/AD$14),(AD$321-AD$366)/AD$14) *AE$14 +AE$366</f>
        <v>9.7621130007783492</v>
      </c>
      <c r="AF321" s="7">
        <f ca="1">IF(AF$6=OFFSET(Assumptions!$B$8,0,$C$1),AVERAGE((AC$321-AC$366)/AC$14,(AD$321-AD$366)/AD$14,(AE$321-AE$366)/AE$14),(AE$321-AE$366)/AE$14) *AF$14 +AF$366</f>
        <v>10.244037134140504</v>
      </c>
      <c r="AG321" s="7">
        <f ca="1">IF(AG$6=OFFSET(Assumptions!$B$8,0,$C$1),AVERAGE((AD$321-AD$366)/AD$14,(AE$321-AE$366)/AE$14,(AF$321-AF$366)/AF$14),(AF$321-AF$366)/AF$14) *AG$14 +AG$366</f>
        <v>10.762790427028341</v>
      </c>
      <c r="AH321" s="7">
        <f ca="1">IF(AH$6=OFFSET(Assumptions!$B$8,0,$C$1),AVERAGE((AE$321-AE$366)/AE$14,(AF$321-AF$366)/AF$14,(AG$321-AG$366)/AG$14),(AG$321-AG$366)/AG$14) *AH$14 +AH$366</f>
        <v>11.321103957180275</v>
      </c>
      <c r="AI321" s="7">
        <f ca="1">IF(AI$6=OFFSET(Assumptions!$B$8,0,$C$1),AVERAGE((AF$321-AF$366)/AF$14,(AG$321-AG$366)/AG$14,(AH$321-AH$366)/AH$14),(AH$321-AH$366)/AH$14) *AI$14 +AI$366</f>
        <v>11.922457949954575</v>
      </c>
      <c r="AJ321" s="7">
        <f ca="1">IF(AJ$6=OFFSET(Assumptions!$B$8,0,$C$1),AVERAGE((AG$321-AG$366)/AG$14,(AH$321-AH$366)/AH$14,(AI$321-AI$366)/AI$14),(AI$321-AI$366)/AI$14) *AJ$14 +AJ$366</f>
        <v>12.569927144329167</v>
      </c>
      <c r="AK321" s="7">
        <f ca="1">IF(AK$6=OFFSET(Assumptions!$B$8,0,$C$1),AVERAGE((AH$321-AH$366)/AH$14,(AI$321-AI$366)/AI$14,(AJ$321-AJ$366)/AJ$14),(AJ$321-AJ$366)/AJ$14) *AK$14 +AK$366</f>
        <v>13.265619662641802</v>
      </c>
      <c r="AL321" s="7">
        <f ca="1">IF(AL$6=OFFSET(Assumptions!$B$8,0,$C$1),AVERAGE((AI$321-AI$366)/AI$14,(AJ$321-AJ$366)/AJ$14,(AK$321-AK$366)/AK$14),(AK$321-AK$366)/AK$14) *AL$14 +AL$366</f>
        <v>14.011600179966434</v>
      </c>
      <c r="AM321" s="7">
        <f ca="1">IF(AM$6=OFFSET(Assumptions!$B$8,0,$C$1),AVERAGE((AJ$321-AJ$366)/AJ$14,(AK$321-AK$366)/AK$14,(AL$321-AL$366)/AL$14),(AL$321-AL$366)/AL$14) *AM$14 +AM$366</f>
        <v>14.810918352617955</v>
      </c>
      <c r="AN321" s="7">
        <f ca="1">IF(AN$6=OFFSET(Assumptions!$B$8,0,$C$1),AVERAGE((AK$321-AK$366)/AK$14,(AL$321-AL$366)/AL$14,(AM$321-AM$366)/AM$14),(AM$321-AM$366)/AM$14) *AN$14 +AN$366</f>
        <v>15.665450573855619</v>
      </c>
      <c r="AO321" s="7">
        <f ca="1">IF(AO$6=OFFSET(Assumptions!$B$8,0,$C$1),AVERAGE((AL$321-AL$366)/AL$14,(AM$321-AM$366)/AM$14,(AN$321-AN$366)/AN$14),(AN$321-AN$366)/AN$14) *AO$14 +AO$366</f>
        <v>16.575155103709438</v>
      </c>
      <c r="AP321" s="7">
        <f ca="1">IF(AP$6=OFFSET(Assumptions!$B$8,0,$C$1),AVERAGE((AM$321-AM$366)/AM$14,(AN$321-AN$366)/AN$14,(AO$321-AO$366)/AO$14),(AO$321-AO$366)/AO$14) *AP$14 +AP$366</f>
        <v>17.537387330642765</v>
      </c>
      <c r="AQ321" s="7">
        <f ca="1">IF(AQ$6=OFFSET(Assumptions!$B$8,0,$C$1),AVERAGE((AN$321-AN$366)/AN$14,(AO$321-AO$366)/AO$14,(AP$321-AP$366)/AP$14),(AP$321-AP$366)/AP$14) *AQ$14 +AQ$366</f>
        <v>18.54767724618781</v>
      </c>
      <c r="AR321" s="7">
        <f ca="1">IF(AR$6=OFFSET(Assumptions!$B$8,0,$C$1),AVERAGE((AO$321-AO$366)/AO$14,(AP$321-AP$366)/AP$14,(AQ$321-AQ$366)/AQ$14),(AQ$321-AQ$366)/AQ$14) *AR$14 +AR$366</f>
        <v>19.59998696531412</v>
      </c>
      <c r="AS321" s="7">
        <f ca="1">IF(AS$6=OFFSET(Assumptions!$B$8,0,$C$1),AVERAGE((AP$321-AP$366)/AP$14,(AQ$321-AQ$366)/AQ$14,(AR$321-AR$366)/AR$14),(AR$321-AR$366)/AR$14) *AS$14 +AS$366</f>
        <v>20.686590479834525</v>
      </c>
      <c r="AT321" s="7">
        <f ca="1">IF(AT$6=OFFSET(Assumptions!$B$8,0,$C$1),AVERAGE((AQ$321-AQ$366)/AQ$14,(AR$321-AR$366)/AR$14,(AS$321-AS$366)/AS$14),(AS$321-AS$366)/AS$14) *AT$14 +AT$366</f>
        <v>21.804611816437795</v>
      </c>
      <c r="AU321" s="7">
        <f ca="1">IF(AU$6=OFFSET(Assumptions!$B$8,0,$C$1),AVERAGE((AR$321-AR$366)/AR$14,(AS$321-AS$366)/AS$14,(AT$321-AT$366)/AT$14),(AT$321-AT$366)/AT$14) *AU$14 +AU$366</f>
        <v>22.954778068978204</v>
      </c>
      <c r="AV321" s="7">
        <f ca="1">IF(AV$6=OFFSET(Assumptions!$B$8,0,$C$1),AVERAGE((AS$321-AS$366)/AS$14,(AT$321-AT$366)/AT$14,(AU$321-AU$366)/AU$14),(AU$321-AU$366)/AU$14) *AV$14 +AV$366</f>
        <v>24.137347992890295</v>
      </c>
      <c r="AW321" s="7">
        <f ca="1">IF(AW$6=OFFSET(Assumptions!$B$8,0,$C$1),AVERAGE((AT$321-AT$366)/AT$14,(AU$321-AU$366)/AU$14,(AV$321-AV$366)/AV$14),(AV$321-AV$366)/AV$14) *AW$14 +AW$366</f>
        <v>25.352120242949923</v>
      </c>
    </row>
    <row r="322" spans="1:49" x14ac:dyDescent="0.2">
      <c r="A322" s="1" t="s">
        <v>295</v>
      </c>
      <c r="B322" s="4" t="str">
        <f t="shared" si="203"/>
        <v>From Fiscal</v>
      </c>
      <c r="D322" s="18">
        <f>SUM(Fiscal!D$281,Fiscal!D$287)</f>
        <v>1.4169999999999998</v>
      </c>
      <c r="E322" s="19">
        <f>SUM(Fiscal!E$281,Fiscal!E$287)</f>
        <v>-1.9710000000000001</v>
      </c>
      <c r="F322" s="19">
        <f>SUM(Fiscal!F$281,Fiscal!F$287)</f>
        <v>0.24299999999999999</v>
      </c>
      <c r="G322" s="19">
        <f>SUM(Fiscal!G$281,Fiscal!G$287)</f>
        <v>0.29400000000000004</v>
      </c>
      <c r="H322" s="19">
        <f>SUM(Fiscal!H$281,Fiscal!H$287)</f>
        <v>0.30199999999999999</v>
      </c>
      <c r="I322" s="19">
        <f>SUM(Fiscal!I$281,Fiscal!I$287)</f>
        <v>0.42</v>
      </c>
      <c r="J322" s="7">
        <f>I$322*Exogenous!Q$27/Exogenous!P$27</f>
        <v>0.43911476537167304</v>
      </c>
      <c r="K322" s="7">
        <f>J$322*Exogenous!R$27/Exogenous!Q$27</f>
        <v>0.46080199612958211</v>
      </c>
      <c r="L322" s="7">
        <f>K$322*Exogenous!S$27/Exogenous!R$27</f>
        <v>0.48271948258850306</v>
      </c>
      <c r="M322" s="7">
        <f>L$322*Exogenous!T$27/Exogenous!S$27</f>
        <v>0.50530465054769014</v>
      </c>
      <c r="N322" s="7">
        <f>M$322*Exogenous!U$27/Exogenous!T$27</f>
        <v>0.52810177251065227</v>
      </c>
      <c r="O322" s="7">
        <f>N$322*Exogenous!V$27/Exogenous!U$27</f>
        <v>0.55156175908687399</v>
      </c>
      <c r="P322" s="7">
        <f>O$322*Exogenous!W$27/Exogenous!V$27</f>
        <v>0.57628292550221605</v>
      </c>
      <c r="Q322" s="7">
        <f>P$322*Exogenous!X$27/Exogenous!W$27</f>
        <v>0.60177393038161775</v>
      </c>
      <c r="R322" s="7">
        <f>Q$322*Exogenous!Y$27/Exogenous!X$27</f>
        <v>0.62784723332099557</v>
      </c>
      <c r="S322" s="7">
        <f>R$322*Exogenous!Z$27/Exogenous!Y$27</f>
        <v>0.6547223707951777</v>
      </c>
      <c r="T322" s="7">
        <f>S$322*Exogenous!AA$27/Exogenous!Z$27</f>
        <v>0.6825023473040428</v>
      </c>
      <c r="U322" s="7">
        <f>T$322*Exogenous!AB$27/Exogenous!AA$27</f>
        <v>0.71127330163583669</v>
      </c>
      <c r="V322" s="7">
        <f>U$322*Exogenous!AC$27/Exogenous!AB$27</f>
        <v>0.74110653933398474</v>
      </c>
      <c r="W322" s="7">
        <f>V$322*Exogenous!AD$27/Exogenous!AC$27</f>
        <v>0.77209678047089125</v>
      </c>
      <c r="X322" s="7">
        <f>W$322*Exogenous!AE$27/Exogenous!AD$27</f>
        <v>0.80431056500069498</v>
      </c>
      <c r="Y322" s="7">
        <f>X$322*Exogenous!AF$27/Exogenous!AE$27</f>
        <v>0.83773731041085409</v>
      </c>
      <c r="Z322" s="7">
        <f>Y$322*Exogenous!AG$27/Exogenous!AF$27</f>
        <v>0.87251802317304372</v>
      </c>
      <c r="AA322" s="7">
        <f>Z$322*Exogenous!AH$27/Exogenous!AG$27</f>
        <v>0.90887834627609732</v>
      </c>
      <c r="AB322" s="7">
        <f>AA$322*Exogenous!AI$27/Exogenous!AH$27</f>
        <v>0.94689575229628342</v>
      </c>
      <c r="AC322" s="7">
        <f>AB$322*Exogenous!AJ$27/Exogenous!AI$27</f>
        <v>0.98664731423040974</v>
      </c>
      <c r="AD322" s="7">
        <f>AC$322*Exogenous!AK$27/Exogenous!AJ$27</f>
        <v>1.0283839093450442</v>
      </c>
      <c r="AE322" s="7">
        <f>AD$322*Exogenous!AL$27/Exogenous!AK$27</f>
        <v>1.0723787479559419</v>
      </c>
      <c r="AF322" s="7">
        <f>AE$322*Exogenous!AM$27/Exogenous!AL$27</f>
        <v>1.1186867366556854</v>
      </c>
      <c r="AG322" s="7">
        <f>AF$322*Exogenous!AN$27/Exogenous!AM$27</f>
        <v>1.1674833274914975</v>
      </c>
      <c r="AH322" s="7">
        <f>AG$322*Exogenous!AO$27/Exogenous!AN$27</f>
        <v>1.219004256932942</v>
      </c>
      <c r="AI322" s="7">
        <f>AH$322*Exogenous!AP$27/Exogenous!AO$27</f>
        <v>1.2733011772266589</v>
      </c>
      <c r="AJ322" s="7">
        <f>AI$322*Exogenous!AQ$27/Exogenous!AP$27</f>
        <v>1.33058049658232</v>
      </c>
      <c r="AK322" s="7">
        <f>AJ$322*Exogenous!AR$27/Exogenous!AQ$27</f>
        <v>1.3911639005124361</v>
      </c>
      <c r="AL322" s="7">
        <f>AK$322*Exogenous!AS$27/Exogenous!AR$27</f>
        <v>1.4552732132404622</v>
      </c>
      <c r="AM322" s="7">
        <f>AL$322*Exogenous!AT$27/Exogenous!AS$27</f>
        <v>1.5231311586090663</v>
      </c>
      <c r="AN322" s="7">
        <f>AM$322*Exogenous!AU$27/Exogenous!AT$27</f>
        <v>1.5949744753843318</v>
      </c>
      <c r="AO322" s="7">
        <f>AN$322*Exogenous!AV$27/Exogenous!AU$27</f>
        <v>1.6710540640334606</v>
      </c>
      <c r="AP322" s="7">
        <f>AO$322*Exogenous!AW$27/Exogenous!AV$27</f>
        <v>1.7516349373140609</v>
      </c>
      <c r="AQ322" s="7">
        <f>AP$322*Exogenous!AX$27/Exogenous!AW$27</f>
        <v>1.8369977436854847</v>
      </c>
      <c r="AR322" s="7">
        <f>AQ$322*Exogenous!AY$27/Exogenous!AX$27</f>
        <v>1.9274998335633595</v>
      </c>
      <c r="AS322" s="7">
        <f>AR$322*Exogenous!AZ$27/Exogenous!AY$27</f>
        <v>2.0236475942581231</v>
      </c>
      <c r="AT322" s="7">
        <f>AS$322*Exogenous!BA$27/Exogenous!AZ$27</f>
        <v>2.1228585448109949</v>
      </c>
      <c r="AU322" s="7">
        <f>AT$322*Exogenous!BB$27/Exogenous!BA$27</f>
        <v>2.2269333919916847</v>
      </c>
      <c r="AV322" s="7">
        <f>AU$322*Exogenous!BC$27/Exogenous!BB$27</f>
        <v>2.3361105922435015</v>
      </c>
      <c r="AW322" s="7">
        <f>AV$322*Exogenous!BD$27/Exogenous!BC$27</f>
        <v>2.4506402925286328</v>
      </c>
    </row>
    <row r="323" spans="1:49" x14ac:dyDescent="0.2">
      <c r="A323" s="1" t="s">
        <v>529</v>
      </c>
      <c r="B323" s="4" t="str">
        <f t="shared" si="203"/>
        <v>From Fiscal</v>
      </c>
      <c r="D323" s="18">
        <f>SUM(Fiscal!D$282,Fiscal!D$288)</f>
        <v>0.34200000000000003</v>
      </c>
      <c r="E323" s="19">
        <f>SUM(Fiscal!E$282,Fiscal!E$288)</f>
        <v>0.21299999999999999</v>
      </c>
      <c r="F323" s="19">
        <f>SUM(Fiscal!F$282,Fiscal!F$288)</f>
        <v>0.03</v>
      </c>
      <c r="G323" s="19">
        <f>SUM(Fiscal!G$282,Fiscal!G$288)</f>
        <v>4.3999999999999997E-2</v>
      </c>
      <c r="H323" s="19">
        <f>SUM(Fiscal!H$282,Fiscal!H$288)</f>
        <v>1.4999999999999999E-2</v>
      </c>
      <c r="I323" s="19">
        <f>SUM(Fiscal!I$282,Fiscal!I$288)</f>
        <v>1.4E-2</v>
      </c>
      <c r="J323" s="7">
        <f ca="1">IF(J$6=OFFSET(Assumptions!$B$8,0,$C$1),AVERAGE(G$323/G$14,H$323/H$14,I$323/I$14),I$323/I$14) *J$14</f>
        <v>2.699999069820028E-2</v>
      </c>
      <c r="K323" s="7">
        <f ca="1">IF(K$6=OFFSET(Assumptions!$B$8,0,$C$1),AVERAGE(H$323/H$14,I$323/I$14,J$323/J$14),J$323/J$14) *K$14</f>
        <v>2.8128325637692936E-2</v>
      </c>
      <c r="L323" s="7">
        <f ca="1">IF(L$6=OFFSET(Assumptions!$B$8,0,$C$1),AVERAGE(I$323/I$14,J$323/J$14,K$323/K$14),K$323/K$14) *L$14</f>
        <v>2.9347556078624722E-2</v>
      </c>
      <c r="M323" s="7">
        <f ca="1">IF(M$6=OFFSET(Assumptions!$B$8,0,$C$1),AVERAGE(J$323/J$14,K$323/K$14,L$323/L$14),L$323/L$14) *M$14</f>
        <v>3.0615559901389606E-2</v>
      </c>
      <c r="N323" s="7">
        <f ca="1">IF(N$6=OFFSET(Assumptions!$B$8,0,$C$1),AVERAGE(K$323/K$14,L$323/L$14,M$323/M$14),M$323/M$14) *N$14</f>
        <v>3.1935931742054814E-2</v>
      </c>
      <c r="O323" s="7">
        <f ca="1">IF(O$6=OFFSET(Assumptions!$B$8,0,$C$1),AVERAGE(L$323/L$14,M$323/M$14,N$323/N$14),N$323/N$14) *O$14</f>
        <v>3.3299172336099143E-2</v>
      </c>
      <c r="P323" s="7">
        <f ca="1">IF(P$6=OFFSET(Assumptions!$B$8,0,$C$1),AVERAGE(M$323/M$14,N$323/N$14,O$323/O$14),O$323/O$14) *P$14</f>
        <v>3.4707357745797238E-2</v>
      </c>
      <c r="Q323" s="7">
        <f ca="1">IF(Q$6=OFFSET(Assumptions!$B$8,0,$C$1),AVERAGE(N$323/N$14,O$323/O$14,P$323/P$14),P$323/P$14) *Q$14</f>
        <v>3.6158966872337356E-2</v>
      </c>
      <c r="R323" s="7">
        <f ca="1">IF(R$6=OFFSET(Assumptions!$B$8,0,$C$1),AVERAGE(O$323/O$14,P$323/P$14,Q$323/Q$14),Q$323/Q$14) *R$14</f>
        <v>3.7652922306013178E-2</v>
      </c>
      <c r="S323" s="7">
        <f ca="1">IF(S$6=OFFSET(Assumptions!$B$8,0,$C$1),AVERAGE(P$323/P$14,Q$323/Q$14,R$323/R$14),R$323/R$14) *S$14</f>
        <v>3.9193971776273699E-2</v>
      </c>
      <c r="T323" s="7">
        <f ca="1">IF(T$6=OFFSET(Assumptions!$B$8,0,$C$1),AVERAGE(Q$323/Q$14,R$323/R$14,S$323/S$14),S$323/S$14) *T$14</f>
        <v>4.0782677251685821E-2</v>
      </c>
      <c r="U323" s="7">
        <f ca="1">IF(U$6=OFFSET(Assumptions!$B$8,0,$C$1),AVERAGE(R$323/R$14,S$323/S$14,T$323/T$14),T$323/T$14) *U$14</f>
        <v>4.2424740554323041E-2</v>
      </c>
      <c r="V323" s="7">
        <f ca="1">IF(V$6=OFFSET(Assumptions!$B$8,0,$C$1),AVERAGE(S$323/S$14,T$323/T$14,U$323/U$14),U$323/U$14) *V$14</f>
        <v>4.4124215126827009E-2</v>
      </c>
      <c r="W323" s="7">
        <f ca="1">IF(W$6=OFFSET(Assumptions!$B$8,0,$C$1),AVERAGE(T$323/T$14,U$323/U$14,V$323/V$14),V$323/V$14) *W$14</f>
        <v>4.5886024775705234E-2</v>
      </c>
      <c r="X323" s="7">
        <f ca="1">IF(X$6=OFFSET(Assumptions!$B$8,0,$C$1),AVERAGE(U$323/U$14,V$323/V$14,W$323/W$14),W$323/W$14) *X$14</f>
        <v>4.7715749957843619E-2</v>
      </c>
      <c r="Y323" s="7">
        <f ca="1">IF(Y$6=OFFSET(Assumptions!$B$8,0,$C$1),AVERAGE(V$323/V$14,W$323/W$14,X$323/X$14),X$323/X$14) *Y$14</f>
        <v>4.9613203614744854E-2</v>
      </c>
      <c r="Z323" s="7">
        <f ca="1">IF(Z$6=OFFSET(Assumptions!$B$8,0,$C$1),AVERAGE(W$323/W$14,X$323/X$14,Y$323/Y$14),Y$323/Y$14) *Z$14</f>
        <v>5.1587989978278181E-2</v>
      </c>
      <c r="AA323" s="7">
        <f ca="1">IF(AA$6=OFFSET(Assumptions!$B$8,0,$C$1),AVERAGE(X$323/X$14,Y$323/Y$14,Z$323/Z$14),Z$323/Z$14) *AA$14</f>
        <v>5.3643304259589839E-2</v>
      </c>
      <c r="AB323" s="7">
        <f ca="1">IF(AB$6=OFFSET(Assumptions!$B$8,0,$C$1),AVERAGE(Y$323/Y$14,Z$323/Z$14,AA$323/AA$14),AA$323/AA$14) *AB$14</f>
        <v>5.5785318757277463E-2</v>
      </c>
      <c r="AC323" s="7">
        <f ca="1">IF(AC$6=OFFSET(Assumptions!$B$8,0,$C$1),AVERAGE(Z$323/Z$14,AA$323/AA$14,AB$323/AB$14),AB$323/AB$14) *AC$14</f>
        <v>5.8022119866746318E-2</v>
      </c>
      <c r="AD323" s="7">
        <f ca="1">IF(AD$6=OFFSET(Assumptions!$B$8,0,$C$1),AVERAGE(AA$323/AA$14,AB$323/AB$14,AC$323/AC$14),AC$323/AC$14) *AD$14</f>
        <v>6.0356065203958281E-2</v>
      </c>
      <c r="AE323" s="7">
        <f ca="1">IF(AE$6=OFFSET(Assumptions!$B$8,0,$C$1),AVERAGE(AB$323/AB$14,AC$323/AC$14,AD$323/AD$14),AD$323/AD$14) *AE$14</f>
        <v>6.2785011351204276E-2</v>
      </c>
      <c r="AF323" s="7">
        <f ca="1">IF(AF$6=OFFSET(Assumptions!$B$8,0,$C$1),AVERAGE(AC$323/AC$14,AD$323/AD$14,AE$323/AE$14),AE$323/AE$14) *AF$14</f>
        <v>6.5315678229921278E-2</v>
      </c>
      <c r="AG323" s="7">
        <f ca="1">IF(AG$6=OFFSET(Assumptions!$B$8,0,$C$1),AVERAGE(AD$323/AD$14,AE$323/AE$14,AF$323/AF$14),AF$323/AF$14) *AG$14</f>
        <v>6.7949480883207E-2</v>
      </c>
      <c r="AH323" s="7">
        <f ca="1">IF(AH$6=OFFSET(Assumptions!$B$8,0,$C$1),AVERAGE(AE$323/AE$14,AF$323/AF$14,AG$323/AG$14),AG$323/AG$14) *AH$14</f>
        <v>7.0690642796365805E-2</v>
      </c>
      <c r="AI323" s="7">
        <f ca="1">IF(AI$6=OFFSET(Assumptions!$B$8,0,$C$1),AVERAGE(AF$323/AF$14,AG$323/AG$14,AH$323/AH$14),AH$323/AH$14) *AI$14</f>
        <v>7.353437425211877E-2</v>
      </c>
      <c r="AJ323" s="7">
        <f ca="1">IF(AJ$6=OFFSET(Assumptions!$B$8,0,$C$1),AVERAGE(AG$323/AG$14,AH$323/AH$14,AI$323/AI$14),AI$323/AI$14) *AJ$14</f>
        <v>7.648978513916091E-2</v>
      </c>
      <c r="AK323" s="7">
        <f ca="1">IF(AK$6=OFFSET(Assumptions!$B$8,0,$C$1),AVERAGE(AH$323/AH$14,AI$323/AI$14,AJ$323/AJ$14),AJ$323/AJ$14) *AK$14</f>
        <v>7.9554444245459349E-2</v>
      </c>
      <c r="AL323" s="7">
        <f ca="1">IF(AL$6=OFFSET(Assumptions!$B$8,0,$C$1),AVERAGE(AI$323/AI$14,AJ$323/AJ$14,AK$323/AK$14),AK$323/AK$14) *AL$14</f>
        <v>8.2725937454487683E-2</v>
      </c>
      <c r="AM323" s="7">
        <f ca="1">IF(AM$6=OFFSET(Assumptions!$B$8,0,$C$1),AVERAGE(AJ$323/AJ$14,AK$323/AK$14,AL$323/AL$14),AL$323/AL$14) *AM$14</f>
        <v>8.6008597438962206E-2</v>
      </c>
      <c r="AN323" s="7">
        <f ca="1">IF(AN$6=OFFSET(Assumptions!$B$8,0,$C$1),AVERAGE(AK$323/AK$14,AL$323/AL$14,AM$323/AM$14),AM$323/AM$14) *AN$14</f>
        <v>8.9406990347131732E-2</v>
      </c>
      <c r="AO323" s="7">
        <f ca="1">IF(AO$6=OFFSET(Assumptions!$B$8,0,$C$1),AVERAGE(AL$323/AL$14,AM$323/AM$14,AN$323/AN$14),AN$323/AN$14) *AO$14</f>
        <v>9.2907771865264624E-2</v>
      </c>
      <c r="AP323" s="7">
        <f ca="1">IF(AP$6=OFFSET(Assumptions!$B$8,0,$C$1),AVERAGE(AM$323/AM$14,AN$323/AN$14,AO$323/AO$14),AO$323/AO$14) *AP$14</f>
        <v>9.652580804498806E-2</v>
      </c>
      <c r="AQ323" s="7">
        <f ca="1">IF(AQ$6=OFFSET(Assumptions!$B$8,0,$C$1),AVERAGE(AN$323/AN$14,AO$323/AO$14,AP$323/AP$14),AP$323/AP$14) *AQ$14</f>
        <v>0.10025096116034403</v>
      </c>
      <c r="AR323" s="7">
        <f ca="1">IF(AR$6=OFFSET(Assumptions!$B$8,0,$C$1),AVERAGE(AO$323/AO$14,AP$323/AP$14,AQ$323/AQ$14),AQ$323/AQ$14) *AR$14</f>
        <v>0.10408744875107731</v>
      </c>
      <c r="AS323" s="7">
        <f ca="1">IF(AS$6=OFFSET(Assumptions!$B$8,0,$C$1),AVERAGE(AP$323/AP$14,AQ$323/AQ$14,AR$323/AR$14),AR$323/AR$14) *AS$14</f>
        <v>0.10804422123207789</v>
      </c>
      <c r="AT323" s="7">
        <f ca="1">IF(AT$6=OFFSET(Assumptions!$B$8,0,$C$1),AVERAGE(AQ$323/AQ$14,AR$323/AR$14,AS$323/AS$14),AS$323/AS$14) *AT$14</f>
        <v>0.11212443874798518</v>
      </c>
      <c r="AU323" s="7">
        <f ca="1">IF(AU$6=OFFSET(Assumptions!$B$8,0,$C$1),AVERAGE(AR$323/AR$14,AS$323/AS$14,AT$323/AT$14),AT$323/AT$14) *AU$14</f>
        <v>0.11633352707720879</v>
      </c>
      <c r="AV323" s="7">
        <f ca="1">IF(AV$6=OFFSET(Assumptions!$B$8,0,$C$1),AVERAGE(AS$323/AS$14,AT$323/AT$14,AU$323/AU$14),AU$323/AU$14) *AV$14</f>
        <v>0.12068450029180773</v>
      </c>
      <c r="AW323" s="7">
        <f ca="1">IF(AW$6=OFFSET(Assumptions!$B$8,0,$C$1),AVERAGE(AT$323/AT$14,AU$323/AU$14,AV$323/AV$14),AV$323/AV$14) *AW$14</f>
        <v>0.12517490202297343</v>
      </c>
    </row>
    <row r="324" spans="1:49" x14ac:dyDescent="0.2">
      <c r="A324" s="1" t="s">
        <v>530</v>
      </c>
      <c r="B324" s="4" t="str">
        <f t="shared" si="203"/>
        <v>From Fiscal</v>
      </c>
      <c r="D324" s="18">
        <f>SUM(Fiscal!D$26:D$27)-SUM(D$321:D$323)</f>
        <v>-0.88199999999999967</v>
      </c>
      <c r="E324" s="19">
        <f>SUM(Fiscal!E$26:E$27)-SUM(E$321:E$323)</f>
        <v>-0.21300000000000052</v>
      </c>
      <c r="F324" s="19">
        <f>SUM(Fiscal!F$26:F$27)-SUM(F$321:F$323)</f>
        <v>-0.18399999999999972</v>
      </c>
      <c r="G324" s="19">
        <f>SUM(Fiscal!G$26:G$27)-SUM(G$321:G$323)</f>
        <v>-0.18500000000000005</v>
      </c>
      <c r="H324" s="19">
        <f>SUM(Fiscal!H$26:H$27)-SUM(H$321:H$323)</f>
        <v>-0.2020000000000004</v>
      </c>
      <c r="I324" s="19">
        <f>SUM(Fiscal!I$26:I$27)-SUM(I$321:I$323)</f>
        <v>-0.22299999999999986</v>
      </c>
      <c r="J324" s="7">
        <f ca="1">IF(J$6=OFFSET(Assumptions!$B$8,0,$C$1),AVERAGE(G$324/G$321,H$324/H$321,I$324/I$321),I$324/I$321)*J$321</f>
        <v>-0.1892327876086142</v>
      </c>
      <c r="K324" s="7">
        <f ca="1">IF(K$6=OFFSET(Assumptions!$B$8,0,$C$1),AVERAGE(H$324/H$321,I$324/I$321,J$324/J$321),J$324/J$321)*K$321</f>
        <v>-0.21907916643757791</v>
      </c>
      <c r="L324" s="7">
        <f ca="1">IF(L$6=OFFSET(Assumptions!$B$8,0,$C$1),AVERAGE(I$324/I$321,J$324/J$321,K$324/K$321),K$324/K$321)*L$321</f>
        <v>-0.25135656419189317</v>
      </c>
      <c r="M324" s="7">
        <f ca="1">IF(M$6=OFFSET(Assumptions!$B$8,0,$C$1),AVERAGE(J$324/J$321,K$324/K$321,L$324/L$321),L$324/L$321)*M$321</f>
        <v>-0.28602266526841563</v>
      </c>
      <c r="N324" s="7">
        <f ca="1">IF(N$6=OFFSET(Assumptions!$B$8,0,$C$1),AVERAGE(K$324/K$321,L$324/L$321,M$324/M$321),M$324/M$321)*N$321</f>
        <v>-0.32106911844546032</v>
      </c>
      <c r="O324" s="7">
        <f ca="1">IF(O$6=OFFSET(Assumptions!$B$8,0,$C$1),AVERAGE(L$324/L$321,M$324/M$321,N$324/N$321),N$324/N$321)*O$321</f>
        <v>-0.35132641056400343</v>
      </c>
      <c r="P324" s="7">
        <f ca="1">IF(P$6=OFFSET(Assumptions!$B$8,0,$C$1),AVERAGE(M$324/M$321,N$324/N$321,O$324/O$321),O$324/O$321)*P$321</f>
        <v>-0.38185040329097231</v>
      </c>
      <c r="Q324" s="7">
        <f ca="1">IF(Q$6=OFFSET(Assumptions!$B$8,0,$C$1),AVERAGE(N$324/N$321,O$324/O$321,P$324/P$321),P$324/P$321)*Q$321</f>
        <v>-0.41251645541380505</v>
      </c>
      <c r="R324" s="7">
        <f ca="1">IF(R$6=OFFSET(Assumptions!$B$8,0,$C$1),AVERAGE(O$324/O$321,P$324/P$321,Q$324/Q$321),Q$324/Q$321)*R$321</f>
        <v>-0.44331222306263174</v>
      </c>
      <c r="S324" s="7">
        <f ca="1">IF(S$6=OFFSET(Assumptions!$B$8,0,$C$1),AVERAGE(P$324/P$321,Q$324/Q$321,R$324/R$321),R$324/R$321)*S$321</f>
        <v>-0.47434636230527449</v>
      </c>
      <c r="T324" s="7">
        <f ca="1">IF(T$6=OFFSET(Assumptions!$B$8,0,$C$1),AVERAGE(Q$324/Q$321,R$324/R$321,S$324/S$321),S$324/S$321)*T$321</f>
        <v>-0.50575125788268294</v>
      </c>
      <c r="U324" s="7">
        <f ca="1">IF(U$6=OFFSET(Assumptions!$B$8,0,$C$1),AVERAGE(R$324/R$321,S$324/S$321,T$324/T$321),T$324/T$321)*U$321</f>
        <v>-0.53753887033875947</v>
      </c>
      <c r="V324" s="7">
        <f ca="1">IF(V$6=OFFSET(Assumptions!$B$8,0,$C$1),AVERAGE(S$324/S$321,T$324/T$321,U$324/U$321),U$324/U$321)*V$321</f>
        <v>-0.56965652156551971</v>
      </c>
      <c r="W324" s="7">
        <f ca="1">IF(W$6=OFFSET(Assumptions!$B$8,0,$C$1),AVERAGE(T$324/T$321,U$324/U$321,V$324/V$321),V$324/V$321)*W$321</f>
        <v>-0.6020452682464551</v>
      </c>
      <c r="X324" s="7">
        <f ca="1">IF(X$6=OFFSET(Assumptions!$B$8,0,$C$1),AVERAGE(U$324/U$321,V$324/V$321,W$324/W$321),W$324/W$321)*X$321</f>
        <v>-0.63471047889302401</v>
      </c>
      <c r="Y324" s="7">
        <f ca="1">IF(Y$6=OFFSET(Assumptions!$B$8,0,$C$1),AVERAGE(V$324/V$321,W$324/W$321,X$324/X$321),X$324/X$321)*Y$321</f>
        <v>-0.66760587943425775</v>
      </c>
      <c r="Z324" s="7">
        <f ca="1">IF(Z$6=OFFSET(Assumptions!$B$8,0,$C$1),AVERAGE(W$324/W$321,X$324/X$321,Y$324/Y$321),Y$324/Y$321)*Z$321</f>
        <v>-0.70073420436709255</v>
      </c>
      <c r="AA324" s="7">
        <f ca="1">IF(AA$6=OFFSET(Assumptions!$B$8,0,$C$1),AVERAGE(X$324/X$321,Y$324/Y$321,Z$324/Z$321),Z$324/Z$321)*AA$321</f>
        <v>-0.73437209877665321</v>
      </c>
      <c r="AB324" s="7">
        <f ca="1">IF(AB$6=OFFSET(Assumptions!$B$8,0,$C$1),AVERAGE(Y$324/Y$321,Z$324/Z$321,AA$324/AA$321),AA$324/AA$321)*AB$321</f>
        <v>-0.76894009553964793</v>
      </c>
      <c r="AC324" s="7">
        <f ca="1">IF(AC$6=OFFSET(Assumptions!$B$8,0,$C$1),AVERAGE(Z$324/Z$321,AA$324/AA$321,AB$324/AB$321),AB$324/AB$321)*AC$321</f>
        <v>-0.80496310687612183</v>
      </c>
      <c r="AD324" s="7">
        <f ca="1">IF(AD$6=OFFSET(Assumptions!$B$8,0,$C$1),AVERAGE(AA$324/AA$321,AB$324/AB$321,AC$324/AC$321),AC$324/AC$321)*AD$321</f>
        <v>-0.84305148393933149</v>
      </c>
      <c r="AE324" s="7">
        <f ca="1">IF(AE$6=OFFSET(Assumptions!$B$8,0,$C$1),AVERAGE(AB$324/AB$321,AC$324/AC$321,AD$324/AD$321),AD$324/AD$321)*AE$321</f>
        <v>-0.88369636168522503</v>
      </c>
      <c r="AF324" s="7">
        <f ca="1">IF(AF$6=OFFSET(Assumptions!$B$8,0,$C$1),AVERAGE(AC$324/AC$321,AD$324/AD$321,AE$324/AE$321),AE$324/AE$321)*AF$321</f>
        <v>-0.92732160995130075</v>
      </c>
      <c r="AG324" s="7">
        <f ca="1">IF(AG$6=OFFSET(Assumptions!$B$8,0,$C$1),AVERAGE(AD$324/AD$321,AE$324/AE$321,AF$324/AF$321),AF$324/AF$321)*AG$321</f>
        <v>-0.97428074651329921</v>
      </c>
      <c r="AH324" s="7">
        <f ca="1">IF(AH$6=OFFSET(Assumptions!$B$8,0,$C$1),AVERAGE(AE$324/AE$321,AF$324/AF$321,AG$324/AG$321),AG$324/AG$321)*AH$321</f>
        <v>-1.0248209968910156</v>
      </c>
      <c r="AI324" s="7">
        <f ca="1">IF(AI$6=OFFSET(Assumptions!$B$8,0,$C$1),AVERAGE(AF$324/AF$321,AG$324/AG$321,AH$324/AH$321),AH$324/AH$321)*AI$321</f>
        <v>-1.0792574017407812</v>
      </c>
      <c r="AJ324" s="7">
        <f ca="1">IF(AJ$6=OFFSET(Assumptions!$B$8,0,$C$1),AVERAGE(AG$324/AG$321,AH$324/AH$321,AI$324/AI$321),AI$324/AI$321)*AJ$321</f>
        <v>-1.1378682958501274</v>
      </c>
      <c r="AK324" s="7">
        <f ca="1">IF(AK$6=OFFSET(Assumptions!$B$8,0,$C$1),AVERAGE(AH$324/AH$321,AI$324/AI$321,AJ$324/AJ$321),AJ$324/AJ$321)*AK$321</f>
        <v>-1.2008445129084107</v>
      </c>
      <c r="AL324" s="7">
        <f ca="1">IF(AL$6=OFFSET(Assumptions!$B$8,0,$C$1),AVERAGE(AI$324/AI$321,AJ$324/AJ$321,AK$324/AK$321),AK$324/AK$321)*AL$321</f>
        <v>-1.2683729536256283</v>
      </c>
      <c r="AM324" s="7">
        <f ca="1">IF(AM$6=OFFSET(Assumptions!$B$8,0,$C$1),AVERAGE(AJ$324/AJ$321,AK$324/AK$321,AL$324/AL$321),AL$324/AL$321)*AM$321</f>
        <v>-1.3407296822298467</v>
      </c>
      <c r="AN324" s="7">
        <f ca="1">IF(AN$6=OFFSET(Assumptions!$B$8,0,$C$1),AVERAGE(AK$324/AK$321,AL$324/AL$321,AM$324/AM$321),AM$324/AM$321)*AN$321</f>
        <v>-1.4180845555846529</v>
      </c>
      <c r="AO324" s="7">
        <f ca="1">IF(AO$6=OFFSET(Assumptions!$B$8,0,$C$1),AVERAGE(AL$324/AL$321,AM$324/AM$321,AN$324/AN$321),AN$324/AN$321)*AO$321</f>
        <v>-1.5004337952601505</v>
      </c>
      <c r="AP324" s="7">
        <f ca="1">IF(AP$6=OFFSET(Assumptions!$B$8,0,$C$1),AVERAGE(AM$324/AM$321,AN$324/AN$321,AO$324/AO$321),AO$324/AO$321)*AP$321</f>
        <v>-1.5875380029218993</v>
      </c>
      <c r="AQ324" s="7">
        <f ca="1">IF(AQ$6=OFFSET(Assumptions!$B$8,0,$C$1),AVERAGE(AN$324/AN$321,AO$324/AO$321,AP$324/AP$321),AP$324/AP$321)*AQ$321</f>
        <v>-1.6789925397156491</v>
      </c>
      <c r="AR324" s="7">
        <f ca="1">IF(AR$6=OFFSET(Assumptions!$B$8,0,$C$1),AVERAGE(AO$324/AO$321,AP$324/AP$321,AQ$324/AQ$321),AQ$324/AQ$321)*AR$321</f>
        <v>-1.774250837799658</v>
      </c>
      <c r="AS324" s="7">
        <f ca="1">IF(AS$6=OFFSET(Assumptions!$B$8,0,$C$1),AVERAGE(AP$324/AP$321,AQ$324/AQ$321,AR$324/AR$321),AR$324/AR$321)*AS$321</f>
        <v>-1.8726135152547847</v>
      </c>
      <c r="AT324" s="7">
        <f ca="1">IF(AT$6=OFFSET(Assumptions!$B$8,0,$C$1),AVERAGE(AQ$324/AQ$321,AR$324/AR$321,AS$324/AS$321),AS$324/AS$321)*AT$321</f>
        <v>-1.9738202301702941</v>
      </c>
      <c r="AU324" s="7">
        <f ca="1">IF(AU$6=OFFSET(Assumptions!$B$8,0,$C$1),AVERAGE(AR$324/AR$321,AS$324/AS$321,AT$324/AT$321),AT$324/AT$321)*AU$321</f>
        <v>-2.0779368013083306</v>
      </c>
      <c r="AV324" s="7">
        <f ca="1">IF(AV$6=OFFSET(Assumptions!$B$8,0,$C$1),AVERAGE(AS$324/AS$321,AT$324/AT$321,AU$324/AU$321),AU$324/AU$321)*AV$321</f>
        <v>-2.1849866520031718</v>
      </c>
      <c r="AW324" s="7">
        <f ca="1">IF(AW$6=OFFSET(Assumptions!$B$8,0,$C$1),AVERAGE(AT$324/AT$321,AU$324/AU$321,AV$324/AV$321),AV$324/AV$321)*AW$321</f>
        <v>-2.2949515558685825</v>
      </c>
    </row>
    <row r="325" spans="1:49" ht="15" x14ac:dyDescent="0.25">
      <c r="A325" s="2" t="s">
        <v>591</v>
      </c>
      <c r="B325" s="4"/>
      <c r="D325" s="40">
        <f t="shared" ref="D325:I325" si="204">SUM(D$321:D$324)</f>
        <v>4.5469999999999997</v>
      </c>
      <c r="E325" s="39">
        <f t="shared" si="204"/>
        <v>-3.4550000000000005</v>
      </c>
      <c r="F325" s="39">
        <f t="shared" si="204"/>
        <v>2.0570000000000004</v>
      </c>
      <c r="G325" s="39">
        <f t="shared" si="204"/>
        <v>2.2280000000000002</v>
      </c>
      <c r="H325" s="39">
        <f t="shared" si="204"/>
        <v>2.351</v>
      </c>
      <c r="I325" s="39">
        <f t="shared" si="204"/>
        <v>2.633</v>
      </c>
      <c r="J325" s="43">
        <f t="shared" ref="J325:AW325" ca="1" si="205">SUM(J$321:J$324)</f>
        <v>2.367319290806599</v>
      </c>
      <c r="K325" s="43">
        <f t="shared" ca="1" si="205"/>
        <v>2.6899986987703763</v>
      </c>
      <c r="L325" s="43">
        <f t="shared" ca="1" si="205"/>
        <v>3.0374234830580384</v>
      </c>
      <c r="M325" s="43">
        <f t="shared" ca="1" si="205"/>
        <v>3.4095638063490661</v>
      </c>
      <c r="N325" s="43">
        <f t="shared" ca="1" si="205"/>
        <v>3.7857898144786883</v>
      </c>
      <c r="O325" s="43">
        <f t="shared" ca="1" si="205"/>
        <v>4.1146052922075951</v>
      </c>
      <c r="P325" s="43">
        <f t="shared" ca="1" si="205"/>
        <v>4.4474064112467353</v>
      </c>
      <c r="Q325" s="43">
        <f t="shared" ca="1" si="205"/>
        <v>4.782448050242933</v>
      </c>
      <c r="R325" s="43">
        <f t="shared" ca="1" si="205"/>
        <v>5.1194175736491667</v>
      </c>
      <c r="S325" s="43">
        <f t="shared" ca="1" si="205"/>
        <v>5.4596309232597138</v>
      </c>
      <c r="T325" s="43">
        <f t="shared" ca="1" si="205"/>
        <v>5.8045217229448252</v>
      </c>
      <c r="U325" s="43">
        <f t="shared" ca="1" si="205"/>
        <v>6.1543019798070695</v>
      </c>
      <c r="V325" s="43">
        <f t="shared" ca="1" si="205"/>
        <v>6.508517800692613</v>
      </c>
      <c r="W325" s="43">
        <f t="shared" ca="1" si="205"/>
        <v>6.8666766313626173</v>
      </c>
      <c r="X325" s="43">
        <f t="shared" ca="1" si="205"/>
        <v>7.2289045291724294</v>
      </c>
      <c r="Y325" s="43">
        <f t="shared" ca="1" si="205"/>
        <v>7.594725813186133</v>
      </c>
      <c r="Z325" s="43">
        <f t="shared" ca="1" si="205"/>
        <v>7.9643185673482577</v>
      </c>
      <c r="AA325" s="43">
        <f t="shared" ca="1" si="205"/>
        <v>8.340691057763415</v>
      </c>
      <c r="AB325" s="43">
        <f t="shared" ca="1" si="205"/>
        <v>8.728151984712083</v>
      </c>
      <c r="AC325" s="43">
        <f t="shared" ca="1" si="205"/>
        <v>9.1320602527217627</v>
      </c>
      <c r="AD325" s="43">
        <f t="shared" ca="1" si="205"/>
        <v>9.5588012389692274</v>
      </c>
      <c r="AE325" s="43">
        <f t="shared" ca="1" si="205"/>
        <v>10.01358039840027</v>
      </c>
      <c r="AF325" s="43">
        <f t="shared" ca="1" si="205"/>
        <v>10.500717939074811</v>
      </c>
      <c r="AG325" s="43">
        <f t="shared" ca="1" si="205"/>
        <v>11.023942488889746</v>
      </c>
      <c r="AH325" s="43">
        <f t="shared" ca="1" si="205"/>
        <v>11.585977860018568</v>
      </c>
      <c r="AI325" s="43">
        <f t="shared" ca="1" si="205"/>
        <v>12.190036099692572</v>
      </c>
      <c r="AJ325" s="43">
        <f t="shared" ca="1" si="205"/>
        <v>12.83912913020052</v>
      </c>
      <c r="AK325" s="43">
        <f t="shared" ca="1" si="205"/>
        <v>13.535493494491288</v>
      </c>
      <c r="AL325" s="43">
        <f t="shared" ca="1" si="205"/>
        <v>14.281226377035756</v>
      </c>
      <c r="AM325" s="43">
        <f t="shared" ca="1" si="205"/>
        <v>15.079328426436136</v>
      </c>
      <c r="AN325" s="43">
        <f t="shared" ca="1" si="205"/>
        <v>15.931747484002432</v>
      </c>
      <c r="AO325" s="43">
        <f t="shared" ca="1" si="205"/>
        <v>16.838683144348011</v>
      </c>
      <c r="AP325" s="43">
        <f t="shared" ca="1" si="205"/>
        <v>17.798010073079915</v>
      </c>
      <c r="AQ325" s="43">
        <f t="shared" ca="1" si="205"/>
        <v>18.805933411317987</v>
      </c>
      <c r="AR325" s="43">
        <f t="shared" ca="1" si="205"/>
        <v>19.857323409828897</v>
      </c>
      <c r="AS325" s="43">
        <f t="shared" ca="1" si="205"/>
        <v>20.945668780069941</v>
      </c>
      <c r="AT325" s="43">
        <f t="shared" ca="1" si="205"/>
        <v>22.065774569826484</v>
      </c>
      <c r="AU325" s="43">
        <f t="shared" ca="1" si="205"/>
        <v>23.22010818673877</v>
      </c>
      <c r="AV325" s="43">
        <f t="shared" ca="1" si="205"/>
        <v>24.409156433422432</v>
      </c>
      <c r="AW325" s="43">
        <f t="shared" ca="1" si="205"/>
        <v>25.632983881632946</v>
      </c>
    </row>
    <row r="326" spans="1:49" ht="15" x14ac:dyDescent="0.25">
      <c r="A326" s="2"/>
      <c r="B326" s="4"/>
      <c r="D326" s="55"/>
      <c r="E326" s="56"/>
      <c r="F326" s="56"/>
      <c r="G326" s="56"/>
      <c r="H326" s="56"/>
      <c r="I326" s="56"/>
      <c r="J326" s="57"/>
      <c r="K326" s="57"/>
      <c r="L326" s="57"/>
      <c r="M326" s="57"/>
      <c r="N326" s="57"/>
      <c r="O326" s="57"/>
      <c r="P326" s="57"/>
      <c r="Q326" s="57"/>
      <c r="R326" s="57"/>
      <c r="S326" s="57"/>
    </row>
    <row r="327" spans="1:49" ht="15" x14ac:dyDescent="0.25">
      <c r="A327" s="22" t="s">
        <v>283</v>
      </c>
      <c r="B327" s="4"/>
      <c r="D327" s="47"/>
      <c r="E327" s="44"/>
      <c r="F327" s="44"/>
      <c r="G327" s="44"/>
      <c r="H327" s="44"/>
      <c r="I327" s="44"/>
      <c r="J327" s="8"/>
      <c r="K327" s="8"/>
      <c r="L327" s="8"/>
      <c r="M327" s="8"/>
      <c r="N327" s="8"/>
      <c r="O327" s="8"/>
      <c r="P327" s="8"/>
      <c r="Q327" s="8"/>
      <c r="R327" s="8"/>
      <c r="S327" s="8"/>
    </row>
    <row r="328" spans="1:49" ht="15" x14ac:dyDescent="0.25">
      <c r="A328" s="2" t="s">
        <v>592</v>
      </c>
      <c r="B328" s="4" t="str">
        <f t="shared" si="203"/>
        <v>From Fiscal</v>
      </c>
      <c r="D328" s="47">
        <f>Fiscal!D$164</f>
        <v>0.35899999999999999</v>
      </c>
      <c r="E328" s="44">
        <f>Fiscal!E$164</f>
        <v>0.1</v>
      </c>
      <c r="F328" s="44">
        <f>Fiscal!F$164</f>
        <v>9.2999999999999999E-2</v>
      </c>
      <c r="G328" s="44">
        <f>Fiscal!G$164</f>
        <v>9.4E-2</v>
      </c>
      <c r="H328" s="44">
        <f>Fiscal!H$164</f>
        <v>9.9000000000000005E-2</v>
      </c>
      <c r="I328" s="44">
        <f>Fiscal!I$164</f>
        <v>9.1999999999999998E-2</v>
      </c>
      <c r="J328" s="8">
        <f ca="1">IF(J$6=OFFSET(Assumptions!$B$8,0,$C$1),AVERAGE(G$328/G$14,H$328/H$14,I$328/I$14),I$328/I$14) *J$14</f>
        <v>0.10345949497309953</v>
      </c>
      <c r="K328" s="8">
        <f ca="1">IF(K$6=OFFSET(Assumptions!$B$8,0,$C$1),AVERAGE(H$328/H$14,I$328/I$14,J$328/J$14),J$328/J$14) *K$14</f>
        <v>0.10778308768486272</v>
      </c>
      <c r="L328" s="8">
        <f ca="1">IF(L$6=OFFSET(Assumptions!$B$8,0,$C$1),AVERAGE(I$328/I$14,J$328/J$14,K$328/K$14),K$328/K$14) *L$14</f>
        <v>0.11245497691195938</v>
      </c>
      <c r="M328" s="8">
        <f ca="1">IF(M$6=OFFSET(Assumptions!$B$8,0,$C$1),AVERAGE(J$328/J$14,K$328/K$14,L$328/L$14),L$328/L$14) *M$14</f>
        <v>0.11731375766464901</v>
      </c>
      <c r="N328" s="8">
        <f ca="1">IF(N$6=OFFSET(Assumptions!$B$8,0,$C$1),AVERAGE(K$328/K$14,L$328/L$14,M$328/M$14),M$328/M$14) *N$14</f>
        <v>0.12237320399331125</v>
      </c>
      <c r="O328" s="8">
        <f ca="1">IF(O$6=OFFSET(Assumptions!$B$8,0,$C$1),AVERAGE(L$328/L$14,M$328/M$14,N$328/N$14),N$328/N$14) *O$14</f>
        <v>0.12759691628874015</v>
      </c>
      <c r="P328" s="8">
        <f ca="1">IF(P$6=OFFSET(Assumptions!$B$8,0,$C$1),AVERAGE(M$328/M$14,N$328/N$14,O$328/O$14),O$328/O$14) *P$14</f>
        <v>0.13299284967791583</v>
      </c>
      <c r="Q328" s="8">
        <f ca="1">IF(Q$6=OFFSET(Assumptions!$B$8,0,$C$1),AVERAGE(N$328/N$14,O$328/O$14,P$328/P$14),P$328/P$14) *Q$14</f>
        <v>0.13855517556198341</v>
      </c>
      <c r="R328" s="8">
        <f ca="1">IF(R$6=OFFSET(Assumptions!$B$8,0,$C$1),AVERAGE(O$328/O$14,P$328/P$14,Q$328/Q$14),Q$328/Q$14) *R$14</f>
        <v>0.14427976548529481</v>
      </c>
      <c r="S328" s="8">
        <f ca="1">IF(S$6=OFFSET(Assumptions!$B$8,0,$C$1),AVERAGE(P$328/P$14,Q$328/Q$14,R$328/R$14),R$328/R$14) *S$14</f>
        <v>0.1501848119611939</v>
      </c>
      <c r="T328" s="8">
        <f ca="1">IF(T$6=OFFSET(Assumptions!$B$8,0,$C$1),AVERAGE(Q$328/Q$14,R$328/R$14,S$328/S$14),S$328/S$14) *T$14</f>
        <v>0.15627246836020489</v>
      </c>
      <c r="U328" s="8">
        <f ca="1">IF(U$6=OFFSET(Assumptions!$B$8,0,$C$1),AVERAGE(R$328/R$14,S$328/S$14,T$328/T$14),T$328/T$14) *U$14</f>
        <v>0.1625645831206752</v>
      </c>
      <c r="V328" s="8">
        <f ca="1">IF(V$6=OFFSET(Assumptions!$B$8,0,$C$1),AVERAGE(S$328/S$14,T$328/T$14,U$328/U$14),U$328/U$14) *V$14</f>
        <v>0.16907668836383014</v>
      </c>
      <c r="W328" s="8">
        <f ca="1">IF(W$6=OFFSET(Assumptions!$B$8,0,$C$1),AVERAGE(T$328/T$14,U$328/U$14,V$328/V$14),V$328/V$14) *W$14</f>
        <v>0.17582765130115532</v>
      </c>
      <c r="X328" s="8">
        <f ca="1">IF(X$6=OFFSET(Assumptions!$B$8,0,$C$1),AVERAGE(U$328/U$14,V$328/V$14,W$328/W$14),W$328/W$14) *X$14</f>
        <v>0.18283885531968924</v>
      </c>
      <c r="Y328" s="8">
        <f ca="1">IF(Y$6=OFFSET(Assumptions!$B$8,0,$C$1),AVERAGE(V$328/V$14,W$328/W$14,X$328/X$14),X$328/X$14) *Y$14</f>
        <v>0.19010958364223449</v>
      </c>
      <c r="Z328" s="8">
        <f ca="1">IF(Z$6=OFFSET(Assumptions!$B$8,0,$C$1),AVERAGE(W$328/W$14,X$328/X$14,Y$328/Y$14),Y$328/Y$14) *Z$14</f>
        <v>0.19767663809549918</v>
      </c>
      <c r="AA328" s="8">
        <f ca="1">IF(AA$6=OFFSET(Assumptions!$B$8,0,$C$1),AVERAGE(X$328/X$14,Y$328/Y$14,Z$328/Z$14),Z$328/Z$14) *AA$14</f>
        <v>0.20555226219968364</v>
      </c>
      <c r="AB328" s="8">
        <f ca="1">IF(AB$6=OFFSET(Assumptions!$B$8,0,$C$1),AVERAGE(Y$328/Y$14,Z$328/Z$14,AA$328/AA$14),AA$328/AA$14) *AB$14</f>
        <v>0.21376010718129659</v>
      </c>
      <c r="AC328" s="8">
        <f ca="1">IF(AC$6=OFFSET(Assumptions!$B$8,0,$C$1),AVERAGE(Z$328/Z$14,AA$328/AA$14,AB$328/AB$14),AB$328/AB$14) *AC$14</f>
        <v>0.22233115876896775</v>
      </c>
      <c r="AD328" s="8">
        <f ca="1">IF(AD$6=OFFSET(Assumptions!$B$8,0,$C$1),AVERAGE(AA$328/AA$14,AB$328/AB$14,AC$328/AC$14),AC$328/AC$14) *AD$14</f>
        <v>0.23127445095680049</v>
      </c>
      <c r="AE328" s="8">
        <f ca="1">IF(AE$6=OFFSET(Assumptions!$B$8,0,$C$1),AVERAGE(AB$328/AB$14,AC$328/AC$14,AD$328/AD$14),AD$328/AD$14) *AE$14</f>
        <v>0.24058177052293933</v>
      </c>
      <c r="AF328" s="8">
        <f ca="1">IF(AF$6=OFFSET(Assumptions!$B$8,0,$C$1),AVERAGE(AC$328/AC$14,AD$328/AD$14,AE$328/AE$14),AE$328/AE$14) *AF$14</f>
        <v>0.25027886709396385</v>
      </c>
      <c r="AG328" s="8">
        <f ca="1">IF(AG$6=OFFSET(Assumptions!$B$8,0,$C$1),AVERAGE(AD$328/AD$14,AE$328/AE$14,AF$328/AF$14),AF$328/AF$14) *AG$14</f>
        <v>0.26037116288078843</v>
      </c>
      <c r="AH328" s="8">
        <f ca="1">IF(AH$6=OFFSET(Assumptions!$B$8,0,$C$1),AVERAGE(AE$328/AE$14,AF$328/AF$14,AG$328/AG$14),AG$328/AG$14) *AH$14</f>
        <v>0.27087484157997438</v>
      </c>
      <c r="AI328" s="8">
        <f ca="1">IF(AI$6=OFFSET(Assumptions!$B$8,0,$C$1),AVERAGE(AF$328/AF$14,AG$328/AG$14,AH$328/AH$14),AH$328/AH$14) *AI$14</f>
        <v>0.28177154978776381</v>
      </c>
      <c r="AJ328" s="8">
        <f ca="1">IF(AJ$6=OFFSET(Assumptions!$B$8,0,$C$1),AVERAGE(AG$328/AG$14,AH$328/AH$14,AI$328/AI$14),AI$328/AI$14) *AJ$14</f>
        <v>0.29309619508965135</v>
      </c>
      <c r="AK328" s="8">
        <f ca="1">IF(AK$6=OFFSET(Assumptions!$B$8,0,$C$1),AVERAGE(AH$328/AH$14,AI$328/AI$14,AJ$328/AJ$14),AJ$328/AJ$14) *AK$14</f>
        <v>0.30483946148357199</v>
      </c>
      <c r="AL328" s="8">
        <f ca="1">IF(AL$6=OFFSET(Assumptions!$B$8,0,$C$1),AVERAGE(AI$328/AI$14,AJ$328/AJ$14,AK$328/AK$14),AK$328/AK$14) *AL$14</f>
        <v>0.31699209847461207</v>
      </c>
      <c r="AM328" s="8">
        <f ca="1">IF(AM$6=OFFSET(Assumptions!$B$8,0,$C$1),AVERAGE(AJ$328/AJ$14,AK$328/AK$14,AL$328/AL$14),AL$328/AL$14) *AM$14</f>
        <v>0.32957070814742107</v>
      </c>
      <c r="AN328" s="8">
        <f ca="1">IF(AN$6=OFFSET(Assumptions!$B$8,0,$C$1),AVERAGE(AK$328/AK$14,AL$328/AL$14,AM$328/AM$14),AM$328/AM$14) *AN$14</f>
        <v>0.34259278722624159</v>
      </c>
      <c r="AO328" s="8">
        <f ca="1">IF(AO$6=OFFSET(Assumptions!$B$8,0,$C$1),AVERAGE(AL$328/AL$14,AM$328/AM$14,AN$328/AN$14),AN$328/AN$14) *AO$14</f>
        <v>0.35600720250977469</v>
      </c>
      <c r="AP328" s="8">
        <f ca="1">IF(AP$6=OFFSET(Assumptions!$B$8,0,$C$1),AVERAGE(AM$328/AM$14,AN$328/AN$14,AO$328/AO$14),AO$328/AO$14) *AP$14</f>
        <v>0.36987091824703755</v>
      </c>
      <c r="AQ328" s="8">
        <f ca="1">IF(AQ$6=OFFSET(Assumptions!$B$8,0,$C$1),AVERAGE(AN$328/AN$14,AO$328/AO$14,AP$328/AP$14),AP$328/AP$14) *AQ$14</f>
        <v>0.38414508835028449</v>
      </c>
      <c r="AR328" s="8">
        <f ca="1">IF(AR$6=OFFSET(Assumptions!$B$8,0,$C$1),AVERAGE(AO$328/AO$14,AP$328/AP$14,AQ$328/AQ$14),AQ$328/AQ$14) *AR$14</f>
        <v>0.39884587373367675</v>
      </c>
      <c r="AS328" s="8">
        <f ca="1">IF(AS$6=OFFSET(Assumptions!$B$8,0,$C$1),AVERAGE(AP$328/AP$14,AQ$328/AQ$14,AR$328/AR$14),AR$328/AR$14) *AS$14</f>
        <v>0.41400757090548596</v>
      </c>
      <c r="AT328" s="8">
        <f ca="1">IF(AT$6=OFFSET(Assumptions!$B$8,0,$C$1),AVERAGE(AQ$328/AQ$14,AR$328/AR$14,AS$328/AS$14),AS$328/AS$14) *AT$14</f>
        <v>0.42964228901686297</v>
      </c>
      <c r="AU328" s="8">
        <f ca="1">IF(AU$6=OFFSET(Assumptions!$B$8,0,$C$1),AVERAGE(AR$328/AR$14,AS$328/AS$14,AT$328/AT$14),AT$328/AT$14) *AU$14</f>
        <v>0.44577081875252944</v>
      </c>
      <c r="AV328" s="8">
        <f ca="1">IF(AV$6=OFFSET(Assumptions!$B$8,0,$C$1),AVERAGE(AS$328/AS$14,AT$328/AT$14,AU$328/AU$14),AU$328/AU$14) *AV$14</f>
        <v>0.46244302788236052</v>
      </c>
      <c r="AW328" s="8">
        <f ca="1">IF(AW$6=OFFSET(Assumptions!$B$8,0,$C$1),AVERAGE(AT$328/AT$14,AU$328/AU$14,AV$328/AV$14),AV$328/AV$14) *AW$14</f>
        <v>0.4796495040076913</v>
      </c>
    </row>
    <row r="329" spans="1:49" ht="15" x14ac:dyDescent="0.25">
      <c r="A329" s="2" t="s">
        <v>593</v>
      </c>
      <c r="B329" s="4" t="str">
        <f t="shared" si="203"/>
        <v>From Fiscal</v>
      </c>
      <c r="D329" s="47">
        <f>Fiscal!D$31</f>
        <v>1.028</v>
      </c>
      <c r="E329" s="44">
        <f>Fiscal!E$31</f>
        <v>0.28399999999999997</v>
      </c>
      <c r="F329" s="44">
        <f>Fiscal!F$31</f>
        <v>0.28599999999999998</v>
      </c>
      <c r="G329" s="44">
        <f>Fiscal!G$31</f>
        <v>0.28499999999999998</v>
      </c>
      <c r="H329" s="44">
        <f>Fiscal!H$31</f>
        <v>0.28699999999999998</v>
      </c>
      <c r="I329" s="44">
        <f>Fiscal!I$31</f>
        <v>0.28899999999999998</v>
      </c>
      <c r="J329" s="8">
        <f ca="1">IF(J$6=OFFSET(Assumptions!$B$8,0,$C$1),AVERAGE((G$329-G$328)/G$14,(H$329-H$328)/H$14,(I$329-I$328)/I$14),(I$329-I$328)/I$14) *J$14 +J$328</f>
        <v>0.31241826732297806</v>
      </c>
      <c r="K329" s="8">
        <f ca="1">IF(K$6=OFFSET(Assumptions!$B$8,0,$C$1),AVERAGE((H$329-H$328)/H$14,(I$329-I$328)/I$14,(J$329-J$328)/J$14),(J$329-J$328)/J$14) *K$14 +K$328</f>
        <v>0.32547428836745085</v>
      </c>
      <c r="L329" s="8">
        <f ca="1">IF(L$6=OFFSET(Assumptions!$B$8,0,$C$1),AVERAGE((I$329-I$328)/I$14,(J$329-J$328)/J$14,(K$329-K$328)/K$14),(K$329-K$328)/K$14) *L$14 +L$328</f>
        <v>0.33958206588786044</v>
      </c>
      <c r="M329" s="8">
        <f ca="1">IF(M$6=OFFSET(Assumptions!$B$8,0,$C$1),AVERAGE((J$329-J$328)/J$14,(K$329-K$328)/K$14,(L$329-L$328)/L$14),(L$329-L$328)/L$14) *M$14 +M$328</f>
        <v>0.3542542026932084</v>
      </c>
      <c r="N329" s="8">
        <f ca="1">IF(N$6=OFFSET(Assumptions!$B$8,0,$C$1),AVERAGE((K$329-K$328)/K$14,(L$329-L$328)/L$14,(M$329-M$328)/M$14),(M$329-M$328)/M$14) *N$14 +N$328</f>
        <v>0.3695322925004827</v>
      </c>
      <c r="O329" s="8">
        <f ca="1">IF(O$6=OFFSET(Assumptions!$B$8,0,$C$1),AVERAGE((L$329-L$328)/L$14,(M$329-M$328)/M$14,(N$329-N$328)/N$14),(N$329-N$328)/N$14) *O$14 +O$328</f>
        <v>0.38530641883616568</v>
      </c>
      <c r="P329" s="8">
        <f ca="1">IF(P$6=OFFSET(Assumptions!$B$8,0,$C$1),AVERAGE((M$329-M$328)/M$14,(N$329-N$328)/N$14,(O$329-O$328)/O$14),(O$329-O$328)/O$14) *P$14 +P$328</f>
        <v>0.40160060392255903</v>
      </c>
      <c r="Q329" s="8">
        <f ca="1">IF(Q$6=OFFSET(Assumptions!$B$8,0,$C$1),AVERAGE((N$329-N$328)/N$14,(O$329-O$328)/O$14,(P$329-P$328)/P$14),(P$329-P$328)/P$14) *Q$14 +Q$328</f>
        <v>0.41839724704785153</v>
      </c>
      <c r="R329" s="8">
        <f ca="1">IF(R$6=OFFSET(Assumptions!$B$8,0,$C$1),AVERAGE((O$329-O$328)/O$14,(P$329-P$328)/P$14,(Q$329-Q$328)/Q$14),(Q$329-Q$328)/Q$14) *R$14 +R$328</f>
        <v>0.4356838814494649</v>
      </c>
      <c r="S329" s="8">
        <f ca="1">IF(S$6=OFFSET(Assumptions!$B$8,0,$C$1),AVERAGE((P$329-P$328)/P$14,(Q$329-Q$328)/Q$14,(R$329-R$328)/R$14),(R$329-R$328)/R$14) *S$14 +S$328</f>
        <v>0.45351544334662797</v>
      </c>
      <c r="T329" s="8">
        <f ca="1">IF(T$6=OFFSET(Assumptions!$B$8,0,$C$1),AVERAGE((Q$329-Q$328)/Q$14,(R$329-R$328)/R$14,(S$329-S$328)/S$14),(S$329-S$328)/S$14) *T$14 +T$328</f>
        <v>0.4718984353062462</v>
      </c>
      <c r="U329" s="8">
        <f ca="1">IF(U$6=OFFSET(Assumptions!$B$8,0,$C$1),AVERAGE((R$329-R$328)/R$14,(S$329-S$328)/S$14,(T$329-T$328)/T$14),(T$329-T$328)/T$14) *U$14 +U$328</f>
        <v>0.490898833401893</v>
      </c>
      <c r="V329" s="8">
        <f ca="1">IF(V$6=OFFSET(Assumptions!$B$8,0,$C$1),AVERAGE((S$329-S$328)/S$14,(T$329-T$328)/T$14,(U$329-U$328)/U$14),(U$329-U$328)/U$14) *V$14 +V$328</f>
        <v>0.51056354022479344</v>
      </c>
      <c r="W329" s="8">
        <f ca="1">IF(W$6=OFFSET(Assumptions!$B$8,0,$C$1),AVERAGE((T$329-T$328)/T$14,(U$329-U$328)/U$14,(V$329-V$328)/V$14),(V$329-V$328)/V$14) *W$14 +W$328</f>
        <v>0.53094952939078699</v>
      </c>
      <c r="X329" s="8">
        <f ca="1">IF(X$6=OFFSET(Assumptions!$B$8,0,$C$1),AVERAGE((U$329-U$328)/U$14,(V$329-V$328)/V$14,(W$329-W$328)/W$14),(W$329-W$328)/W$14) *X$14 +X$328</f>
        <v>0.55212137265068106</v>
      </c>
      <c r="Y329" s="8">
        <f ca="1">IF(Y$6=OFFSET(Assumptions!$B$8,0,$C$1),AVERAGE((V$329-V$328)/V$14,(W$329-W$328)/W$14,(X$329-X$328)/X$14),(X$329-X$328)/X$14) *Y$14 +Y$328</f>
        <v>0.57407690554107749</v>
      </c>
      <c r="Z329" s="8">
        <f ca="1">IF(Z$6=OFFSET(Assumptions!$B$8,0,$C$1),AVERAGE((W$329-W$328)/W$14,(X$329-X$328)/X$14,(Y$329-Y$328)/Y$14),(Y$329-Y$328)/Y$14) *Z$14 +Z$328</f>
        <v>0.59692725911802325</v>
      </c>
      <c r="AA329" s="8">
        <f ca="1">IF(AA$6=OFFSET(Assumptions!$B$8,0,$C$1),AVERAGE((X$329-X$328)/X$14,(Y$329-Y$328)/Y$14,(Z$329-Z$328)/Z$14),(Z$329-Z$328)/Z$14) *AA$14 +AA$328</f>
        <v>0.62070940533240548</v>
      </c>
      <c r="AB329" s="8">
        <f ca="1">IF(AB$6=OFFSET(Assumptions!$B$8,0,$C$1),AVERAGE((Y$329-Y$328)/Y$14,(Z$329-Z$328)/Z$14,(AA$329-AA$328)/AA$14),(AA$329-AA$328)/AA$14) *AB$14 +AB$328</f>
        <v>0.64549476416561702</v>
      </c>
      <c r="AC329" s="8">
        <f ca="1">IF(AC$6=OFFSET(Assumptions!$B$8,0,$C$1),AVERAGE((Z$329-Z$328)/Z$14,(AA$329-AA$328)/AA$14,(AB$329-AB$328)/AB$14),(AB$329-AB$328)/AB$14) *AC$14 +AC$328</f>
        <v>0.67137690371068559</v>
      </c>
      <c r="AD329" s="8">
        <f ca="1">IF(AD$6=OFFSET(Assumptions!$B$8,0,$C$1),AVERAGE((AA$329-AA$328)/AA$14,(AB$329-AB$328)/AB$14,(AC$329-AC$328)/AC$14),(AC$329-AC$328)/AC$14) *AD$14 +AD$328</f>
        <v>0.69838310406196613</v>
      </c>
      <c r="AE329" s="8">
        <f ca="1">IF(AE$6=OFFSET(Assumptions!$B$8,0,$C$1),AVERAGE((AB$329-AB$328)/AB$14,(AC$329-AC$328)/AC$14,(AD$329-AD$328)/AD$14),(AD$329-AD$328)/AD$14) *AE$14 +AE$328</f>
        <v>0.72648856362399472</v>
      </c>
      <c r="AF329" s="8">
        <f ca="1">IF(AF$6=OFFSET(Assumptions!$B$8,0,$C$1),AVERAGE((AC$329-AC$328)/AC$14,(AD$329-AD$328)/AD$14,(AE$329-AE$328)/AE$14),(AE$329-AE$328)/AE$14) *AF$14 +AF$328</f>
        <v>0.7557710389499257</v>
      </c>
      <c r="AG329" s="8">
        <f ca="1">IF(AG$6=OFFSET(Assumptions!$B$8,0,$C$1),AVERAGE((AD$329-AD$328)/AD$14,(AE$329-AE$328)/AE$14,(AF$329-AF$328)/AF$14),(AF$329-AF$328)/AF$14) *AG$14 +AG$328</f>
        <v>0.78624690357550253</v>
      </c>
      <c r="AH329" s="8">
        <f ca="1">IF(AH$6=OFFSET(Assumptions!$B$8,0,$C$1),AVERAGE((AE$329-AE$328)/AE$14,(AF$329-AF$328)/AF$14,(AG$329-AG$328)/AG$14),(AG$329-AG$328)/AG$14) *AH$14 +AH$328</f>
        <v>0.81796502766425983</v>
      </c>
      <c r="AI329" s="8">
        <f ca="1">IF(AI$6=OFFSET(Assumptions!$B$8,0,$C$1),AVERAGE((AF$329-AF$328)/AF$14,(AG$329-AG$328)/AG$14,(AH$329-AH$328)/AH$14),(AH$329-AH$328)/AH$14) *AI$14 +AI$328</f>
        <v>0.85086998915365042</v>
      </c>
      <c r="AJ329" s="8">
        <f ca="1">IF(AJ$6=OFFSET(Assumptions!$B$8,0,$C$1),AVERAGE((AG$329-AG$328)/AG$14,(AH$329-AH$328)/AH$14,(AI$329-AI$328)/AI$14),(AI$329-AI$328)/AI$14) *AJ$14 +AJ$328</f>
        <v>0.8850671990296789</v>
      </c>
      <c r="AK329" s="8">
        <f ca="1">IF(AK$6=OFFSET(Assumptions!$B$8,0,$C$1),AVERAGE((AH$329-AH$328)/AH$14,(AI$329-AI$328)/AI$14,(AJ$329-AJ$328)/AJ$14),(AJ$329-AJ$328)/AJ$14) *AK$14 +AK$328</f>
        <v>0.92052852561410481</v>
      </c>
      <c r="AL329" s="8">
        <f ca="1">IF(AL$6=OFFSET(Assumptions!$B$8,0,$C$1),AVERAGE((AI$329-AI$328)/AI$14,(AJ$329-AJ$328)/AJ$14,(AK$329-AK$328)/AK$14),(AK$329-AK$328)/AK$14) *AL$14 +AL$328</f>
        <v>0.95722603504166426</v>
      </c>
      <c r="AM329" s="8">
        <f ca="1">IF(AM$6=OFFSET(Assumptions!$B$8,0,$C$1),AVERAGE((AJ$329-AJ$328)/AJ$14,(AK$329-AK$328)/AK$14,(AL$329-AL$328)/AL$14),(AL$329-AL$328)/AL$14) *AM$14 +AM$328</f>
        <v>0.99520986088899543</v>
      </c>
      <c r="AN329" s="8">
        <f ca="1">IF(AN$6=OFFSET(Assumptions!$B$8,0,$C$1),AVERAGE((AK$329-AK$328)/AK$14,(AL$329-AL$328)/AL$14,(AM$329-AM$328)/AM$14),(AM$329-AM$328)/AM$14) *AN$14 +AN$328</f>
        <v>1.0345328382900132</v>
      </c>
      <c r="AO329" s="8">
        <f ca="1">IF(AO$6=OFFSET(Assumptions!$B$8,0,$C$1),AVERAGE((AL$329-AL$328)/AL$14,(AM$329-AM$328)/AM$14,(AN$329-AN$328)/AN$14),(AN$329-AN$328)/AN$14) *AO$14 +AO$328</f>
        <v>1.0750405595109798</v>
      </c>
      <c r="AP329" s="8">
        <f ca="1">IF(AP$6=OFFSET(Assumptions!$B$8,0,$C$1),AVERAGE((AM$329-AM$328)/AM$14,(AN$329-AN$328)/AN$14,(AO$329-AO$328)/AO$14),(AO$329-AO$328)/AO$14) *AP$14 +AP$328</f>
        <v>1.1169050403923153</v>
      </c>
      <c r="AQ329" s="8">
        <f ca="1">IF(AQ$6=OFFSET(Assumptions!$B$8,0,$C$1),AVERAGE((AN$329-AN$328)/AN$14,(AO$329-AO$328)/AO$14,(AP$329-AP$328)/AP$14),(AP$329-AP$328)/AP$14) *AQ$14 +AQ$328</f>
        <v>1.1600089767907038</v>
      </c>
      <c r="AR329" s="8">
        <f ca="1">IF(AR$6=OFFSET(Assumptions!$B$8,0,$C$1),AVERAGE((AO$329-AO$328)/AO$14,(AP$329-AP$328)/AP$14,(AQ$329-AQ$328)/AQ$14),(AQ$329-AQ$328)/AQ$14) *AR$14 +AR$328</f>
        <v>1.2044011700733073</v>
      </c>
      <c r="AS329" s="8">
        <f ca="1">IF(AS$6=OFFSET(Assumptions!$B$8,0,$C$1),AVERAGE((AP$329-AP$328)/AP$14,(AQ$329-AQ$328)/AQ$14,(AR$329-AR$328)/AR$14),(AR$329-AR$328)/AR$14) *AS$14 +AS$328</f>
        <v>1.2501851859466107</v>
      </c>
      <c r="AT329" s="8">
        <f ca="1">IF(AT$6=OFFSET(Assumptions!$B$8,0,$C$1),AVERAGE((AQ$329-AQ$328)/AQ$14,(AR$329-AR$328)/AR$14,(AS$329-AS$328)/AS$14),(AS$329-AS$328)/AS$14) *AT$14 +AT$328</f>
        <v>1.2973975906051645</v>
      </c>
      <c r="AU329" s="8">
        <f ca="1">IF(AU$6=OFFSET(Assumptions!$B$8,0,$C$1),AVERAGE((AR$329-AR$328)/AR$14,(AS$329-AS$328)/AS$14,(AT$329-AT$328)/AT$14),(AT$329-AT$328)/AT$14) *AU$14 +AU$328</f>
        <v>1.3461011660072499</v>
      </c>
      <c r="AV329" s="8">
        <f ca="1">IF(AV$6=OFFSET(Assumptions!$B$8,0,$C$1),AVERAGE((AS$329-AS$328)/AS$14,(AT$329-AT$328)/AT$14,(AU$329-AU$328)/AU$14),(AU$329-AU$328)/AU$14) *AV$14 +AV$328</f>
        <v>1.396446498643394</v>
      </c>
      <c r="AW329" s="8">
        <f ca="1">IF(AW$6=OFFSET(Assumptions!$B$8,0,$C$1),AVERAGE((AT$329-AT$328)/AT$14,(AU$329-AU$328)/AU$14,(AV$329-AV$328)/AV$14),(AV$329-AV$328)/AV$14) *AW$14 +AW$328</f>
        <v>1.4484051657450239</v>
      </c>
    </row>
    <row r="330" spans="1:49" ht="15" x14ac:dyDescent="0.25">
      <c r="A330" s="2"/>
      <c r="B330" s="4"/>
      <c r="D330" s="47"/>
      <c r="E330" s="44"/>
      <c r="F330" s="44"/>
      <c r="G330" s="44"/>
      <c r="H330" s="44"/>
      <c r="I330" s="44"/>
      <c r="J330" s="8"/>
      <c r="K330" s="8"/>
      <c r="L330" s="8"/>
      <c r="M330" s="8"/>
      <c r="N330" s="8"/>
      <c r="O330" s="8"/>
      <c r="P330" s="8"/>
      <c r="Q330" s="8"/>
      <c r="R330" s="8"/>
      <c r="S330" s="8"/>
    </row>
    <row r="331" spans="1:49" ht="15" x14ac:dyDescent="0.25">
      <c r="A331" s="22" t="s">
        <v>232</v>
      </c>
      <c r="B331" s="4"/>
      <c r="D331" s="47"/>
      <c r="E331" s="8"/>
      <c r="F331" s="8"/>
      <c r="G331" s="8"/>
      <c r="H331" s="8"/>
      <c r="I331" s="8"/>
      <c r="J331" s="8"/>
      <c r="K331" s="8"/>
      <c r="L331" s="8"/>
      <c r="M331" s="8"/>
      <c r="N331" s="8"/>
      <c r="O331" s="8"/>
      <c r="P331" s="8"/>
      <c r="Q331" s="8"/>
      <c r="R331" s="8"/>
      <c r="S331" s="8"/>
    </row>
    <row r="332" spans="1:49" x14ac:dyDescent="0.2">
      <c r="A332" s="1" t="s">
        <v>594</v>
      </c>
      <c r="B332" s="4" t="str">
        <f t="shared" si="203"/>
        <v>From Fiscal</v>
      </c>
      <c r="D332" s="58">
        <f ca="1">Fiscal!D$167-D$333</f>
        <v>1.3857199999999992</v>
      </c>
      <c r="E332" s="19">
        <f ca="1">Fiscal!E$167-E$333</f>
        <v>2.7927199999999992</v>
      </c>
      <c r="F332" s="19">
        <f ca="1">Fiscal!F$167-F$333</f>
        <v>3.39072</v>
      </c>
      <c r="G332" s="19">
        <f ca="1">Fiscal!G$167-G$333</f>
        <v>4.0587199999999992</v>
      </c>
      <c r="H332" s="19">
        <f ca="1">Fiscal!H$167-H$333</f>
        <v>4.7727199999999996</v>
      </c>
      <c r="I332" s="19">
        <f ca="1">Fiscal!I$167-I$333</f>
        <v>5.5387199999999996</v>
      </c>
      <c r="J332" s="7">
        <f ca="1">IF(J$6=OFFSET(Assumptions!$B$8,0,$C$1),AVERAGE(G$332/G$372,H$332/H$372,I$332/I$372),I$332/I$372)*J$372</f>
        <v>5.7719409753199313</v>
      </c>
      <c r="K332" s="7">
        <f ca="1">IF(K$6=OFFSET(Assumptions!$B$8,0,$C$1),AVERAGE(H$332/H$372,I$332/I$372,J$332/J$372),J$332/J$372)*K$372</f>
        <v>6.4856014034125673</v>
      </c>
      <c r="L332" s="7">
        <f ca="1">IF(L$6=OFFSET(Assumptions!$B$8,0,$C$1),AVERAGE(I$332/I$372,J$332/J$372,K$332/K$372),K$332/K$372)*L$372</f>
        <v>7.2275992843241514</v>
      </c>
      <c r="M332" s="7">
        <f ca="1">IF(M$6=OFFSET(Assumptions!$B$8,0,$C$1),AVERAGE(J$332/J$372,K$332/K$372,L$332/L$372),L$332/L$372)*M$372</f>
        <v>7.9950990229520471</v>
      </c>
      <c r="N332" s="7">
        <f ca="1">IF(N$6=OFFSET(Assumptions!$B$8,0,$C$1),AVERAGE(K$332/K$372,L$332/L$372,M$332/M$372),M$332/M$372)*N$372</f>
        <v>8.7863776231134807</v>
      </c>
      <c r="O332" s="7">
        <f ca="1">IF(O$6=OFFSET(Assumptions!$B$8,0,$C$1),AVERAGE(L$332/L$372,M$332/M$372,N$332/N$372),N$332/N$372)*O$372</f>
        <v>9.5869761831425322</v>
      </c>
      <c r="P332" s="7">
        <f ca="1">IF(P$6=OFFSET(Assumptions!$B$8,0,$C$1),AVERAGE(M$332/M$372,N$332/N$372,O$332/O$372),O$332/O$372)*P$372</f>
        <v>10.391765883773132</v>
      </c>
      <c r="Q332" s="7">
        <f ca="1">IF(Q$6=OFFSET(Assumptions!$B$8,0,$C$1),AVERAGE(N$332/N$372,O$332/O$372,P$332/P$372),P$332/P$372)*Q$372</f>
        <v>11.199470841798931</v>
      </c>
      <c r="R332" s="7">
        <f ca="1">IF(R$6=OFFSET(Assumptions!$B$8,0,$C$1),AVERAGE(O$332/O$372,P$332/P$372,Q$332/Q$372),Q$332/Q$372)*R$372</f>
        <v>12.010817964109771</v>
      </c>
      <c r="S332" s="7">
        <f ca="1">IF(S$6=OFFSET(Assumptions!$B$8,0,$C$1),AVERAGE(P$332/P$372,Q$332/Q$372,R$332/R$372),R$332/R$372)*S$372</f>
        <v>12.831011055444382</v>
      </c>
      <c r="T332" s="7">
        <f ca="1">IF(T$6=OFFSET(Assumptions!$B$8,0,$C$1),AVERAGE(Q$332/Q$372,R$332/R$372,S$332/S$372),S$332/S$372)*T$372</f>
        <v>13.66168254112914</v>
      </c>
      <c r="U332" s="7">
        <f ca="1">IF(U$6=OFFSET(Assumptions!$B$8,0,$C$1),AVERAGE(R$332/R$372,S$332/S$372,T$332/T$372),T$332/T$372)*U$372</f>
        <v>14.501651829804731</v>
      </c>
      <c r="V332" s="7">
        <f ca="1">IF(V$6=OFFSET(Assumptions!$B$8,0,$C$1),AVERAGE(S$332/S$372,T$332/T$372,U$332/U$372),U$332/U$372)*V$372</f>
        <v>15.349252728605471</v>
      </c>
      <c r="W332" s="7">
        <f ca="1">IF(W$6=OFFSET(Assumptions!$B$8,0,$C$1),AVERAGE(T$332/T$372,U$332/U$372,V$332/V$372),V$332/V$372)*W$372</f>
        <v>16.202997467744424</v>
      </c>
      <c r="X332" s="7">
        <f ca="1">IF(X$6=OFFSET(Assumptions!$B$8,0,$C$1),AVERAGE(U$332/U$372,V$332/V$372,W$332/W$372),W$332/W$372)*X$372</f>
        <v>17.064774092572623</v>
      </c>
      <c r="Y332" s="7">
        <f ca="1">IF(Y$6=OFFSET(Assumptions!$B$8,0,$C$1),AVERAGE(V$332/V$372,W$332/W$372,X$332/X$372),X$332/X$372)*Y$372</f>
        <v>17.929931718752897</v>
      </c>
      <c r="Z332" s="7">
        <f ca="1">IF(Z$6=OFFSET(Assumptions!$B$8,0,$C$1),AVERAGE(W$332/W$372,X$332/X$372,Y$332/Y$372),Y$332/Y$372)*Z$372</f>
        <v>18.803658681807139</v>
      </c>
      <c r="AA332" s="7">
        <f ca="1">IF(AA$6=OFFSET(Assumptions!$B$8,0,$C$1),AVERAGE(X$332/X$372,Y$332/Y$372,Z$332/Z$372),Z$332/Z$372)*AA$372</f>
        <v>19.69560735958208</v>
      </c>
      <c r="AB332" s="7">
        <f ca="1">IF(AB$6=OFFSET(Assumptions!$B$8,0,$C$1),AVERAGE(Y$332/Y$372,Z$332/Z$372,AA$332/AA$372),AA$332/AA$372)*AB$372</f>
        <v>20.61849589602048</v>
      </c>
      <c r="AC332" s="7">
        <f ca="1">IF(AC$6=OFFSET(Assumptions!$B$8,0,$C$1),AVERAGE(Z$332/Z$372,AA$332/AA$372,AB$332/AB$372),AB$332/AB$372)*AC$372</f>
        <v>21.587458447471366</v>
      </c>
      <c r="AD332" s="7">
        <f ca="1">IF(AD$6=OFFSET(Assumptions!$B$8,0,$C$1),AVERAGE(AA$332/AA$372,AB$332/AB$372,AC$332/AC$372),AC$332/AC$372)*AD$372</f>
        <v>22.619772615410543</v>
      </c>
      <c r="AE332" s="7">
        <f ca="1">IF(AE$6=OFFSET(Assumptions!$B$8,0,$C$1),AVERAGE(AB$332/AB$372,AC$332/AC$372,AD$332/AD$372),AD$332/AD$372)*AE$372</f>
        <v>23.723763245392639</v>
      </c>
      <c r="AF332" s="7">
        <f ca="1">IF(AF$6=OFFSET(Assumptions!$B$8,0,$C$1),AVERAGE(AC$332/AC$372,AD$332/AD$372,AE$332/AE$372),AE$332/AE$372)*AF$372</f>
        <v>24.913790582746493</v>
      </c>
      <c r="AG332" s="7">
        <f ca="1">IF(AG$6=OFFSET(Assumptions!$B$8,0,$C$1),AVERAGE(AD$332/AD$372,AE$332/AE$372,AF$332/AF$372),AF$332/AF$372)*AG$372</f>
        <v>26.193703740365066</v>
      </c>
      <c r="AH332" s="7">
        <f ca="1">IF(AH$6=OFFSET(Assumptions!$B$8,0,$C$1),AVERAGE(AE$332/AE$372,AF$332/AF$372,AG$332/AG$372),AG$332/AG$372)*AH$372</f>
        <v>27.572983566526847</v>
      </c>
      <c r="AI332" s="7">
        <f ca="1">IF(AI$6=OFFSET(Assumptions!$B$8,0,$C$1),AVERAGE(AF$332/AF$372,AG$332/AG$372,AH$332/AH$372),AH$332/AH$372)*AI$372</f>
        <v>29.058762771033365</v>
      </c>
      <c r="AJ332" s="7">
        <f ca="1">IF(AJ$6=OFFSET(Assumptions!$B$8,0,$C$1),AVERAGE(AG$332/AG$372,AH$332/AH$372,AI$332/AI$372),AI$332/AI$372)*AJ$372</f>
        <v>30.658596548735233</v>
      </c>
      <c r="AK332" s="7">
        <f ca="1">IF(AK$6=OFFSET(Assumptions!$B$8,0,$C$1),AVERAGE(AH$332/AH$372,AI$332/AI$372,AJ$332/AJ$372),AJ$332/AJ$372)*AK$372</f>
        <v>32.374806744560964</v>
      </c>
      <c r="AL332" s="7">
        <f ca="1">IF(AL$6=OFFSET(Assumptions!$B$8,0,$C$1),AVERAGE(AI$332/AI$372,AJ$332/AJ$372,AK$332/AK$372),AK$332/AK$372)*AL$372</f>
        <v>34.215256475606687</v>
      </c>
      <c r="AM332" s="7">
        <f ca="1">IF(AM$6=OFFSET(Assumptions!$B$8,0,$C$1),AVERAGE(AJ$332/AJ$372,AK$332/AK$372,AL$332/AL$372),AL$332/AL$372)*AM$372</f>
        <v>36.186611916918707</v>
      </c>
      <c r="AN332" s="7">
        <f ca="1">IF(AN$6=OFFSET(Assumptions!$B$8,0,$C$1),AVERAGE(AK$332/AK$372,AL$332/AL$372,AM$332/AM$372),AM$332/AM$372)*AN$372</f>
        <v>38.290946022912081</v>
      </c>
      <c r="AO332" s="7">
        <f ca="1">IF(AO$6=OFFSET(Assumptions!$B$8,0,$C$1),AVERAGE(AL$332/AL$372,AM$332/AM$372,AN$332/AN$372),AN$332/AN$372)*AO$372</f>
        <v>40.525882134135877</v>
      </c>
      <c r="AP332" s="7">
        <f ca="1">IF(AP$6=OFFSET(Assumptions!$B$8,0,$C$1),AVERAGE(AM$332/AM$372,AN$332/AN$372,AO$332/AO$372),AO$332/AO$372)*AP$372</f>
        <v>42.88058936360477</v>
      </c>
      <c r="AQ332" s="7">
        <f ca="1">IF(AQ$6=OFFSET(Assumptions!$B$8,0,$C$1),AVERAGE(AN$332/AN$372,AO$332/AO$372,AP$332/AP$372),AP$332/AP$372)*AQ$372</f>
        <v>45.34456519151864</v>
      </c>
      <c r="AR332" s="7">
        <f ca="1">IF(AR$6=OFFSET(Assumptions!$B$8,0,$C$1),AVERAGE(AO$332/AO$372,AP$332/AP$372,AQ$332/AQ$372),AQ$332/AQ$372)*AR$372</f>
        <v>47.898925789355104</v>
      </c>
      <c r="AS332" s="7">
        <f ca="1">IF(AS$6=OFFSET(Assumptions!$B$8,0,$C$1),AVERAGE(AP$332/AP$372,AQ$332/AQ$372,AR$332/AR$372),AR$332/AR$372)*AS$372</f>
        <v>50.525470048823898</v>
      </c>
      <c r="AT332" s="7">
        <f ca="1">IF(AT$6=OFFSET(Assumptions!$B$8,0,$C$1),AVERAGE(AQ$332/AQ$372,AR$332/AR$372,AS$332/AS$372),AS$332/AS$372)*AT$372</f>
        <v>53.229720574404972</v>
      </c>
      <c r="AU332" s="7">
        <f ca="1">IF(AU$6=OFFSET(Assumptions!$B$8,0,$C$1),AVERAGE(AR$332/AR$372,AS$332/AS$372,AT$332/AT$372),AT$332/AT$372)*AU$372</f>
        <v>56.009213632668235</v>
      </c>
      <c r="AV332" s="7">
        <f ca="1">IF(AV$6=OFFSET(Assumptions!$B$8,0,$C$1),AVERAGE(AS$332/AS$372,AT$332/AT$372,AU$332/AU$372),AU$332/AU$372)*AV$372</f>
        <v>58.867851763132698</v>
      </c>
      <c r="AW332" s="7">
        <f ca="1">IF(AW$6=OFFSET(Assumptions!$B$8,0,$C$1),AVERAGE(AT$332/AT$372,AU$332/AU$372,AV$332/AV$372),AV$332/AV$372)*AW$372</f>
        <v>61.80034674721756</v>
      </c>
    </row>
    <row r="333" spans="1:49" ht="15" x14ac:dyDescent="0.25">
      <c r="A333" s="1" t="s">
        <v>595</v>
      </c>
      <c r="B333" s="4"/>
      <c r="C333" s="69">
        <f ca="1">Fiscal!C$167*(1-OFFSET(Assumptions!$B$60,0,$C$1))</f>
        <v>5.2652800000000006</v>
      </c>
      <c r="D333" s="18">
        <f t="shared" ref="D333:I333" ca="1" si="206">C$333+D$494</f>
        <v>7.6462800000000009</v>
      </c>
      <c r="E333" s="19">
        <f t="shared" ca="1" si="206"/>
        <v>9.0672800000000002</v>
      </c>
      <c r="F333" s="19">
        <f t="shared" ca="1" si="206"/>
        <v>9.0742799999999999</v>
      </c>
      <c r="G333" s="19">
        <f t="shared" ca="1" si="206"/>
        <v>9.0732800000000005</v>
      </c>
      <c r="H333" s="19">
        <f t="shared" ca="1" si="206"/>
        <v>9.0812799999999996</v>
      </c>
      <c r="I333" s="19">
        <f t="shared" ca="1" si="206"/>
        <v>9.0862800000000004</v>
      </c>
      <c r="J333" s="7">
        <f ca="1">(I$333/I$14+ IF(J$2&gt;0,J$2*IF(J$6=OFFSET(Assumptions!$B$8,0,$C$1),SUMPRODUCT(OFFSET(I$333,0,0,1,-OFFSET(Assumptions!$B$67,0,$C$1)),OFFSET(I$16,0,0,1,-OFFSET(Assumptions!$B$67,0,$C$1)))/OFFSET(Assumptions!$B$67,0,$C$1)-I$333/I$14,(I$333/I$14-H$333/H$14)/I$2),0))*J$14</f>
        <v>9.6082065255837463</v>
      </c>
      <c r="K333" s="7">
        <f ca="1">(J$333/J$14+ IF(K$2&gt;0,K$2*IF(K$6=OFFSET(Assumptions!$B$8,0,$C$1),SUMPRODUCT(OFFSET(J$333,0,0,1,-OFFSET(Assumptions!$B$67,0,$C$1)),OFFSET(J$16,0,0,1,-OFFSET(Assumptions!$B$67,0,$C$1)))/OFFSET(Assumptions!$B$67,0,$C$1)-J$333/J$14,(J$333/J$14-I$333/I$14)/J$2),0))*K$14</f>
        <v>10.125629651935949</v>
      </c>
      <c r="L333" s="7">
        <f ca="1">(K$333/K$14+ IF(L$2&gt;0,L$2*IF(L$6=OFFSET(Assumptions!$B$8,0,$C$1),SUMPRODUCT(OFFSET(K$333,0,0,1,-OFFSET(Assumptions!$B$67,0,$C$1)),OFFSET(K$16,0,0,1,-OFFSET(Assumptions!$B$67,0,$C$1)))/OFFSET(Assumptions!$B$67,0,$C$1)-K$333/K$14,(K$333/K$14-J$333/J$14)/K$2),0))*L$14</f>
        <v>10.65521632191277</v>
      </c>
      <c r="M333" s="7">
        <f ca="1">(L$333/L$14+ IF(M$2&gt;0,M$2*IF(M$6=OFFSET(Assumptions!$B$8,0,$C$1),SUMPRODUCT(OFFSET(L$333,0,0,1,-OFFSET(Assumptions!$B$67,0,$C$1)),OFFSET(L$16,0,0,1,-OFFSET(Assumptions!$B$67,0,$C$1)))/OFFSET(Assumptions!$B$67,0,$C$1)-L$333/L$14,(L$333/L$14-K$333/K$14)/L$2),0))*M$14</f>
        <v>11.178661521504601</v>
      </c>
      <c r="N333" s="7">
        <f ca="1">(M$333/M$14+ IF(N$2&gt;0,N$2*IF(N$6=OFFSET(Assumptions!$B$8,0,$C$1),SUMPRODUCT(OFFSET(M$333,0,0,1,-OFFSET(Assumptions!$B$67,0,$C$1)),OFFSET(M$16,0,0,1,-OFFSET(Assumptions!$B$67,0,$C$1)))/OFFSET(Assumptions!$B$67,0,$C$1)-M$333/M$14,(M$333/M$14-L$333/L$14)/M$2),0))*N$14</f>
        <v>11.693664576691415</v>
      </c>
      <c r="O333" s="7">
        <f ca="1">(N$333/N$14+ IF(O$2&gt;0,O$2*IF(O$6=OFFSET(Assumptions!$B$8,0,$C$1),SUMPRODUCT(OFFSET(N$333,0,0,1,-OFFSET(Assumptions!$B$67,0,$C$1)),OFFSET(N$16,0,0,1,-OFFSET(Assumptions!$B$67,0,$C$1)))/OFFSET(Assumptions!$B$67,0,$C$1)-N$333/N$14,(N$333/N$14-M$333/M$14)/N$2),0))*O$14</f>
        <v>12.19282891524402</v>
      </c>
      <c r="P333" s="7">
        <f ca="1">(O$333/O$14+ IF(P$2&gt;0,P$2*IF(P$6=OFFSET(Assumptions!$B$8,0,$C$1),SUMPRODUCT(OFFSET(O$333,0,0,1,-OFFSET(Assumptions!$B$67,0,$C$1)),OFFSET(O$16,0,0,1,-OFFSET(Assumptions!$B$67,0,$C$1)))/OFFSET(Assumptions!$B$67,0,$C$1)-O$333/O$14,(O$333/O$14-N$333/N$14)/O$2),0))*P$14</f>
        <v>12.708450252858412</v>
      </c>
      <c r="Q333" s="7">
        <f ca="1">(P$333/P$14+ IF(Q$2&gt;0,Q$2*IF(Q$6=OFFSET(Assumptions!$B$8,0,$C$1),SUMPRODUCT(OFFSET(P$333,0,0,1,-OFFSET(Assumptions!$B$67,0,$C$1)),OFFSET(P$16,0,0,1,-OFFSET(Assumptions!$B$67,0,$C$1)))/OFFSET(Assumptions!$B$67,0,$C$1)-P$333/P$14,(P$333/P$14-O$333/O$14)/P$2),0))*Q$14</f>
        <v>13.239971623812218</v>
      </c>
      <c r="R333" s="7">
        <f ca="1">(Q$333/Q$14+ IF(R$2&gt;0,R$2*IF(R$6=OFFSET(Assumptions!$B$8,0,$C$1),SUMPRODUCT(OFFSET(Q$333,0,0,1,-OFFSET(Assumptions!$B$67,0,$C$1)),OFFSET(Q$16,0,0,1,-OFFSET(Assumptions!$B$67,0,$C$1)))/OFFSET(Assumptions!$B$67,0,$C$1)-Q$333/Q$14,(Q$333/Q$14-P$333/P$14)/Q$2),0))*R$14</f>
        <v>13.786998523638836</v>
      </c>
      <c r="S333" s="7">
        <f ca="1">(R$333/R$14+ IF(S$2&gt;0,S$2*IF(S$6=OFFSET(Assumptions!$B$8,0,$C$1),SUMPRODUCT(OFFSET(R$333,0,0,1,-OFFSET(Assumptions!$B$67,0,$C$1)),OFFSET(R$16,0,0,1,-OFFSET(Assumptions!$B$67,0,$C$1)))/OFFSET(Assumptions!$B$67,0,$C$1)-R$333/R$14,(R$333/R$14-Q$333/Q$14)/R$2),0))*S$14</f>
        <v>14.351269381519716</v>
      </c>
      <c r="T333" s="7">
        <f ca="1">(S$333/S$14+ IF(T$2&gt;0,T$2*IF(T$6=OFFSET(Assumptions!$B$8,0,$C$1),SUMPRODUCT(OFFSET(S$333,0,0,1,-OFFSET(Assumptions!$B$67,0,$C$1)),OFFSET(S$16,0,0,1,-OFFSET(Assumptions!$B$67,0,$C$1)))/OFFSET(Assumptions!$B$67,0,$C$1)-S$333/S$14,(S$333/S$14-R$333/R$14)/S$2),0))*T$14</f>
        <v>14.932989967932363</v>
      </c>
      <c r="U333" s="7">
        <f ca="1">(T$333/T$14+ IF(U$2&gt;0,U$2*IF(U$6=OFFSET(Assumptions!$B$8,0,$C$1),SUMPRODUCT(OFFSET(T$333,0,0,1,-OFFSET(Assumptions!$B$67,0,$C$1)),OFFSET(T$16,0,0,1,-OFFSET(Assumptions!$B$67,0,$C$1)))/OFFSET(Assumptions!$B$67,0,$C$1)-T$333/T$14,(T$333/T$14-S$333/S$14)/T$2),0))*U$14</f>
        <v>15.53424806272745</v>
      </c>
      <c r="V333" s="7">
        <f ca="1">(U$333/U$14+ IF(V$2&gt;0,V$2*IF(V$6=OFFSET(Assumptions!$B$8,0,$C$1),SUMPRODUCT(OFFSET(U$333,0,0,1,-OFFSET(Assumptions!$B$67,0,$C$1)),OFFSET(U$16,0,0,1,-OFFSET(Assumptions!$B$67,0,$C$1)))/OFFSET(Assumptions!$B$67,0,$C$1)-U$333/U$14,(U$333/U$14-T$333/T$14)/U$2),0))*V$14</f>
        <v>16.156527874946221</v>
      </c>
      <c r="W333" s="7">
        <f ca="1">(V$333/V$14+ IF(W$2&gt;0,W$2*IF(W$6=OFFSET(Assumptions!$B$8,0,$C$1),SUMPRODUCT(OFFSET(V$333,0,0,1,-OFFSET(Assumptions!$B$67,0,$C$1)),OFFSET(V$16,0,0,1,-OFFSET(Assumptions!$B$67,0,$C$1)))/OFFSET(Assumptions!$B$67,0,$C$1)-V$333/V$14,(V$333/V$14-U$333/U$14)/V$2),0))*W$14</f>
        <v>16.801632306166894</v>
      </c>
      <c r="X333" s="7">
        <f ca="1">(W$333/W$14+ IF(X$2&gt;0,X$2*IF(X$6=OFFSET(Assumptions!$B$8,0,$C$1),SUMPRODUCT(OFFSET(W$333,0,0,1,-OFFSET(Assumptions!$B$67,0,$C$1)),OFFSET(W$16,0,0,1,-OFFSET(Assumptions!$B$67,0,$C$1)))/OFFSET(Assumptions!$B$67,0,$C$1)-W$333/W$14,(W$333/W$14-V$333/V$14)/W$2),0))*X$14</f>
        <v>17.471604697148564</v>
      </c>
      <c r="Y333" s="7">
        <f ca="1">(X$333/X$14+ IF(Y$2&gt;0,Y$2*IF(Y$6=OFFSET(Assumptions!$B$8,0,$C$1),SUMPRODUCT(OFFSET(X$333,0,0,1,-OFFSET(Assumptions!$B$67,0,$C$1)),OFFSET(X$16,0,0,1,-OFFSET(Assumptions!$B$67,0,$C$1)))/OFFSET(Assumptions!$B$67,0,$C$1)-X$333/X$14,(X$333/X$14-W$333/W$14)/X$2),0))*Y$14</f>
        <v>18.166376554529542</v>
      </c>
      <c r="Z333" s="7">
        <f ca="1">(Y$333/Y$14+ IF(Z$2&gt;0,Z$2*IF(Z$6=OFFSET(Assumptions!$B$8,0,$C$1),SUMPRODUCT(OFFSET(Y$333,0,0,1,-OFFSET(Assumptions!$B$67,0,$C$1)),OFFSET(Y$16,0,0,1,-OFFSET(Assumptions!$B$67,0,$C$1)))/OFFSET(Assumptions!$B$67,0,$C$1)-Y$333/Y$14,(Y$333/Y$14-X$333/X$14)/Y$2),0))*Z$14</f>
        <v>18.889464564996874</v>
      </c>
      <c r="AA333" s="7">
        <f ca="1">(Z$333/Z$14+ IF(AA$2&gt;0,AA$2*IF(AA$6=OFFSET(Assumptions!$B$8,0,$C$1),SUMPRODUCT(OFFSET(Z$333,0,0,1,-OFFSET(Assumptions!$B$67,0,$C$1)),OFFSET(Z$16,0,0,1,-OFFSET(Assumptions!$B$67,0,$C$1)))/OFFSET(Assumptions!$B$67,0,$C$1)-Z$333/Z$14,(Z$333/Z$14-Y$333/Y$14)/Z$2),0))*AA$14</f>
        <v>19.642038687445059</v>
      </c>
      <c r="AB333" s="7">
        <f ca="1">(AA$333/AA$14+ IF(AB$2&gt;0,AB$2*IF(AB$6=OFFSET(Assumptions!$B$8,0,$C$1),SUMPRODUCT(OFFSET(AA$333,0,0,1,-OFFSET(Assumptions!$B$67,0,$C$1)),OFFSET(AA$16,0,0,1,-OFFSET(Assumptions!$B$67,0,$C$1)))/OFFSET(Assumptions!$B$67,0,$C$1)-AA$333/AA$14,(AA$333/AA$14-Z$333/Z$14)/AA$2),0))*AB$14</f>
        <v>20.426358971464982</v>
      </c>
      <c r="AC333" s="7">
        <f ca="1">(AB$333/AB$14+ IF(AC$2&gt;0,AC$2*IF(AC$6=OFFSET(Assumptions!$B$8,0,$C$1),SUMPRODUCT(OFFSET(AB$333,0,0,1,-OFFSET(Assumptions!$B$67,0,$C$1)),OFFSET(AB$16,0,0,1,-OFFSET(Assumptions!$B$67,0,$C$1)))/OFFSET(Assumptions!$B$67,0,$C$1)-AB$333/AB$14,(AB$333/AB$14-AA$333/AA$14)/AB$2),0))*AC$14</f>
        <v>21.245386332562948</v>
      </c>
      <c r="AD333" s="7">
        <f ca="1">(AC$333/AC$14+ IF(AD$2&gt;0,AD$2*IF(AD$6=OFFSET(Assumptions!$B$8,0,$C$1),SUMPRODUCT(OFFSET(AC$333,0,0,1,-OFFSET(Assumptions!$B$67,0,$C$1)),OFFSET(AC$16,0,0,1,-OFFSET(Assumptions!$B$67,0,$C$1)))/OFFSET(Assumptions!$B$67,0,$C$1)-AC$333/AC$14,(AC$333/AC$14-AB$333/AB$14)/AC$2),0))*AD$14</f>
        <v>22.099984035680837</v>
      </c>
      <c r="AE333" s="7">
        <f ca="1">(AD$333/AD$14+ IF(AE$2&gt;0,AE$2*IF(AE$6=OFFSET(Assumptions!$B$8,0,$C$1),SUMPRODUCT(OFFSET(AD$333,0,0,1,-OFFSET(Assumptions!$B$67,0,$C$1)),OFFSET(AD$16,0,0,1,-OFFSET(Assumptions!$B$67,0,$C$1)))/OFFSET(Assumptions!$B$67,0,$C$1)-AD$333/AD$14,(AD$333/AD$14-AC$333/AC$14)/AD$2),0))*AE$14</f>
        <v>22.98936724673457</v>
      </c>
      <c r="AF333" s="7">
        <f ca="1">(AE$333/AE$14+ IF(AF$2&gt;0,AF$2*IF(AF$6=OFFSET(Assumptions!$B$8,0,$C$1),SUMPRODUCT(OFFSET(AE$333,0,0,1,-OFFSET(Assumptions!$B$67,0,$C$1)),OFFSET(AE$16,0,0,1,-OFFSET(Assumptions!$B$67,0,$C$1)))/OFFSET(Assumptions!$B$67,0,$C$1)-AE$333/AE$14,(AE$333/AE$14-AD$333/AD$14)/AE$2),0))*AF$14</f>
        <v>23.915996532959216</v>
      </c>
      <c r="AG333" s="7">
        <f ca="1">(AF$333/AF$14+ IF(AG$2&gt;0,AG$2*IF(AG$6=OFFSET(Assumptions!$B$8,0,$C$1),SUMPRODUCT(OFFSET(AF$333,0,0,1,-OFFSET(Assumptions!$B$67,0,$C$1)),OFFSET(AF$16,0,0,1,-OFFSET(Assumptions!$B$67,0,$C$1)))/OFFSET(Assumptions!$B$67,0,$C$1)-AF$333/AF$14,(AF$333/AF$14-AE$333/AE$14)/AF$2),0))*AG$14</f>
        <v>24.880390026704244</v>
      </c>
      <c r="AH333" s="7">
        <f ca="1">(AG$333/AG$14+ IF(AH$2&gt;0,AH$2*IF(AH$6=OFFSET(Assumptions!$B$8,0,$C$1),SUMPRODUCT(OFFSET(AG$333,0,0,1,-OFFSET(Assumptions!$B$67,0,$C$1)),OFFSET(AG$16,0,0,1,-OFFSET(Assumptions!$B$67,0,$C$1)))/OFFSET(Assumptions!$B$67,0,$C$1)-AG$333/AG$14,(AG$333/AG$14-AF$333/AF$14)/AG$2),0))*AH$14</f>
        <v>25.88409419985258</v>
      </c>
      <c r="AI333" s="7">
        <f ca="1">(AH$333/AH$14+ IF(AI$2&gt;0,AI$2*IF(AI$6=OFFSET(Assumptions!$B$8,0,$C$1),SUMPRODUCT(OFFSET(AH$333,0,0,1,-OFFSET(Assumptions!$B$67,0,$C$1)),OFFSET(AH$16,0,0,1,-OFFSET(Assumptions!$B$67,0,$C$1)))/OFFSET(Assumptions!$B$67,0,$C$1)-AH$333/AH$14,(AH$333/AH$14-AG$333/AG$14)/AH$2),0))*AI$14</f>
        <v>26.925355248953938</v>
      </c>
      <c r="AJ333" s="7">
        <f ca="1">(AI$333/AI$14+ IF(AJ$2&gt;0,AJ$2*IF(AJ$6=OFFSET(Assumptions!$B$8,0,$C$1),SUMPRODUCT(OFFSET(AI$333,0,0,1,-OFFSET(Assumptions!$B$67,0,$C$1)),OFFSET(AI$16,0,0,1,-OFFSET(Assumptions!$B$67,0,$C$1)))/OFFSET(Assumptions!$B$67,0,$C$1)-AI$333/AI$14,(AI$333/AI$14-AH$333/AH$14)/AI$2),0))*AJ$14</f>
        <v>28.007508851939729</v>
      </c>
      <c r="AK333" s="7">
        <f ca="1">(AJ$333/AJ$14+ IF(AK$2&gt;0,AK$2*IF(AK$6=OFFSET(Assumptions!$B$8,0,$C$1),SUMPRODUCT(OFFSET(AJ$333,0,0,1,-OFFSET(Assumptions!$B$67,0,$C$1)),OFFSET(AJ$16,0,0,1,-OFFSET(Assumptions!$B$67,0,$C$1)))/OFFSET(Assumptions!$B$67,0,$C$1)-AJ$333/AJ$14,(AJ$333/AJ$14-AI$333/AI$14)/AJ$2),0))*AK$14</f>
        <v>29.129664795921933</v>
      </c>
      <c r="AL333" s="7">
        <f ca="1">(AK$333/AK$14+ IF(AL$2&gt;0,AL$2*IF(AL$6=OFFSET(Assumptions!$B$8,0,$C$1),SUMPRODUCT(OFFSET(AK$333,0,0,1,-OFFSET(Assumptions!$B$67,0,$C$1)),OFFSET(AK$16,0,0,1,-OFFSET(Assumptions!$B$67,0,$C$1)))/OFFSET(Assumptions!$B$67,0,$C$1)-AK$333/AK$14,(AK$333/AK$14-AJ$333/AJ$14)/AK$2),0))*AL$14</f>
        <v>30.29093912770524</v>
      </c>
      <c r="AM333" s="7">
        <f ca="1">(AL$333/AL$14+ IF(AM$2&gt;0,AM$2*IF(AM$6=OFFSET(Assumptions!$B$8,0,$C$1),SUMPRODUCT(OFFSET(AL$333,0,0,1,-OFFSET(Assumptions!$B$67,0,$C$1)),OFFSET(AL$16,0,0,1,-OFFSET(Assumptions!$B$67,0,$C$1)))/OFFSET(Assumptions!$B$67,0,$C$1)-AL$333/AL$14,(AL$333/AL$14-AK$333/AK$14)/AL$2),0))*AM$14</f>
        <v>31.492918299248338</v>
      </c>
      <c r="AN333" s="7">
        <f ca="1">(AM$333/AM$14+ IF(AN$2&gt;0,AN$2*IF(AN$6=OFFSET(Assumptions!$B$8,0,$C$1),SUMPRODUCT(OFFSET(AM$333,0,0,1,-OFFSET(Assumptions!$B$67,0,$C$1)),OFFSET(AM$16,0,0,1,-OFFSET(Assumptions!$B$67,0,$C$1)))/OFFSET(Assumptions!$B$67,0,$C$1)-AM$333/AM$14,(AM$333/AM$14-AL$333/AL$14)/AM$2),0))*AN$14</f>
        <v>32.737274251938771</v>
      </c>
      <c r="AO333" s="7">
        <f ca="1">(AN$333/AN$14+ IF(AO$2&gt;0,AO$2*IF(AO$6=OFFSET(Assumptions!$B$8,0,$C$1),SUMPRODUCT(OFFSET(AN$333,0,0,1,-OFFSET(Assumptions!$B$67,0,$C$1)),OFFSET(AN$16,0,0,1,-OFFSET(Assumptions!$B$67,0,$C$1)))/OFFSET(Assumptions!$B$67,0,$C$1)-AN$333/AN$14,(AN$333/AN$14-AM$333/AM$14)/AN$2),0))*AO$14</f>
        <v>34.019120830268555</v>
      </c>
      <c r="AP333" s="7">
        <f ca="1">(AO$333/AO$14+ IF(AP$2&gt;0,AP$2*IF(AP$6=OFFSET(Assumptions!$B$8,0,$C$1),SUMPRODUCT(OFFSET(AO$333,0,0,1,-OFFSET(Assumptions!$B$67,0,$C$1)),OFFSET(AO$16,0,0,1,-OFFSET(Assumptions!$B$67,0,$C$1)))/OFFSET(Assumptions!$B$67,0,$C$1)-AO$333/AO$14,(AO$333/AO$14-AN$333/AN$14)/AO$2),0))*AP$14</f>
        <v>35.343901389475057</v>
      </c>
      <c r="AQ333" s="7">
        <f ca="1">(AP$333/AP$14+ IF(AQ$2&gt;0,AQ$2*IF(AQ$6=OFFSET(Assumptions!$B$8,0,$C$1),SUMPRODUCT(OFFSET(AP$333,0,0,1,-OFFSET(Assumptions!$B$67,0,$C$1)),OFFSET(AP$16,0,0,1,-OFFSET(Assumptions!$B$67,0,$C$1)))/OFFSET(Assumptions!$B$67,0,$C$1)-AP$333/AP$14,(AP$333/AP$14-AO$333/AO$14)/AP$2),0))*AQ$14</f>
        <v>36.707903898612024</v>
      </c>
      <c r="AR333" s="7">
        <f ca="1">(AQ$333/AQ$14+ IF(AR$2&gt;0,AR$2*IF(AR$6=OFFSET(Assumptions!$B$8,0,$C$1),SUMPRODUCT(OFFSET(AQ$333,0,0,1,-OFFSET(Assumptions!$B$67,0,$C$1)),OFFSET(AQ$16,0,0,1,-OFFSET(Assumptions!$B$67,0,$C$1)))/OFFSET(Assumptions!$B$67,0,$C$1)-AQ$333/AQ$14,(AQ$333/AQ$14-AP$333/AP$14)/AQ$2),0))*AR$14</f>
        <v>38.112672652535579</v>
      </c>
      <c r="AS333" s="7">
        <f ca="1">(AR$333/AR$14+ IF(AS$2&gt;0,AS$2*IF(AS$6=OFFSET(Assumptions!$B$8,0,$C$1),SUMPRODUCT(OFFSET(AR$333,0,0,1,-OFFSET(Assumptions!$B$67,0,$C$1)),OFFSET(AR$16,0,0,1,-OFFSET(Assumptions!$B$67,0,$C$1)))/OFFSET(Assumptions!$B$67,0,$C$1)-AR$333/AR$14,(AR$333/AR$14-AQ$333/AQ$14)/AR$2),0))*AS$14</f>
        <v>39.561484936229633</v>
      </c>
      <c r="AT333" s="7">
        <f ca="1">(AS$333/AS$14+ IF(AT$2&gt;0,AT$2*IF(AT$6=OFFSET(Assumptions!$B$8,0,$C$1),SUMPRODUCT(OFFSET(AS$333,0,0,1,-OFFSET(Assumptions!$B$67,0,$C$1)),OFFSET(AS$16,0,0,1,-OFFSET(Assumptions!$B$67,0,$C$1)))/OFFSET(Assumptions!$B$67,0,$C$1)-AS$333/AS$14,(AS$333/AS$14-AR$333/AR$14)/AS$2),0))*AT$14</f>
        <v>41.055497868632372</v>
      </c>
      <c r="AU333" s="7">
        <f ca="1">(AT$333/AT$14+ IF(AU$2&gt;0,AU$2*IF(AU$6=OFFSET(Assumptions!$B$8,0,$C$1),SUMPRODUCT(OFFSET(AT$333,0,0,1,-OFFSET(Assumptions!$B$67,0,$C$1)),OFFSET(AT$16,0,0,1,-OFFSET(Assumptions!$B$67,0,$C$1)))/OFFSET(Assumptions!$B$67,0,$C$1)-AT$333/AT$14,(AT$333/AT$14-AS$333/AS$14)/AT$2),0))*AU$14</f>
        <v>42.596698153413548</v>
      </c>
      <c r="AV333" s="7">
        <f ca="1">(AU$333/AU$14+ IF(AV$2&gt;0,AV$2*IF(AV$6=OFFSET(Assumptions!$B$8,0,$C$1),SUMPRODUCT(OFFSET(AU$333,0,0,1,-OFFSET(Assumptions!$B$67,0,$C$1)),OFFSET(AU$16,0,0,1,-OFFSET(Assumptions!$B$67,0,$C$1)))/OFFSET(Assumptions!$B$67,0,$C$1)-AU$333/AU$14,(AU$333/AU$14-AT$333/AT$14)/AU$2),0))*AV$14</f>
        <v>44.189851024750922</v>
      </c>
      <c r="AW333" s="7">
        <f ca="1">(AV$333/AV$14+ IF(AW$2&gt;0,AW$2*IF(AW$6=OFFSET(Assumptions!$B$8,0,$C$1),SUMPRODUCT(OFFSET(AV$333,0,0,1,-OFFSET(Assumptions!$B$67,0,$C$1)),OFFSET(AV$16,0,0,1,-OFFSET(Assumptions!$B$67,0,$C$1)))/OFFSET(Assumptions!$B$67,0,$C$1)-AV$333/AV$14,(AV$333/AV$14-AU$333/AU$14)/AV$2),0))*AW$14</f>
        <v>45.834057058348478</v>
      </c>
    </row>
    <row r="334" spans="1:49" ht="15" x14ac:dyDescent="0.25">
      <c r="A334" s="2" t="s">
        <v>596</v>
      </c>
      <c r="B334" s="4"/>
      <c r="D334" s="40">
        <f t="shared" ref="D334:AW334" ca="1" si="207">SUM(D$332:D$333)</f>
        <v>9.032</v>
      </c>
      <c r="E334" s="39">
        <f t="shared" ca="1" si="207"/>
        <v>11.86</v>
      </c>
      <c r="F334" s="39">
        <f t="shared" ca="1" si="207"/>
        <v>12.465</v>
      </c>
      <c r="G334" s="39">
        <f t="shared" ca="1" si="207"/>
        <v>13.132</v>
      </c>
      <c r="H334" s="39">
        <f t="shared" ca="1" si="207"/>
        <v>13.853999999999999</v>
      </c>
      <c r="I334" s="39">
        <f t="shared" ca="1" si="207"/>
        <v>14.625</v>
      </c>
      <c r="J334" s="43">
        <f t="shared" ca="1" si="207"/>
        <v>15.380147500903679</v>
      </c>
      <c r="K334" s="43">
        <f t="shared" ca="1" si="207"/>
        <v>16.611231055348515</v>
      </c>
      <c r="L334" s="43">
        <f t="shared" ca="1" si="207"/>
        <v>17.882815606236921</v>
      </c>
      <c r="M334" s="43">
        <f t="shared" ca="1" si="207"/>
        <v>19.173760544456648</v>
      </c>
      <c r="N334" s="43">
        <f t="shared" ca="1" si="207"/>
        <v>20.480042199804895</v>
      </c>
      <c r="O334" s="43">
        <f t="shared" ca="1" si="207"/>
        <v>21.779805098386554</v>
      </c>
      <c r="P334" s="43">
        <f t="shared" ca="1" si="207"/>
        <v>23.100216136631545</v>
      </c>
      <c r="Q334" s="43">
        <f t="shared" ca="1" si="207"/>
        <v>24.439442465611151</v>
      </c>
      <c r="R334" s="43">
        <f t="shared" ca="1" si="207"/>
        <v>25.797816487748605</v>
      </c>
      <c r="S334" s="43">
        <f t="shared" ca="1" si="207"/>
        <v>27.182280436964099</v>
      </c>
      <c r="T334" s="43">
        <f t="shared" ca="1" si="207"/>
        <v>28.594672509061503</v>
      </c>
      <c r="U334" s="43">
        <f t="shared" ca="1" si="207"/>
        <v>30.035899892532179</v>
      </c>
      <c r="V334" s="43">
        <f t="shared" ca="1" si="207"/>
        <v>31.505780603551692</v>
      </c>
      <c r="W334" s="43">
        <f t="shared" ca="1" si="207"/>
        <v>33.004629773911319</v>
      </c>
      <c r="X334" s="43">
        <f t="shared" ca="1" si="207"/>
        <v>34.536378789721184</v>
      </c>
      <c r="Y334" s="43">
        <f t="shared" ca="1" si="207"/>
        <v>36.096308273282439</v>
      </c>
      <c r="Z334" s="43">
        <f t="shared" ca="1" si="207"/>
        <v>37.693123246804014</v>
      </c>
      <c r="AA334" s="43">
        <f t="shared" ca="1" si="207"/>
        <v>39.337646047027135</v>
      </c>
      <c r="AB334" s="43">
        <f t="shared" ca="1" si="207"/>
        <v>41.044854867485462</v>
      </c>
      <c r="AC334" s="43">
        <f t="shared" ca="1" si="207"/>
        <v>42.832844780034314</v>
      </c>
      <c r="AD334" s="43">
        <f t="shared" ca="1" si="207"/>
        <v>44.71975665109138</v>
      </c>
      <c r="AE334" s="43">
        <f t="shared" ca="1" si="207"/>
        <v>46.713130492127206</v>
      </c>
      <c r="AF334" s="43">
        <f t="shared" ca="1" si="207"/>
        <v>48.829787115705713</v>
      </c>
      <c r="AG334" s="43">
        <f t="shared" ca="1" si="207"/>
        <v>51.074093767069314</v>
      </c>
      <c r="AH334" s="43">
        <f t="shared" ca="1" si="207"/>
        <v>53.457077766379427</v>
      </c>
      <c r="AI334" s="43">
        <f t="shared" ca="1" si="207"/>
        <v>55.984118019987307</v>
      </c>
      <c r="AJ334" s="43">
        <f t="shared" ca="1" si="207"/>
        <v>58.666105400674965</v>
      </c>
      <c r="AK334" s="43">
        <f t="shared" ca="1" si="207"/>
        <v>61.504471540482896</v>
      </c>
      <c r="AL334" s="43">
        <f t="shared" ca="1" si="207"/>
        <v>64.506195603311923</v>
      </c>
      <c r="AM334" s="43">
        <f t="shared" ca="1" si="207"/>
        <v>67.679530216167052</v>
      </c>
      <c r="AN334" s="43">
        <f t="shared" ca="1" si="207"/>
        <v>71.028220274850852</v>
      </c>
      <c r="AO334" s="43">
        <f t="shared" ca="1" si="207"/>
        <v>74.545002964404432</v>
      </c>
      <c r="AP334" s="43">
        <f t="shared" ca="1" si="207"/>
        <v>78.224490753079834</v>
      </c>
      <c r="AQ334" s="43">
        <f t="shared" ca="1" si="207"/>
        <v>82.052469090130671</v>
      </c>
      <c r="AR334" s="43">
        <f t="shared" ca="1" si="207"/>
        <v>86.011598441890683</v>
      </c>
      <c r="AS334" s="43">
        <f t="shared" ca="1" si="207"/>
        <v>90.086954985053524</v>
      </c>
      <c r="AT334" s="43">
        <f t="shared" ca="1" si="207"/>
        <v>94.285218443037337</v>
      </c>
      <c r="AU334" s="43">
        <f t="shared" ca="1" si="207"/>
        <v>98.605911786081776</v>
      </c>
      <c r="AV334" s="43">
        <f t="shared" ca="1" si="207"/>
        <v>103.05770278788361</v>
      </c>
      <c r="AW334" s="43">
        <f t="shared" ca="1" si="207"/>
        <v>107.63440380556604</v>
      </c>
    </row>
    <row r="335" spans="1:49" ht="15" x14ac:dyDescent="0.25">
      <c r="A335" s="2" t="s">
        <v>597</v>
      </c>
      <c r="B335" s="4" t="str">
        <f t="shared" ref="B335" si="208">$B$43</f>
        <v>From Fiscal</v>
      </c>
      <c r="D335" s="47">
        <f>Fiscal!D$114</f>
        <v>11.981999999999999</v>
      </c>
      <c r="E335" s="44">
        <f>Fiscal!E$114</f>
        <v>15.036</v>
      </c>
      <c r="F335" s="44">
        <f>Fiscal!F$114</f>
        <v>15.167999999999999</v>
      </c>
      <c r="G335" s="44">
        <f>Fiscal!G$114</f>
        <v>16.196000000000002</v>
      </c>
      <c r="H335" s="44">
        <f>Fiscal!H$114</f>
        <v>17.352</v>
      </c>
      <c r="I335" s="44">
        <f>Fiscal!I$114</f>
        <v>18.706</v>
      </c>
      <c r="J335" s="8">
        <f ca="1">((I$335-I$334)/I$14+ IF(J$2&gt;0,J$2*IF(J$6=OFFSET(Assumptions!$B$8,0,$C$1),(SUMPRODUCT(OFFSET(I$335,0,0,1,-OFFSET(Assumptions!$B$67,0,$C$1)),OFFSET(I$16,0,0,1,-OFFSET(Assumptions!$B$67,0,$C$1)))-SUMPRODUCT(OFFSET(I$334,0,0,1,-OFFSET(Assumptions!$B$67,0,$C$1)),OFFSET(I$16,0,0,1,-OFFSET(Assumptions!$B$67,0,$C$1))))/OFFSET(Assumptions!$B$67,0,$C$1)-(I$335-I$334)/I$14,((I$335-I$334)/I$14-(H$335-H$334)/H$14)/I$2),0))*J$14 +J$334</f>
        <v>19.497542798764272</v>
      </c>
      <c r="K335" s="8">
        <f ca="1">((J$335-J$334)/J$14+ IF(K$2&gt;0,K$2*IF(K$6=OFFSET(Assumptions!$B$8,0,$C$1),(SUMPRODUCT(OFFSET(J$335,0,0,1,-OFFSET(Assumptions!$B$67,0,$C$1)),OFFSET(J$16,0,0,1,-OFFSET(Assumptions!$B$67,0,$C$1)))-SUMPRODUCT(OFFSET(J$334,0,0,1,-OFFSET(Assumptions!$B$67,0,$C$1)),OFFSET(J$16,0,0,1,-OFFSET(Assumptions!$B$67,0,$C$1))))/OFFSET(Assumptions!$B$67,0,$C$1)-(J$335-J$334)/J$14,((J$335-J$334)/J$14-(I$335-I$334)/I$14)/J$2),0))*K$14 +K$334</f>
        <v>20.787707731949457</v>
      </c>
      <c r="L335" s="8">
        <f ca="1">((K$335-K$334)/K$14+ IF(L$2&gt;0,L$2*IF(L$6=OFFSET(Assumptions!$B$8,0,$C$1),(SUMPRODUCT(OFFSET(K$335,0,0,1,-OFFSET(Assumptions!$B$67,0,$C$1)),OFFSET(K$16,0,0,1,-OFFSET(Assumptions!$B$67,0,$C$1)))-SUMPRODUCT(OFFSET(K$334,0,0,1,-OFFSET(Assumptions!$B$67,0,$C$1)),OFFSET(K$16,0,0,1,-OFFSET(Assumptions!$B$67,0,$C$1))))/OFFSET(Assumptions!$B$67,0,$C$1)-(K$335-K$334)/K$14,((K$335-K$334)/K$14-(J$335-J$334)/J$14)/K$2),0))*L$14 +L$334</f>
        <v>22.151910801244959</v>
      </c>
      <c r="M335" s="8">
        <f ca="1">((L$335-L$334)/L$14+ IF(M$2&gt;0,M$2*IF(M$6=OFFSET(Assumptions!$B$8,0,$C$1),(SUMPRODUCT(OFFSET(L$335,0,0,1,-OFFSET(Assumptions!$B$67,0,$C$1)),OFFSET(L$16,0,0,1,-OFFSET(Assumptions!$B$67,0,$C$1)))-SUMPRODUCT(OFFSET(L$334,0,0,1,-OFFSET(Assumptions!$B$67,0,$C$1)),OFFSET(L$16,0,0,1,-OFFSET(Assumptions!$B$67,0,$C$1))))/OFFSET(Assumptions!$B$67,0,$C$1)-(L$335-L$334)/L$14,((L$335-L$334)/L$14-(K$335-K$334)/K$14)/L$2),0))*M$14 +M$334</f>
        <v>23.565820171392872</v>
      </c>
      <c r="N335" s="8">
        <f ca="1">((M$335-M$334)/M$14+ IF(N$2&gt;0,N$2*IF(N$6=OFFSET(Assumptions!$B$8,0,$C$1),(SUMPRODUCT(OFFSET(M$335,0,0,1,-OFFSET(Assumptions!$B$67,0,$C$1)),OFFSET(M$16,0,0,1,-OFFSET(Assumptions!$B$67,0,$C$1)))-SUMPRODUCT(OFFSET(M$334,0,0,1,-OFFSET(Assumptions!$B$67,0,$C$1)),OFFSET(M$16,0,0,1,-OFFSET(Assumptions!$B$67,0,$C$1))))/OFFSET(Assumptions!$B$67,0,$C$1)-(M$335-M$334)/M$14,((M$335-M$334)/M$14-(L$335-L$334)/L$14)/M$2),0))*N$14 +N$334</f>
        <v>25.029450347364509</v>
      </c>
      <c r="O335" s="8">
        <f ca="1">((N$335-N$334)/N$14+ IF(O$2&gt;0,O$2*IF(O$6=OFFSET(Assumptions!$B$8,0,$C$1),(SUMPRODUCT(OFFSET(N$335,0,0,1,-OFFSET(Assumptions!$B$67,0,$C$1)),OFFSET(N$16,0,0,1,-OFFSET(Assumptions!$B$67,0,$C$1)))-SUMPRODUCT(OFFSET(N$334,0,0,1,-OFFSET(Assumptions!$B$67,0,$C$1)),OFFSET(N$16,0,0,1,-OFFSET(Assumptions!$B$67,0,$C$1))))/OFFSET(Assumptions!$B$67,0,$C$1)-(N$335-N$334)/N$14,((N$335-N$334)/N$14-(M$335-M$334)/M$14)/N$2),0))*O$14 +O$334</f>
        <v>26.523412617228711</v>
      </c>
      <c r="P335" s="8">
        <f ca="1">((O$335-O$334)/O$14+ IF(P$2&gt;0,P$2*IF(P$6=OFFSET(Assumptions!$B$8,0,$C$1),(SUMPRODUCT(OFFSET(O$335,0,0,1,-OFFSET(Assumptions!$B$67,0,$C$1)),OFFSET(O$16,0,0,1,-OFFSET(Assumptions!$B$67,0,$C$1)))-SUMPRODUCT(OFFSET(O$334,0,0,1,-OFFSET(Assumptions!$B$67,0,$C$1)),OFFSET(O$16,0,0,1,-OFFSET(Assumptions!$B$67,0,$C$1))))/OFFSET(Assumptions!$B$67,0,$C$1)-(O$335-O$334)/O$14,((O$335-O$334)/O$14-(N$335-N$334)/N$14)/O$2),0))*P$14 +P$334</f>
        <v>28.044425605274302</v>
      </c>
      <c r="Q335" s="8">
        <f ca="1">((P$335-P$334)/P$14+ IF(Q$2&gt;0,Q$2*IF(Q$6=OFFSET(Assumptions!$B$8,0,$C$1),(SUMPRODUCT(OFFSET(P$335,0,0,1,-OFFSET(Assumptions!$B$67,0,$C$1)),OFFSET(P$16,0,0,1,-OFFSET(Assumptions!$B$67,0,$C$1)))-SUMPRODUCT(OFFSET(P$334,0,0,1,-OFFSET(Assumptions!$B$67,0,$C$1)),OFFSET(P$16,0,0,1,-OFFSET(Assumptions!$B$67,0,$C$1))))/OFFSET(Assumptions!$B$67,0,$C$1)-(P$335-P$334)/P$14,((P$335-P$334)/P$14-(O$335-O$334)/O$14)/P$2),0))*Q$14 +Q$334</f>
        <v>29.590439775632497</v>
      </c>
      <c r="R335" s="8">
        <f ca="1">((Q$335-Q$334)/Q$14+ IF(R$2&gt;0,R$2*IF(R$6=OFFSET(Assumptions!$B$8,0,$C$1),(SUMPRODUCT(OFFSET(Q$335,0,0,1,-OFFSET(Assumptions!$B$67,0,$C$1)),OFFSET(Q$16,0,0,1,-OFFSET(Assumptions!$B$67,0,$C$1)))-SUMPRODUCT(OFFSET(Q$334,0,0,1,-OFFSET(Assumptions!$B$67,0,$C$1)),OFFSET(Q$16,0,0,1,-OFFSET(Assumptions!$B$67,0,$C$1))))/OFFSET(Assumptions!$B$67,0,$C$1)-(Q$335-Q$334)/Q$14,((Q$335-Q$334)/Q$14-(P$335-P$334)/P$14)/Q$2),0))*R$14 +R$334</f>
        <v>31.161634049170527</v>
      </c>
      <c r="S335" s="8">
        <f ca="1">((R$335-R$334)/R$14+ IF(S$2&gt;0,S$2*IF(S$6=OFFSET(Assumptions!$B$8,0,$C$1),(SUMPRODUCT(OFFSET(R$335,0,0,1,-OFFSET(Assumptions!$B$67,0,$C$1)),OFFSET(R$16,0,0,1,-OFFSET(Assumptions!$B$67,0,$C$1)))-SUMPRODUCT(OFFSET(R$334,0,0,1,-OFFSET(Assumptions!$B$67,0,$C$1)),OFFSET(R$16,0,0,1,-OFFSET(Assumptions!$B$67,0,$C$1))))/OFFSET(Assumptions!$B$67,0,$C$1)-(R$335-R$334)/R$14,((R$335-R$334)/R$14-(Q$335-Q$334)/Q$14)/R$2),0))*S$14 +S$334</f>
        <v>32.765626993889335</v>
      </c>
      <c r="T335" s="8">
        <f ca="1">((S$335-S$334)/S$14+ IF(T$2&gt;0,T$2*IF(T$6=OFFSET(Assumptions!$B$8,0,$C$1),(SUMPRODUCT(OFFSET(S$335,0,0,1,-OFFSET(Assumptions!$B$67,0,$C$1)),OFFSET(S$16,0,0,1,-OFFSET(Assumptions!$B$67,0,$C$1)))-SUMPRODUCT(OFFSET(S$334,0,0,1,-OFFSET(Assumptions!$B$67,0,$C$1)),OFFSET(S$16,0,0,1,-OFFSET(Assumptions!$B$67,0,$C$1))))/OFFSET(Assumptions!$B$67,0,$C$1)-(S$335-S$334)/S$14,((S$335-S$334)/S$14-(R$335-R$334)/R$14)/S$2),0))*T$14 +T$334</f>
        <v>34.404336860384916</v>
      </c>
      <c r="U335" s="8">
        <f ca="1">((T$335-T$334)/T$14+ IF(U$2&gt;0,U$2*IF(U$6=OFFSET(Assumptions!$B$8,0,$C$1),(SUMPRODUCT(OFFSET(T$335,0,0,1,-OFFSET(Assumptions!$B$67,0,$C$1)),OFFSET(T$16,0,0,1,-OFFSET(Assumptions!$B$67,0,$C$1)))-SUMPRODUCT(OFFSET(T$334,0,0,1,-OFFSET(Assumptions!$B$67,0,$C$1)),OFFSET(T$16,0,0,1,-OFFSET(Assumptions!$B$67,0,$C$1))))/OFFSET(Assumptions!$B$67,0,$C$1)-(T$335-T$334)/T$14,((T$335-T$334)/T$14-(S$335-S$334)/S$14)/T$2),0))*U$14 +U$334</f>
        <v>36.079483085747057</v>
      </c>
      <c r="V335" s="8">
        <f ca="1">((U$335-U$334)/U$14+ IF(V$2&gt;0,V$2*IF(V$6=OFFSET(Assumptions!$B$8,0,$C$1),(SUMPRODUCT(OFFSET(U$335,0,0,1,-OFFSET(Assumptions!$B$67,0,$C$1)),OFFSET(U$16,0,0,1,-OFFSET(Assumptions!$B$67,0,$C$1)))-SUMPRODUCT(OFFSET(U$334,0,0,1,-OFFSET(Assumptions!$B$67,0,$C$1)),OFFSET(U$16,0,0,1,-OFFSET(Assumptions!$B$67,0,$C$1))))/OFFSET(Assumptions!$B$67,0,$C$1)-(U$335-U$334)/U$14,((U$335-U$334)/U$14-(T$335-T$334)/T$14)/U$2),0))*V$14 +V$334</f>
        <v>37.791461116148632</v>
      </c>
      <c r="W335" s="8">
        <f ca="1">((V$335-V$334)/V$14+ IF(W$2&gt;0,W$2*IF(W$6=OFFSET(Assumptions!$B$8,0,$C$1),(SUMPRODUCT(OFFSET(V$335,0,0,1,-OFFSET(Assumptions!$B$67,0,$C$1)),OFFSET(V$16,0,0,1,-OFFSET(Assumptions!$B$67,0,$C$1)))-SUMPRODUCT(OFFSET(V$334,0,0,1,-OFFSET(Assumptions!$B$67,0,$C$1)),OFFSET(V$16,0,0,1,-OFFSET(Assumptions!$B$67,0,$C$1))))/OFFSET(Assumptions!$B$67,0,$C$1)-(V$335-V$334)/V$14,((V$335-V$334)/V$14-(U$335-U$334)/U$14)/V$2),0))*W$14 +W$334</f>
        <v>39.541287500381152</v>
      </c>
      <c r="X335" s="8">
        <f ca="1">((W$335-W$334)/W$14+ IF(X$2&gt;0,X$2*IF(X$6=OFFSET(Assumptions!$B$8,0,$C$1),(SUMPRODUCT(OFFSET(W$335,0,0,1,-OFFSET(Assumptions!$B$67,0,$C$1)),OFFSET(W$16,0,0,1,-OFFSET(Assumptions!$B$67,0,$C$1)))-SUMPRODUCT(OFFSET(W$334,0,0,1,-OFFSET(Assumptions!$B$67,0,$C$1)),OFFSET(W$16,0,0,1,-OFFSET(Assumptions!$B$67,0,$C$1))))/OFFSET(Assumptions!$B$67,0,$C$1)-(W$335-W$334)/W$14,((W$335-W$334)/W$14-(V$335-V$334)/V$14)/W$2),0))*X$14 +X$334</f>
        <v>41.33368858417041</v>
      </c>
      <c r="Y335" s="8">
        <f ca="1">((X$335-X$334)/X$14+ IF(Y$2&gt;0,Y$2*IF(Y$6=OFFSET(Assumptions!$B$8,0,$C$1),(SUMPRODUCT(OFFSET(X$335,0,0,1,-OFFSET(Assumptions!$B$67,0,$C$1)),OFFSET(X$16,0,0,1,-OFFSET(Assumptions!$B$67,0,$C$1)))-SUMPRODUCT(OFFSET(X$334,0,0,1,-OFFSET(Assumptions!$B$67,0,$C$1)),OFFSET(X$16,0,0,1,-OFFSET(Assumptions!$B$67,0,$C$1))))/OFFSET(Assumptions!$B$67,0,$C$1)-(X$335-X$334)/X$14,((X$335-X$334)/X$14-(W$335-W$334)/W$14)/X$2),0))*Y$14 +Y$334</f>
        <v>43.163918342545813</v>
      </c>
      <c r="Z335" s="8">
        <f ca="1">((Y$335-Y$334)/Y$14+ IF(Z$2&gt;0,Z$2*IF(Z$6=OFFSET(Assumptions!$B$8,0,$C$1),(SUMPRODUCT(OFFSET(Y$335,0,0,1,-OFFSET(Assumptions!$B$67,0,$C$1)),OFFSET(Y$16,0,0,1,-OFFSET(Assumptions!$B$67,0,$C$1)))-SUMPRODUCT(OFFSET(Y$334,0,0,1,-OFFSET(Assumptions!$B$67,0,$C$1)),OFFSET(Y$16,0,0,1,-OFFSET(Assumptions!$B$67,0,$C$1))))/OFFSET(Assumptions!$B$67,0,$C$1)-(Y$335-Y$334)/Y$14,((Y$335-Y$334)/Y$14-(X$335-X$334)/X$14)/Y$2),0))*Z$14 +Z$334</f>
        <v>45.042049961046231</v>
      </c>
      <c r="AA335" s="8">
        <f ca="1">((Z$335-Z$334)/Z$14+ IF(AA$2&gt;0,AA$2*IF(AA$6=OFFSET(Assumptions!$B$8,0,$C$1),(SUMPRODUCT(OFFSET(Z$335,0,0,1,-OFFSET(Assumptions!$B$67,0,$C$1)),OFFSET(Z$16,0,0,1,-OFFSET(Assumptions!$B$67,0,$C$1)))-SUMPRODUCT(OFFSET(Z$334,0,0,1,-OFFSET(Assumptions!$B$67,0,$C$1)),OFFSET(Z$16,0,0,1,-OFFSET(Assumptions!$B$67,0,$C$1))))/OFFSET(Assumptions!$B$67,0,$C$1)-(Z$335-Z$334)/Z$14,((Z$335-Z$334)/Z$14-(Y$335-Y$334)/Y$14)/Z$2),0))*AA$14 +AA$334</f>
        <v>46.979360947714582</v>
      </c>
      <c r="AB335" s="8">
        <f ca="1">((AA$335-AA$334)/AA$14+ IF(AB$2&gt;0,AB$2*IF(AB$6=OFFSET(Assumptions!$B$8,0,$C$1),(SUMPRODUCT(OFFSET(AA$335,0,0,1,-OFFSET(Assumptions!$B$67,0,$C$1)),OFFSET(AA$16,0,0,1,-OFFSET(Assumptions!$B$67,0,$C$1)))-SUMPRODUCT(OFFSET(AA$334,0,0,1,-OFFSET(Assumptions!$B$67,0,$C$1)),OFFSET(AA$16,0,0,1,-OFFSET(Assumptions!$B$67,0,$C$1))))/OFFSET(Assumptions!$B$67,0,$C$1)-(AA$335-AA$334)/AA$14,((AA$335-AA$334)/AA$14-(Z$335-Z$334)/Z$14)/AA$2),0))*AB$14 +AB$334</f>
        <v>48.991708766047779</v>
      </c>
      <c r="AC335" s="8">
        <f ca="1">((AB$335-AB$334)/AB$14+ IF(AC$2&gt;0,AC$2*IF(AC$6=OFFSET(Assumptions!$B$8,0,$C$1),(SUMPRODUCT(OFFSET(AB$335,0,0,1,-OFFSET(Assumptions!$B$67,0,$C$1)),OFFSET(AB$16,0,0,1,-OFFSET(Assumptions!$B$67,0,$C$1)))-SUMPRODUCT(OFFSET(AB$334,0,0,1,-OFFSET(Assumptions!$B$67,0,$C$1)),OFFSET(AB$16,0,0,1,-OFFSET(Assumptions!$B$67,0,$C$1))))/OFFSET(Assumptions!$B$67,0,$C$1)-(AB$335-AB$334)/AB$14,((AB$335-AB$334)/AB$14-(AA$335-AA$334)/AA$14)/AB$2),0))*AC$14 +AC$334</f>
        <v>51.098340429026216</v>
      </c>
      <c r="AD335" s="8">
        <f ca="1">((AC$335-AC$334)/AC$14+ IF(AD$2&gt;0,AD$2*IF(AD$6=OFFSET(Assumptions!$B$8,0,$C$1),(SUMPRODUCT(OFFSET(AC$335,0,0,1,-OFFSET(Assumptions!$B$67,0,$C$1)),OFFSET(AC$16,0,0,1,-OFFSET(Assumptions!$B$67,0,$C$1)))-SUMPRODUCT(OFFSET(AC$334,0,0,1,-OFFSET(Assumptions!$B$67,0,$C$1)),OFFSET(AC$16,0,0,1,-OFFSET(Assumptions!$B$67,0,$C$1))))/OFFSET(Assumptions!$B$67,0,$C$1)-(AC$335-AC$334)/AC$14,((AC$335-AC$334)/AC$14-(AB$335-AB$334)/AB$14)/AC$2),0))*AD$14 +AD$334</f>
        <v>53.317732655403198</v>
      </c>
      <c r="AE335" s="8">
        <f ca="1">((AD$335-AD$334)/AD$14+ IF(AE$2&gt;0,AE$2*IF(AE$6=OFFSET(Assumptions!$B$8,0,$C$1),(SUMPRODUCT(OFFSET(AD$335,0,0,1,-OFFSET(Assumptions!$B$67,0,$C$1)),OFFSET(AD$16,0,0,1,-OFFSET(Assumptions!$B$67,0,$C$1)))-SUMPRODUCT(OFFSET(AD$334,0,0,1,-OFFSET(Assumptions!$B$67,0,$C$1)),OFFSET(AD$16,0,0,1,-OFFSET(Assumptions!$B$67,0,$C$1))))/OFFSET(Assumptions!$B$67,0,$C$1)-(AD$335-AD$334)/AD$14,((AD$335-AD$334)/AD$14-(AC$335-AC$334)/AC$14)/AD$2),0))*AE$14 +AE$334</f>
        <v>55.657120117758012</v>
      </c>
      <c r="AF335" s="8">
        <f ca="1">((AE$335-AE$334)/AE$14+ IF(AF$2&gt;0,AF$2*IF(AF$6=OFFSET(Assumptions!$B$8,0,$C$1),(SUMPRODUCT(OFFSET(AE$335,0,0,1,-OFFSET(Assumptions!$B$67,0,$C$1)),OFFSET(AE$16,0,0,1,-OFFSET(Assumptions!$B$67,0,$C$1)))-SUMPRODUCT(OFFSET(AE$334,0,0,1,-OFFSET(Assumptions!$B$67,0,$C$1)),OFFSET(AE$16,0,0,1,-OFFSET(Assumptions!$B$67,0,$C$1))))/OFFSET(Assumptions!$B$67,0,$C$1)-(AE$335-AE$334)/AE$14,((AE$335-AE$334)/AE$14-(AD$335-AD$334)/AD$14)/AE$2),0))*AF$14 +AF$334</f>
        <v>58.13428090980058</v>
      </c>
      <c r="AG335" s="8">
        <f ca="1">((AF$335-AF$334)/AF$14+ IF(AG$2&gt;0,AG$2*IF(AG$6=OFFSET(Assumptions!$B$8,0,$C$1),(SUMPRODUCT(OFFSET(AF$335,0,0,1,-OFFSET(Assumptions!$B$67,0,$C$1)),OFFSET(AF$16,0,0,1,-OFFSET(Assumptions!$B$67,0,$C$1)))-SUMPRODUCT(OFFSET(AF$334,0,0,1,-OFFSET(Assumptions!$B$67,0,$C$1)),OFFSET(AF$16,0,0,1,-OFFSET(Assumptions!$B$67,0,$C$1))))/OFFSET(Assumptions!$B$67,0,$C$1)-(AF$335-AF$334)/AF$14,((AF$335-AF$334)/AF$14-(AE$335-AE$334)/AE$14)/AF$2),0))*AG$14 +AG$334</f>
        <v>60.753783855629685</v>
      </c>
      <c r="AH335" s="8">
        <f ca="1">((AG$335-AG$334)/AG$14+ IF(AH$2&gt;0,AH$2*IF(AH$6=OFFSET(Assumptions!$B$8,0,$C$1),(SUMPRODUCT(OFFSET(AG$335,0,0,1,-OFFSET(Assumptions!$B$67,0,$C$1)),OFFSET(AG$16,0,0,1,-OFFSET(Assumptions!$B$67,0,$C$1)))-SUMPRODUCT(OFFSET(AG$334,0,0,1,-OFFSET(Assumptions!$B$67,0,$C$1)),OFFSET(AG$16,0,0,1,-OFFSET(Assumptions!$B$67,0,$C$1))))/OFFSET(Assumptions!$B$67,0,$C$1)-(AG$335-AG$334)/AG$14,((AG$335-AG$334)/AG$14-(AF$335-AF$334)/AF$14)/AG$2),0))*AH$14 +AH$334</f>
        <v>63.527257928698404</v>
      </c>
      <c r="AI335" s="8">
        <f ca="1">((AH$335-AH$334)/AH$14+ IF(AI$2&gt;0,AI$2*IF(AI$6=OFFSET(Assumptions!$B$8,0,$C$1),(SUMPRODUCT(OFFSET(AH$335,0,0,1,-OFFSET(Assumptions!$B$67,0,$C$1)),OFFSET(AH$16,0,0,1,-OFFSET(Assumptions!$B$67,0,$C$1)))-SUMPRODUCT(OFFSET(AH$334,0,0,1,-OFFSET(Assumptions!$B$67,0,$C$1)),OFFSET(AH$16,0,0,1,-OFFSET(Assumptions!$B$67,0,$C$1))))/OFFSET(Assumptions!$B$67,0,$C$1)-(AH$335-AH$334)/AH$14,((AH$335-AH$334)/AH$14-(AG$335-AG$334)/AG$14)/AH$2),0))*AI$14 +AI$334</f>
        <v>66.459399719933813</v>
      </c>
      <c r="AJ335" s="8">
        <f ca="1">((AI$335-AI$334)/AI$14+ IF(AJ$2&gt;0,AJ$2*IF(AJ$6=OFFSET(Assumptions!$B$8,0,$C$1),(SUMPRODUCT(OFFSET(AI$335,0,0,1,-OFFSET(Assumptions!$B$67,0,$C$1)),OFFSET(AI$16,0,0,1,-OFFSET(Assumptions!$B$67,0,$C$1)))-SUMPRODUCT(OFFSET(AI$334,0,0,1,-OFFSET(Assumptions!$B$67,0,$C$1)),OFFSET(AI$16,0,0,1,-OFFSET(Assumptions!$B$67,0,$C$1))))/OFFSET(Assumptions!$B$67,0,$C$1)-(AI$335-AI$334)/AI$14,((AI$335-AI$334)/AI$14-(AH$335-AH$334)/AH$14)/AI$2),0))*AJ$14 +AJ$334</f>
        <v>69.562397844178093</v>
      </c>
      <c r="AK335" s="8">
        <f ca="1">((AJ$335-AJ$334)/AJ$14+ IF(AK$2&gt;0,AK$2*IF(AK$6=OFFSET(Assumptions!$B$8,0,$C$1),(SUMPRODUCT(OFFSET(AJ$335,0,0,1,-OFFSET(Assumptions!$B$67,0,$C$1)),OFFSET(AJ$16,0,0,1,-OFFSET(Assumptions!$B$67,0,$C$1)))-SUMPRODUCT(OFFSET(AJ$334,0,0,1,-OFFSET(Assumptions!$B$67,0,$C$1)),OFFSET(AJ$16,0,0,1,-OFFSET(Assumptions!$B$67,0,$C$1))))/OFFSET(Assumptions!$B$67,0,$C$1)-(AJ$335-AJ$334)/AJ$14,((AJ$335-AJ$334)/AJ$14-(AI$335-AI$334)/AI$14)/AJ$2),0))*AK$14 +AK$334</f>
        <v>72.837337597065456</v>
      </c>
      <c r="AL335" s="8">
        <f ca="1">((AK$335-AK$334)/AK$14+ IF(AL$2&gt;0,AL$2*IF(AL$6=OFFSET(Assumptions!$B$8,0,$C$1),(SUMPRODUCT(OFFSET(AK$335,0,0,1,-OFFSET(Assumptions!$B$67,0,$C$1)),OFFSET(AK$16,0,0,1,-OFFSET(Assumptions!$B$67,0,$C$1)))-SUMPRODUCT(OFFSET(AK$334,0,0,1,-OFFSET(Assumptions!$B$67,0,$C$1)),OFFSET(AK$16,0,0,1,-OFFSET(Assumptions!$B$67,0,$C$1))))/OFFSET(Assumptions!$B$67,0,$C$1)-(AK$335-AK$334)/AK$14,((AK$335-AK$334)/AK$14-(AJ$335-AJ$334)/AJ$14)/AK$2),0))*AL$14 +AL$334</f>
        <v>76.290854241417435</v>
      </c>
      <c r="AM335" s="8">
        <f ca="1">((AL$335-AL$334)/AL$14+ IF(AM$2&gt;0,AM$2*IF(AM$6=OFFSET(Assumptions!$B$8,0,$C$1),(SUMPRODUCT(OFFSET(AL$335,0,0,1,-OFFSET(Assumptions!$B$67,0,$C$1)),OFFSET(AL$16,0,0,1,-OFFSET(Assumptions!$B$67,0,$C$1)))-SUMPRODUCT(OFFSET(AL$334,0,0,1,-OFFSET(Assumptions!$B$67,0,$C$1)),OFFSET(AL$16,0,0,1,-OFFSET(Assumptions!$B$67,0,$C$1))))/OFFSET(Assumptions!$B$67,0,$C$1)-(AL$335-AL$334)/AL$14,((AL$335-AL$334)/AL$14-(AK$335-AK$334)/AK$14)/AL$2),0))*AM$14 +AM$334</f>
        <v>79.931817611737941</v>
      </c>
      <c r="AN335" s="8">
        <f ca="1">((AM$335-AM$334)/AM$14+ IF(AN$2&gt;0,AN$2*IF(AN$6=OFFSET(Assumptions!$B$8,0,$C$1),(SUMPRODUCT(OFFSET(AM$335,0,0,1,-OFFSET(Assumptions!$B$67,0,$C$1)),OFFSET(AM$16,0,0,1,-OFFSET(Assumptions!$B$67,0,$C$1)))-SUMPRODUCT(OFFSET(AM$334,0,0,1,-OFFSET(Assumptions!$B$67,0,$C$1)),OFFSET(AM$16,0,0,1,-OFFSET(Assumptions!$B$67,0,$C$1))))/OFFSET(Assumptions!$B$67,0,$C$1)-(AM$335-AM$334)/AM$14,((AM$335-AM$334)/AM$14-(AL$335-AL$334)/AL$14)/AM$2),0))*AN$14 +AN$334</f>
        <v>83.76462307090263</v>
      </c>
      <c r="AO335" s="8">
        <f ca="1">((AN$335-AN$334)/AN$14+ IF(AO$2&gt;0,AO$2*IF(AO$6=OFFSET(Assumptions!$B$8,0,$C$1),(SUMPRODUCT(OFFSET(AN$335,0,0,1,-OFFSET(Assumptions!$B$67,0,$C$1)),OFFSET(AN$16,0,0,1,-OFFSET(Assumptions!$B$67,0,$C$1)))-SUMPRODUCT(OFFSET(AN$334,0,0,1,-OFFSET(Assumptions!$B$67,0,$C$1)),OFFSET(AN$16,0,0,1,-OFFSET(Assumptions!$B$67,0,$C$1))))/OFFSET(Assumptions!$B$67,0,$C$1)-(AN$335-AN$334)/AN$14,((AN$335-AN$334)/AN$14-(AM$335-AM$334)/AM$14)/AN$2),0))*AO$14 +AO$334</f>
        <v>87.780106850189782</v>
      </c>
      <c r="AP335" s="8">
        <f ca="1">((AO$335-AO$334)/AO$14+ IF(AP$2&gt;0,AP$2*IF(AP$6=OFFSET(Assumptions!$B$8,0,$C$1),(SUMPRODUCT(OFFSET(AO$335,0,0,1,-OFFSET(Assumptions!$B$67,0,$C$1)),OFFSET(AO$16,0,0,1,-OFFSET(Assumptions!$B$67,0,$C$1)))-SUMPRODUCT(OFFSET(AO$334,0,0,1,-OFFSET(Assumptions!$B$67,0,$C$1)),OFFSET(AO$16,0,0,1,-OFFSET(Assumptions!$B$67,0,$C$1))))/OFFSET(Assumptions!$B$67,0,$C$1)-(AO$335-AO$334)/AO$14,((AO$335-AO$334)/AO$14-(AN$335-AN$334)/AN$14)/AO$2),0))*AP$14 +AP$334</f>
        <v>91.974999149594524</v>
      </c>
      <c r="AQ335" s="8">
        <f ca="1">((AP$335-AP$334)/AP$14+ IF(AQ$2&gt;0,AQ$2*IF(AQ$6=OFFSET(Assumptions!$B$8,0,$C$1),(SUMPRODUCT(OFFSET(AP$335,0,0,1,-OFFSET(Assumptions!$B$67,0,$C$1)),OFFSET(AP$16,0,0,1,-OFFSET(Assumptions!$B$67,0,$C$1)))-SUMPRODUCT(OFFSET(AP$334,0,0,1,-OFFSET(Assumptions!$B$67,0,$C$1)),OFFSET(AP$16,0,0,1,-OFFSET(Assumptions!$B$67,0,$C$1))))/OFFSET(Assumptions!$B$67,0,$C$1)-(AP$335-AP$334)/AP$14,((AP$335-AP$334)/AP$14-(AO$335-AO$334)/AO$14)/AP$2),0))*AQ$14 +AQ$334</f>
        <v>96.333641256557868</v>
      </c>
      <c r="AR335" s="8">
        <f ca="1">((AQ$335-AQ$334)/AQ$14+ IF(AR$2&gt;0,AR$2*IF(AR$6=OFFSET(Assumptions!$B$8,0,$C$1),(SUMPRODUCT(OFFSET(AQ$335,0,0,1,-OFFSET(Assumptions!$B$67,0,$C$1)),OFFSET(AQ$16,0,0,1,-OFFSET(Assumptions!$B$67,0,$C$1)))-SUMPRODUCT(OFFSET(AQ$334,0,0,1,-OFFSET(Assumptions!$B$67,0,$C$1)),OFFSET(AQ$16,0,0,1,-OFFSET(Assumptions!$B$67,0,$C$1))))/OFFSET(Assumptions!$B$67,0,$C$1)-(AQ$335-AQ$334)/AQ$14,((AQ$335-AQ$334)/AQ$14-(AP$335-AP$334)/AP$14)/AQ$2),0))*AR$14 +AR$334</f>
        <v>100.8392944437352</v>
      </c>
      <c r="AS335" s="8">
        <f ca="1">((AR$335-AR$334)/AR$14+ IF(AS$2&gt;0,AS$2*IF(AS$6=OFFSET(Assumptions!$B$8,0,$C$1),(SUMPRODUCT(OFFSET(AR$335,0,0,1,-OFFSET(Assumptions!$B$67,0,$C$1)),OFFSET(AR$16,0,0,1,-OFFSET(Assumptions!$B$67,0,$C$1)))-SUMPRODUCT(OFFSET(AR$334,0,0,1,-OFFSET(Assumptions!$B$67,0,$C$1)),OFFSET(AR$16,0,0,1,-OFFSET(Assumptions!$B$67,0,$C$1))))/OFFSET(Assumptions!$B$67,0,$C$1)-(AR$335-AR$334)/AR$14,((AR$335-AR$334)/AR$14-(AQ$335-AQ$334)/AQ$14)/AR$2),0))*AS$14 +AS$334</f>
        <v>105.47830991216432</v>
      </c>
      <c r="AT335" s="8">
        <f ca="1">((AS$335-AS$334)/AS$14+ IF(AT$2&gt;0,AT$2*IF(AT$6=OFFSET(Assumptions!$B$8,0,$C$1),(SUMPRODUCT(OFFSET(AS$335,0,0,1,-OFFSET(Assumptions!$B$67,0,$C$1)),OFFSET(AS$16,0,0,1,-OFFSET(Assumptions!$B$67,0,$C$1)))-SUMPRODUCT(OFFSET(AS$334,0,0,1,-OFFSET(Assumptions!$B$67,0,$C$1)),OFFSET(AS$16,0,0,1,-OFFSET(Assumptions!$B$67,0,$C$1))))/OFFSET(Assumptions!$B$67,0,$C$1)-(AS$335-AS$334)/AS$14,((AS$335-AS$334)/AS$14-(AR$335-AR$334)/AR$14)/AS$2),0))*AT$14 +AT$334</f>
        <v>110.25781756119329</v>
      </c>
      <c r="AU335" s="8">
        <f ca="1">((AT$335-AT$334)/AT$14+ IF(AU$2&gt;0,AU$2*IF(AU$6=OFFSET(Assumptions!$B$8,0,$C$1),(SUMPRODUCT(OFFSET(AT$335,0,0,1,-OFFSET(Assumptions!$B$67,0,$C$1)),OFFSET(AT$16,0,0,1,-OFFSET(Assumptions!$B$67,0,$C$1)))-SUMPRODUCT(OFFSET(AT$334,0,0,1,-OFFSET(Assumptions!$B$67,0,$C$1)),OFFSET(AT$16,0,0,1,-OFFSET(Assumptions!$B$67,0,$C$1))))/OFFSET(Assumptions!$B$67,0,$C$1)-(AT$335-AT$334)/AT$14,((AT$335-AT$334)/AT$14-(AS$335-AS$334)/AS$14)/AT$2),0))*AU$14 +AU$334</f>
        <v>115.17811328607624</v>
      </c>
      <c r="AV335" s="8">
        <f ca="1">((AU$335-AU$334)/AU$14+ IF(AV$2&gt;0,AV$2*IF(AV$6=OFFSET(Assumptions!$B$8,0,$C$1),(SUMPRODUCT(OFFSET(AU$335,0,0,1,-OFFSET(Assumptions!$B$67,0,$C$1)),OFFSET(AU$16,0,0,1,-OFFSET(Assumptions!$B$67,0,$C$1)))-SUMPRODUCT(OFFSET(AU$334,0,0,1,-OFFSET(Assumptions!$B$67,0,$C$1)),OFFSET(AU$16,0,0,1,-OFFSET(Assumptions!$B$67,0,$C$1))))/OFFSET(Assumptions!$B$67,0,$C$1)-(AU$335-AU$334)/AU$14,((AU$335-AU$334)/AU$14-(AT$335-AT$334)/AT$14)/AU$2),0))*AV$14 +AV$334</f>
        <v>120.24971876995389</v>
      </c>
      <c r="AW335" s="8">
        <f ca="1">((AV$335-AV$334)/AV$14+ IF(AW$2&gt;0,AW$2*IF(AW$6=OFFSET(Assumptions!$B$8,0,$C$1),(SUMPRODUCT(OFFSET(AV$335,0,0,1,-OFFSET(Assumptions!$B$67,0,$C$1)),OFFSET(AV$16,0,0,1,-OFFSET(Assumptions!$B$67,0,$C$1)))-SUMPRODUCT(OFFSET(AV$334,0,0,1,-OFFSET(Assumptions!$B$67,0,$C$1)),OFFSET(AV$16,0,0,1,-OFFSET(Assumptions!$B$67,0,$C$1))))/OFFSET(Assumptions!$B$67,0,$C$1)-(AV$335-AV$334)/AV$14,((AV$335-AV$334)/AV$14-(AU$335-AU$334)/AU$14)/AV$2),0))*AW$14 +AW$334</f>
        <v>125.46609644985436</v>
      </c>
    </row>
    <row r="336" spans="1:49" ht="15" x14ac:dyDescent="0.25">
      <c r="A336" s="2"/>
      <c r="B336" s="4"/>
      <c r="D336" s="47"/>
      <c r="E336" s="44"/>
      <c r="F336" s="44"/>
      <c r="G336" s="44"/>
      <c r="H336" s="44"/>
      <c r="I336" s="44"/>
      <c r="J336" s="8"/>
      <c r="K336" s="8"/>
      <c r="L336" s="8"/>
      <c r="M336" s="8"/>
      <c r="N336" s="8"/>
      <c r="O336" s="8"/>
      <c r="P336" s="8"/>
      <c r="Q336" s="8"/>
      <c r="R336" s="8"/>
      <c r="S336" s="8"/>
    </row>
    <row r="337" spans="1:49" ht="15" x14ac:dyDescent="0.25">
      <c r="A337" s="22" t="s">
        <v>233</v>
      </c>
      <c r="B337" s="4"/>
      <c r="D337" s="47"/>
      <c r="E337" s="44"/>
      <c r="F337" s="44"/>
      <c r="G337" s="44"/>
      <c r="H337" s="44"/>
      <c r="I337" s="44"/>
      <c r="J337" s="8"/>
      <c r="K337" s="8"/>
      <c r="L337" s="8"/>
      <c r="M337" s="8"/>
      <c r="N337" s="8"/>
      <c r="O337" s="8"/>
      <c r="P337" s="8"/>
      <c r="Q337" s="8"/>
      <c r="R337" s="8"/>
      <c r="S337" s="8"/>
    </row>
    <row r="338" spans="1:49" x14ac:dyDescent="0.2">
      <c r="A338" s="1" t="s">
        <v>598</v>
      </c>
      <c r="B338" s="4"/>
      <c r="D338" s="18">
        <f t="shared" ref="D338:I338" si="209">D$372-D$81</f>
        <v>1.5050000000000026</v>
      </c>
      <c r="E338" s="19">
        <f t="shared" si="209"/>
        <v>1.6149999999999984</v>
      </c>
      <c r="F338" s="19">
        <f t="shared" si="209"/>
        <v>1.9220000000000006</v>
      </c>
      <c r="G338" s="19">
        <f t="shared" si="209"/>
        <v>1.9679999999999964</v>
      </c>
      <c r="H338" s="19">
        <f t="shared" si="209"/>
        <v>2.0220000000000056</v>
      </c>
      <c r="I338" s="19">
        <f t="shared" si="209"/>
        <v>2.0730000000000004</v>
      </c>
      <c r="J338" s="7">
        <f ca="1">IF(J$6=OFFSET(Assumptions!$B$8,0,$C$1),AVERAGE(G$338/G$372,H$338/H$372,I$338/I$372),I$338/I$372)*J$372</f>
        <v>2.4484547598416131</v>
      </c>
      <c r="K338" s="7">
        <f ca="1">IF(K$6=OFFSET(Assumptions!$B$8,0,$C$1),AVERAGE(H$338/H$372,I$338/I$372,J$338/J$372),J$338/J$372)*K$372</f>
        <v>2.7511891917329865</v>
      </c>
      <c r="L338" s="7">
        <f ca="1">IF(L$6=OFFSET(Assumptions!$B$8,0,$C$1),AVERAGE(I$338/I$372,J$338/J$372,K$338/K$372),K$338/K$372)*L$372</f>
        <v>3.0659443583361341</v>
      </c>
      <c r="M338" s="7">
        <f ca="1">IF(M$6=OFFSET(Assumptions!$B$8,0,$C$1),AVERAGE(J$338/J$372,K$338/K$372,L$338/L$372),L$338/L$372)*M$372</f>
        <v>3.3915174014867535</v>
      </c>
      <c r="N338" s="7">
        <f ca="1">IF(N$6=OFFSET(Assumptions!$B$8,0,$C$1),AVERAGE(K$338/K$372,L$338/L$372,M$338/M$372),M$338/M$372)*N$372</f>
        <v>3.7271774269808087</v>
      </c>
      <c r="O338" s="7">
        <f ca="1">IF(O$6=OFFSET(Assumptions!$B$8,0,$C$1),AVERAGE(L$338/L$372,M$338/M$372,N$338/N$372),N$338/N$372)*O$372</f>
        <v>4.0667909752494342</v>
      </c>
      <c r="P338" s="7">
        <f ca="1">IF(P$6=OFFSET(Assumptions!$B$8,0,$C$1),AVERAGE(M$338/M$372,N$338/N$372,O$338/O$372),O$338/O$372)*P$372</f>
        <v>4.4081824034719439</v>
      </c>
      <c r="Q338" s="7">
        <f ca="1">IF(Q$6=OFFSET(Assumptions!$B$8,0,$C$1),AVERAGE(N$338/N$372,O$338/O$372,P$338/P$372),P$338/P$372)*Q$372</f>
        <v>4.7508104825673509</v>
      </c>
      <c r="R338" s="7">
        <f ca="1">IF(R$6=OFFSET(Assumptions!$B$8,0,$C$1),AVERAGE(O$338/O$372,P$338/P$372,Q$338/Q$372),Q$338/Q$372)*R$372</f>
        <v>5.0949835661106482</v>
      </c>
      <c r="S338" s="7">
        <f ca="1">IF(S$6=OFFSET(Assumptions!$B$8,0,$C$1),AVERAGE(P$338/P$372,Q$338/Q$372,R$338/R$372),R$338/R$372)*S$372</f>
        <v>5.4429091057262236</v>
      </c>
      <c r="T338" s="7">
        <f ca="1">IF(T$6=OFFSET(Assumptions!$B$8,0,$C$1),AVERAGE(Q$338/Q$372,R$338/R$372,S$338/S$372),S$338/S$372)*T$372</f>
        <v>5.7952795755016551</v>
      </c>
      <c r="U338" s="7">
        <f ca="1">IF(U$6=OFFSET(Assumptions!$B$8,0,$C$1),AVERAGE(R$338/R$372,S$338/S$372,T$338/T$372),T$338/T$372)*U$372</f>
        <v>6.151594169114512</v>
      </c>
      <c r="V338" s="7">
        <f ca="1">IF(V$6=OFFSET(Assumptions!$B$8,0,$C$1),AVERAGE(S$338/S$372,T$338/T$372,U$338/U$372),U$338/U$372)*V$372</f>
        <v>6.5111460883022643</v>
      </c>
      <c r="W338" s="7">
        <f ca="1">IF(W$6=OFFSET(Assumptions!$B$8,0,$C$1),AVERAGE(T$338/T$372,U$338/U$372,V$338/V$372),V$338/V$372)*W$372</f>
        <v>6.8733042217919502</v>
      </c>
      <c r="X338" s="7">
        <f ca="1">IF(X$6=OFFSET(Assumptions!$B$8,0,$C$1),AVERAGE(U$338/U$372,V$338/V$372,W$338/W$372),W$338/W$372)*X$372</f>
        <v>7.2388694775703817</v>
      </c>
      <c r="Y338" s="7">
        <f ca="1">IF(Y$6=OFFSET(Assumptions!$B$8,0,$C$1),AVERAGE(V$338/V$372,W$338/W$372,X$338/X$372),X$338/X$372)*Y$372</f>
        <v>7.6058689525982688</v>
      </c>
      <c r="Z338" s="7">
        <f ca="1">IF(Z$6=OFFSET(Assumptions!$B$8,0,$C$1),AVERAGE(W$338/W$372,X$338/X$372,Y$338/Y$372),Y$338/Y$372)*Z$372</f>
        <v>7.9765035364651871</v>
      </c>
      <c r="AA338" s="7">
        <f ca="1">IF(AA$6=OFFSET(Assumptions!$B$8,0,$C$1),AVERAGE(X$338/X$372,Y$338/Y$372,Z$338/Z$372),Z$338/Z$372)*AA$372</f>
        <v>8.3548677635025967</v>
      </c>
      <c r="AB338" s="7">
        <f ca="1">IF(AB$6=OFFSET(Assumptions!$B$8,0,$C$1),AVERAGE(Y$338/Y$372,Z$338/Z$372,AA$338/AA$372),AA$338/AA$372)*AB$372</f>
        <v>8.7463566646379061</v>
      </c>
      <c r="AC338" s="7">
        <f ca="1">IF(AC$6=OFFSET(Assumptions!$B$8,0,$C$1),AVERAGE(Z$338/Z$372,AA$338/AA$372,AB$338/AB$372),AB$338/AB$372)*AC$372</f>
        <v>9.157390142172158</v>
      </c>
      <c r="AD338" s="7">
        <f ca="1">IF(AD$6=OFFSET(Assumptions!$B$8,0,$C$1),AVERAGE(AA$338/AA$372,AB$338/AB$372,AC$338/AC$372),AC$338/AC$372)*AD$372</f>
        <v>9.5952973468629512</v>
      </c>
      <c r="AE338" s="7">
        <f ca="1">IF(AE$6=OFFSET(Assumptions!$B$8,0,$C$1),AVERAGE(AB$338/AB$372,AC$338/AC$372,AD$338/AD$372),AD$338/AD$372)*AE$372</f>
        <v>10.063609674441871</v>
      </c>
      <c r="AF338" s="7">
        <f ca="1">IF(AF$6=OFFSET(Assumptions!$B$8,0,$C$1),AVERAGE(AC$338/AC$372,AD$338/AD$372,AE$338/AE$372),AE$338/AE$372)*AF$372</f>
        <v>10.568418734504057</v>
      </c>
      <c r="AG338" s="7">
        <f ca="1">IF(AG$6=OFFSET(Assumptions!$B$8,0,$C$1),AVERAGE(AD$338/AD$372,AE$338/AE$372,AF$338/AF$372),AF$338/AF$372)*AG$372</f>
        <v>11.111357319003599</v>
      </c>
      <c r="AH338" s="7">
        <f ca="1">IF(AH$6=OFFSET(Assumptions!$B$8,0,$C$1),AVERAGE(AE$338/AE$372,AF$338/AF$372,AG$338/AG$372),AG$338/AG$372)*AH$372</f>
        <v>11.696447199506427</v>
      </c>
      <c r="AI338" s="7">
        <f ca="1">IF(AI$6=OFFSET(Assumptions!$B$8,0,$C$1),AVERAGE(AF$338/AF$372,AG$338/AG$372,AH$338/AH$372),AH$338/AH$372)*AI$372</f>
        <v>12.326714068295054</v>
      </c>
      <c r="AJ338" s="7">
        <f ca="1">IF(AJ$6=OFFSET(Assumptions!$B$8,0,$C$1),AVERAGE(AG$338/AG$372,AH$338/AH$372,AI$338/AI$372),AI$338/AI$372)*AJ$372</f>
        <v>13.005362835619358</v>
      </c>
      <c r="AK338" s="7">
        <f ca="1">IF(AK$6=OFFSET(Assumptions!$B$8,0,$C$1),AVERAGE(AH$338/AH$372,AI$338/AI$372,AJ$338/AJ$372),AJ$338/AJ$372)*AK$372</f>
        <v>13.733378427051376</v>
      </c>
      <c r="AL338" s="7">
        <f ca="1">IF(AL$6=OFFSET(Assumptions!$B$8,0,$C$1),AVERAGE(AI$338/AI$372,AJ$338/AJ$372,AK$338/AK$372),AK$338/AK$372)*AL$372</f>
        <v>14.51409637331872</v>
      </c>
      <c r="AM338" s="7">
        <f ca="1">IF(AM$6=OFFSET(Assumptions!$B$8,0,$C$1),AVERAGE(AJ$338/AJ$372,AK$338/AK$372,AL$338/AL$372),AL$338/AL$372)*AM$372</f>
        <v>15.350344462871044</v>
      </c>
      <c r="AN338" s="7">
        <f ca="1">IF(AN$6=OFFSET(Assumptions!$B$8,0,$C$1),AVERAGE(AK$338/AK$372,AL$338/AL$372,AM$338/AM$372),AM$338/AM$372)*AN$372</f>
        <v>16.243002042036764</v>
      </c>
      <c r="AO338" s="7">
        <f ca="1">IF(AO$6=OFFSET(Assumptions!$B$8,0,$C$1),AVERAGE(AL$338/AL$372,AM$338/AM$372,AN$338/AN$372),AN$338/AN$372)*AO$372</f>
        <v>17.191060932948151</v>
      </c>
      <c r="AP338" s="7">
        <f ca="1">IF(AP$6=OFFSET(Assumptions!$B$8,0,$C$1),AVERAGE(AM$338/AM$372,AN$338/AN$372,AO$338/AO$372),AO$338/AO$372)*AP$372</f>
        <v>18.189926678228399</v>
      </c>
      <c r="AQ338" s="7">
        <f ca="1">IF(AQ$6=OFFSET(Assumptions!$B$8,0,$C$1),AVERAGE(AN$338/AN$372,AO$338/AO$372,AP$338/AP$372),AP$338/AP$372)*AQ$372</f>
        <v>19.235144113712661</v>
      </c>
      <c r="AR338" s="7">
        <f ca="1">IF(AR$6=OFFSET(Assumptions!$B$8,0,$C$1),AVERAGE(AO$338/AO$372,AP$338/AP$372,AQ$338/AQ$372),AQ$338/AQ$372)*AR$372</f>
        <v>20.318702727854223</v>
      </c>
      <c r="AS338" s="7">
        <f ca="1">IF(AS$6=OFFSET(Assumptions!$B$8,0,$C$1),AVERAGE(AP$338/AP$372,AQ$338/AQ$372,AR$338/AR$372),AR$338/AR$372)*AS$372</f>
        <v>21.432881618721098</v>
      </c>
      <c r="AT338" s="7">
        <f ca="1">IF(AT$6=OFFSET(Assumptions!$B$8,0,$C$1),AVERAGE(AQ$338/AQ$372,AR$338/AR$372,AS$338/AS$372),AS$338/AS$372)*AT$372</f>
        <v>22.580023472644189</v>
      </c>
      <c r="AU338" s="7">
        <f ca="1">IF(AU$6=OFFSET(Assumptions!$B$8,0,$C$1),AVERAGE(AR$338/AR$372,AS$338/AS$372,AT$338/AT$372),AT$338/AT$372)*AU$372</f>
        <v>23.759083175013057</v>
      </c>
      <c r="AV338" s="7">
        <f ca="1">IF(AV$6=OFFSET(Assumptions!$B$8,0,$C$1),AVERAGE(AS$338/AS$372,AT$338/AT$372,AU$338/AU$372),AU$338/AU$372)*AV$372</f>
        <v>24.971716181332475</v>
      </c>
      <c r="AW338" s="7">
        <f ca="1">IF(AW$6=OFFSET(Assumptions!$B$8,0,$C$1),AVERAGE(AT$338/AT$372,AU$338/AU$372,AV$338/AV$372),AV$338/AV$372)*AW$372</f>
        <v>26.2156792316643</v>
      </c>
    </row>
    <row r="339" spans="1:49" x14ac:dyDescent="0.2">
      <c r="A339" s="1" t="s">
        <v>387</v>
      </c>
      <c r="B339" s="4" t="str">
        <f t="shared" ref="B339:B342" si="210">$B$43</f>
        <v>From Fiscal</v>
      </c>
      <c r="D339" s="18">
        <f>Fiscal!D$298</f>
        <v>8.9570000000000007</v>
      </c>
      <c r="E339" s="19">
        <f>Fiscal!E$298</f>
        <v>9.0399999999999991</v>
      </c>
      <c r="F339" s="19">
        <f>Fiscal!F$298</f>
        <v>9.2629999999999999</v>
      </c>
      <c r="G339" s="19">
        <f>Fiscal!G$298</f>
        <v>9.6880000000000006</v>
      </c>
      <c r="H339" s="19">
        <f>Fiscal!H$298</f>
        <v>10.222</v>
      </c>
      <c r="I339" s="19">
        <f>Fiscal!I$298</f>
        <v>10.727</v>
      </c>
      <c r="J339" s="7">
        <f t="shared" ref="J339:AW339" ca="1" si="211">I$339+J$139-(J$472-J$364)+J$447-I$447-J$269</f>
        <v>11.204104969304067</v>
      </c>
      <c r="K339" s="7">
        <f t="shared" ca="1" si="211"/>
        <v>11.74413706535341</v>
      </c>
      <c r="L339" s="7">
        <f t="shared" ca="1" si="211"/>
        <v>12.301614871415971</v>
      </c>
      <c r="M339" s="7">
        <f t="shared" ca="1" si="211"/>
        <v>12.872148561310935</v>
      </c>
      <c r="N339" s="7">
        <f t="shared" ca="1" si="211"/>
        <v>13.466787288527557</v>
      </c>
      <c r="O339" s="7">
        <f t="shared" ca="1" si="211"/>
        <v>14.084471373361678</v>
      </c>
      <c r="P339" s="7">
        <f t="shared" ca="1" si="211"/>
        <v>14.73871056915303</v>
      </c>
      <c r="Q339" s="7">
        <f t="shared" ca="1" si="211"/>
        <v>15.410402268597037</v>
      </c>
      <c r="R339" s="7">
        <f t="shared" ca="1" si="211"/>
        <v>16.099740633550624</v>
      </c>
      <c r="S339" s="7">
        <f t="shared" ca="1" si="211"/>
        <v>16.814249234313635</v>
      </c>
      <c r="T339" s="7">
        <f t="shared" ca="1" si="211"/>
        <v>17.554512749005134</v>
      </c>
      <c r="U339" s="7">
        <f t="shared" ca="1" si="211"/>
        <v>18.322284379813688</v>
      </c>
      <c r="V339" s="7">
        <f t="shared" ca="1" si="211"/>
        <v>19.118999720310793</v>
      </c>
      <c r="W339" s="7">
        <f t="shared" ca="1" si="211"/>
        <v>19.946330691933522</v>
      </c>
      <c r="X339" s="7">
        <f t="shared" ca="1" si="211"/>
        <v>20.80614563962293</v>
      </c>
      <c r="Y339" s="7">
        <f t="shared" ca="1" si="211"/>
        <v>21.699062027703299</v>
      </c>
      <c r="Z339" s="7">
        <f t="shared" ca="1" si="211"/>
        <v>22.627911111765322</v>
      </c>
      <c r="AA339" s="7">
        <f t="shared" ca="1" si="211"/>
        <v>23.59416719520998</v>
      </c>
      <c r="AB339" s="7">
        <f t="shared" ca="1" si="211"/>
        <v>24.600009288687016</v>
      </c>
      <c r="AC339" s="7">
        <f t="shared" ca="1" si="211"/>
        <v>25.648109494841741</v>
      </c>
      <c r="AD339" s="7">
        <f t="shared" ca="1" si="211"/>
        <v>26.739922145952491</v>
      </c>
      <c r="AE339" s="7">
        <f t="shared" ca="1" si="211"/>
        <v>27.875905968156889</v>
      </c>
      <c r="AF339" s="7">
        <f t="shared" ca="1" si="211"/>
        <v>29.058504492874263</v>
      </c>
      <c r="AG339" s="7">
        <f t="shared" ca="1" si="211"/>
        <v>30.289026127870983</v>
      </c>
      <c r="AH339" s="7">
        <f t="shared" ca="1" si="211"/>
        <v>31.569428532353445</v>
      </c>
      <c r="AI339" s="7">
        <f t="shared" ca="1" si="211"/>
        <v>32.899670856255035</v>
      </c>
      <c r="AJ339" s="7">
        <f t="shared" ca="1" si="211"/>
        <v>34.282810970889592</v>
      </c>
      <c r="AK339" s="7">
        <f t="shared" ca="1" si="211"/>
        <v>35.719383687301679</v>
      </c>
      <c r="AL339" s="7">
        <f t="shared" ca="1" si="211"/>
        <v>37.209904065987466</v>
      </c>
      <c r="AM339" s="7">
        <f t="shared" ca="1" si="211"/>
        <v>38.75639040236225</v>
      </c>
      <c r="AN339" s="7">
        <f t="shared" ca="1" si="211"/>
        <v>40.360955915008475</v>
      </c>
      <c r="AO339" s="7">
        <f t="shared" ca="1" si="211"/>
        <v>42.021705338205081</v>
      </c>
      <c r="AP339" s="7">
        <f t="shared" ca="1" si="211"/>
        <v>43.742997310845908</v>
      </c>
      <c r="AQ339" s="7">
        <f t="shared" ca="1" si="211"/>
        <v>45.523676948994954</v>
      </c>
      <c r="AR339" s="7">
        <f t="shared" ca="1" si="211"/>
        <v>47.365739243056467</v>
      </c>
      <c r="AS339" s="7">
        <f t="shared" ca="1" si="211"/>
        <v>49.272291128479367</v>
      </c>
      <c r="AT339" s="7">
        <f t="shared" ca="1" si="211"/>
        <v>51.245216249846365</v>
      </c>
      <c r="AU339" s="7">
        <f t="shared" ca="1" si="211"/>
        <v>53.286941628014645</v>
      </c>
      <c r="AV339" s="7">
        <f t="shared" ca="1" si="211"/>
        <v>55.401664101207935</v>
      </c>
      <c r="AW339" s="7">
        <f t="shared" ca="1" si="211"/>
        <v>57.590206230862663</v>
      </c>
    </row>
    <row r="340" spans="1:49" x14ac:dyDescent="0.2">
      <c r="A340" s="1" t="s">
        <v>599</v>
      </c>
      <c r="B340" s="4" t="str">
        <f t="shared" si="210"/>
        <v>From Fiscal</v>
      </c>
      <c r="D340" s="18">
        <f>Fiscal!D$168-SUM(D$338:D$339)</f>
        <v>1.7089999999999961</v>
      </c>
      <c r="E340" s="19">
        <f>Fiscal!E$168-SUM(E$338:E$339)</f>
        <v>1.6490000000000027</v>
      </c>
      <c r="F340" s="19">
        <f>Fiscal!F$168-SUM(F$338:F$339)</f>
        <v>1.3919999999999995</v>
      </c>
      <c r="G340" s="19">
        <f>Fiscal!G$168-SUM(G$338:G$339)</f>
        <v>1.3870000000000022</v>
      </c>
      <c r="H340" s="19">
        <f>Fiscal!H$168-SUM(H$338:H$339)</f>
        <v>1.4219999999999953</v>
      </c>
      <c r="I340" s="19">
        <f>Fiscal!I$168-SUM(I$338:I$339)</f>
        <v>1.4559999999999995</v>
      </c>
      <c r="J340" s="7">
        <f t="shared" ref="J340:AW340" ca="1" si="212">I$340+J$148+J$162-J$475+J$453-I$453</f>
        <v>1.5372981988265531</v>
      </c>
      <c r="K340" s="7">
        <f t="shared" ca="1" si="212"/>
        <v>1.621993865425565</v>
      </c>
      <c r="L340" s="7">
        <f t="shared" ca="1" si="212"/>
        <v>1.7103606902820083</v>
      </c>
      <c r="M340" s="7">
        <f t="shared" ca="1" si="212"/>
        <v>1.8025455322647632</v>
      </c>
      <c r="N340" s="7">
        <f t="shared" ca="1" si="212"/>
        <v>1.8987060738552413</v>
      </c>
      <c r="O340" s="7">
        <f t="shared" ca="1" si="212"/>
        <v>1.9989713948177514</v>
      </c>
      <c r="P340" s="7">
        <f t="shared" ca="1" si="212"/>
        <v>2.1034768260344441</v>
      </c>
      <c r="Q340" s="7">
        <f t="shared" ca="1" si="212"/>
        <v>2.2123531182898324</v>
      </c>
      <c r="R340" s="7">
        <f t="shared" ca="1" si="212"/>
        <v>2.3257277782388472</v>
      </c>
      <c r="S340" s="7">
        <f t="shared" ca="1" si="212"/>
        <v>2.4437426081655191</v>
      </c>
      <c r="T340" s="7">
        <f t="shared" ca="1" si="212"/>
        <v>2.5665411024667675</v>
      </c>
      <c r="U340" s="7">
        <f t="shared" ca="1" si="212"/>
        <v>2.6942839239848575</v>
      </c>
      <c r="V340" s="7">
        <f t="shared" ca="1" si="212"/>
        <v>2.82714394066203</v>
      </c>
      <c r="W340" s="7">
        <f t="shared" ca="1" si="212"/>
        <v>2.9653088462456485</v>
      </c>
      <c r="X340" s="7">
        <f t="shared" ca="1" si="212"/>
        <v>3.1089831374923271</v>
      </c>
      <c r="Y340" s="7">
        <f t="shared" ca="1" si="212"/>
        <v>3.2583707479170463</v>
      </c>
      <c r="Z340" s="7">
        <f t="shared" ca="1" si="212"/>
        <v>3.4137045298133435</v>
      </c>
      <c r="AA340" s="7">
        <f t="shared" ca="1" si="212"/>
        <v>3.575226956400702</v>
      </c>
      <c r="AB340" s="7">
        <f t="shared" ca="1" si="212"/>
        <v>3.7431990859701409</v>
      </c>
      <c r="AC340" s="7">
        <f t="shared" ca="1" si="212"/>
        <v>3.9179063253166806</v>
      </c>
      <c r="AD340" s="7">
        <f t="shared" ca="1" si="212"/>
        <v>4.0996411801241246</v>
      </c>
      <c r="AE340" s="7">
        <f t="shared" ca="1" si="212"/>
        <v>4.2886897021481634</v>
      </c>
      <c r="AF340" s="7">
        <f t="shared" ca="1" si="212"/>
        <v>4.4853581771332758</v>
      </c>
      <c r="AG340" s="7">
        <f t="shared" ca="1" si="212"/>
        <v>4.6899571515830054</v>
      </c>
      <c r="AH340" s="7">
        <f t="shared" ca="1" si="212"/>
        <v>4.9028098891070542</v>
      </c>
      <c r="AI340" s="7">
        <f t="shared" ca="1" si="212"/>
        <v>5.1242252312587624</v>
      </c>
      <c r="AJ340" s="7">
        <f t="shared" ca="1" si="212"/>
        <v>5.3545394498802654</v>
      </c>
      <c r="AK340" s="7">
        <f t="shared" ca="1" si="212"/>
        <v>5.594081496323799</v>
      </c>
      <c r="AL340" s="7">
        <f t="shared" ca="1" si="212"/>
        <v>5.8431730529270487</v>
      </c>
      <c r="AM340" s="7">
        <f t="shared" ca="1" si="212"/>
        <v>6.1021488479021091</v>
      </c>
      <c r="AN340" s="7">
        <f t="shared" ca="1" si="212"/>
        <v>6.3713573583409406</v>
      </c>
      <c r="AO340" s="7">
        <f t="shared" ca="1" si="212"/>
        <v>6.6511068810005085</v>
      </c>
      <c r="AP340" s="7">
        <f t="shared" ca="1" si="212"/>
        <v>6.9417504749947181</v>
      </c>
      <c r="AQ340" s="7">
        <f t="shared" ca="1" si="212"/>
        <v>7.243610674283973</v>
      </c>
      <c r="AR340" s="7">
        <f t="shared" ca="1" si="212"/>
        <v>7.5570227120324827</v>
      </c>
      <c r="AS340" s="7">
        <f t="shared" ca="1" si="212"/>
        <v>7.8823487715103884</v>
      </c>
      <c r="AT340" s="7">
        <f t="shared" ca="1" si="212"/>
        <v>8.2199605513269258</v>
      </c>
      <c r="AU340" s="7">
        <f t="shared" ca="1" si="212"/>
        <v>8.5702460873566668</v>
      </c>
      <c r="AV340" s="7">
        <f t="shared" ca="1" si="212"/>
        <v>8.9336326014364875</v>
      </c>
      <c r="AW340" s="7">
        <f t="shared" ca="1" si="212"/>
        <v>9.3105399191651692</v>
      </c>
    </row>
    <row r="341" spans="1:49" ht="15" x14ac:dyDescent="0.25">
      <c r="A341" s="2" t="s">
        <v>600</v>
      </c>
      <c r="B341" s="4"/>
      <c r="D341" s="40">
        <f t="shared" ref="D341:I341" si="213">SUM(D$338:D$340)</f>
        <v>12.170999999999999</v>
      </c>
      <c r="E341" s="39">
        <f t="shared" si="213"/>
        <v>12.304</v>
      </c>
      <c r="F341" s="39">
        <f t="shared" si="213"/>
        <v>12.577</v>
      </c>
      <c r="G341" s="39">
        <f t="shared" si="213"/>
        <v>13.042999999999999</v>
      </c>
      <c r="H341" s="39">
        <f t="shared" si="213"/>
        <v>13.666</v>
      </c>
      <c r="I341" s="39">
        <f t="shared" si="213"/>
        <v>14.256</v>
      </c>
      <c r="J341" s="43">
        <f t="shared" ref="J341:AW341" ca="1" si="214">SUM(J$338:J$340)</f>
        <v>15.189857927972234</v>
      </c>
      <c r="K341" s="43">
        <f t="shared" ca="1" si="214"/>
        <v>16.117320122511963</v>
      </c>
      <c r="L341" s="43">
        <f t="shared" ca="1" si="214"/>
        <v>17.077919920034113</v>
      </c>
      <c r="M341" s="43">
        <f t="shared" ca="1" si="214"/>
        <v>18.066211495062451</v>
      </c>
      <c r="N341" s="43">
        <f t="shared" ca="1" si="214"/>
        <v>19.092670789363606</v>
      </c>
      <c r="O341" s="43">
        <f t="shared" ca="1" si="214"/>
        <v>20.150233743428863</v>
      </c>
      <c r="P341" s="43">
        <f t="shared" ca="1" si="214"/>
        <v>21.25036979865942</v>
      </c>
      <c r="Q341" s="43">
        <f t="shared" ca="1" si="214"/>
        <v>22.373565869454222</v>
      </c>
      <c r="R341" s="43">
        <f t="shared" ca="1" si="214"/>
        <v>23.52045197790012</v>
      </c>
      <c r="S341" s="43">
        <f t="shared" ca="1" si="214"/>
        <v>24.700900948205376</v>
      </c>
      <c r="T341" s="43">
        <f t="shared" ca="1" si="214"/>
        <v>25.916333426973559</v>
      </c>
      <c r="U341" s="43">
        <f t="shared" ca="1" si="214"/>
        <v>27.168162472913057</v>
      </c>
      <c r="V341" s="43">
        <f t="shared" ca="1" si="214"/>
        <v>28.457289749275088</v>
      </c>
      <c r="W341" s="43">
        <f t="shared" ca="1" si="214"/>
        <v>29.784943759971121</v>
      </c>
      <c r="X341" s="43">
        <f t="shared" ca="1" si="214"/>
        <v>31.153998254685639</v>
      </c>
      <c r="Y341" s="43">
        <f t="shared" ca="1" si="214"/>
        <v>32.563301728218612</v>
      </c>
      <c r="Z341" s="43">
        <f t="shared" ca="1" si="214"/>
        <v>34.018119178043854</v>
      </c>
      <c r="AA341" s="43">
        <f t="shared" ca="1" si="214"/>
        <v>35.524261915113279</v>
      </c>
      <c r="AB341" s="43">
        <f t="shared" ca="1" si="214"/>
        <v>37.08956503929506</v>
      </c>
      <c r="AC341" s="43">
        <f t="shared" ca="1" si="214"/>
        <v>38.723405962330574</v>
      </c>
      <c r="AD341" s="43">
        <f t="shared" ca="1" si="214"/>
        <v>40.434860672939564</v>
      </c>
      <c r="AE341" s="43">
        <f t="shared" ca="1" si="214"/>
        <v>42.228205344746925</v>
      </c>
      <c r="AF341" s="43">
        <f t="shared" ca="1" si="214"/>
        <v>44.112281404511599</v>
      </c>
      <c r="AG341" s="43">
        <f t="shared" ca="1" si="214"/>
        <v>46.090340598457587</v>
      </c>
      <c r="AH341" s="43">
        <f t="shared" ca="1" si="214"/>
        <v>48.168685620966926</v>
      </c>
      <c r="AI341" s="43">
        <f t="shared" ca="1" si="214"/>
        <v>50.350610155808852</v>
      </c>
      <c r="AJ341" s="43">
        <f t="shared" ca="1" si="214"/>
        <v>52.642713256389214</v>
      </c>
      <c r="AK341" s="43">
        <f t="shared" ca="1" si="214"/>
        <v>55.046843610676859</v>
      </c>
      <c r="AL341" s="43">
        <f t="shared" ca="1" si="214"/>
        <v>57.567173492233238</v>
      </c>
      <c r="AM341" s="43">
        <f t="shared" ca="1" si="214"/>
        <v>60.2088837131354</v>
      </c>
      <c r="AN341" s="43">
        <f t="shared" ca="1" si="214"/>
        <v>62.975315315386183</v>
      </c>
      <c r="AO341" s="43">
        <f t="shared" ca="1" si="214"/>
        <v>65.86387315215373</v>
      </c>
      <c r="AP341" s="43">
        <f t="shared" ca="1" si="214"/>
        <v>68.874674464069031</v>
      </c>
      <c r="AQ341" s="43">
        <f t="shared" ca="1" si="214"/>
        <v>72.002431736991582</v>
      </c>
      <c r="AR341" s="43">
        <f t="shared" ca="1" si="214"/>
        <v>75.24146468294316</v>
      </c>
      <c r="AS341" s="43">
        <f t="shared" ca="1" si="214"/>
        <v>78.587521518710858</v>
      </c>
      <c r="AT341" s="43">
        <f t="shared" ca="1" si="214"/>
        <v>82.045200273817471</v>
      </c>
      <c r="AU341" s="43">
        <f t="shared" ca="1" si="214"/>
        <v>85.616270890384371</v>
      </c>
      <c r="AV341" s="43">
        <f t="shared" ca="1" si="214"/>
        <v>89.307012883976896</v>
      </c>
      <c r="AW341" s="43">
        <f t="shared" ca="1" si="214"/>
        <v>93.116425381692125</v>
      </c>
    </row>
    <row r="342" spans="1:49" ht="15" x14ac:dyDescent="0.25">
      <c r="A342" s="2" t="s">
        <v>601</v>
      </c>
      <c r="B342" s="4" t="str">
        <f t="shared" si="210"/>
        <v>From Fiscal</v>
      </c>
      <c r="D342" s="47">
        <f>Fiscal!D$115</f>
        <v>17.602</v>
      </c>
      <c r="E342" s="44">
        <f>Fiscal!E$115</f>
        <v>16.946000000000002</v>
      </c>
      <c r="F342" s="44">
        <f>Fiscal!F$115</f>
        <v>17.484000000000002</v>
      </c>
      <c r="G342" s="44">
        <f>Fiscal!G$115</f>
        <v>17.652000000000001</v>
      </c>
      <c r="H342" s="44">
        <f>Fiscal!H$115</f>
        <v>18.350000000000001</v>
      </c>
      <c r="I342" s="44">
        <f>Fiscal!I$115</f>
        <v>19.164999999999999</v>
      </c>
      <c r="J342" s="8">
        <f t="shared" ref="J342:AW342" ca="1" si="215">I$342-I$341+J$149-J$148+J$163-J$162-(J$88+J$90-J$475)+J$454-J$453-(I$454-I$453)+J$341</f>
        <v>20.168536657211291</v>
      </c>
      <c r="K342" s="8">
        <f t="shared" ca="1" si="215"/>
        <v>21.168589468835481</v>
      </c>
      <c r="L342" s="8">
        <f t="shared" ca="1" si="215"/>
        <v>22.204926344813998</v>
      </c>
      <c r="M342" s="8">
        <f t="shared" ca="1" si="215"/>
        <v>23.272227328871999</v>
      </c>
      <c r="N342" s="8">
        <f t="shared" ca="1" si="215"/>
        <v>24.38110350863527</v>
      </c>
      <c r="O342" s="8">
        <f t="shared" ca="1" si="215"/>
        <v>25.524601455753935</v>
      </c>
      <c r="P342" s="8">
        <f t="shared" ca="1" si="215"/>
        <v>26.714306600470657</v>
      </c>
      <c r="Q342" s="8">
        <f t="shared" ca="1" si="215"/>
        <v>27.930817920534416</v>
      </c>
      <c r="R342" s="8">
        <f t="shared" ca="1" si="215"/>
        <v>29.174874720916712</v>
      </c>
      <c r="S342" s="8">
        <f t="shared" ca="1" si="215"/>
        <v>30.456471361150044</v>
      </c>
      <c r="T342" s="8">
        <f t="shared" ca="1" si="215"/>
        <v>31.777151473431438</v>
      </c>
      <c r="U342" s="8">
        <f t="shared" ca="1" si="215"/>
        <v>33.138465816724</v>
      </c>
      <c r="V342" s="8">
        <f t="shared" ca="1" si="215"/>
        <v>34.541464215231038</v>
      </c>
      <c r="W342" s="8">
        <f t="shared" ca="1" si="215"/>
        <v>35.987536040656799</v>
      </c>
      <c r="X342" s="8">
        <f t="shared" ca="1" si="215"/>
        <v>37.479730311933295</v>
      </c>
      <c r="Y342" s="8">
        <f t="shared" ca="1" si="215"/>
        <v>39.017070310367174</v>
      </c>
      <c r="Z342" s="8">
        <f t="shared" ca="1" si="215"/>
        <v>40.60502060552794</v>
      </c>
      <c r="AA342" s="8">
        <f t="shared" ca="1" si="215"/>
        <v>42.249600326327212</v>
      </c>
      <c r="AB342" s="8">
        <f t="shared" ca="1" si="215"/>
        <v>43.958868319410314</v>
      </c>
      <c r="AC342" s="8">
        <f t="shared" ca="1" si="215"/>
        <v>45.742446611812461</v>
      </c>
      <c r="AD342" s="8">
        <f t="shared" ca="1" si="215"/>
        <v>47.609661891833888</v>
      </c>
      <c r="AE342" s="8">
        <f t="shared" ca="1" si="215"/>
        <v>49.565035501173583</v>
      </c>
      <c r="AF342" s="8">
        <f t="shared" ca="1" si="215"/>
        <v>51.617671376729298</v>
      </c>
      <c r="AG342" s="8">
        <f t="shared" ca="1" si="215"/>
        <v>53.771087426657878</v>
      </c>
      <c r="AH342" s="8">
        <f t="shared" ca="1" si="215"/>
        <v>56.0318634067998</v>
      </c>
      <c r="AI342" s="8">
        <f t="shared" ca="1" si="215"/>
        <v>58.403557701585335</v>
      </c>
      <c r="AJ342" s="8">
        <f t="shared" ca="1" si="215"/>
        <v>60.893057574921677</v>
      </c>
      <c r="AK342" s="8">
        <f t="shared" ca="1" si="215"/>
        <v>63.502493651063261</v>
      </c>
      <c r="AL342" s="8">
        <f t="shared" ca="1" si="215"/>
        <v>66.236313909759787</v>
      </c>
      <c r="AM342" s="8">
        <f t="shared" ca="1" si="215"/>
        <v>69.099986050581435</v>
      </c>
      <c r="AN342" s="8">
        <f t="shared" ca="1" si="215"/>
        <v>72.097149786858154</v>
      </c>
      <c r="AO342" s="8">
        <f t="shared" ca="1" si="215"/>
        <v>75.225474205487359</v>
      </c>
      <c r="AP342" s="8">
        <f t="shared" ca="1" si="215"/>
        <v>78.485379145567862</v>
      </c>
      <c r="AQ342" s="8">
        <f t="shared" ca="1" si="215"/>
        <v>81.871853529052686</v>
      </c>
      <c r="AR342" s="8">
        <f t="shared" ca="1" si="215"/>
        <v>85.379504388239098</v>
      </c>
      <c r="AS342" s="8">
        <f t="shared" ca="1" si="215"/>
        <v>89.004390358476741</v>
      </c>
      <c r="AT342" s="8">
        <f t="shared" ca="1" si="215"/>
        <v>92.751428043218922</v>
      </c>
      <c r="AU342" s="8">
        <f t="shared" ca="1" si="215"/>
        <v>96.622719960794555</v>
      </c>
      <c r="AV342" s="8">
        <f t="shared" ca="1" si="215"/>
        <v>100.62491178832144</v>
      </c>
      <c r="AW342" s="8">
        <f t="shared" ca="1" si="215"/>
        <v>104.75736247531151</v>
      </c>
    </row>
    <row r="343" spans="1:49" ht="15" x14ac:dyDescent="0.25">
      <c r="A343" s="2"/>
      <c r="B343" s="4"/>
      <c r="D343" s="47"/>
      <c r="E343" s="44"/>
      <c r="F343" s="44"/>
      <c r="G343" s="44"/>
      <c r="H343" s="44"/>
      <c r="I343" s="44"/>
      <c r="J343" s="8"/>
      <c r="K343" s="8"/>
      <c r="L343" s="8"/>
      <c r="M343" s="8"/>
      <c r="N343" s="8"/>
      <c r="O343" s="8"/>
      <c r="P343" s="8"/>
      <c r="Q343" s="8"/>
      <c r="R343" s="8"/>
      <c r="S343" s="8"/>
    </row>
    <row r="344" spans="1:49" ht="15" x14ac:dyDescent="0.25">
      <c r="A344" s="22" t="s">
        <v>234</v>
      </c>
      <c r="B344" s="4"/>
      <c r="D344" s="47"/>
      <c r="E344" s="44"/>
      <c r="F344" s="44"/>
      <c r="G344" s="44"/>
      <c r="H344" s="44"/>
      <c r="I344" s="8"/>
      <c r="J344" s="8"/>
      <c r="K344" s="8"/>
      <c r="L344" s="8"/>
      <c r="M344" s="8"/>
      <c r="N344" s="8"/>
      <c r="O344" s="8"/>
      <c r="P344" s="8"/>
      <c r="Q344" s="8"/>
      <c r="R344" s="8"/>
      <c r="S344" s="8"/>
    </row>
    <row r="345" spans="1:49" x14ac:dyDescent="0.2">
      <c r="A345" s="1" t="s">
        <v>606</v>
      </c>
      <c r="B345" s="4"/>
      <c r="D345" s="18">
        <f t="shared" ref="D345:AW345" ca="1" si="216">D$372-SUM(D$332,D$338,D$354,D$377)</f>
        <v>12.06128</v>
      </c>
      <c r="E345" s="19">
        <f t="shared" ca="1" si="216"/>
        <v>10.50028</v>
      </c>
      <c r="F345" s="19">
        <f t="shared" ca="1" si="216"/>
        <v>10.991280000000003</v>
      </c>
      <c r="G345" s="19">
        <f t="shared" ca="1" si="216"/>
        <v>11.378280000000004</v>
      </c>
      <c r="H345" s="19">
        <f t="shared" ca="1" si="216"/>
        <v>11.802279999999996</v>
      </c>
      <c r="I345" s="19">
        <f t="shared" ca="1" si="216"/>
        <v>12.262279999999997</v>
      </c>
      <c r="J345" s="7">
        <f t="shared" ca="1" si="216"/>
        <v>14.079320707657285</v>
      </c>
      <c r="K345" s="7">
        <f t="shared" ca="1" si="216"/>
        <v>15.820130963071115</v>
      </c>
      <c r="L345" s="7">
        <f t="shared" ca="1" si="216"/>
        <v>17.630063908405361</v>
      </c>
      <c r="M345" s="7">
        <f t="shared" ca="1" si="216"/>
        <v>19.502202762456335</v>
      </c>
      <c r="N345" s="7">
        <f t="shared" ca="1" si="216"/>
        <v>21.432344672849212</v>
      </c>
      <c r="O345" s="7">
        <f t="shared" ca="1" si="216"/>
        <v>23.385220478914235</v>
      </c>
      <c r="P345" s="7">
        <f t="shared" ca="1" si="216"/>
        <v>25.348319607239894</v>
      </c>
      <c r="Q345" s="7">
        <f t="shared" ca="1" si="216"/>
        <v>27.318529834585433</v>
      </c>
      <c r="R345" s="7">
        <f t="shared" ca="1" si="216"/>
        <v>29.297624282898965</v>
      </c>
      <c r="S345" s="7">
        <f t="shared" ca="1" si="216"/>
        <v>31.298296435383136</v>
      </c>
      <c r="T345" s="7">
        <f t="shared" ca="1" si="216"/>
        <v>33.32452821766735</v>
      </c>
      <c r="U345" s="7">
        <f t="shared" ca="1" si="216"/>
        <v>35.373439849025615</v>
      </c>
      <c r="V345" s="7">
        <f t="shared" ca="1" si="216"/>
        <v>37.440967035693134</v>
      </c>
      <c r="W345" s="7">
        <f t="shared" ca="1" si="216"/>
        <v>39.523480705914153</v>
      </c>
      <c r="X345" s="7">
        <f t="shared" ca="1" si="216"/>
        <v>41.625586311497912</v>
      </c>
      <c r="Y345" s="7">
        <f t="shared" ca="1" si="216"/>
        <v>43.735939091221624</v>
      </c>
      <c r="Z345" s="7">
        <f t="shared" ca="1" si="216"/>
        <v>45.867194794696005</v>
      </c>
      <c r="AA345" s="7">
        <f t="shared" ca="1" si="216"/>
        <v>48.042898174696035</v>
      </c>
      <c r="AB345" s="7">
        <f t="shared" ca="1" si="216"/>
        <v>50.294072214329475</v>
      </c>
      <c r="AC345" s="7">
        <f t="shared" ca="1" si="216"/>
        <v>52.657633202551594</v>
      </c>
      <c r="AD345" s="7">
        <f t="shared" ca="1" si="216"/>
        <v>55.175725869060258</v>
      </c>
      <c r="AE345" s="7">
        <f t="shared" ca="1" si="216"/>
        <v>57.868656757340005</v>
      </c>
      <c r="AF345" s="7">
        <f t="shared" ca="1" si="216"/>
        <v>60.771454378647206</v>
      </c>
      <c r="AG345" s="7">
        <f t="shared" ca="1" si="216"/>
        <v>63.893507757417837</v>
      </c>
      <c r="AH345" s="7">
        <f t="shared" ca="1" si="216"/>
        <v>67.257943239549064</v>
      </c>
      <c r="AI345" s="7">
        <f t="shared" ca="1" si="216"/>
        <v>70.882159427909471</v>
      </c>
      <c r="AJ345" s="7">
        <f t="shared" ca="1" si="216"/>
        <v>74.784585480344788</v>
      </c>
      <c r="AK345" s="7">
        <f t="shared" ca="1" si="216"/>
        <v>78.970885002827799</v>
      </c>
      <c r="AL345" s="7">
        <f t="shared" ca="1" si="216"/>
        <v>83.460238258606353</v>
      </c>
      <c r="AM345" s="7">
        <f t="shared" ca="1" si="216"/>
        <v>88.26890584645858</v>
      </c>
      <c r="AN345" s="7">
        <f t="shared" ca="1" si="216"/>
        <v>93.401944261270131</v>
      </c>
      <c r="AO345" s="7">
        <f t="shared" ca="1" si="216"/>
        <v>98.853556189664829</v>
      </c>
      <c r="AP345" s="7">
        <f t="shared" ca="1" si="216"/>
        <v>104.59732217723959</v>
      </c>
      <c r="AQ345" s="7">
        <f t="shared" ca="1" si="216"/>
        <v>110.60762374571536</v>
      </c>
      <c r="AR345" s="7">
        <f t="shared" ca="1" si="216"/>
        <v>116.83839814443468</v>
      </c>
      <c r="AS345" s="7">
        <f t="shared" ca="1" si="216"/>
        <v>123.24524796151337</v>
      </c>
      <c r="AT345" s="7">
        <f t="shared" ca="1" si="216"/>
        <v>129.84164431870175</v>
      </c>
      <c r="AU345" s="7">
        <f t="shared" ca="1" si="216"/>
        <v>136.62157750570498</v>
      </c>
      <c r="AV345" s="7">
        <f t="shared" ca="1" si="216"/>
        <v>143.594566868909</v>
      </c>
      <c r="AW345" s="7">
        <f t="shared" ca="1" si="216"/>
        <v>150.74771301698416</v>
      </c>
    </row>
    <row r="346" spans="1:49" x14ac:dyDescent="0.2">
      <c r="A346" s="1" t="s">
        <v>607</v>
      </c>
      <c r="B346" s="4" t="str">
        <f t="shared" ref="B346:B350" si="217">$B$43</f>
        <v>From Fiscal</v>
      </c>
      <c r="D346" s="18">
        <f ca="1">Fiscal!D$169-D$345</f>
        <v>25.028720000000003</v>
      </c>
      <c r="E346" s="19">
        <f ca="1">Fiscal!E$169-E$345</f>
        <v>22.723719999999997</v>
      </c>
      <c r="F346" s="19">
        <f ca="1">Fiscal!F$169-F$345</f>
        <v>25.753719999999994</v>
      </c>
      <c r="G346" s="19">
        <f ca="1">Fiscal!G$169-G$345</f>
        <v>19.202719999999996</v>
      </c>
      <c r="H346" s="19">
        <f ca="1">Fiscal!H$169-H$345</f>
        <v>16.276720000000005</v>
      </c>
      <c r="I346" s="19">
        <f ca="1">Fiscal!I$169-I$345</f>
        <v>19.413720000000001</v>
      </c>
      <c r="J346" s="7">
        <f ca="1">(I$346/I$14+ IF(J$2&gt;0,J$2*IF(J$6=OFFSET(Assumptions!$B$8,0,$C$1),SUMPRODUCT(OFFSET(I$346,0,0,1,-OFFSET(Assumptions!$B$67,0,$C$1)),OFFSET(I$16,0,0,1,-OFFSET(Assumptions!$B$67,0,$C$1)))/OFFSET(Assumptions!$B$67,0,$C$1)-I$346/I$14,(I$346/I$14-H$346/H$14)/I$2),0))*J$14</f>
        <v>20.128875832649694</v>
      </c>
      <c r="K346" s="7">
        <f ca="1">(J$346/J$14+ IF(K$2&gt;0,K$2*IF(K$6=OFFSET(Assumptions!$B$8,0,$C$1),SUMPRODUCT(OFFSET(J$346,0,0,1,-OFFSET(Assumptions!$B$67,0,$C$1)),OFFSET(J$16,0,0,1,-OFFSET(Assumptions!$B$67,0,$C$1)))/OFFSET(Assumptions!$B$67,0,$C$1)-J$346/J$14,(J$346/J$14-I$346/I$14)/J$2),0))*K$14</f>
        <v>20.884319637397155</v>
      </c>
      <c r="L346" s="7">
        <f ca="1">(K$346/K$14+ IF(L$2&gt;0,L$2*IF(L$6=OFFSET(Assumptions!$B$8,0,$C$1),SUMPRODUCT(OFFSET(K$346,0,0,1,-OFFSET(Assumptions!$B$67,0,$C$1)),OFFSET(K$16,0,0,1,-OFFSET(Assumptions!$B$67,0,$C$1)))/OFFSET(Assumptions!$B$67,0,$C$1)-K$346/K$14,(K$346/K$14-J$346/J$14)/K$2),0))*L$14</f>
        <v>21.722459608435159</v>
      </c>
      <c r="M346" s="7">
        <f ca="1">(L$346/L$14+ IF(M$2&gt;0,M$2*IF(M$6=OFFSET(Assumptions!$B$8,0,$C$1),SUMPRODUCT(OFFSET(L$346,0,0,1,-OFFSET(Assumptions!$B$67,0,$C$1)),OFFSET(L$16,0,0,1,-OFFSET(Assumptions!$B$67,0,$C$1)))/OFFSET(Assumptions!$B$67,0,$C$1)-L$346/L$14,(L$346/L$14-K$346/K$14)/L$2),0))*M$14</f>
        <v>22.614346088974663</v>
      </c>
      <c r="N346" s="7">
        <f ca="1">(M$346/M$14+ IF(N$2&gt;0,N$2*IF(N$6=OFFSET(Assumptions!$B$8,0,$C$1),SUMPRODUCT(OFFSET(M$346,0,0,1,-OFFSET(Assumptions!$B$67,0,$C$1)),OFFSET(M$16,0,0,1,-OFFSET(Assumptions!$B$67,0,$C$1)))/OFFSET(Assumptions!$B$67,0,$C$1)-M$346/M$14,(M$346/M$14-L$346/L$14)/M$2),0))*N$14</f>
        <v>23.56530753699278</v>
      </c>
      <c r="O346" s="7">
        <f ca="1">(N$346/N$14+ IF(O$2&gt;0,O$2*IF(O$6=OFFSET(Assumptions!$B$8,0,$C$1),SUMPRODUCT(OFFSET(N$346,0,0,1,-OFFSET(Assumptions!$B$67,0,$C$1)),OFFSET(N$16,0,0,1,-OFFSET(Assumptions!$B$67,0,$C$1)))/OFFSET(Assumptions!$B$67,0,$C$1)-N$346/N$14,(N$346/N$14-M$346/M$14)/N$2),0))*O$14</f>
        <v>24.571233529853771</v>
      </c>
      <c r="P346" s="7">
        <f ca="1">(O$346/O$14+ IF(P$2&gt;0,P$2*IF(P$6=OFFSET(Assumptions!$B$8,0,$C$1),SUMPRODUCT(OFFSET(O$346,0,0,1,-OFFSET(Assumptions!$B$67,0,$C$1)),OFFSET(O$16,0,0,1,-OFFSET(Assumptions!$B$67,0,$C$1)))/OFFSET(Assumptions!$B$67,0,$C$1)-O$346/O$14,(O$346/O$14-N$346/N$14)/O$2),0))*P$14</f>
        <v>25.610323997502253</v>
      </c>
      <c r="Q346" s="7">
        <f ca="1">(P$346/P$14+ IF(Q$2&gt;0,Q$2*IF(Q$6=OFFSET(Assumptions!$B$8,0,$C$1),SUMPRODUCT(OFFSET(P$346,0,0,1,-OFFSET(Assumptions!$B$67,0,$C$1)),OFFSET(P$16,0,0,1,-OFFSET(Assumptions!$B$67,0,$C$1)))/OFFSET(Assumptions!$B$67,0,$C$1)-P$346/P$14,(P$346/P$14-O$346/O$14)/P$2),0))*Q$14</f>
        <v>26.681456531436659</v>
      </c>
      <c r="R346" s="7">
        <f ca="1">(Q$346/Q$14+ IF(R$2&gt;0,R$2*IF(R$6=OFFSET(Assumptions!$B$8,0,$C$1),SUMPRODUCT(OFFSET(Q$346,0,0,1,-OFFSET(Assumptions!$B$67,0,$C$1)),OFFSET(Q$16,0,0,1,-OFFSET(Assumptions!$B$67,0,$C$1)))/OFFSET(Assumptions!$B$67,0,$C$1)-Q$346/Q$14,(Q$346/Q$14-P$346/P$14)/Q$2),0))*R$14</f>
        <v>27.783836118338513</v>
      </c>
      <c r="S346" s="7">
        <f ca="1">(R$346/R$14+ IF(S$2&gt;0,S$2*IF(S$6=OFFSET(Assumptions!$B$8,0,$C$1),SUMPRODUCT(OFFSET(R$346,0,0,1,-OFFSET(Assumptions!$B$67,0,$C$1)),OFFSET(R$16,0,0,1,-OFFSET(Assumptions!$B$67,0,$C$1)))/OFFSET(Assumptions!$B$67,0,$C$1)-R$346/R$14,(R$346/R$14-Q$346/Q$14)/R$2),0))*S$14</f>
        <v>28.920966075583106</v>
      </c>
      <c r="T346" s="7">
        <f ca="1">(S$346/S$14+ IF(T$2&gt;0,T$2*IF(T$6=OFFSET(Assumptions!$B$8,0,$C$1),SUMPRODUCT(OFFSET(S$346,0,0,1,-OFFSET(Assumptions!$B$67,0,$C$1)),OFFSET(S$16,0,0,1,-OFFSET(Assumptions!$B$67,0,$C$1)))/OFFSET(Assumptions!$B$67,0,$C$1)-S$346/S$14,(S$346/S$14-R$346/R$14)/S$2),0))*T$14</f>
        <v>30.093261075966335</v>
      </c>
      <c r="U346" s="7">
        <f ca="1">(T$346/T$14+ IF(U$2&gt;0,U$2*IF(U$6=OFFSET(Assumptions!$B$8,0,$C$1),SUMPRODUCT(OFFSET(T$346,0,0,1,-OFFSET(Assumptions!$B$67,0,$C$1)),OFFSET(T$16,0,0,1,-OFFSET(Assumptions!$B$67,0,$C$1)))/OFFSET(Assumptions!$B$67,0,$C$1)-T$346/T$14,(T$346/T$14-S$346/S$14)/T$2),0))*U$14</f>
        <v>31.304928455343269</v>
      </c>
      <c r="V346" s="7">
        <f ca="1">(U$346/U$14+ IF(V$2&gt;0,V$2*IF(V$6=OFFSET(Assumptions!$B$8,0,$C$1),SUMPRODUCT(OFFSET(U$346,0,0,1,-OFFSET(Assumptions!$B$67,0,$C$1)),OFFSET(U$16,0,0,1,-OFFSET(Assumptions!$B$67,0,$C$1)))/OFFSET(Assumptions!$B$67,0,$C$1)-U$346/U$14,(U$346/U$14-T$346/T$14)/U$2),0))*V$14</f>
        <v>32.558959221560656</v>
      </c>
      <c r="W346" s="7">
        <f ca="1">(V$346/V$14+ IF(W$2&gt;0,W$2*IF(W$6=OFFSET(Assumptions!$B$8,0,$C$1),SUMPRODUCT(OFFSET(V$346,0,0,1,-OFFSET(Assumptions!$B$67,0,$C$1)),OFFSET(V$16,0,0,1,-OFFSET(Assumptions!$B$67,0,$C$1)))/OFFSET(Assumptions!$B$67,0,$C$1)-V$346/V$14,(V$346/V$14-U$346/U$14)/V$2),0))*W$14</f>
        <v>33.858986618061643</v>
      </c>
      <c r="X346" s="7">
        <f ca="1">(W$346/W$14+ IF(X$2&gt;0,X$2*IF(X$6=OFFSET(Assumptions!$B$8,0,$C$1),SUMPRODUCT(OFFSET(W$346,0,0,1,-OFFSET(Assumptions!$B$67,0,$C$1)),OFFSET(W$16,0,0,1,-OFFSET(Assumptions!$B$67,0,$C$1)))/OFFSET(Assumptions!$B$67,0,$C$1)-W$346/W$14,(W$346/W$14-V$346/V$14)/W$2),0))*X$14</f>
        <v>35.209128426152091</v>
      </c>
      <c r="Y346" s="7">
        <f ca="1">(X$346/X$14+ IF(Y$2&gt;0,Y$2*IF(Y$6=OFFSET(Assumptions!$B$8,0,$C$1),SUMPRODUCT(OFFSET(X$346,0,0,1,-OFFSET(Assumptions!$B$67,0,$C$1)),OFFSET(X$16,0,0,1,-OFFSET(Assumptions!$B$67,0,$C$1)))/OFFSET(Assumptions!$B$67,0,$C$1)-X$346/X$14,(X$346/X$14-W$346/W$14)/X$2),0))*Y$14</f>
        <v>36.609246616634934</v>
      </c>
      <c r="Z346" s="7">
        <f ca="1">(Y$346/Y$14+ IF(Z$2&gt;0,Z$2*IF(Z$6=OFFSET(Assumptions!$B$8,0,$C$1),SUMPRODUCT(OFFSET(Y$346,0,0,1,-OFFSET(Assumptions!$B$67,0,$C$1)),OFFSET(Y$16,0,0,1,-OFFSET(Assumptions!$B$67,0,$C$1)))/OFFSET(Assumptions!$B$67,0,$C$1)-Y$346/Y$14,(Y$346/Y$14-X$346/X$14)/Y$2),0))*Z$14</f>
        <v>38.066428087098842</v>
      </c>
      <c r="AA346" s="7">
        <f ca="1">(Z$346/Z$14+ IF(AA$2&gt;0,AA$2*IF(AA$6=OFFSET(Assumptions!$B$8,0,$C$1),SUMPRODUCT(OFFSET(Z$346,0,0,1,-OFFSET(Assumptions!$B$67,0,$C$1)),OFFSET(Z$16,0,0,1,-OFFSET(Assumptions!$B$67,0,$C$1)))/OFFSET(Assumptions!$B$67,0,$C$1)-Z$346/Z$14,(Z$346/Z$14-Y$346/Y$14)/Z$2),0))*AA$14</f>
        <v>39.583030562188121</v>
      </c>
      <c r="AB346" s="7">
        <f ca="1">(AA$346/AA$14+ IF(AB$2&gt;0,AB$2*IF(AB$6=OFFSET(Assumptions!$B$8,0,$C$1),SUMPRODUCT(OFFSET(AA$346,0,0,1,-OFFSET(Assumptions!$B$67,0,$C$1)),OFFSET(AA$16,0,0,1,-OFFSET(Assumptions!$B$67,0,$C$1)))/OFFSET(Assumptions!$B$67,0,$C$1)-AA$346/AA$14,(AA$346/AA$14-Z$346/Z$14)/AA$2),0))*AB$14</f>
        <v>41.1636085391956</v>
      </c>
      <c r="AC346" s="7">
        <f ca="1">(AB$346/AB$14+ IF(AC$2&gt;0,AC$2*IF(AC$6=OFFSET(Assumptions!$B$8,0,$C$1),SUMPRODUCT(OFFSET(AB$346,0,0,1,-OFFSET(Assumptions!$B$67,0,$C$1)),OFFSET(AB$16,0,0,1,-OFFSET(Assumptions!$B$67,0,$C$1)))/OFFSET(Assumptions!$B$67,0,$C$1)-AB$346/AB$14,(AB$346/AB$14-AA$346/AA$14)/AB$2),0))*AC$14</f>
        <v>42.814128914472697</v>
      </c>
      <c r="AD346" s="7">
        <f ca="1">(AC$346/AC$14+ IF(AD$2&gt;0,AD$2*IF(AD$6=OFFSET(Assumptions!$B$8,0,$C$1),SUMPRODUCT(OFFSET(AC$346,0,0,1,-OFFSET(Assumptions!$B$67,0,$C$1)),OFFSET(AC$16,0,0,1,-OFFSET(Assumptions!$B$67,0,$C$1)))/OFFSET(Assumptions!$B$67,0,$C$1)-AC$346/AC$14,(AC$346/AC$14-AB$346/AB$14)/AC$2),0))*AD$14</f>
        <v>44.536331356855285</v>
      </c>
      <c r="AE346" s="7">
        <f ca="1">(AD$346/AD$14+ IF(AE$2&gt;0,AE$2*IF(AE$6=OFFSET(Assumptions!$B$8,0,$C$1),SUMPRODUCT(OFFSET(AD$346,0,0,1,-OFFSET(Assumptions!$B$67,0,$C$1)),OFFSET(AD$16,0,0,1,-OFFSET(Assumptions!$B$67,0,$C$1)))/OFFSET(Assumptions!$B$67,0,$C$1)-AD$346/AD$14,(AD$346/AD$14-AC$346/AC$14)/AD$2),0))*AE$14</f>
        <v>46.328634252946166</v>
      </c>
      <c r="AF346" s="7">
        <f ca="1">(AE$346/AE$14+ IF(AF$2&gt;0,AF$2*IF(AF$6=OFFSET(Assumptions!$B$8,0,$C$1),SUMPRODUCT(OFFSET(AE$346,0,0,1,-OFFSET(Assumptions!$B$67,0,$C$1)),OFFSET(AE$16,0,0,1,-OFFSET(Assumptions!$B$67,0,$C$1)))/OFFSET(Assumptions!$B$67,0,$C$1)-AE$346/AE$14,(AE$346/AE$14-AD$346/AD$14)/AE$2),0))*AF$14</f>
        <v>48.195996187218974</v>
      </c>
      <c r="AG346" s="7">
        <f ca="1">(AF$346/AF$14+ IF(AG$2&gt;0,AG$2*IF(AG$6=OFFSET(Assumptions!$B$8,0,$C$1),SUMPRODUCT(OFFSET(AF$346,0,0,1,-OFFSET(Assumptions!$B$67,0,$C$1)),OFFSET(AF$16,0,0,1,-OFFSET(Assumptions!$B$67,0,$C$1)))/OFFSET(Assumptions!$B$67,0,$C$1)-AF$346/AF$14,(AF$346/AF$14-AE$346/AE$14)/AF$2),0))*AG$14</f>
        <v>50.139461310382842</v>
      </c>
      <c r="AH346" s="7">
        <f ca="1">(AG$346/AG$14+ IF(AH$2&gt;0,AH$2*IF(AH$6=OFFSET(Assumptions!$B$8,0,$C$1),SUMPRODUCT(OFFSET(AG$346,0,0,1,-OFFSET(Assumptions!$B$67,0,$C$1)),OFFSET(AG$16,0,0,1,-OFFSET(Assumptions!$B$67,0,$C$1)))/OFFSET(Assumptions!$B$67,0,$C$1)-AG$346/AG$14,(AG$346/AG$14-AF$346/AF$14)/AG$2),0))*AH$14</f>
        <v>52.162146103612628</v>
      </c>
      <c r="AI346" s="7">
        <f ca="1">(AH$346/AH$14+ IF(AI$2&gt;0,AI$2*IF(AI$6=OFFSET(Assumptions!$B$8,0,$C$1),SUMPRODUCT(OFFSET(AH$346,0,0,1,-OFFSET(Assumptions!$B$67,0,$C$1)),OFFSET(AH$16,0,0,1,-OFFSET(Assumptions!$B$67,0,$C$1)))/OFFSET(Assumptions!$B$67,0,$C$1)-AH$346/AH$14,(AH$346/AH$14-AG$346/AG$14)/AH$2),0))*AI$14</f>
        <v>54.260516266997968</v>
      </c>
      <c r="AJ346" s="7">
        <f ca="1">(AI$346/AI$14+ IF(AJ$2&gt;0,AJ$2*IF(AJ$6=OFFSET(Assumptions!$B$8,0,$C$1),SUMPRODUCT(OFFSET(AI$346,0,0,1,-OFFSET(Assumptions!$B$67,0,$C$1)),OFFSET(AI$16,0,0,1,-OFFSET(Assumptions!$B$67,0,$C$1)))/OFFSET(Assumptions!$B$67,0,$C$1)-AI$346/AI$14,(AI$346/AI$14-AH$346/AH$14)/AI$2),0))*AJ$14</f>
        <v>56.441293925650477</v>
      </c>
      <c r="AK346" s="7">
        <f ca="1">(AJ$346/AJ$14+ IF(AK$2&gt;0,AK$2*IF(AK$6=OFFSET(Assumptions!$B$8,0,$C$1),SUMPRODUCT(OFFSET(AJ$346,0,0,1,-OFFSET(Assumptions!$B$67,0,$C$1)),OFFSET(AJ$16,0,0,1,-OFFSET(Assumptions!$B$67,0,$C$1)))/OFFSET(Assumptions!$B$67,0,$C$1)-AJ$346/AJ$14,(AJ$346/AJ$14-AI$346/AI$14)/AJ$2),0))*AK$14</f>
        <v>58.702685104692407</v>
      </c>
      <c r="AL346" s="7">
        <f ca="1">(AK$346/AK$14+ IF(AL$2&gt;0,AL$2*IF(AL$6=OFFSET(Assumptions!$B$8,0,$C$1),SUMPRODUCT(OFFSET(AK$346,0,0,1,-OFFSET(Assumptions!$B$67,0,$C$1)),OFFSET(AK$16,0,0,1,-OFFSET(Assumptions!$B$67,0,$C$1)))/OFFSET(Assumptions!$B$67,0,$C$1)-AK$346/AK$14,(AK$346/AK$14-AJ$346/AJ$14)/AK$2),0))*AL$14</f>
        <v>61.042908443904366</v>
      </c>
      <c r="AM346" s="7">
        <f ca="1">(AL$346/AL$14+ IF(AM$2&gt;0,AM$2*IF(AM$6=OFFSET(Assumptions!$B$8,0,$C$1),SUMPRODUCT(OFFSET(AL$346,0,0,1,-OFFSET(Assumptions!$B$67,0,$C$1)),OFFSET(AL$16,0,0,1,-OFFSET(Assumptions!$B$67,0,$C$1)))/OFFSET(Assumptions!$B$67,0,$C$1)-AL$346/AL$14,(AL$346/AL$14-AK$346/AK$14)/AL$2),0))*AM$14</f>
        <v>63.465160993112271</v>
      </c>
      <c r="AN346" s="7">
        <f ca="1">(AM$346/AM$14+ IF(AN$2&gt;0,AN$2*IF(AN$6=OFFSET(Assumptions!$B$8,0,$C$1),SUMPRODUCT(OFFSET(AM$346,0,0,1,-OFFSET(Assumptions!$B$67,0,$C$1)),OFFSET(AM$16,0,0,1,-OFFSET(Assumptions!$B$67,0,$C$1)))/OFFSET(Assumptions!$B$67,0,$C$1)-AM$346/AM$14,(AM$346/AM$14-AL$346/AL$14)/AM$2),0))*AN$14</f>
        <v>65.972812082154761</v>
      </c>
      <c r="AO346" s="7">
        <f ca="1">(AN$346/AN$14+ IF(AO$2&gt;0,AO$2*IF(AO$6=OFFSET(Assumptions!$B$8,0,$C$1),SUMPRODUCT(OFFSET(AN$346,0,0,1,-OFFSET(Assumptions!$B$67,0,$C$1)),OFFSET(AN$16,0,0,1,-OFFSET(Assumptions!$B$67,0,$C$1)))/OFFSET(Assumptions!$B$67,0,$C$1)-AN$346/AN$14,(AN$346/AN$14-AM$346/AM$14)/AN$2),0))*AO$14</f>
        <v>68.556015032391088</v>
      </c>
      <c r="AP346" s="7">
        <f ca="1">(AO$346/AO$14+ IF(AP$2&gt;0,AP$2*IF(AP$6=OFFSET(Assumptions!$B$8,0,$C$1),SUMPRODUCT(OFFSET(AO$346,0,0,1,-OFFSET(Assumptions!$B$67,0,$C$1)),OFFSET(AO$16,0,0,1,-OFFSET(Assumptions!$B$67,0,$C$1)))/OFFSET(Assumptions!$B$67,0,$C$1)-AO$346/AO$14,(AO$346/AO$14-AN$346/AN$14)/AO$2),0))*AP$14</f>
        <v>71.225739402539162</v>
      </c>
      <c r="AQ346" s="7">
        <f ca="1">(AP$346/AP$14+ IF(AQ$2&gt;0,AQ$2*IF(AQ$6=OFFSET(Assumptions!$B$8,0,$C$1),SUMPRODUCT(OFFSET(AP$346,0,0,1,-OFFSET(Assumptions!$B$67,0,$C$1)),OFFSET(AP$16,0,0,1,-OFFSET(Assumptions!$B$67,0,$C$1)))/OFFSET(Assumptions!$B$67,0,$C$1)-AP$346/AP$14,(AP$346/AP$14-AO$346/AO$14)/AP$2),0))*AQ$14</f>
        <v>73.974504633338782</v>
      </c>
      <c r="AR346" s="7">
        <f ca="1">(AQ$346/AQ$14+ IF(AR$2&gt;0,AR$2*IF(AR$6=OFFSET(Assumptions!$B$8,0,$C$1),SUMPRODUCT(OFFSET(AQ$346,0,0,1,-OFFSET(Assumptions!$B$67,0,$C$1)),OFFSET(AQ$16,0,0,1,-OFFSET(Assumptions!$B$67,0,$C$1)))/OFFSET(Assumptions!$B$67,0,$C$1)-AQ$346/AQ$14,(AQ$346/AQ$14-AP$346/AP$14)/AQ$2),0))*AR$14</f>
        <v>76.805422818776677</v>
      </c>
      <c r="AS346" s="7">
        <f ca="1">(AR$346/AR$14+ IF(AS$2&gt;0,AS$2*IF(AS$6=OFFSET(Assumptions!$B$8,0,$C$1),SUMPRODUCT(OFFSET(AR$346,0,0,1,-OFFSET(Assumptions!$B$67,0,$C$1)),OFFSET(AR$16,0,0,1,-OFFSET(Assumptions!$B$67,0,$C$1)))/OFFSET(Assumptions!$B$67,0,$C$1)-AR$346/AR$14,(AR$346/AR$14-AQ$346/AQ$14)/AR$2),0))*AS$14</f>
        <v>79.725098409324801</v>
      </c>
      <c r="AT346" s="7">
        <f ca="1">(AS$346/AS$14+ IF(AT$2&gt;0,AT$2*IF(AT$6=OFFSET(Assumptions!$B$8,0,$C$1),SUMPRODUCT(OFFSET(AS$346,0,0,1,-OFFSET(Assumptions!$B$67,0,$C$1)),OFFSET(AS$16,0,0,1,-OFFSET(Assumptions!$B$67,0,$C$1)))/OFFSET(Assumptions!$B$67,0,$C$1)-AS$346/AS$14,(AS$346/AS$14-AR$346/AR$14)/AS$2),0))*AT$14</f>
        <v>82.735863254289796</v>
      </c>
      <c r="AU346" s="7">
        <f ca="1">(AT$346/AT$14+ IF(AU$2&gt;0,AU$2*IF(AU$6=OFFSET(Assumptions!$B$8,0,$C$1),SUMPRODUCT(OFFSET(AT$346,0,0,1,-OFFSET(Assumptions!$B$67,0,$C$1)),OFFSET(AT$16,0,0,1,-OFFSET(Assumptions!$B$67,0,$C$1)))/OFFSET(Assumptions!$B$67,0,$C$1)-AT$346/AT$14,(AT$346/AT$14-AS$346/AS$14)/AT$2),0))*AU$14</f>
        <v>85.841720998778413</v>
      </c>
      <c r="AV346" s="7">
        <f ca="1">(AU$346/AU$14+ IF(AV$2&gt;0,AV$2*IF(AV$6=OFFSET(Assumptions!$B$8,0,$C$1),SUMPRODUCT(OFFSET(AU$346,0,0,1,-OFFSET(Assumptions!$B$67,0,$C$1)),OFFSET(AU$16,0,0,1,-OFFSET(Assumptions!$B$67,0,$C$1)))/OFFSET(Assumptions!$B$67,0,$C$1)-AU$346/AU$14,(AU$346/AU$14-AT$346/AT$14)/AU$2),0))*AV$14</f>
        <v>89.052274638339938</v>
      </c>
      <c r="AW346" s="7">
        <f ca="1">(AV$346/AV$14+ IF(AW$2&gt;0,AW$2*IF(AW$6=OFFSET(Assumptions!$B$8,0,$C$1),SUMPRODUCT(OFFSET(AV$346,0,0,1,-OFFSET(Assumptions!$B$67,0,$C$1)),OFFSET(AV$16,0,0,1,-OFFSET(Assumptions!$B$67,0,$C$1)))/OFFSET(Assumptions!$B$67,0,$C$1)-AV$346/AV$14,(AV$346/AV$14-AU$346/AU$14)/AV$2),0))*AW$14</f>
        <v>92.365711635082349</v>
      </c>
    </row>
    <row r="347" spans="1:49" ht="15" x14ac:dyDescent="0.25">
      <c r="A347" s="2" t="s">
        <v>608</v>
      </c>
      <c r="B347" s="4"/>
      <c r="D347" s="40">
        <f t="shared" ref="D347:AW347" ca="1" si="218">SUM(D$345:D$346)</f>
        <v>37.090000000000003</v>
      </c>
      <c r="E347" s="39">
        <f t="shared" ca="1" si="218"/>
        <v>33.223999999999997</v>
      </c>
      <c r="F347" s="39">
        <f t="shared" ca="1" si="218"/>
        <v>36.744999999999997</v>
      </c>
      <c r="G347" s="39">
        <f t="shared" ca="1" si="218"/>
        <v>30.581</v>
      </c>
      <c r="H347" s="39">
        <f t="shared" ca="1" si="218"/>
        <v>28.079000000000001</v>
      </c>
      <c r="I347" s="39">
        <f t="shared" ca="1" si="218"/>
        <v>31.675999999999998</v>
      </c>
      <c r="J347" s="43">
        <f t="shared" ca="1" si="218"/>
        <v>34.208196540306979</v>
      </c>
      <c r="K347" s="43">
        <f t="shared" ca="1" si="218"/>
        <v>36.70445060046827</v>
      </c>
      <c r="L347" s="43">
        <f t="shared" ca="1" si="218"/>
        <v>39.35252351684052</v>
      </c>
      <c r="M347" s="43">
        <f t="shared" ca="1" si="218"/>
        <v>42.116548851430998</v>
      </c>
      <c r="N347" s="43">
        <f t="shared" ca="1" si="218"/>
        <v>44.997652209841988</v>
      </c>
      <c r="O347" s="43">
        <f t="shared" ca="1" si="218"/>
        <v>47.956454008768006</v>
      </c>
      <c r="P347" s="43">
        <f t="shared" ca="1" si="218"/>
        <v>50.95864360474215</v>
      </c>
      <c r="Q347" s="43">
        <f t="shared" ca="1" si="218"/>
        <v>53.999986366022092</v>
      </c>
      <c r="R347" s="43">
        <f t="shared" ca="1" si="218"/>
        <v>57.081460401237479</v>
      </c>
      <c r="S347" s="43">
        <f t="shared" ca="1" si="218"/>
        <v>60.219262510966246</v>
      </c>
      <c r="T347" s="43">
        <f t="shared" ca="1" si="218"/>
        <v>63.417789293633689</v>
      </c>
      <c r="U347" s="43">
        <f t="shared" ca="1" si="218"/>
        <v>66.678368304368888</v>
      </c>
      <c r="V347" s="43">
        <f t="shared" ca="1" si="218"/>
        <v>69.99992625725379</v>
      </c>
      <c r="W347" s="43">
        <f t="shared" ca="1" si="218"/>
        <v>73.382467323975789</v>
      </c>
      <c r="X347" s="43">
        <f t="shared" ca="1" si="218"/>
        <v>76.834714737650003</v>
      </c>
      <c r="Y347" s="43">
        <f t="shared" ca="1" si="218"/>
        <v>80.345185707856558</v>
      </c>
      <c r="Z347" s="43">
        <f t="shared" ca="1" si="218"/>
        <v>83.933622881794847</v>
      </c>
      <c r="AA347" s="43">
        <f t="shared" ca="1" si="218"/>
        <v>87.625928736884163</v>
      </c>
      <c r="AB347" s="43">
        <f t="shared" ca="1" si="218"/>
        <v>91.457680753525068</v>
      </c>
      <c r="AC347" s="43">
        <f t="shared" ca="1" si="218"/>
        <v>95.471762117024298</v>
      </c>
      <c r="AD347" s="43">
        <f t="shared" ca="1" si="218"/>
        <v>99.712057225915544</v>
      </c>
      <c r="AE347" s="43">
        <f t="shared" ca="1" si="218"/>
        <v>104.19729101028616</v>
      </c>
      <c r="AF347" s="43">
        <f t="shared" ca="1" si="218"/>
        <v>108.96745056586619</v>
      </c>
      <c r="AG347" s="43">
        <f t="shared" ca="1" si="218"/>
        <v>114.03296906780068</v>
      </c>
      <c r="AH347" s="43">
        <f t="shared" ca="1" si="218"/>
        <v>119.42008934316169</v>
      </c>
      <c r="AI347" s="43">
        <f t="shared" ca="1" si="218"/>
        <v>125.14267569490744</v>
      </c>
      <c r="AJ347" s="43">
        <f t="shared" ca="1" si="218"/>
        <v>131.22587940599527</v>
      </c>
      <c r="AK347" s="43">
        <f t="shared" ca="1" si="218"/>
        <v>137.67357010752022</v>
      </c>
      <c r="AL347" s="43">
        <f t="shared" ca="1" si="218"/>
        <v>144.50314670251072</v>
      </c>
      <c r="AM347" s="43">
        <f t="shared" ca="1" si="218"/>
        <v>151.73406683957086</v>
      </c>
      <c r="AN347" s="43">
        <f t="shared" ca="1" si="218"/>
        <v>159.37475634342491</v>
      </c>
      <c r="AO347" s="43">
        <f t="shared" ca="1" si="218"/>
        <v>167.40957122205592</v>
      </c>
      <c r="AP347" s="43">
        <f t="shared" ca="1" si="218"/>
        <v>175.82306157977877</v>
      </c>
      <c r="AQ347" s="43">
        <f t="shared" ca="1" si="218"/>
        <v>184.58212837905415</v>
      </c>
      <c r="AR347" s="43">
        <f t="shared" ca="1" si="218"/>
        <v>193.64382096321134</v>
      </c>
      <c r="AS347" s="43">
        <f t="shared" ca="1" si="218"/>
        <v>202.97034637083817</v>
      </c>
      <c r="AT347" s="43">
        <f t="shared" ca="1" si="218"/>
        <v>212.57750757299155</v>
      </c>
      <c r="AU347" s="43">
        <f t="shared" ca="1" si="218"/>
        <v>222.46329850448339</v>
      </c>
      <c r="AV347" s="43">
        <f t="shared" ca="1" si="218"/>
        <v>232.64684150724895</v>
      </c>
      <c r="AW347" s="43">
        <f t="shared" ca="1" si="218"/>
        <v>243.1134246520665</v>
      </c>
    </row>
    <row r="348" spans="1:49" x14ac:dyDescent="0.2">
      <c r="A348" s="1" t="s">
        <v>295</v>
      </c>
      <c r="B348" s="4" t="str">
        <f t="shared" si="217"/>
        <v>From Fiscal</v>
      </c>
      <c r="D348" s="18">
        <f>Fiscal!D$202</f>
        <v>25.789000000000001</v>
      </c>
      <c r="E348" s="19">
        <f>Fiscal!E$202</f>
        <v>25.937999999999999</v>
      </c>
      <c r="F348" s="19">
        <f>Fiscal!F$202</f>
        <v>25.821000000000002</v>
      </c>
      <c r="G348" s="19">
        <f>Fiscal!G$202</f>
        <v>26.39</v>
      </c>
      <c r="H348" s="19">
        <f>Fiscal!H$202</f>
        <v>27.196000000000002</v>
      </c>
      <c r="I348" s="19">
        <f>Fiscal!I$202</f>
        <v>28.184000000000001</v>
      </c>
      <c r="J348" s="7">
        <f>I$348*Exogenous!Q$28/Exogenous!P$28</f>
        <v>29.517135600477715</v>
      </c>
      <c r="K348" s="7">
        <f>J$348*Exogenous!R$28/Exogenous!Q$28</f>
        <v>30.852619888261898</v>
      </c>
      <c r="L348" s="7">
        <f>K$348*Exogenous!S$28/Exogenous!R$28</f>
        <v>32.212531503033112</v>
      </c>
      <c r="M348" s="7">
        <f>L$348*Exogenous!T$28/Exogenous!S$28</f>
        <v>33.600184772952197</v>
      </c>
      <c r="N348" s="7">
        <f>M$348*Exogenous!U$28/Exogenous!T$28</f>
        <v>35.038867876569725</v>
      </c>
      <c r="O348" s="7">
        <f>N$348*Exogenous!V$28/Exogenous!U$28</f>
        <v>36.569325385041282</v>
      </c>
      <c r="P348" s="7">
        <f>O$348*Exogenous!W$28/Exogenous!V$28</f>
        <v>38.135191240197578</v>
      </c>
      <c r="Q348" s="7">
        <f>P$348*Exogenous!X$28/Exogenous!W$28</f>
        <v>39.750234320626006</v>
      </c>
      <c r="R348" s="7">
        <f>Q$348*Exogenous!Y$28/Exogenous!X$28</f>
        <v>41.42316966156617</v>
      </c>
      <c r="S348" s="7">
        <f>R$348*Exogenous!Z$28/Exogenous!Y$28</f>
        <v>43.149354617119329</v>
      </c>
      <c r="T348" s="7">
        <f>S$348*Exogenous!AA$28/Exogenous!Z$28</f>
        <v>44.94063469524189</v>
      </c>
      <c r="U348" s="7">
        <f>T$348*Exogenous!AB$28/Exogenous!AA$28</f>
        <v>46.79775227563286</v>
      </c>
      <c r="V348" s="7">
        <f>U$348*Exogenous!AC$28/Exogenous!AB$28</f>
        <v>48.727017585065759</v>
      </c>
      <c r="W348" s="7">
        <f>V$348*Exogenous!AD$28/Exogenous!AC$28</f>
        <v>50.734465757756553</v>
      </c>
      <c r="X348" s="7">
        <f>W$348*Exogenous!AE$28/Exogenous!AD$28</f>
        <v>52.825051177927378</v>
      </c>
      <c r="Y348" s="7">
        <f>X$348*Exogenous!AF$28/Exogenous!AE$28</f>
        <v>54.989256973574292</v>
      </c>
      <c r="Z348" s="7">
        <f>Y$348*Exogenous!AG$28/Exogenous!AF$28</f>
        <v>57.256495171934176</v>
      </c>
      <c r="AA348" s="7">
        <f>Z$348*Exogenous!AH$28/Exogenous!AG$28</f>
        <v>59.631176491808219</v>
      </c>
      <c r="AB348" s="7">
        <f>AA$348*Exogenous!AI$28/Exogenous!AH$28</f>
        <v>62.116172354595918</v>
      </c>
      <c r="AC348" s="7">
        <f>AB$348*Exogenous!AJ$28/Exogenous!AI$28</f>
        <v>64.716107911829283</v>
      </c>
      <c r="AD348" s="7">
        <f>AC$348*Exogenous!AK$28/Exogenous!AJ$28</f>
        <v>67.463935993293759</v>
      </c>
      <c r="AE348" s="7">
        <f>AD$348*Exogenous!AL$28/Exogenous!AK$28</f>
        <v>70.363768071542339</v>
      </c>
      <c r="AF348" s="7">
        <f>AE$348*Exogenous!AM$28/Exogenous!AL$28</f>
        <v>73.414286617442158</v>
      </c>
      <c r="AG348" s="7">
        <f>AF$348*Exogenous!AN$28/Exogenous!AM$28</f>
        <v>76.641755962158598</v>
      </c>
      <c r="AH348" s="7">
        <f>AG$348*Exogenous!AO$28/Exogenous!AN$28</f>
        <v>80.051430464434446</v>
      </c>
      <c r="AI348" s="7">
        <f>AH$348*Exogenous!AP$28/Exogenous!AO$28</f>
        <v>83.642647333670553</v>
      </c>
      <c r="AJ348" s="7">
        <f>AI$348*Exogenous!AQ$28/Exogenous!AP$28</f>
        <v>87.445267157922103</v>
      </c>
      <c r="AK348" s="7">
        <f>AJ$348*Exogenous!AR$28/Exogenous!AQ$28</f>
        <v>91.472754897412798</v>
      </c>
      <c r="AL348" s="7">
        <f>AK$348*Exogenous!AS$28/Exogenous!AR$28</f>
        <v>95.739424577335598</v>
      </c>
      <c r="AM348" s="7">
        <f>AL$348*Exogenous!AT$28/Exogenous!AS$28</f>
        <v>100.26046346701983</v>
      </c>
      <c r="AN348" s="7">
        <f>AM$348*Exogenous!AU$28/Exogenous!AT$28</f>
        <v>105.0519419909246</v>
      </c>
      <c r="AO348" s="7">
        <f>AN$348*Exogenous!AV$28/Exogenous!AU$28</f>
        <v>110.13085018074766</v>
      </c>
      <c r="AP348" s="7">
        <f>AO$348*Exogenous!AW$28/Exogenous!AV$28</f>
        <v>115.51519936982338</v>
      </c>
      <c r="AQ348" s="7">
        <f>AP$348*Exogenous!AX$28/Exogenous!AW$28</f>
        <v>121.22405480963725</v>
      </c>
      <c r="AR348" s="7">
        <f>AQ$348*Exogenous!AY$28/Exogenous!AX$28</f>
        <v>127.28618610856257</v>
      </c>
      <c r="AS348" s="7">
        <f>AR$348*Exogenous!AZ$28/Exogenous!AY$28</f>
        <v>133.74086494497149</v>
      </c>
      <c r="AT348" s="7">
        <f>AS$348*Exogenous!BA$28/Exogenous!AZ$28</f>
        <v>140.3954398820768</v>
      </c>
      <c r="AU348" s="7">
        <f>AT$348*Exogenous!BB$28/Exogenous!BA$28</f>
        <v>147.38112803287169</v>
      </c>
      <c r="AV348" s="7">
        <f>AU$348*Exogenous!BC$28/Exogenous!BB$28</f>
        <v>154.71440467358579</v>
      </c>
      <c r="AW348" s="7">
        <f>AV$348*Exogenous!BD$28/Exogenous!BC$28</f>
        <v>162.41256484455252</v>
      </c>
    </row>
    <row r="349" spans="1:49" x14ac:dyDescent="0.2">
      <c r="A349" s="1" t="s">
        <v>529</v>
      </c>
      <c r="B349" s="4" t="str">
        <f t="shared" si="217"/>
        <v>From Fiscal</v>
      </c>
      <c r="D349" s="18">
        <f>Fiscal!D$203</f>
        <v>3.8119999999999998</v>
      </c>
      <c r="E349" s="19">
        <f>Fiscal!E$203</f>
        <v>3.726</v>
      </c>
      <c r="F349" s="19">
        <f>Fiscal!F$203</f>
        <v>3.5289999999999999</v>
      </c>
      <c r="G349" s="19">
        <f>Fiscal!G$203</f>
        <v>3.66</v>
      </c>
      <c r="H349" s="19">
        <f>Fiscal!H$203</f>
        <v>3.7919999999999998</v>
      </c>
      <c r="I349" s="19">
        <f>Fiscal!I$203</f>
        <v>3.984</v>
      </c>
      <c r="J349" s="7">
        <f ca="1">(I$349/I$14+ IF(J$2&gt;0,J$2*IF(J$6=OFFSET(Assumptions!$B$8,0,$C$1),SUMPRODUCT(OFFSET(I$349,0,0,1,-OFFSET(Assumptions!$B$67,0,$C$1)),OFFSET(I$16,0,0,1,-OFFSET(Assumptions!$B$67,0,$C$1)))/OFFSET(Assumptions!$B$67,0,$C$1)-I$349/I$14,(I$349/I$14-H$349/H$14)/I$2),0))*J$14</f>
        <v>4.1496679695617731</v>
      </c>
      <c r="K349" s="7">
        <f ca="1">(J$349/J$14+ IF(K$2&gt;0,K$2*IF(K$6=OFFSET(Assumptions!$B$8,0,$C$1),SUMPRODUCT(OFFSET(J$349,0,0,1,-OFFSET(Assumptions!$B$67,0,$C$1)),OFFSET(J$16,0,0,1,-OFFSET(Assumptions!$B$67,0,$C$1)))/OFFSET(Assumptions!$B$67,0,$C$1)-J$349/J$14,(J$349/J$14-I$349/I$14)/J$2),0))*K$14</f>
        <v>4.3212445210123978</v>
      </c>
      <c r="L349" s="7">
        <f ca="1">(K$349/K$14+ IF(L$2&gt;0,L$2*IF(L$6=OFFSET(Assumptions!$B$8,0,$C$1),SUMPRODUCT(OFFSET(K$349,0,0,1,-OFFSET(Assumptions!$B$67,0,$C$1)),OFFSET(K$16,0,0,1,-OFFSET(Assumptions!$B$67,0,$C$1)))/OFFSET(Assumptions!$B$67,0,$C$1)-K$349/K$14,(K$349/K$14-J$349/J$14)/K$2),0))*L$14</f>
        <v>4.5071111699105204</v>
      </c>
      <c r="M349" s="7">
        <f ca="1">(L$349/L$14+ IF(M$2&gt;0,M$2*IF(M$6=OFFSET(Assumptions!$B$8,0,$C$1),SUMPRODUCT(OFFSET(L$349,0,0,1,-OFFSET(Assumptions!$B$67,0,$C$1)),OFFSET(L$16,0,0,1,-OFFSET(Assumptions!$B$67,0,$C$1)))/OFFSET(Assumptions!$B$67,0,$C$1)-L$349/L$14,(L$349/L$14-K$349/K$14)/L$2),0))*M$14</f>
        <v>4.7008467124356805</v>
      </c>
      <c r="N349" s="7">
        <f ca="1">(M$349/M$14+ IF(N$2&gt;0,N$2*IF(N$6=OFFSET(Assumptions!$B$8,0,$C$1),SUMPRODUCT(OFFSET(M$349,0,0,1,-OFFSET(Assumptions!$B$67,0,$C$1)),OFFSET(M$16,0,0,1,-OFFSET(Assumptions!$B$67,0,$C$1)))/OFFSET(Assumptions!$B$67,0,$C$1)-M$349/M$14,(M$349/M$14-L$349/L$14)/M$2),0))*N$14</f>
        <v>4.9030604150054096</v>
      </c>
      <c r="O349" s="7">
        <f ca="1">(N$349/N$14+ IF(O$2&gt;0,O$2*IF(O$6=OFFSET(Assumptions!$B$8,0,$C$1),SUMPRODUCT(OFFSET(N$349,0,0,1,-OFFSET(Assumptions!$B$67,0,$C$1)),OFFSET(N$16,0,0,1,-OFFSET(Assumptions!$B$67,0,$C$1)))/OFFSET(Assumptions!$B$67,0,$C$1)-N$349/N$14,(N$349/N$14-M$349/M$14)/N$2),0))*O$14</f>
        <v>5.1123560462327688</v>
      </c>
      <c r="P349" s="7">
        <f ca="1">(O$349/O$14+ IF(P$2&gt;0,P$2*IF(P$6=OFFSET(Assumptions!$B$8,0,$C$1),SUMPRODUCT(OFFSET(O$349,0,0,1,-OFFSET(Assumptions!$B$67,0,$C$1)),OFFSET(O$16,0,0,1,-OFFSET(Assumptions!$B$67,0,$C$1)))/OFFSET(Assumptions!$B$67,0,$C$1)-O$349/O$14,(O$349/O$14-N$349/N$14)/O$2),0))*P$14</f>
        <v>5.3285519660839755</v>
      </c>
      <c r="Q349" s="7">
        <f ca="1">(P$349/P$14+ IF(Q$2&gt;0,Q$2*IF(Q$6=OFFSET(Assumptions!$B$8,0,$C$1),SUMPRODUCT(OFFSET(P$349,0,0,1,-OFFSET(Assumptions!$B$67,0,$C$1)),OFFSET(P$16,0,0,1,-OFFSET(Assumptions!$B$67,0,$C$1)))/OFFSET(Assumptions!$B$67,0,$C$1)-P$349/P$14,(P$349/P$14-O$349/O$14)/P$2),0))*Q$14</f>
        <v>5.5514146432679627</v>
      </c>
      <c r="R349" s="7">
        <f ca="1">(Q$349/Q$14+ IF(R$2&gt;0,R$2*IF(R$6=OFFSET(Assumptions!$B$8,0,$C$1),SUMPRODUCT(OFFSET(Q$349,0,0,1,-OFFSET(Assumptions!$B$67,0,$C$1)),OFFSET(Q$16,0,0,1,-OFFSET(Assumptions!$B$67,0,$C$1)))/OFFSET(Assumptions!$B$67,0,$C$1)-Q$349/Q$14,(Q$349/Q$14-P$349/P$14)/Q$2),0))*R$14</f>
        <v>5.7807786652041795</v>
      </c>
      <c r="S349" s="7">
        <f ca="1">(R$349/R$14+ IF(S$2&gt;0,S$2*IF(S$6=OFFSET(Assumptions!$B$8,0,$C$1),SUMPRODUCT(OFFSET(R$349,0,0,1,-OFFSET(Assumptions!$B$67,0,$C$1)),OFFSET(R$16,0,0,1,-OFFSET(Assumptions!$B$67,0,$C$1)))/OFFSET(Assumptions!$B$67,0,$C$1)-R$349/R$14,(R$349/R$14-Q$349/Q$14)/R$2),0))*S$14</f>
        <v>6.0173729414015282</v>
      </c>
      <c r="T349" s="7">
        <f ca="1">(S$349/S$14+ IF(T$2&gt;0,T$2*IF(T$6=OFFSET(Assumptions!$B$8,0,$C$1),SUMPRODUCT(OFFSET(S$349,0,0,1,-OFFSET(Assumptions!$B$67,0,$C$1)),OFFSET(S$16,0,0,1,-OFFSET(Assumptions!$B$67,0,$C$1)))/OFFSET(Assumptions!$B$67,0,$C$1)-S$349/S$14,(S$349/S$14-R$349/R$14)/S$2),0))*T$14</f>
        <v>6.2612837497822307</v>
      </c>
      <c r="U349" s="7">
        <f ca="1">(T$349/T$14+ IF(U$2&gt;0,U$2*IF(U$6=OFFSET(Assumptions!$B$8,0,$C$1),SUMPRODUCT(OFFSET(T$349,0,0,1,-OFFSET(Assumptions!$B$67,0,$C$1)),OFFSET(T$16,0,0,1,-OFFSET(Assumptions!$B$67,0,$C$1)))/OFFSET(Assumptions!$B$67,0,$C$1)-T$349/T$14,(T$349/T$14-S$349/S$14)/T$2),0))*U$14</f>
        <v>6.5133864798081555</v>
      </c>
      <c r="V349" s="7">
        <f ca="1">(U$349/U$14+ IF(V$2&gt;0,V$2*IF(V$6=OFFSET(Assumptions!$B$8,0,$C$1),SUMPRODUCT(OFFSET(U$349,0,0,1,-OFFSET(Assumptions!$B$67,0,$C$1)),OFFSET(U$16,0,0,1,-OFFSET(Assumptions!$B$67,0,$C$1)))/OFFSET(Assumptions!$B$67,0,$C$1)-U$349/U$14,(U$349/U$14-T$349/T$14)/U$2),0))*V$14</f>
        <v>6.7743034485083236</v>
      </c>
      <c r="W349" s="7">
        <f ca="1">(V$349/V$14+ IF(W$2&gt;0,W$2*IF(W$6=OFFSET(Assumptions!$B$8,0,$C$1),SUMPRODUCT(OFFSET(V$349,0,0,1,-OFFSET(Assumptions!$B$67,0,$C$1)),OFFSET(V$16,0,0,1,-OFFSET(Assumptions!$B$67,0,$C$1)))/OFFSET(Assumptions!$B$67,0,$C$1)-V$349/V$14,(V$349/V$14-U$349/U$14)/V$2),0))*W$14</f>
        <v>7.0447905981540666</v>
      </c>
      <c r="X349" s="7">
        <f ca="1">(W$349/W$14+ IF(X$2&gt;0,X$2*IF(X$6=OFFSET(Assumptions!$B$8,0,$C$1),SUMPRODUCT(OFFSET(W$349,0,0,1,-OFFSET(Assumptions!$B$67,0,$C$1)),OFFSET(W$16,0,0,1,-OFFSET(Assumptions!$B$67,0,$C$1)))/OFFSET(Assumptions!$B$67,0,$C$1)-W$349/W$14,(W$349/W$14-V$349/V$14)/W$2),0))*X$14</f>
        <v>7.3257046852501224</v>
      </c>
      <c r="Y349" s="7">
        <f ca="1">(X$349/X$14+ IF(Y$2&gt;0,Y$2*IF(Y$6=OFFSET(Assumptions!$B$8,0,$C$1),SUMPRODUCT(OFFSET(X$349,0,0,1,-OFFSET(Assumptions!$B$67,0,$C$1)),OFFSET(X$16,0,0,1,-OFFSET(Assumptions!$B$67,0,$C$1)))/OFFSET(Assumptions!$B$67,0,$C$1)-X$349/X$14,(X$349/X$14-W$349/W$14)/X$2),0))*Y$14</f>
        <v>7.6170169910754959</v>
      </c>
      <c r="Z349" s="7">
        <f ca="1">(Y$349/Y$14+ IF(Z$2&gt;0,Z$2*IF(Z$6=OFFSET(Assumptions!$B$8,0,$C$1),SUMPRODUCT(OFFSET(Y$349,0,0,1,-OFFSET(Assumptions!$B$67,0,$C$1)),OFFSET(Y$16,0,0,1,-OFFSET(Assumptions!$B$67,0,$C$1)))/OFFSET(Assumptions!$B$67,0,$C$1)-Y$349/Y$14,(Y$349/Y$14-X$349/X$14)/Y$2),0))*Z$14</f>
        <v>7.9202020343470636</v>
      </c>
      <c r="AA349" s="7">
        <f ca="1">(Z$349/Z$14+ IF(AA$2&gt;0,AA$2*IF(AA$6=OFFSET(Assumptions!$B$8,0,$C$1),SUMPRODUCT(OFFSET(Z$349,0,0,1,-OFFSET(Assumptions!$B$67,0,$C$1)),OFFSET(Z$16,0,0,1,-OFFSET(Assumptions!$B$67,0,$C$1)))/OFFSET(Assumptions!$B$67,0,$C$1)-Z$349/Z$14,(Z$349/Z$14-Y$349/Y$14)/Z$2),0))*AA$14</f>
        <v>8.235750369510372</v>
      </c>
      <c r="AB349" s="7">
        <f ca="1">(AA$349/AA$14+ IF(AB$2&gt;0,AB$2*IF(AB$6=OFFSET(Assumptions!$B$8,0,$C$1),SUMPRODUCT(OFFSET(AA$349,0,0,1,-OFFSET(Assumptions!$B$67,0,$C$1)),OFFSET(AA$16,0,0,1,-OFFSET(Assumptions!$B$67,0,$C$1)))/OFFSET(Assumptions!$B$67,0,$C$1)-AA$349/AA$14,(AA$349/AA$14-Z$349/Z$14)/AA$2),0))*AB$14</f>
        <v>8.5646096173572026</v>
      </c>
      <c r="AC349" s="7">
        <f ca="1">(AB$349/AB$14+ IF(AC$2&gt;0,AC$2*IF(AC$6=OFFSET(Assumptions!$B$8,0,$C$1),SUMPRODUCT(OFFSET(AB$349,0,0,1,-OFFSET(Assumptions!$B$67,0,$C$1)),OFFSET(AB$16,0,0,1,-OFFSET(Assumptions!$B$67,0,$C$1)))/OFFSET(Assumptions!$B$67,0,$C$1)-AB$349/AB$14,(AB$349/AB$14-AA$349/AA$14)/AB$2),0))*AC$14</f>
        <v>8.9080212661751634</v>
      </c>
      <c r="AD349" s="7">
        <f ca="1">(AC$349/AC$14+ IF(AD$2&gt;0,AD$2*IF(AD$6=OFFSET(Assumptions!$B$8,0,$C$1),SUMPRODUCT(OFFSET(AC$349,0,0,1,-OFFSET(Assumptions!$B$67,0,$C$1)),OFFSET(AC$16,0,0,1,-OFFSET(Assumptions!$B$67,0,$C$1)))/OFFSET(Assumptions!$B$67,0,$C$1)-AC$349/AC$14,(AC$349/AC$14-AB$349/AB$14)/AC$2),0))*AD$14</f>
        <v>9.2663472760783314</v>
      </c>
      <c r="AE349" s="7">
        <f ca="1">(AD$349/AD$14+ IF(AE$2&gt;0,AE$2*IF(AE$6=OFFSET(Assumptions!$B$8,0,$C$1),SUMPRODUCT(OFFSET(AD$349,0,0,1,-OFFSET(Assumptions!$B$67,0,$C$1)),OFFSET(AD$16,0,0,1,-OFFSET(Assumptions!$B$67,0,$C$1)))/OFFSET(Assumptions!$B$67,0,$C$1)-AD$349/AD$14,(AD$349/AD$14-AC$349/AC$14)/AD$2),0))*AE$14</f>
        <v>9.6392585723865913</v>
      </c>
      <c r="AF349" s="7">
        <f ca="1">(AE$349/AE$14+ IF(AF$2&gt;0,AF$2*IF(AF$6=OFFSET(Assumptions!$B$8,0,$C$1),SUMPRODUCT(OFFSET(AE$349,0,0,1,-OFFSET(Assumptions!$B$67,0,$C$1)),OFFSET(AE$16,0,0,1,-OFFSET(Assumptions!$B$67,0,$C$1)))/OFFSET(Assumptions!$B$67,0,$C$1)-AE$349/AE$14,(AE$349/AE$14-AD$349/AD$14)/AE$2),0))*AF$14</f>
        <v>10.027786851342773</v>
      </c>
      <c r="AG349" s="7">
        <f ca="1">(AF$349/AF$14+ IF(AG$2&gt;0,AG$2*IF(AG$6=OFFSET(Assumptions!$B$8,0,$C$1),SUMPRODUCT(OFFSET(AF$349,0,0,1,-OFFSET(Assumptions!$B$67,0,$C$1)),OFFSET(AF$16,0,0,1,-OFFSET(Assumptions!$B$67,0,$C$1)))/OFFSET(Assumptions!$B$67,0,$C$1)-AF$349/AF$14,(AF$349/AF$14-AE$349/AE$14)/AF$2),0))*AG$14</f>
        <v>10.432149361713998</v>
      </c>
      <c r="AH349" s="7">
        <f ca="1">(AG$349/AG$14+ IF(AH$2&gt;0,AH$2*IF(AH$6=OFFSET(Assumptions!$B$8,0,$C$1),SUMPRODUCT(OFFSET(AG$349,0,0,1,-OFFSET(Assumptions!$B$67,0,$C$1)),OFFSET(AG$16,0,0,1,-OFFSET(Assumptions!$B$67,0,$C$1)))/OFFSET(Assumptions!$B$67,0,$C$1)-AG$349/AG$14,(AG$349/AG$14-AF$349/AF$14)/AG$2),0))*AH$14</f>
        <v>10.85299452684287</v>
      </c>
      <c r="AI349" s="7">
        <f ca="1">(AH$349/AH$14+ IF(AI$2&gt;0,AI$2*IF(AI$6=OFFSET(Assumptions!$B$8,0,$C$1),SUMPRODUCT(OFFSET(AH$349,0,0,1,-OFFSET(Assumptions!$B$67,0,$C$1)),OFFSET(AH$16,0,0,1,-OFFSET(Assumptions!$B$67,0,$C$1)))/OFFSET(Assumptions!$B$67,0,$C$1)-AH$349/AH$14,(AH$349/AH$14-AG$349/AG$14)/AH$2),0))*AI$14</f>
        <v>11.289586990912024</v>
      </c>
      <c r="AJ349" s="7">
        <f ca="1">(AI$349/AI$14+ IF(AJ$2&gt;0,AJ$2*IF(AJ$6=OFFSET(Assumptions!$B$8,0,$C$1),SUMPRODUCT(OFFSET(AI$349,0,0,1,-OFFSET(Assumptions!$B$67,0,$C$1)),OFFSET(AI$16,0,0,1,-OFFSET(Assumptions!$B$67,0,$C$1)))/OFFSET(Assumptions!$B$67,0,$C$1)-AI$349/AI$14,(AI$349/AI$14-AH$349/AH$14)/AI$2),0))*AJ$14</f>
        <v>11.743325377108864</v>
      </c>
      <c r="AK349" s="7">
        <f ca="1">(AJ$349/AJ$14+ IF(AK$2&gt;0,AK$2*IF(AK$6=OFFSET(Assumptions!$B$8,0,$C$1),SUMPRODUCT(OFFSET(AJ$349,0,0,1,-OFFSET(Assumptions!$B$67,0,$C$1)),OFFSET(AJ$16,0,0,1,-OFFSET(Assumptions!$B$67,0,$C$1)))/OFFSET(Assumptions!$B$67,0,$C$1)-AJ$349/AJ$14,(AJ$349/AJ$14-AI$349/AI$14)/AJ$2),0))*AK$14</f>
        <v>12.213836426260137</v>
      </c>
      <c r="AL349" s="7">
        <f ca="1">(AK$349/AK$14+ IF(AL$2&gt;0,AL$2*IF(AL$6=OFFSET(Assumptions!$B$8,0,$C$1),SUMPRODUCT(OFFSET(AK$349,0,0,1,-OFFSET(Assumptions!$B$67,0,$C$1)),OFFSET(AK$16,0,0,1,-OFFSET(Assumptions!$B$67,0,$C$1)))/OFFSET(Assumptions!$B$67,0,$C$1)-AK$349/AK$14,(AK$349/AK$14-AJ$349/AJ$14)/AK$2),0))*AL$14</f>
        <v>12.700749503831888</v>
      </c>
      <c r="AM349" s="7">
        <f ca="1">(AL$349/AL$14+ IF(AM$2&gt;0,AM$2*IF(AM$6=OFFSET(Assumptions!$B$8,0,$C$1),SUMPRODUCT(OFFSET(AL$349,0,0,1,-OFFSET(Assumptions!$B$67,0,$C$1)),OFFSET(AL$16,0,0,1,-OFFSET(Assumptions!$B$67,0,$C$1)))/OFFSET(Assumptions!$B$67,0,$C$1)-AL$349/AL$14,(AL$349/AL$14-AK$349/AK$14)/AL$2),0))*AM$14</f>
        <v>13.204729796494039</v>
      </c>
      <c r="AN349" s="7">
        <f ca="1">(AM$349/AM$14+ IF(AN$2&gt;0,AN$2*IF(AN$6=OFFSET(Assumptions!$B$8,0,$C$1),SUMPRODUCT(OFFSET(AM$349,0,0,1,-OFFSET(Assumptions!$B$67,0,$C$1)),OFFSET(AM$16,0,0,1,-OFFSET(Assumptions!$B$67,0,$C$1)))/OFFSET(Assumptions!$B$67,0,$C$1)-AM$349/AM$14,(AM$349/AM$14-AL$349/AL$14)/AM$2),0))*AN$14</f>
        <v>13.726478335953091</v>
      </c>
      <c r="AO349" s="7">
        <f ca="1">(AN$349/AN$14+ IF(AO$2&gt;0,AO$2*IF(AO$6=OFFSET(Assumptions!$B$8,0,$C$1),SUMPRODUCT(OFFSET(AN$349,0,0,1,-OFFSET(Assumptions!$B$67,0,$C$1)),OFFSET(AN$16,0,0,1,-OFFSET(Assumptions!$B$67,0,$C$1)))/OFFSET(Assumptions!$B$67,0,$C$1)-AN$349/AN$14,(AN$349/AN$14-AM$349/AM$14)/AN$2),0))*AO$14</f>
        <v>14.263946396123599</v>
      </c>
      <c r="AP349" s="7">
        <f ca="1">(AO$349/AO$14+ IF(AP$2&gt;0,AP$2*IF(AP$6=OFFSET(Assumptions!$B$8,0,$C$1),SUMPRODUCT(OFFSET(AO$349,0,0,1,-OFFSET(Assumptions!$B$67,0,$C$1)),OFFSET(AO$16,0,0,1,-OFFSET(Assumptions!$B$67,0,$C$1)))/OFFSET(Assumptions!$B$67,0,$C$1)-AO$349/AO$14,(AO$349/AO$14-AN$349/AN$14)/AO$2),0))*AP$14</f>
        <v>14.819416332499348</v>
      </c>
      <c r="AQ349" s="7">
        <f ca="1">(AP$349/AP$14+ IF(AQ$2&gt;0,AQ$2*IF(AQ$6=OFFSET(Assumptions!$B$8,0,$C$1),SUMPRODUCT(OFFSET(AP$349,0,0,1,-OFFSET(Assumptions!$B$67,0,$C$1)),OFFSET(AP$16,0,0,1,-OFFSET(Assumptions!$B$67,0,$C$1)))/OFFSET(Assumptions!$B$67,0,$C$1)-AP$349/AP$14,(AP$349/AP$14-AO$349/AO$14)/AP$2),0))*AQ$14</f>
        <v>15.391331720071525</v>
      </c>
      <c r="AR349" s="7">
        <f ca="1">(AQ$349/AQ$14+ IF(AR$2&gt;0,AR$2*IF(AR$6=OFFSET(Assumptions!$B$8,0,$C$1),SUMPRODUCT(OFFSET(AQ$349,0,0,1,-OFFSET(Assumptions!$B$67,0,$C$1)),OFFSET(AQ$16,0,0,1,-OFFSET(Assumptions!$B$67,0,$C$1)))/OFFSET(Assumptions!$B$67,0,$C$1)-AQ$349/AQ$14,(AQ$349/AQ$14-AP$349/AP$14)/AQ$2),0))*AR$14</f>
        <v>15.980340069372735</v>
      </c>
      <c r="AS349" s="7">
        <f ca="1">(AR$349/AR$14+ IF(AS$2&gt;0,AS$2*IF(AS$6=OFFSET(Assumptions!$B$8,0,$C$1),SUMPRODUCT(OFFSET(AR$349,0,0,1,-OFFSET(Assumptions!$B$67,0,$C$1)),OFFSET(AR$16,0,0,1,-OFFSET(Assumptions!$B$67,0,$C$1)))/OFFSET(Assumptions!$B$67,0,$C$1)-AR$349/AR$14,(AR$349/AR$14-AQ$349/AQ$14)/AR$2),0))*AS$14</f>
        <v>16.587815519892608</v>
      </c>
      <c r="AT349" s="7">
        <f ca="1">(AS$349/AS$14+ IF(AT$2&gt;0,AT$2*IF(AT$6=OFFSET(Assumptions!$B$8,0,$C$1),SUMPRODUCT(OFFSET(AS$349,0,0,1,-OFFSET(Assumptions!$B$67,0,$C$1)),OFFSET(AS$16,0,0,1,-OFFSET(Assumptions!$B$67,0,$C$1)))/OFFSET(Assumptions!$B$67,0,$C$1)-AS$349/AS$14,(AS$349/AS$14-AR$349/AR$14)/AS$2),0))*AT$14</f>
        <v>17.214243242385276</v>
      </c>
      <c r="AU349" s="7">
        <f ca="1">(AT$349/AT$14+ IF(AU$2&gt;0,AU$2*IF(AU$6=OFFSET(Assumptions!$B$8,0,$C$1),SUMPRODUCT(OFFSET(AT$349,0,0,1,-OFFSET(Assumptions!$B$67,0,$C$1)),OFFSET(AT$16,0,0,1,-OFFSET(Assumptions!$B$67,0,$C$1)))/OFFSET(Assumptions!$B$67,0,$C$1)-AT$349/AT$14,(AT$349/AT$14-AS$349/AS$14)/AT$2),0))*AU$14</f>
        <v>17.860456245875046</v>
      </c>
      <c r="AV349" s="7">
        <f ca="1">(AU$349/AU$14+ IF(AV$2&gt;0,AV$2*IF(AV$6=OFFSET(Assumptions!$B$8,0,$C$1),SUMPRODUCT(OFFSET(AU$349,0,0,1,-OFFSET(Assumptions!$B$67,0,$C$1)),OFFSET(AU$16,0,0,1,-OFFSET(Assumptions!$B$67,0,$C$1)))/OFFSET(Assumptions!$B$67,0,$C$1)-AU$349/AU$14,(AU$349/AU$14-AT$349/AT$14)/AU$2),0))*AV$14</f>
        <v>18.528452555096752</v>
      </c>
      <c r="AW349" s="7">
        <f ca="1">(AV$349/AV$14+ IF(AW$2&gt;0,AW$2*IF(AW$6=OFFSET(Assumptions!$B$8,0,$C$1),SUMPRODUCT(OFFSET(AV$349,0,0,1,-OFFSET(Assumptions!$B$67,0,$C$1)),OFFSET(AV$16,0,0,1,-OFFSET(Assumptions!$B$67,0,$C$1)))/OFFSET(Assumptions!$B$67,0,$C$1)-AV$349/AV$14,(AV$349/AV$14-AU$349/AU$14)/AV$2),0))*AW$14</f>
        <v>19.217855048607145</v>
      </c>
    </row>
    <row r="350" spans="1:49" x14ac:dyDescent="0.2">
      <c r="A350" s="1" t="s">
        <v>530</v>
      </c>
      <c r="B350" s="4" t="str">
        <f t="shared" si="217"/>
        <v>From Fiscal</v>
      </c>
      <c r="D350" s="18">
        <f ca="1">Fiscal!D$116-SUM(D$347:D$349)</f>
        <v>-12.393000000000001</v>
      </c>
      <c r="E350" s="19">
        <f ca="1">Fiscal!E$116-SUM(E$347:E$349)</f>
        <v>-13.158999999999992</v>
      </c>
      <c r="F350" s="19">
        <f ca="1">Fiscal!F$116-SUM(F$347:F$349)</f>
        <v>-12.805999999999997</v>
      </c>
      <c r="G350" s="19">
        <f ca="1">Fiscal!G$116-SUM(G$347:G$349)</f>
        <v>-13.017000000000003</v>
      </c>
      <c r="H350" s="19">
        <f ca="1">Fiscal!H$116-SUM(H$347:H$349)</f>
        <v>-13.480000000000004</v>
      </c>
      <c r="I350" s="19">
        <f ca="1">Fiscal!I$116-SUM(I$347:I$349)</f>
        <v>-13.975999999999999</v>
      </c>
      <c r="J350" s="7">
        <f ca="1">IF(J$6=OFFSET(Assumptions!$B$8,0,$C$1),AVERAGE(G$350/G$348,H$350/H$348,I$350/I$348),I$350/I$348)*J$348</f>
        <v>-14.609017629826653</v>
      </c>
      <c r="K350" s="7">
        <f ca="1">IF(K$6=OFFSET(Assumptions!$B$8,0,$C$1),AVERAGE(H$350/H$348,I$350/I$348,J$350/J$348),J$350/J$348)*K$348</f>
        <v>-15.269993470052825</v>
      </c>
      <c r="L350" s="7">
        <f ca="1">IF(L$6=OFFSET(Assumptions!$B$8,0,$C$1),AVERAGE(I$350/I$348,J$350/J$348,K$350/K$348),K$350/K$348)*L$348</f>
        <v>-15.943059211393836</v>
      </c>
      <c r="M350" s="7">
        <f ca="1">IF(M$6=OFFSET(Assumptions!$B$8,0,$C$1),AVERAGE(J$350/J$348,K$350/K$348,L$350/L$348),L$350/L$348)*M$348</f>
        <v>-16.6298552257065</v>
      </c>
      <c r="N350" s="7">
        <f ca="1">IF(N$6=OFFSET(Assumptions!$B$8,0,$C$1),AVERAGE(K$350/K$348,L$350/L$348,M$350/M$348),M$350/M$348)*N$348</f>
        <v>-17.341907611444839</v>
      </c>
      <c r="O350" s="7">
        <f ca="1">IF(O$6=OFFSET(Assumptions!$B$8,0,$C$1),AVERAGE(L$350/L$348,M$350/M$348,N$350/N$348),N$350/N$348)*O$348</f>
        <v>-18.099382219604301</v>
      </c>
      <c r="P350" s="7">
        <f ca="1">IF(P$6=OFFSET(Assumptions!$B$8,0,$C$1),AVERAGE(M$350/M$348,N$350/N$348,O$350/O$348),O$350/O$348)*P$348</f>
        <v>-18.874381602794845</v>
      </c>
      <c r="Q350" s="7">
        <f ca="1">IF(Q$6=OFFSET(Assumptions!$B$8,0,$C$1),AVERAGE(N$350/N$348,O$350/O$348,P$350/P$348),P$350/P$348)*Q$348</f>
        <v>-19.673720439539103</v>
      </c>
      <c r="R350" s="7">
        <f ca="1">IF(R$6=OFFSET(Assumptions!$B$8,0,$C$1),AVERAGE(O$350/O$348,P$350/P$348,Q$350/Q$348),Q$350/Q$348)*R$348</f>
        <v>-20.501712092257581</v>
      </c>
      <c r="S350" s="7">
        <f ca="1">IF(S$6=OFFSET(Assumptions!$B$8,0,$C$1),AVERAGE(P$350/P$348,Q$350/Q$348,R$350/R$348),R$350/R$348)*S$348</f>
        <v>-21.35605876021846</v>
      </c>
      <c r="T350" s="7">
        <f ca="1">IF(T$6=OFFSET(Assumptions!$B$8,0,$C$1),AVERAGE(Q$350/Q$348,R$350/R$348,S$350/S$348),S$350/S$348)*T$348</f>
        <v>-22.242623181490632</v>
      </c>
      <c r="U350" s="7">
        <f ca="1">IF(U$6=OFFSET(Assumptions!$B$8,0,$C$1),AVERAGE(R$350/R$348,S$350/S$348,T$350/T$348),T$350/T$348)*U$348</f>
        <v>-23.161772784616542</v>
      </c>
      <c r="V350" s="7">
        <f ca="1">IF(V$6=OFFSET(Assumptions!$B$8,0,$C$1),AVERAGE(S$350/S$348,T$350/T$348,U$350/U$348),U$350/U$348)*V$348</f>
        <v>-24.116630711876329</v>
      </c>
      <c r="W350" s="7">
        <f ca="1">IF(W$6=OFFSET(Assumptions!$B$8,0,$C$1),AVERAGE(T$350/T$348,U$350/U$348,V$350/V$348),V$350/V$348)*W$348</f>
        <v>-25.110183953042743</v>
      </c>
      <c r="X350" s="7">
        <f ca="1">IF(X$6=OFFSET(Assumptions!$B$8,0,$C$1),AVERAGE(U$350/U$348,V$350/V$348,W$350/W$348),W$350/W$348)*X$348</f>
        <v>-26.144884598570144</v>
      </c>
      <c r="Y350" s="7">
        <f ca="1">IF(Y$6=OFFSET(Assumptions!$B$8,0,$C$1),AVERAGE(V$350/V$348,W$350/W$348,X$350/X$348),X$350/X$348)*Y$348</f>
        <v>-27.216022430205374</v>
      </c>
      <c r="Z350" s="7">
        <f ca="1">IF(Z$6=OFFSET(Assumptions!$B$8,0,$C$1),AVERAGE(W$350/W$348,X$350/X$348,Y$350/Y$348),Y$350/Y$348)*Z$348</f>
        <v>-28.338154443933696</v>
      </c>
      <c r="AA350" s="7">
        <f ca="1">IF(AA$6=OFFSET(Assumptions!$B$8,0,$C$1),AVERAGE(X$350/X$348,Y$350/Y$348,Z$350/Z$348),Z$350/Z$348)*AA$348</f>
        <v>-29.513463652009374</v>
      </c>
      <c r="AB350" s="7">
        <f ca="1">IF(AB$6=OFFSET(Assumptions!$B$8,0,$C$1),AVERAGE(Y$350/Y$348,Z$350/Z$348,AA$350/AA$348),AA$350/AA$348)*AB$348</f>
        <v>-30.743371216919712</v>
      </c>
      <c r="AC350" s="7">
        <f ca="1">IF(AC$6=OFFSET(Assumptions!$B$8,0,$C$1),AVERAGE(Z$350/Z$348,AA$350/AA$348,AB$350/AB$348),AB$350/AB$348)*AC$348</f>
        <v>-32.030166280849315</v>
      </c>
      <c r="AD350" s="7">
        <f ca="1">IF(AD$6=OFFSET(Assumptions!$B$8,0,$C$1),AVERAGE(AA$350/AA$348,AB$350/AB$348,AC$350/AC$348),AC$350/AC$348)*AD$348</f>
        <v>-33.390158301389327</v>
      </c>
      <c r="AE350" s="7">
        <f ca="1">IF(AE$6=OFFSET(Assumptions!$B$8,0,$C$1),AVERAGE(AB$350/AB$348,AC$350/AC$348,AD$350/AD$348),AD$350/AD$348)*AE$348</f>
        <v>-34.825382183817297</v>
      </c>
      <c r="AF350" s="7">
        <f ca="1">IF(AF$6=OFFSET(Assumptions!$B$8,0,$C$1),AVERAGE(AC$350/AC$348,AD$350/AD$348,AE$350/AE$348),AE$350/AE$348)*AF$348</f>
        <v>-36.335185838899683</v>
      </c>
      <c r="AG350" s="7">
        <f ca="1">IF(AG$6=OFFSET(Assumptions!$B$8,0,$C$1),AVERAGE(AD$350/AD$348,AE$350/AE$348,AF$350/AF$348),AF$350/AF$348)*AG$348</f>
        <v>-37.932568362559074</v>
      </c>
      <c r="AH350" s="7">
        <f ca="1">IF(AH$6=OFFSET(Assumptions!$B$8,0,$C$1),AVERAGE(AE$350/AE$348,AF$350/AF$348,AG$350/AG$348),AG$350/AG$348)*AH$348</f>
        <v>-39.620130312672963</v>
      </c>
      <c r="AI350" s="7">
        <f ca="1">IF(AI$6=OFFSET(Assumptions!$B$8,0,$C$1),AVERAGE(AF$350/AF$348,AG$350/AG$348,AH$350/AH$348),AH$350/AH$348)*AI$348</f>
        <v>-41.397543652006341</v>
      </c>
      <c r="AJ350" s="7">
        <f ca="1">IF(AJ$6=OFFSET(Assumptions!$B$8,0,$C$1),AVERAGE(AG$350/AG$348,AH$350/AH$348,AI$350/AI$348),AI$350/AI$348)*AJ$348</f>
        <v>-43.279587384295873</v>
      </c>
      <c r="AK350" s="7">
        <f ca="1">IF(AK$6=OFFSET(Assumptions!$B$8,0,$C$1),AVERAGE(AH$350/AH$348,AI$350/AI$348,AJ$350/AJ$348),AJ$350/AJ$348)*AK$348</f>
        <v>-45.272925768701235</v>
      </c>
      <c r="AL350" s="7">
        <f ca="1">IF(AL$6=OFFSET(Assumptions!$B$8,0,$C$1),AVERAGE(AI$350/AI$348,AJ$350/AJ$348,AK$350/AK$348),AK$350/AK$348)*AL$348</f>
        <v>-47.384643295032966</v>
      </c>
      <c r="AM350" s="7">
        <f ca="1">IF(AM$6=OFFSET(Assumptions!$B$8,0,$C$1),AVERAGE(AJ$350/AJ$348,AK$350/AK$348,AL$350/AL$348),AL$350/AL$348)*AM$348</f>
        <v>-49.622256650830948</v>
      </c>
      <c r="AN350" s="7">
        <f ca="1">IF(AN$6=OFFSET(Assumptions!$B$8,0,$C$1),AVERAGE(AK$350/AK$348,AL$350/AL$348,AM$350/AM$348),AM$350/AM$348)*AN$348</f>
        <v>-51.993719626646516</v>
      </c>
      <c r="AO350" s="7">
        <f ca="1">IF(AO$6=OFFSET(Assumptions!$B$8,0,$C$1),AVERAGE(AL$350/AL$348,AM$350/AM$348,AN$350/AN$348),AN$350/AN$348)*AO$348</f>
        <v>-54.507441157410334</v>
      </c>
      <c r="AP350" s="7">
        <f ca="1">IF(AP$6=OFFSET(Assumptions!$B$8,0,$C$1),AVERAGE(AM$350/AM$348,AN$350/AN$348,AO$350/AO$348),AO$350/AO$348)*AP$348</f>
        <v>-57.172335654391162</v>
      </c>
      <c r="AQ350" s="7">
        <f ca="1">IF(AQ$6=OFFSET(Assumptions!$B$8,0,$C$1),AVERAGE(AN$350/AN$348,AO$350/AO$348,AP$350/AP$348),AP$350/AP$348)*AQ$348</f>
        <v>-59.997839148199787</v>
      </c>
      <c r="AR350" s="7">
        <f ca="1">IF(AR$6=OFFSET(Assumptions!$B$8,0,$C$1),AVERAGE(AO$350/AO$348,AP$350/AP$348,AQ$350/AQ$348),AQ$350/AQ$348)*AR$348</f>
        <v>-62.99819068023973</v>
      </c>
      <c r="AS350" s="7">
        <f ca="1">IF(AS$6=OFFSET(Assumptions!$B$8,0,$C$1),AVERAGE(AP$350/AP$348,AQ$350/AQ$348,AR$350/AR$348),AR$350/AR$348)*AS$348</f>
        <v>-66.192827117605987</v>
      </c>
      <c r="AT350" s="7">
        <f ca="1">IF(AT$6=OFFSET(Assumptions!$B$8,0,$C$1),AVERAGE(AQ$350/AQ$348,AR$350/AR$348,AS$350/AS$348),AS$350/AS$348)*AT$348</f>
        <v>-69.486398820871145</v>
      </c>
      <c r="AU350" s="7">
        <f ca="1">IF(AU$6=OFFSET(Assumptions!$B$8,0,$C$1),AVERAGE(AR$350/AR$348,AS$350/AS$348,AT$350/AT$348),AT$350/AT$348)*AU$348</f>
        <v>-72.943849527903225</v>
      </c>
      <c r="AV350" s="7">
        <f ca="1">IF(AV$6=OFFSET(Assumptions!$B$8,0,$C$1),AVERAGE(AS$350/AS$348,AT$350/AT$348,AU$350/AU$348),AU$350/AU$348)*AV$348</f>
        <v>-76.573333403935379</v>
      </c>
      <c r="AW350" s="7">
        <f ca="1">IF(AW$6=OFFSET(Assumptions!$B$8,0,$C$1),AVERAGE(AT$350/AT$348,AU$350/AU$348,AV$350/AV$348),AV$350/AV$348)*AW$348</f>
        <v>-80.383410342873262</v>
      </c>
    </row>
    <row r="351" spans="1:49" ht="15" x14ac:dyDescent="0.25">
      <c r="A351" s="2" t="s">
        <v>619</v>
      </c>
      <c r="B351" s="4"/>
      <c r="D351" s="40">
        <f t="shared" ref="D351:AW351" ca="1" si="219">SUM(D$347:D$350)</f>
        <v>54.298000000000002</v>
      </c>
      <c r="E351" s="39">
        <f t="shared" ca="1" si="219"/>
        <v>49.728999999999999</v>
      </c>
      <c r="F351" s="39">
        <f t="shared" ca="1" si="219"/>
        <v>53.289000000000001</v>
      </c>
      <c r="G351" s="39">
        <f t="shared" ca="1" si="219"/>
        <v>47.613999999999997</v>
      </c>
      <c r="H351" s="39">
        <f t="shared" ca="1" si="219"/>
        <v>45.587000000000003</v>
      </c>
      <c r="I351" s="39">
        <f t="shared" ca="1" si="219"/>
        <v>49.868000000000002</v>
      </c>
      <c r="J351" s="43">
        <f t="shared" ca="1" si="219"/>
        <v>53.26598248051981</v>
      </c>
      <c r="K351" s="43">
        <f t="shared" ca="1" si="219"/>
        <v>56.608321539689754</v>
      </c>
      <c r="L351" s="43">
        <f t="shared" ca="1" si="219"/>
        <v>60.129106978390304</v>
      </c>
      <c r="M351" s="43">
        <f t="shared" ca="1" si="219"/>
        <v>63.787725111112373</v>
      </c>
      <c r="N351" s="43">
        <f t="shared" ca="1" si="219"/>
        <v>67.597672889972287</v>
      </c>
      <c r="O351" s="43">
        <f t="shared" ca="1" si="219"/>
        <v>71.538753220437741</v>
      </c>
      <c r="P351" s="43">
        <f t="shared" ca="1" si="219"/>
        <v>75.548005208228858</v>
      </c>
      <c r="Q351" s="43">
        <f t="shared" ca="1" si="219"/>
        <v>79.627914890376957</v>
      </c>
      <c r="R351" s="43">
        <f t="shared" ca="1" si="219"/>
        <v>83.783696635750246</v>
      </c>
      <c r="S351" s="43">
        <f t="shared" ca="1" si="219"/>
        <v>88.029931309268648</v>
      </c>
      <c r="T351" s="43">
        <f t="shared" ca="1" si="219"/>
        <v>92.377084557167194</v>
      </c>
      <c r="U351" s="43">
        <f t="shared" ca="1" si="219"/>
        <v>96.827734275193365</v>
      </c>
      <c r="V351" s="43">
        <f t="shared" ca="1" si="219"/>
        <v>101.38461657895154</v>
      </c>
      <c r="W351" s="43">
        <f t="shared" ca="1" si="219"/>
        <v>106.05153972684369</v>
      </c>
      <c r="X351" s="43">
        <f t="shared" ca="1" si="219"/>
        <v>110.84058600225737</v>
      </c>
      <c r="Y351" s="43">
        <f t="shared" ca="1" si="219"/>
        <v>115.73543724230099</v>
      </c>
      <c r="Z351" s="43">
        <f t="shared" ca="1" si="219"/>
        <v>120.77216564414238</v>
      </c>
      <c r="AA351" s="43">
        <f t="shared" ca="1" si="219"/>
        <v>125.97939194619339</v>
      </c>
      <c r="AB351" s="43">
        <f t="shared" ca="1" si="219"/>
        <v>131.39509150855849</v>
      </c>
      <c r="AC351" s="43">
        <f t="shared" ca="1" si="219"/>
        <v>137.06572501417941</v>
      </c>
      <c r="AD351" s="43">
        <f t="shared" ca="1" si="219"/>
        <v>143.05218219389832</v>
      </c>
      <c r="AE351" s="43">
        <f t="shared" ca="1" si="219"/>
        <v>149.37493547039776</v>
      </c>
      <c r="AF351" s="43">
        <f t="shared" ca="1" si="219"/>
        <v>156.07433819575144</v>
      </c>
      <c r="AG351" s="43">
        <f t="shared" ca="1" si="219"/>
        <v>163.17430602911423</v>
      </c>
      <c r="AH351" s="43">
        <f t="shared" ca="1" si="219"/>
        <v>170.70438402176606</v>
      </c>
      <c r="AI351" s="43">
        <f t="shared" ca="1" si="219"/>
        <v>178.67736636748367</v>
      </c>
      <c r="AJ351" s="43">
        <f t="shared" ca="1" si="219"/>
        <v>187.13488455673038</v>
      </c>
      <c r="AK351" s="43">
        <f t="shared" ca="1" si="219"/>
        <v>196.08723566249193</v>
      </c>
      <c r="AL351" s="43">
        <f t="shared" ca="1" si="219"/>
        <v>205.55867748864526</v>
      </c>
      <c r="AM351" s="43">
        <f t="shared" ca="1" si="219"/>
        <v>215.57700345225379</v>
      </c>
      <c r="AN351" s="43">
        <f t="shared" ca="1" si="219"/>
        <v>226.15945704365612</v>
      </c>
      <c r="AO351" s="43">
        <f t="shared" ca="1" si="219"/>
        <v>237.29692664151682</v>
      </c>
      <c r="AP351" s="43">
        <f t="shared" ca="1" si="219"/>
        <v>248.98534162771037</v>
      </c>
      <c r="AQ351" s="43">
        <f t="shared" ca="1" si="219"/>
        <v>261.1996757605632</v>
      </c>
      <c r="AR351" s="43">
        <f t="shared" ca="1" si="219"/>
        <v>273.91215646090689</v>
      </c>
      <c r="AS351" s="43">
        <f t="shared" ca="1" si="219"/>
        <v>287.10619971809632</v>
      </c>
      <c r="AT351" s="43">
        <f t="shared" ca="1" si="219"/>
        <v>300.70079187658251</v>
      </c>
      <c r="AU351" s="43">
        <f t="shared" ca="1" si="219"/>
        <v>314.76103325532688</v>
      </c>
      <c r="AV351" s="43">
        <f t="shared" ca="1" si="219"/>
        <v>329.31636533199617</v>
      </c>
      <c r="AW351" s="43">
        <f t="shared" ca="1" si="219"/>
        <v>344.36043420235285</v>
      </c>
    </row>
    <row r="352" spans="1:49" ht="15" x14ac:dyDescent="0.25">
      <c r="A352" s="2"/>
      <c r="B352" s="4"/>
      <c r="D352" s="55"/>
      <c r="E352" s="56"/>
      <c r="F352" s="56"/>
      <c r="G352" s="56"/>
      <c r="H352" s="56"/>
      <c r="I352" s="56"/>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row>
    <row r="353" spans="1:49" ht="15" x14ac:dyDescent="0.25">
      <c r="A353" s="22" t="s">
        <v>235</v>
      </c>
      <c r="B353" s="4"/>
      <c r="D353" s="55"/>
      <c r="E353" s="56"/>
      <c r="F353" s="56"/>
      <c r="G353" s="56"/>
      <c r="H353" s="56"/>
      <c r="I353" s="56"/>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row>
    <row r="354" spans="1:49" x14ac:dyDescent="0.2">
      <c r="A354" s="1" t="s">
        <v>631</v>
      </c>
      <c r="B354" s="4" t="str">
        <f t="shared" ref="B354:B355" si="220">$B$43</f>
        <v>From Fiscal</v>
      </c>
      <c r="D354" s="18">
        <f ca="1">MIN(ROUND((D$372-SUM(D$332,D$338,D$377))*OFFSET(Assumptions!$B$61,0,$C$1),3),Fiscal!D$170)</f>
        <v>15.353999999999999</v>
      </c>
      <c r="E354" s="19">
        <f ca="1">MIN(ROUND((E$372-SUM(E$332,E$338,E$377))*OFFSET(Assumptions!$B$61,0,$C$1),3),Fiscal!E$170)</f>
        <v>14.331</v>
      </c>
      <c r="F354" s="19">
        <f ca="1">MIN(ROUND((F$372-SUM(F$332,F$338,F$377))*OFFSET(Assumptions!$B$61,0,$C$1),3),Fiscal!F$170)</f>
        <v>15.18</v>
      </c>
      <c r="G354" s="19">
        <f ca="1">MIN(ROUND((G$372-SUM(G$332,G$338,G$377))*OFFSET(Assumptions!$B$61,0,$C$1),3),Fiscal!G$170)</f>
        <v>16.184000000000001</v>
      </c>
      <c r="H354" s="19">
        <f ca="1">MIN(ROUND((H$372-SUM(H$332,H$338,H$377))*OFFSET(Assumptions!$B$61,0,$C$1),3),Fiscal!H$170)</f>
        <v>17.247</v>
      </c>
      <c r="I354" s="19">
        <f ca="1">MIN(ROUND((I$372-SUM(I$332,I$338,I$377))*OFFSET(Assumptions!$B$61,0,$C$1),3),Fiscal!I$170)</f>
        <v>18.385000000000002</v>
      </c>
      <c r="J354" s="7">
        <f ca="1">(J$372-SUM(J$332,J$338,J$377))*OFFSET(Assumptions!$B$61,0,$C$1)</f>
        <v>21.118981061485922</v>
      </c>
      <c r="K354" s="7">
        <f ca="1">(K$372-SUM(K$332,K$338,K$377))*OFFSET(Assumptions!$B$61,0,$C$1)</f>
        <v>23.730196444606662</v>
      </c>
      <c r="L354" s="7">
        <f ca="1">(L$372-SUM(L$332,L$338,L$377))*OFFSET(Assumptions!$B$61,0,$C$1)</f>
        <v>26.445095862608049</v>
      </c>
      <c r="M354" s="7">
        <f ca="1">(M$372-SUM(M$332,M$338,M$377))*OFFSET(Assumptions!$B$61,0,$C$1)</f>
        <v>29.253304143684502</v>
      </c>
      <c r="N354" s="7">
        <f ca="1">(N$372-SUM(N$332,N$338,N$377))*OFFSET(Assumptions!$B$61,0,$C$1)</f>
        <v>32.148517009273817</v>
      </c>
      <c r="O354" s="7">
        <f ca="1">(O$372-SUM(O$332,O$338,O$377))*OFFSET(Assumptions!$B$61,0,$C$1)</f>
        <v>35.077830718371345</v>
      </c>
      <c r="P354" s="7">
        <f ca="1">(P$372-SUM(P$332,P$338,P$377))*OFFSET(Assumptions!$B$61,0,$C$1)</f>
        <v>38.02247941085983</v>
      </c>
      <c r="Q354" s="7">
        <f ca="1">(Q$372-SUM(Q$332,Q$338,Q$377))*OFFSET(Assumptions!$B$61,0,$C$1)</f>
        <v>40.977794751878129</v>
      </c>
      <c r="R354" s="7">
        <f ca="1">(R$372-SUM(R$332,R$338,R$377))*OFFSET(Assumptions!$B$61,0,$C$1)</f>
        <v>43.946436424348455</v>
      </c>
      <c r="S354" s="7">
        <f ca="1">(S$372-SUM(S$332,S$338,S$377))*OFFSET(Assumptions!$B$61,0,$C$1)</f>
        <v>46.94744465307469</v>
      </c>
      <c r="T354" s="7">
        <f ca="1">(T$372-SUM(T$332,T$338,T$377))*OFFSET(Assumptions!$B$61,0,$C$1)</f>
        <v>49.986792326501025</v>
      </c>
      <c r="U354" s="7">
        <f ca="1">(U$372-SUM(U$332,U$338,U$377))*OFFSET(Assumptions!$B$61,0,$C$1)</f>
        <v>53.060159773538437</v>
      </c>
      <c r="V354" s="7">
        <f ca="1">(V$372-SUM(V$332,V$338,V$377))*OFFSET(Assumptions!$B$61,0,$C$1)</f>
        <v>56.161450553539716</v>
      </c>
      <c r="W354" s="7">
        <f ca="1">(W$372-SUM(W$332,W$338,W$377))*OFFSET(Assumptions!$B$61,0,$C$1)</f>
        <v>59.285221058871215</v>
      </c>
      <c r="X354" s="7">
        <f ca="1">(X$372-SUM(X$332,X$338,X$377))*OFFSET(Assumptions!$B$61,0,$C$1)</f>
        <v>62.438379467246861</v>
      </c>
      <c r="Y354" s="7">
        <f ca="1">(Y$372-SUM(Y$332,Y$338,Y$377))*OFFSET(Assumptions!$B$61,0,$C$1)</f>
        <v>65.603908636832415</v>
      </c>
      <c r="Z354" s="7">
        <f ca="1">(Z$372-SUM(Z$332,Z$338,Z$377))*OFFSET(Assumptions!$B$61,0,$C$1)</f>
        <v>68.800792192044</v>
      </c>
      <c r="AA354" s="7">
        <f ca="1">(AA$372-SUM(AA$332,AA$338,AA$377))*OFFSET(Assumptions!$B$61,0,$C$1)</f>
        <v>72.064347262044038</v>
      </c>
      <c r="AB354" s="7">
        <f ca="1">(AB$372-SUM(AB$332,AB$338,AB$377))*OFFSET(Assumptions!$B$61,0,$C$1)</f>
        <v>75.441108321494198</v>
      </c>
      <c r="AC354" s="7">
        <f ca="1">(AC$372-SUM(AC$332,AC$338,AC$377))*OFFSET(Assumptions!$B$61,0,$C$1)</f>
        <v>78.986449803827355</v>
      </c>
      <c r="AD354" s="7">
        <f ca="1">(AD$372-SUM(AD$332,AD$338,AD$377))*OFFSET(Assumptions!$B$61,0,$C$1)</f>
        <v>82.763588803590366</v>
      </c>
      <c r="AE354" s="7">
        <f ca="1">(AE$372-SUM(AE$332,AE$338,AE$377))*OFFSET(Assumptions!$B$61,0,$C$1)</f>
        <v>86.802985136009994</v>
      </c>
      <c r="AF354" s="7">
        <f ca="1">(AF$372-SUM(AF$332,AF$338,AF$377))*OFFSET(Assumptions!$B$61,0,$C$1)</f>
        <v>91.157181567970824</v>
      </c>
      <c r="AG354" s="7">
        <f ca="1">(AG$372-SUM(AG$332,AG$338,AG$377))*OFFSET(Assumptions!$B$61,0,$C$1)</f>
        <v>95.840261636126755</v>
      </c>
      <c r="AH354" s="7">
        <f ca="1">(AH$372-SUM(AH$332,AH$338,AH$377))*OFFSET(Assumptions!$B$61,0,$C$1)</f>
        <v>100.88691485932358</v>
      </c>
      <c r="AI354" s="7">
        <f ca="1">(AI$372-SUM(AI$332,AI$338,AI$377))*OFFSET(Assumptions!$B$61,0,$C$1)</f>
        <v>106.32323914186419</v>
      </c>
      <c r="AJ354" s="7">
        <f ca="1">(AJ$372-SUM(AJ$332,AJ$338,AJ$377))*OFFSET(Assumptions!$B$61,0,$C$1)</f>
        <v>112.17687822051718</v>
      </c>
      <c r="AK354" s="7">
        <f ca="1">(AK$372-SUM(AK$332,AK$338,AK$377))*OFFSET(Assumptions!$B$61,0,$C$1)</f>
        <v>118.45632750424166</v>
      </c>
      <c r="AL354" s="7">
        <f ca="1">(AL$372-SUM(AL$332,AL$338,AL$377))*OFFSET(Assumptions!$B$61,0,$C$1)</f>
        <v>125.19035738790954</v>
      </c>
      <c r="AM354" s="7">
        <f ca="1">(AM$372-SUM(AM$332,AM$338,AM$377))*OFFSET(Assumptions!$B$61,0,$C$1)</f>
        <v>132.40335876968788</v>
      </c>
      <c r="AN354" s="7">
        <f ca="1">(AN$372-SUM(AN$332,AN$338,AN$377))*OFFSET(Assumptions!$B$61,0,$C$1)</f>
        <v>140.10291639190515</v>
      </c>
      <c r="AO354" s="7">
        <f ca="1">(AO$372-SUM(AO$332,AO$338,AO$377))*OFFSET(Assumptions!$B$61,0,$C$1)</f>
        <v>148.28033428449723</v>
      </c>
      <c r="AP354" s="7">
        <f ca="1">(AP$372-SUM(AP$332,AP$338,AP$377))*OFFSET(Assumptions!$B$61,0,$C$1)</f>
        <v>156.89598326585934</v>
      </c>
      <c r="AQ354" s="7">
        <f ca="1">(AQ$372-SUM(AQ$332,AQ$338,AQ$377))*OFFSET(Assumptions!$B$61,0,$C$1)</f>
        <v>165.91143561857297</v>
      </c>
      <c r="AR354" s="7">
        <f ca="1">(AR$372-SUM(AR$332,AR$338,AR$377))*OFFSET(Assumptions!$B$61,0,$C$1)</f>
        <v>175.25759721665204</v>
      </c>
      <c r="AS354" s="7">
        <f ca="1">(AS$372-SUM(AS$332,AS$338,AS$377))*OFFSET(Assumptions!$B$61,0,$C$1)</f>
        <v>184.86787194227003</v>
      </c>
      <c r="AT354" s="7">
        <f ca="1">(AT$372-SUM(AT$332,AT$338,AT$377))*OFFSET(Assumptions!$B$61,0,$C$1)</f>
        <v>194.76246647805257</v>
      </c>
      <c r="AU354" s="7">
        <f ca="1">(AU$372-SUM(AU$332,AU$338,AU$377))*OFFSET(Assumptions!$B$61,0,$C$1)</f>
        <v>204.93236625855749</v>
      </c>
      <c r="AV354" s="7">
        <f ca="1">(AV$372-SUM(AV$332,AV$338,AV$377))*OFFSET(Assumptions!$B$61,0,$C$1)</f>
        <v>215.39185030336347</v>
      </c>
      <c r="AW354" s="7">
        <f ca="1">(AW$372-SUM(AW$332,AW$338,AW$377))*OFFSET(Assumptions!$B$61,0,$C$1)</f>
        <v>226.12156952547622</v>
      </c>
    </row>
    <row r="355" spans="1:49" x14ac:dyDescent="0.2">
      <c r="A355" s="1" t="s">
        <v>632</v>
      </c>
      <c r="B355" s="4" t="str">
        <f t="shared" si="220"/>
        <v>From Fiscal</v>
      </c>
      <c r="D355" s="18">
        <f ca="1">Fiscal!D$170-D$354</f>
        <v>0</v>
      </c>
      <c r="E355" s="19">
        <f ca="1">Fiscal!E$170-E$354</f>
        <v>0</v>
      </c>
      <c r="F355" s="19">
        <f ca="1">Fiscal!F$170-F$354</f>
        <v>0</v>
      </c>
      <c r="G355" s="19">
        <f ca="1">Fiscal!G$170-G$354</f>
        <v>0</v>
      </c>
      <c r="H355" s="19">
        <f ca="1">Fiscal!H$170-H$354</f>
        <v>0</v>
      </c>
      <c r="I355" s="19">
        <f ca="1">Fiscal!I$170-I$354</f>
        <v>0</v>
      </c>
      <c r="J355" s="7">
        <f ca="1">IF(J$6=OFFSET(Assumptions!$B$8,0,$C$1),AVERAGE(G$355/G$354,H$355/H$354,I$355/I$354),I$355/I$354)*J$354</f>
        <v>0</v>
      </c>
      <c r="K355" s="7">
        <f ca="1">IF(K$6=OFFSET(Assumptions!$B$8,0,$C$1),AVERAGE(H$355/H$354,I$355/I$354,J$355/J$354),J$355/J$354)*K$354</f>
        <v>0</v>
      </c>
      <c r="L355" s="7">
        <f ca="1">IF(L$6=OFFSET(Assumptions!$B$8,0,$C$1),AVERAGE(I$355/I$354,J$355/J$354,K$355/K$354),K$355/K$354)*L$354</f>
        <v>0</v>
      </c>
      <c r="M355" s="7">
        <f ca="1">IF(M$6=OFFSET(Assumptions!$B$8,0,$C$1),AVERAGE(J$355/J$354,K$355/K$354,L$355/L$354),L$355/L$354)*M$354</f>
        <v>0</v>
      </c>
      <c r="N355" s="7">
        <f ca="1">IF(N$6=OFFSET(Assumptions!$B$8,0,$C$1),AVERAGE(K$355/K$354,L$355/L$354,M$355/M$354),M$355/M$354)*N$354</f>
        <v>0</v>
      </c>
      <c r="O355" s="7">
        <f ca="1">IF(O$6=OFFSET(Assumptions!$B$8,0,$C$1),AVERAGE(L$355/L$354,M$355/M$354,N$355/N$354),N$355/N$354)*O$354</f>
        <v>0</v>
      </c>
      <c r="P355" s="7">
        <f ca="1">IF(P$6=OFFSET(Assumptions!$B$8,0,$C$1),AVERAGE(M$355/M$354,N$355/N$354,O$355/O$354),O$355/O$354)*P$354</f>
        <v>0</v>
      </c>
      <c r="Q355" s="7">
        <f ca="1">IF(Q$6=OFFSET(Assumptions!$B$8,0,$C$1),AVERAGE(N$355/N$354,O$355/O$354,P$355/P$354),P$355/P$354)*Q$354</f>
        <v>0</v>
      </c>
      <c r="R355" s="7">
        <f ca="1">IF(R$6=OFFSET(Assumptions!$B$8,0,$C$1),AVERAGE(O$355/O$354,P$355/P$354,Q$355/Q$354),Q$355/Q$354)*R$354</f>
        <v>0</v>
      </c>
      <c r="S355" s="7">
        <f ca="1">IF(S$6=OFFSET(Assumptions!$B$8,0,$C$1),AVERAGE(P$355/P$354,Q$355/Q$354,R$355/R$354),R$355/R$354)*S$354</f>
        <v>0</v>
      </c>
      <c r="T355" s="7">
        <f ca="1">IF(T$6=OFFSET(Assumptions!$B$8,0,$C$1),AVERAGE(Q$355/Q$354,R$355/R$354,S$355/S$354),S$355/S$354)*T$354</f>
        <v>0</v>
      </c>
      <c r="U355" s="7">
        <f ca="1">IF(U$6=OFFSET(Assumptions!$B$8,0,$C$1),AVERAGE(R$355/R$354,S$355/S$354,T$355/T$354),T$355/T$354)*U$354</f>
        <v>0</v>
      </c>
      <c r="V355" s="7">
        <f ca="1">IF(V$6=OFFSET(Assumptions!$B$8,0,$C$1),AVERAGE(S$355/S$354,T$355/T$354,U$355/U$354),U$355/U$354)*V$354</f>
        <v>0</v>
      </c>
      <c r="W355" s="7">
        <f ca="1">IF(W$6=OFFSET(Assumptions!$B$8,0,$C$1),AVERAGE(T$355/T$354,U$355/U$354,V$355/V$354),V$355/V$354)*W$354</f>
        <v>0</v>
      </c>
      <c r="X355" s="7">
        <f ca="1">IF(X$6=OFFSET(Assumptions!$B$8,0,$C$1),AVERAGE(U$355/U$354,V$355/V$354,W$355/W$354),W$355/W$354)*X$354</f>
        <v>0</v>
      </c>
      <c r="Y355" s="7">
        <f ca="1">IF(Y$6=OFFSET(Assumptions!$B$8,0,$C$1),AVERAGE(V$355/V$354,W$355/W$354,X$355/X$354),X$355/X$354)*Y$354</f>
        <v>0</v>
      </c>
      <c r="Z355" s="7">
        <f ca="1">IF(Z$6=OFFSET(Assumptions!$B$8,0,$C$1),AVERAGE(W$355/W$354,X$355/X$354,Y$355/Y$354),Y$355/Y$354)*Z$354</f>
        <v>0</v>
      </c>
      <c r="AA355" s="7">
        <f ca="1">IF(AA$6=OFFSET(Assumptions!$B$8,0,$C$1),AVERAGE(X$355/X$354,Y$355/Y$354,Z$355/Z$354),Z$355/Z$354)*AA$354</f>
        <v>0</v>
      </c>
      <c r="AB355" s="7">
        <f ca="1">IF(AB$6=OFFSET(Assumptions!$B$8,0,$C$1),AVERAGE(Y$355/Y$354,Z$355/Z$354,AA$355/AA$354),AA$355/AA$354)*AB$354</f>
        <v>0</v>
      </c>
      <c r="AC355" s="7">
        <f ca="1">IF(AC$6=OFFSET(Assumptions!$B$8,0,$C$1),AVERAGE(Z$355/Z$354,AA$355/AA$354,AB$355/AB$354),AB$355/AB$354)*AC$354</f>
        <v>0</v>
      </c>
      <c r="AD355" s="7">
        <f ca="1">IF(AD$6=OFFSET(Assumptions!$B$8,0,$C$1),AVERAGE(AA$355/AA$354,AB$355/AB$354,AC$355/AC$354),AC$355/AC$354)*AD$354</f>
        <v>0</v>
      </c>
      <c r="AE355" s="7">
        <f ca="1">IF(AE$6=OFFSET(Assumptions!$B$8,0,$C$1),AVERAGE(AB$355/AB$354,AC$355/AC$354,AD$355/AD$354),AD$355/AD$354)*AE$354</f>
        <v>0</v>
      </c>
      <c r="AF355" s="7">
        <f ca="1">IF(AF$6=OFFSET(Assumptions!$B$8,0,$C$1),AVERAGE(AC$355/AC$354,AD$355/AD$354,AE$355/AE$354),AE$355/AE$354)*AF$354</f>
        <v>0</v>
      </c>
      <c r="AG355" s="7">
        <f ca="1">IF(AG$6=OFFSET(Assumptions!$B$8,0,$C$1),AVERAGE(AD$355/AD$354,AE$355/AE$354,AF$355/AF$354),AF$355/AF$354)*AG$354</f>
        <v>0</v>
      </c>
      <c r="AH355" s="7">
        <f ca="1">IF(AH$6=OFFSET(Assumptions!$B$8,0,$C$1),AVERAGE(AE$355/AE$354,AF$355/AF$354,AG$355/AG$354),AG$355/AG$354)*AH$354</f>
        <v>0</v>
      </c>
      <c r="AI355" s="7">
        <f ca="1">IF(AI$6=OFFSET(Assumptions!$B$8,0,$C$1),AVERAGE(AF$355/AF$354,AG$355/AG$354,AH$355/AH$354),AH$355/AH$354)*AI$354</f>
        <v>0</v>
      </c>
      <c r="AJ355" s="7">
        <f ca="1">IF(AJ$6=OFFSET(Assumptions!$B$8,0,$C$1),AVERAGE(AG$355/AG$354,AH$355/AH$354,AI$355/AI$354),AI$355/AI$354)*AJ$354</f>
        <v>0</v>
      </c>
      <c r="AK355" s="7">
        <f ca="1">IF(AK$6=OFFSET(Assumptions!$B$8,0,$C$1),AVERAGE(AH$355/AH$354,AI$355/AI$354,AJ$355/AJ$354),AJ$355/AJ$354)*AK$354</f>
        <v>0</v>
      </c>
      <c r="AL355" s="7">
        <f ca="1">IF(AL$6=OFFSET(Assumptions!$B$8,0,$C$1),AVERAGE(AI$355/AI$354,AJ$355/AJ$354,AK$355/AK$354),AK$355/AK$354)*AL$354</f>
        <v>0</v>
      </c>
      <c r="AM355" s="7">
        <f ca="1">IF(AM$6=OFFSET(Assumptions!$B$8,0,$C$1),AVERAGE(AJ$355/AJ$354,AK$355/AK$354,AL$355/AL$354),AL$355/AL$354)*AM$354</f>
        <v>0</v>
      </c>
      <c r="AN355" s="7">
        <f ca="1">IF(AN$6=OFFSET(Assumptions!$B$8,0,$C$1),AVERAGE(AK$355/AK$354,AL$355/AL$354,AM$355/AM$354),AM$355/AM$354)*AN$354</f>
        <v>0</v>
      </c>
      <c r="AO355" s="7">
        <f ca="1">IF(AO$6=OFFSET(Assumptions!$B$8,0,$C$1),AVERAGE(AL$355/AL$354,AM$355/AM$354,AN$355/AN$354),AN$355/AN$354)*AO$354</f>
        <v>0</v>
      </c>
      <c r="AP355" s="7">
        <f ca="1">IF(AP$6=OFFSET(Assumptions!$B$8,0,$C$1),AVERAGE(AM$355/AM$354,AN$355/AN$354,AO$355/AO$354),AO$355/AO$354)*AP$354</f>
        <v>0</v>
      </c>
      <c r="AQ355" s="7">
        <f ca="1">IF(AQ$6=OFFSET(Assumptions!$B$8,0,$C$1),AVERAGE(AN$355/AN$354,AO$355/AO$354,AP$355/AP$354),AP$355/AP$354)*AQ$354</f>
        <v>0</v>
      </c>
      <c r="AR355" s="7">
        <f ca="1">IF(AR$6=OFFSET(Assumptions!$B$8,0,$C$1),AVERAGE(AO$355/AO$354,AP$355/AP$354,AQ$355/AQ$354),AQ$355/AQ$354)*AR$354</f>
        <v>0</v>
      </c>
      <c r="AS355" s="7">
        <f ca="1">IF(AS$6=OFFSET(Assumptions!$B$8,0,$C$1),AVERAGE(AP$355/AP$354,AQ$355/AQ$354,AR$355/AR$354),AR$355/AR$354)*AS$354</f>
        <v>0</v>
      </c>
      <c r="AT355" s="7">
        <f ca="1">IF(AT$6=OFFSET(Assumptions!$B$8,0,$C$1),AVERAGE(AQ$355/AQ$354,AR$355/AR$354,AS$355/AS$354),AS$355/AS$354)*AT$354</f>
        <v>0</v>
      </c>
      <c r="AU355" s="7">
        <f ca="1">IF(AU$6=OFFSET(Assumptions!$B$8,0,$C$1),AVERAGE(AR$355/AR$354,AS$355/AS$354,AT$355/AT$354),AT$355/AT$354)*AU$354</f>
        <v>0</v>
      </c>
      <c r="AV355" s="7">
        <f ca="1">IF(AV$6=OFFSET(Assumptions!$B$8,0,$C$1),AVERAGE(AS$355/AS$354,AT$355/AT$354,AU$355/AU$354),AU$355/AU$354)*AV$354</f>
        <v>0</v>
      </c>
      <c r="AW355" s="7">
        <f ca="1">IF(AW$6=OFFSET(Assumptions!$B$8,0,$C$1),AVERAGE(AT$355/AT$354,AU$355/AU$354,AV$355/AV$354),AV$355/AV$354)*AW$354</f>
        <v>0</v>
      </c>
    </row>
    <row r="356" spans="1:49" ht="15" x14ac:dyDescent="0.25">
      <c r="A356" s="2" t="s">
        <v>633</v>
      </c>
      <c r="B356" s="4"/>
      <c r="D356" s="40">
        <f t="shared" ref="D356:AW356" ca="1" si="221">SUM(D$354:D$355)</f>
        <v>15.353999999999999</v>
      </c>
      <c r="E356" s="39">
        <f t="shared" ca="1" si="221"/>
        <v>14.331</v>
      </c>
      <c r="F356" s="39">
        <f t="shared" ca="1" si="221"/>
        <v>15.18</v>
      </c>
      <c r="G356" s="39">
        <f t="shared" ca="1" si="221"/>
        <v>16.184000000000001</v>
      </c>
      <c r="H356" s="39">
        <f t="shared" ca="1" si="221"/>
        <v>17.247</v>
      </c>
      <c r="I356" s="39">
        <f t="shared" ca="1" si="221"/>
        <v>18.385000000000002</v>
      </c>
      <c r="J356" s="43">
        <f t="shared" ca="1" si="221"/>
        <v>21.118981061485922</v>
      </c>
      <c r="K356" s="43">
        <f t="shared" ca="1" si="221"/>
        <v>23.730196444606662</v>
      </c>
      <c r="L356" s="43">
        <f t="shared" ca="1" si="221"/>
        <v>26.445095862608049</v>
      </c>
      <c r="M356" s="43">
        <f t="shared" ca="1" si="221"/>
        <v>29.253304143684502</v>
      </c>
      <c r="N356" s="43">
        <f t="shared" ca="1" si="221"/>
        <v>32.148517009273817</v>
      </c>
      <c r="O356" s="43">
        <f t="shared" ca="1" si="221"/>
        <v>35.077830718371345</v>
      </c>
      <c r="P356" s="43">
        <f t="shared" ca="1" si="221"/>
        <v>38.02247941085983</v>
      </c>
      <c r="Q356" s="43">
        <f t="shared" ca="1" si="221"/>
        <v>40.977794751878129</v>
      </c>
      <c r="R356" s="43">
        <f t="shared" ca="1" si="221"/>
        <v>43.946436424348455</v>
      </c>
      <c r="S356" s="43">
        <f t="shared" ca="1" si="221"/>
        <v>46.94744465307469</v>
      </c>
      <c r="T356" s="43">
        <f t="shared" ca="1" si="221"/>
        <v>49.986792326501025</v>
      </c>
      <c r="U356" s="43">
        <f t="shared" ca="1" si="221"/>
        <v>53.060159773538437</v>
      </c>
      <c r="V356" s="43">
        <f t="shared" ca="1" si="221"/>
        <v>56.161450553539716</v>
      </c>
      <c r="W356" s="43">
        <f t="shared" ca="1" si="221"/>
        <v>59.285221058871215</v>
      </c>
      <c r="X356" s="43">
        <f t="shared" ca="1" si="221"/>
        <v>62.438379467246861</v>
      </c>
      <c r="Y356" s="43">
        <f t="shared" ca="1" si="221"/>
        <v>65.603908636832415</v>
      </c>
      <c r="Z356" s="43">
        <f t="shared" ca="1" si="221"/>
        <v>68.800792192044</v>
      </c>
      <c r="AA356" s="43">
        <f t="shared" ca="1" si="221"/>
        <v>72.064347262044038</v>
      </c>
      <c r="AB356" s="43">
        <f t="shared" ca="1" si="221"/>
        <v>75.441108321494198</v>
      </c>
      <c r="AC356" s="43">
        <f t="shared" ca="1" si="221"/>
        <v>78.986449803827355</v>
      </c>
      <c r="AD356" s="43">
        <f t="shared" ca="1" si="221"/>
        <v>82.763588803590366</v>
      </c>
      <c r="AE356" s="43">
        <f t="shared" ca="1" si="221"/>
        <v>86.802985136009994</v>
      </c>
      <c r="AF356" s="43">
        <f t="shared" ca="1" si="221"/>
        <v>91.157181567970824</v>
      </c>
      <c r="AG356" s="43">
        <f t="shared" ca="1" si="221"/>
        <v>95.840261636126755</v>
      </c>
      <c r="AH356" s="43">
        <f t="shared" ca="1" si="221"/>
        <v>100.88691485932358</v>
      </c>
      <c r="AI356" s="43">
        <f t="shared" ca="1" si="221"/>
        <v>106.32323914186419</v>
      </c>
      <c r="AJ356" s="43">
        <f t="shared" ca="1" si="221"/>
        <v>112.17687822051718</v>
      </c>
      <c r="AK356" s="43">
        <f t="shared" ca="1" si="221"/>
        <v>118.45632750424166</v>
      </c>
      <c r="AL356" s="43">
        <f t="shared" ca="1" si="221"/>
        <v>125.19035738790954</v>
      </c>
      <c r="AM356" s="43">
        <f t="shared" ca="1" si="221"/>
        <v>132.40335876968788</v>
      </c>
      <c r="AN356" s="43">
        <f t="shared" ca="1" si="221"/>
        <v>140.10291639190515</v>
      </c>
      <c r="AO356" s="43">
        <f t="shared" ca="1" si="221"/>
        <v>148.28033428449723</v>
      </c>
      <c r="AP356" s="43">
        <f t="shared" ca="1" si="221"/>
        <v>156.89598326585934</v>
      </c>
      <c r="AQ356" s="43">
        <f t="shared" ca="1" si="221"/>
        <v>165.91143561857297</v>
      </c>
      <c r="AR356" s="43">
        <f t="shared" ca="1" si="221"/>
        <v>175.25759721665204</v>
      </c>
      <c r="AS356" s="43">
        <f t="shared" ca="1" si="221"/>
        <v>184.86787194227003</v>
      </c>
      <c r="AT356" s="43">
        <f t="shared" ca="1" si="221"/>
        <v>194.76246647805257</v>
      </c>
      <c r="AU356" s="43">
        <f t="shared" ca="1" si="221"/>
        <v>204.93236625855749</v>
      </c>
      <c r="AV356" s="43">
        <f t="shared" ca="1" si="221"/>
        <v>215.39185030336347</v>
      </c>
      <c r="AW356" s="43">
        <f t="shared" ca="1" si="221"/>
        <v>226.12156952547622</v>
      </c>
    </row>
    <row r="357" spans="1:49" x14ac:dyDescent="0.2">
      <c r="A357" s="1" t="s">
        <v>295</v>
      </c>
      <c r="B357" s="4" t="str">
        <f t="shared" ref="B357:B359" si="222">$B$43</f>
        <v>From Fiscal</v>
      </c>
      <c r="D357" s="18">
        <f>Fiscal!D$204</f>
        <v>10.454000000000001</v>
      </c>
      <c r="E357" s="19">
        <f>Fiscal!E$204</f>
        <v>11.47</v>
      </c>
      <c r="F357" s="19">
        <f>Fiscal!F$204</f>
        <v>11.804</v>
      </c>
      <c r="G357" s="19">
        <f>Fiscal!G$204</f>
        <v>12.169</v>
      </c>
      <c r="H357" s="19">
        <f>Fiscal!H$204</f>
        <v>12.577999999999999</v>
      </c>
      <c r="I357" s="19">
        <f>Fiscal!I$204</f>
        <v>12.999000000000001</v>
      </c>
      <c r="J357" s="7">
        <f>I$357*Exogenous!Q$28/Exogenous!P$28</f>
        <v>13.613867643720187</v>
      </c>
      <c r="K357" s="7">
        <f>J$357*Exogenous!R$28/Exogenous!Q$28</f>
        <v>14.22981854695985</v>
      </c>
      <c r="L357" s="7">
        <f>K$357*Exogenous!S$28/Exogenous!R$28</f>
        <v>14.857035800735435</v>
      </c>
      <c r="M357" s="7">
        <f>L$357*Exogenous!T$28/Exogenous!S$28</f>
        <v>15.497048036602528</v>
      </c>
      <c r="N357" s="7">
        <f>M$357*Exogenous!U$28/Exogenous!T$28</f>
        <v>16.16059620804463</v>
      </c>
      <c r="O357" s="7">
        <f>N$357*Exogenous!V$28/Exogenous!U$28</f>
        <v>16.866472490780289</v>
      </c>
      <c r="P357" s="7">
        <f>O$357*Exogenous!W$28/Exogenous!V$28</f>
        <v>17.588679780418975</v>
      </c>
      <c r="Q357" s="7">
        <f>P$357*Exogenous!X$28/Exogenous!W$28</f>
        <v>18.333568547183422</v>
      </c>
      <c r="R357" s="7">
        <f>Q$357*Exogenous!Y$28/Exogenous!X$28</f>
        <v>19.105158332057151</v>
      </c>
      <c r="S357" s="7">
        <f>R$357*Exogenous!Z$28/Exogenous!Y$28</f>
        <v>19.901307857931243</v>
      </c>
      <c r="T357" s="7">
        <f>S$357*Exogenous!AA$28/Exogenous!Z$28</f>
        <v>20.727480499696615</v>
      </c>
      <c r="U357" s="7">
        <f>T$357*Exogenous!AB$28/Exogenous!AA$28</f>
        <v>21.584018657073219</v>
      </c>
      <c r="V357" s="7">
        <f>U$357*Exogenous!AC$28/Exogenous!AB$28</f>
        <v>22.473832727372617</v>
      </c>
      <c r="W357" s="7">
        <f>V$357*Exogenous!AD$28/Exogenous!AC$28</f>
        <v>23.399706229955914</v>
      </c>
      <c r="X357" s="7">
        <f>W$357*Exogenous!AE$28/Exogenous!AD$28</f>
        <v>24.363924221610773</v>
      </c>
      <c r="Y357" s="7">
        <f>X$357*Exogenous!AF$28/Exogenous!AE$28</f>
        <v>25.362097338897684</v>
      </c>
      <c r="Z357" s="7">
        <f>Y$357*Exogenous!AG$28/Exogenous!AF$28</f>
        <v>26.407790971472199</v>
      </c>
      <c r="AA357" s="7">
        <f>Z$357*Exogenous!AH$28/Exogenous!AG$28</f>
        <v>27.50303942722875</v>
      </c>
      <c r="AB357" s="7">
        <f>AA$357*Exogenous!AI$28/Exogenous!AH$28</f>
        <v>28.649167060651166</v>
      </c>
      <c r="AC357" s="7">
        <f>AB$357*Exogenous!AJ$28/Exogenous!AI$28</f>
        <v>29.848307080111731</v>
      </c>
      <c r="AD357" s="7">
        <f>AC$357*Exogenous!AK$28/Exogenous!AJ$28</f>
        <v>31.115657961141988</v>
      </c>
      <c r="AE357" s="7">
        <f>AD$357*Exogenous!AL$28/Exogenous!AK$28</f>
        <v>32.453115993541694</v>
      </c>
      <c r="AF357" s="7">
        <f>AE$357*Exogenous!AM$28/Exogenous!AL$28</f>
        <v>33.860073507668567</v>
      </c>
      <c r="AG357" s="7">
        <f>AF$357*Exogenous!AN$28/Exogenous!AM$28</f>
        <v>35.348644115530085</v>
      </c>
      <c r="AH357" s="7">
        <f>AG$357*Exogenous!AO$28/Exogenous!AN$28</f>
        <v>36.921251227901777</v>
      </c>
      <c r="AI357" s="7">
        <f>AH$357*Exogenous!AP$28/Exogenous!AO$28</f>
        <v>38.577589153079188</v>
      </c>
      <c r="AJ357" s="7">
        <f>AI$357*Exogenous!AQ$28/Exogenous!AP$28</f>
        <v>40.331430165548888</v>
      </c>
      <c r="AK357" s="7">
        <f>AJ$357*Exogenous!AR$28/Exogenous!AQ$28</f>
        <v>42.188984562569878</v>
      </c>
      <c r="AL357" s="7">
        <f>AK$357*Exogenous!AS$28/Exogenous!AR$28</f>
        <v>44.156854246408813</v>
      </c>
      <c r="AM357" s="7">
        <f>AL$357*Exogenous!AT$28/Exogenous!AS$28</f>
        <v>46.24204387623444</v>
      </c>
      <c r="AN357" s="7">
        <f>AM$357*Exogenous!AU$28/Exogenous!AT$28</f>
        <v>48.451965439257371</v>
      </c>
      <c r="AO357" s="7">
        <f>AN$357*Exogenous!AV$28/Exogenous!AU$28</f>
        <v>50.79445506314007</v>
      </c>
      <c r="AP357" s="7">
        <f>AO$357*Exogenous!AW$28/Exogenous!AV$28</f>
        <v>53.27781991939878</v>
      </c>
      <c r="AQ357" s="7">
        <f>AP$357*Exogenous!AX$28/Exogenous!AW$28</f>
        <v>55.910853266763965</v>
      </c>
      <c r="AR357" s="7">
        <f>AQ$357*Exogenous!AY$28/Exogenous!AX$28</f>
        <v>58.706824199020929</v>
      </c>
      <c r="AS357" s="7">
        <f>AR$357*Exogenous!AZ$28/Exogenous!AY$28</f>
        <v>61.683845565557966</v>
      </c>
      <c r="AT357" s="7">
        <f>AS$357*Exogenous!BA$28/Exogenous!AZ$28</f>
        <v>64.753062838032861</v>
      </c>
      <c r="AU357" s="7">
        <f>AT$357*Exogenous!BB$28/Exogenous!BA$28</f>
        <v>67.974995859328018</v>
      </c>
      <c r="AV357" s="7">
        <f>AU$357*Exogenous!BC$28/Exogenous!BB$28</f>
        <v>71.357243342036043</v>
      </c>
      <c r="AW357" s="7">
        <f>AV$357*Exogenous!BD$28/Exogenous!BC$28</f>
        <v>74.907782089637394</v>
      </c>
    </row>
    <row r="358" spans="1:49" x14ac:dyDescent="0.2">
      <c r="A358" s="1" t="s">
        <v>529</v>
      </c>
      <c r="B358" s="4" t="str">
        <f t="shared" si="222"/>
        <v>From Fiscal</v>
      </c>
      <c r="D358" s="18">
        <f>Fiscal!D$205</f>
        <v>5.8000000000000003E-2</v>
      </c>
      <c r="E358" s="19">
        <f>Fiscal!E$205</f>
        <v>6.4000000000000001E-2</v>
      </c>
      <c r="F358" s="19">
        <f>Fiscal!F$205</f>
        <v>6.4000000000000001E-2</v>
      </c>
      <c r="G358" s="19">
        <f>Fiscal!G$205</f>
        <v>6.4000000000000001E-2</v>
      </c>
      <c r="H358" s="19">
        <f>Fiscal!H$205</f>
        <v>6.4000000000000001E-2</v>
      </c>
      <c r="I358" s="19">
        <f>Fiscal!I$205</f>
        <v>6.4000000000000001E-2</v>
      </c>
      <c r="J358" s="7">
        <f ca="1">(I$358/I$14+ IF(J$2&gt;0,J$2*IF(J$6=OFFSET(Assumptions!$B$8,0,$C$1),SUMPRODUCT(OFFSET(I$358,0,0,1,-OFFSET(Assumptions!$B$67,0,$C$1)),OFFSET(I$16,0,0,1,-OFFSET(Assumptions!$B$67,0,$C$1)))/OFFSET(Assumptions!$B$67,0,$C$1)-I$358/I$14,(I$358/I$14-H$358/H$14)/I$2),0))*J$14</f>
        <v>6.7692072935136974E-2</v>
      </c>
      <c r="K358" s="7">
        <f ca="1">(J$358/J$14+ IF(K$2&gt;0,K$2*IF(K$6=OFFSET(Assumptions!$B$8,0,$C$1),SUMPRODUCT(OFFSET(J$358,0,0,1,-OFFSET(Assumptions!$B$67,0,$C$1)),OFFSET(J$16,0,0,1,-OFFSET(Assumptions!$B$67,0,$C$1)))/OFFSET(Assumptions!$B$67,0,$C$1)-J$358/J$14,(J$358/J$14-I$358/I$14)/J$2),0))*K$14</f>
        <v>7.1350449527495641E-2</v>
      </c>
      <c r="L358" s="7">
        <f ca="1">(K$358/K$14+ IF(L$2&gt;0,L$2*IF(L$6=OFFSET(Assumptions!$B$8,0,$C$1),SUMPRODUCT(OFFSET(K$358,0,0,1,-OFFSET(Assumptions!$B$67,0,$C$1)),OFFSET(K$16,0,0,1,-OFFSET(Assumptions!$B$67,0,$C$1)))/OFFSET(Assumptions!$B$67,0,$C$1)-K$358/K$14,(K$358/K$14-J$358/J$14)/K$2),0))*L$14</f>
        <v>7.509225566885297E-2</v>
      </c>
      <c r="M358" s="7">
        <f ca="1">(L$358/L$14+ IF(M$2&gt;0,M$2*IF(M$6=OFFSET(Assumptions!$B$8,0,$C$1),SUMPRODUCT(OFFSET(L$358,0,0,1,-OFFSET(Assumptions!$B$67,0,$C$1)),OFFSET(L$16,0,0,1,-OFFSET(Assumptions!$B$67,0,$C$1)))/OFFSET(Assumptions!$B$67,0,$C$1)-L$358/L$14,(L$358/L$14-K$358/K$14)/L$2),0))*M$14</f>
        <v>7.8788156076010099E-2</v>
      </c>
      <c r="N358" s="7">
        <f ca="1">(M$358/M$14+ IF(N$2&gt;0,N$2*IF(N$6=OFFSET(Assumptions!$B$8,0,$C$1),SUMPRODUCT(OFFSET(M$358,0,0,1,-OFFSET(Assumptions!$B$67,0,$C$1)),OFFSET(M$16,0,0,1,-OFFSET(Assumptions!$B$67,0,$C$1)))/OFFSET(Assumptions!$B$67,0,$C$1)-M$358/M$14,(M$358/M$14-L$358/L$14)/M$2),0))*N$14</f>
        <v>8.2421540122473352E-2</v>
      </c>
      <c r="O358" s="7">
        <f ca="1">(N$358/N$14+ IF(O$2&gt;0,O$2*IF(O$6=OFFSET(Assumptions!$B$8,0,$C$1),SUMPRODUCT(OFFSET(N$358,0,0,1,-OFFSET(Assumptions!$B$67,0,$C$1)),OFFSET(N$16,0,0,1,-OFFSET(Assumptions!$B$67,0,$C$1)))/OFFSET(Assumptions!$B$67,0,$C$1)-N$358/N$14,(N$358/N$14-M$358/M$14)/N$2),0))*O$14</f>
        <v>8.593984640600813E-2</v>
      </c>
      <c r="P358" s="7">
        <f ca="1">(O$358/O$14+ IF(P$2&gt;0,P$2*IF(P$6=OFFSET(Assumptions!$B$8,0,$C$1),SUMPRODUCT(OFFSET(O$358,0,0,1,-OFFSET(Assumptions!$B$67,0,$C$1)),OFFSET(O$16,0,0,1,-OFFSET(Assumptions!$B$67,0,$C$1)))/OFFSET(Assumptions!$B$67,0,$C$1)-O$358/O$14,(O$358/O$14-N$358/N$14)/O$2),0))*P$14</f>
        <v>8.9574148081711963E-2</v>
      </c>
      <c r="Q358" s="7">
        <f ca="1">(P$358/P$14+ IF(Q$2&gt;0,Q$2*IF(Q$6=OFFSET(Assumptions!$B$8,0,$C$1),SUMPRODUCT(OFFSET(P$358,0,0,1,-OFFSET(Assumptions!$B$67,0,$C$1)),OFFSET(P$16,0,0,1,-OFFSET(Assumptions!$B$67,0,$C$1)))/OFFSET(Assumptions!$B$67,0,$C$1)-P$358/P$14,(P$358/P$14-O$358/O$14)/P$2),0))*Q$14</f>
        <v>9.3320519436449104E-2</v>
      </c>
      <c r="R358" s="7">
        <f ca="1">(Q$358/Q$14+ IF(R$2&gt;0,R$2*IF(R$6=OFFSET(Assumptions!$B$8,0,$C$1),SUMPRODUCT(OFFSET(Q$358,0,0,1,-OFFSET(Assumptions!$B$67,0,$C$1)),OFFSET(Q$16,0,0,1,-OFFSET(Assumptions!$B$67,0,$C$1)))/OFFSET(Assumptions!$B$67,0,$C$1)-Q$358/Q$14,(Q$358/Q$14-P$358/P$14)/Q$2),0))*R$14</f>
        <v>9.7176179847814223E-2</v>
      </c>
      <c r="S358" s="7">
        <f ca="1">(R$358/R$14+ IF(S$2&gt;0,S$2*IF(S$6=OFFSET(Assumptions!$B$8,0,$C$1),SUMPRODUCT(OFFSET(R$358,0,0,1,-OFFSET(Assumptions!$B$67,0,$C$1)),OFFSET(R$16,0,0,1,-OFFSET(Assumptions!$B$67,0,$C$1)))/OFFSET(Assumptions!$B$67,0,$C$1)-R$358/R$14,(R$358/R$14-Q$358/Q$14)/R$2),0))*S$14</f>
        <v>0.10115338244737179</v>
      </c>
      <c r="T358" s="7">
        <f ca="1">(S$358/S$14+ IF(T$2&gt;0,T$2*IF(T$6=OFFSET(Assumptions!$B$8,0,$C$1),SUMPRODUCT(OFFSET(S$358,0,0,1,-OFFSET(Assumptions!$B$67,0,$C$1)),OFFSET(S$16,0,0,1,-OFFSET(Assumptions!$B$67,0,$C$1)))/OFFSET(Assumptions!$B$67,0,$C$1)-S$358/S$14,(S$358/S$14-R$358/R$14)/S$2),0))*T$14</f>
        <v>0.10525357758625482</v>
      </c>
      <c r="U358" s="7">
        <f ca="1">(T$358/T$14+ IF(U$2&gt;0,U$2*IF(U$6=OFFSET(Assumptions!$B$8,0,$C$1),SUMPRODUCT(OFFSET(T$358,0,0,1,-OFFSET(Assumptions!$B$67,0,$C$1)),OFFSET(T$16,0,0,1,-OFFSET(Assumptions!$B$67,0,$C$1)))/OFFSET(Assumptions!$B$67,0,$C$1)-T$358/T$14,(T$358/T$14-S$358/S$14)/T$2),0))*U$14</f>
        <v>0.10949148075673694</v>
      </c>
      <c r="V358" s="7">
        <f ca="1">(U$358/U$14+ IF(V$2&gt;0,V$2*IF(V$6=OFFSET(Assumptions!$B$8,0,$C$1),SUMPRODUCT(OFFSET(U$358,0,0,1,-OFFSET(Assumptions!$B$67,0,$C$1)),OFFSET(U$16,0,0,1,-OFFSET(Assumptions!$B$67,0,$C$1)))/OFFSET(Assumptions!$B$67,0,$C$1)-U$358/U$14,(U$358/U$14-T$358/T$14)/U$2),0))*V$14</f>
        <v>0.11387755324700043</v>
      </c>
      <c r="W358" s="7">
        <f ca="1">(V$358/V$14+ IF(W$2&gt;0,W$2*IF(W$6=OFFSET(Assumptions!$B$8,0,$C$1),SUMPRODUCT(OFFSET(V$358,0,0,1,-OFFSET(Assumptions!$B$67,0,$C$1)),OFFSET(V$16,0,0,1,-OFFSET(Assumptions!$B$67,0,$C$1)))/OFFSET(Assumptions!$B$67,0,$C$1)-V$358/V$14,(V$358/V$14-U$358/U$14)/V$2),0))*W$14</f>
        <v>0.11842450261538087</v>
      </c>
      <c r="X358" s="7">
        <f ca="1">(W$358/W$14+ IF(X$2&gt;0,X$2*IF(X$6=OFFSET(Assumptions!$B$8,0,$C$1),SUMPRODUCT(OFFSET(W$358,0,0,1,-OFFSET(Assumptions!$B$67,0,$C$1)),OFFSET(W$16,0,0,1,-OFFSET(Assumptions!$B$67,0,$C$1)))/OFFSET(Assumptions!$B$67,0,$C$1)-W$358/W$14,(W$358/W$14-V$358/V$14)/W$2),0))*X$14</f>
        <v>0.12314673112998301</v>
      </c>
      <c r="Y358" s="7">
        <f ca="1">(X$358/X$14+ IF(Y$2&gt;0,Y$2*IF(Y$6=OFFSET(Assumptions!$B$8,0,$C$1),SUMPRODUCT(OFFSET(X$358,0,0,1,-OFFSET(Assumptions!$B$67,0,$C$1)),OFFSET(X$16,0,0,1,-OFFSET(Assumptions!$B$67,0,$C$1)))/OFFSET(Assumptions!$B$67,0,$C$1)-X$358/X$14,(X$358/X$14-W$358/W$14)/X$2),0))*Y$14</f>
        <v>0.1280437560226958</v>
      </c>
      <c r="Z358" s="7">
        <f ca="1">(Y$358/Y$14+ IF(Z$2&gt;0,Z$2*IF(Z$6=OFFSET(Assumptions!$B$8,0,$C$1),SUMPRODUCT(OFFSET(Y$358,0,0,1,-OFFSET(Assumptions!$B$67,0,$C$1)),OFFSET(Y$16,0,0,1,-OFFSET(Assumptions!$B$67,0,$C$1)))/OFFSET(Assumptions!$B$67,0,$C$1)-Y$358/Y$14,(Y$358/Y$14-X$358/X$14)/Y$2),0))*Z$14</f>
        <v>0.13314036428231762</v>
      </c>
      <c r="AA358" s="7">
        <f ca="1">(Z$358/Z$14+ IF(AA$2&gt;0,AA$2*IF(AA$6=OFFSET(Assumptions!$B$8,0,$C$1),SUMPRODUCT(OFFSET(Z$358,0,0,1,-OFFSET(Assumptions!$B$67,0,$C$1)),OFFSET(Z$16,0,0,1,-OFFSET(Assumptions!$B$67,0,$C$1)))/OFFSET(Assumptions!$B$67,0,$C$1)-Z$358/Z$14,(Z$358/Z$14-Y$358/Y$14)/Z$2),0))*AA$14</f>
        <v>0.13844480223858818</v>
      </c>
      <c r="AB358" s="7">
        <f ca="1">(AA$358/AA$14+ IF(AB$2&gt;0,AB$2*IF(AB$6=OFFSET(Assumptions!$B$8,0,$C$1),SUMPRODUCT(OFFSET(AA$358,0,0,1,-OFFSET(Assumptions!$B$67,0,$C$1)),OFFSET(AA$16,0,0,1,-OFFSET(Assumptions!$B$67,0,$C$1)))/OFFSET(Assumptions!$B$67,0,$C$1)-AA$358/AA$14,(AA$358/AA$14-Z$358/Z$14)/AA$2),0))*AB$14</f>
        <v>0.14397299960856166</v>
      </c>
      <c r="AC358" s="7">
        <f ca="1">(AB$358/AB$14+ IF(AC$2&gt;0,AC$2*IF(AC$6=OFFSET(Assumptions!$B$8,0,$C$1),SUMPRODUCT(OFFSET(AB$358,0,0,1,-OFFSET(Assumptions!$B$67,0,$C$1)),OFFSET(AB$16,0,0,1,-OFFSET(Assumptions!$B$67,0,$C$1)))/OFFSET(Assumptions!$B$67,0,$C$1)-AB$358/AB$14,(AB$358/AB$14-AA$358/AA$14)/AB$2),0))*AC$14</f>
        <v>0.14974582608749934</v>
      </c>
      <c r="AD358" s="7">
        <f ca="1">(AC$358/AC$14+ IF(AD$2&gt;0,AD$2*IF(AD$6=OFFSET(Assumptions!$B$8,0,$C$1),SUMPRODUCT(OFFSET(AC$358,0,0,1,-OFFSET(Assumptions!$B$67,0,$C$1)),OFFSET(AC$16,0,0,1,-OFFSET(Assumptions!$B$67,0,$C$1)))/OFFSET(Assumptions!$B$67,0,$C$1)-AC$358/AC$14,(AC$358/AC$14-AB$358/AB$14)/AC$2),0))*AD$14</f>
        <v>0.15576936630572186</v>
      </c>
      <c r="AE358" s="7">
        <f ca="1">(AD$358/AD$14+ IF(AE$2&gt;0,AE$2*IF(AE$6=OFFSET(Assumptions!$B$8,0,$C$1),SUMPRODUCT(OFFSET(AD$358,0,0,1,-OFFSET(Assumptions!$B$67,0,$C$1)),OFFSET(AD$16,0,0,1,-OFFSET(Assumptions!$B$67,0,$C$1)))/OFFSET(Assumptions!$B$67,0,$C$1)-AD$358/AD$14,(AD$358/AD$14-AC$358/AC$14)/AD$2),0))*AE$14</f>
        <v>0.16203808844439468</v>
      </c>
      <c r="AF358" s="7">
        <f ca="1">(AE$358/AE$14+ IF(AF$2&gt;0,AF$2*IF(AF$6=OFFSET(Assumptions!$B$8,0,$C$1),SUMPRODUCT(OFFSET(AE$358,0,0,1,-OFFSET(Assumptions!$B$67,0,$C$1)),OFFSET(AE$16,0,0,1,-OFFSET(Assumptions!$B$67,0,$C$1)))/OFFSET(Assumptions!$B$67,0,$C$1)-AE$358/AE$14,(AE$358/AE$14-AD$358/AD$14)/AE$2),0))*AF$14</f>
        <v>0.16856933554767295</v>
      </c>
      <c r="AG358" s="7">
        <f ca="1">(AF$358/AF$14+ IF(AG$2&gt;0,AG$2*IF(AG$6=OFFSET(Assumptions!$B$8,0,$C$1),SUMPRODUCT(OFFSET(AF$358,0,0,1,-OFFSET(Assumptions!$B$67,0,$C$1)),OFFSET(AF$16,0,0,1,-OFFSET(Assumptions!$B$67,0,$C$1)))/OFFSET(Assumptions!$B$67,0,$C$1)-AF$358/AF$14,(AF$358/AF$14-AE$358/AE$14)/AF$2),0))*AG$14</f>
        <v>0.17536675961583004</v>
      </c>
      <c r="AH358" s="7">
        <f ca="1">(AG$358/AG$14+ IF(AH$2&gt;0,AH$2*IF(AH$6=OFFSET(Assumptions!$B$8,0,$C$1),SUMPRODUCT(OFFSET(AG$358,0,0,1,-OFFSET(Assumptions!$B$67,0,$C$1)),OFFSET(AG$16,0,0,1,-OFFSET(Assumptions!$B$67,0,$C$1)))/OFFSET(Assumptions!$B$67,0,$C$1)-AG$358/AG$14,(AG$358/AG$14-AF$358/AF$14)/AG$2),0))*AH$14</f>
        <v>0.18244126079000736</v>
      </c>
      <c r="AI358" s="7">
        <f ca="1">(AH$358/AH$14+ IF(AI$2&gt;0,AI$2*IF(AI$6=OFFSET(Assumptions!$B$8,0,$C$1),SUMPRODUCT(OFFSET(AH$358,0,0,1,-OFFSET(Assumptions!$B$67,0,$C$1)),OFFSET(AH$16,0,0,1,-OFFSET(Assumptions!$B$67,0,$C$1)))/OFFSET(Assumptions!$B$67,0,$C$1)-AH$358/AH$14,(AH$358/AH$14-AG$358/AG$14)/AH$2),0))*AI$14</f>
        <v>0.18978047757475622</v>
      </c>
      <c r="AJ358" s="7">
        <f ca="1">(AI$358/AI$14+ IF(AJ$2&gt;0,AJ$2*IF(AJ$6=OFFSET(Assumptions!$B$8,0,$C$1),SUMPRODUCT(OFFSET(AI$358,0,0,1,-OFFSET(Assumptions!$B$67,0,$C$1)),OFFSET(AI$16,0,0,1,-OFFSET(Assumptions!$B$67,0,$C$1)))/OFFSET(Assumptions!$B$67,0,$C$1)-AI$358/AI$14,(AI$358/AI$14-AH$358/AH$14)/AI$2),0))*AJ$14</f>
        <v>0.19740792113808173</v>
      </c>
      <c r="AK358" s="7">
        <f ca="1">(AJ$358/AJ$14+ IF(AK$2&gt;0,AK$2*IF(AK$6=OFFSET(Assumptions!$B$8,0,$C$1),SUMPRODUCT(OFFSET(AJ$358,0,0,1,-OFFSET(Assumptions!$B$67,0,$C$1)),OFFSET(AJ$16,0,0,1,-OFFSET(Assumptions!$B$67,0,$C$1)))/OFFSET(Assumptions!$B$67,0,$C$1)-AJ$358/AJ$14,(AJ$358/AJ$14-AI$358/AI$14)/AJ$2),0))*AK$14</f>
        <v>0.20531731690995619</v>
      </c>
      <c r="AL358" s="7">
        <f ca="1">(AK$358/AK$14+ IF(AL$2&gt;0,AL$2*IF(AL$6=OFFSET(Assumptions!$B$8,0,$C$1),SUMPRODUCT(OFFSET(AK$358,0,0,1,-OFFSET(Assumptions!$B$67,0,$C$1)),OFFSET(AK$16,0,0,1,-OFFSET(Assumptions!$B$67,0,$C$1)))/OFFSET(Assumptions!$B$67,0,$C$1)-AK$358/AK$14,(AK$358/AK$14-AJ$358/AJ$14)/AK$2),0))*AL$14</f>
        <v>0.21350243444112429</v>
      </c>
      <c r="AM358" s="7">
        <f ca="1">(AL$358/AL$14+ IF(AM$2&gt;0,AM$2*IF(AM$6=OFFSET(Assumptions!$B$8,0,$C$1),SUMPRODUCT(OFFSET(AL$358,0,0,1,-OFFSET(Assumptions!$B$67,0,$C$1)),OFFSET(AL$16,0,0,1,-OFFSET(Assumptions!$B$67,0,$C$1)))/OFFSET(Assumptions!$B$67,0,$C$1)-AL$358/AL$14,(AL$358/AL$14-AK$358/AK$14)/AL$2),0))*AM$14</f>
        <v>0.22197445566800192</v>
      </c>
      <c r="AN358" s="7">
        <f ca="1">(AM$358/AM$14+ IF(AN$2&gt;0,AN$2*IF(AN$6=OFFSET(Assumptions!$B$8,0,$C$1),SUMPRODUCT(OFFSET(AM$358,0,0,1,-OFFSET(Assumptions!$B$67,0,$C$1)),OFFSET(AM$16,0,0,1,-OFFSET(Assumptions!$B$67,0,$C$1)))/OFFSET(Assumptions!$B$67,0,$C$1)-AM$358/AM$14,(AM$358/AM$14-AL$358/AL$14)/AM$2),0))*AN$14</f>
        <v>0.2307451650900719</v>
      </c>
      <c r="AO358" s="7">
        <f ca="1">(AN$358/AN$14+ IF(AO$2&gt;0,AO$2*IF(AO$6=OFFSET(Assumptions!$B$8,0,$C$1),SUMPRODUCT(OFFSET(AN$358,0,0,1,-OFFSET(Assumptions!$B$67,0,$C$1)),OFFSET(AN$16,0,0,1,-OFFSET(Assumptions!$B$67,0,$C$1)))/OFFSET(Assumptions!$B$67,0,$C$1)-AN$358/AN$14,(AN$358/AN$14-AM$358/AM$14)/AN$2),0))*AO$14</f>
        <v>0.2397801231644856</v>
      </c>
      <c r="AP358" s="7">
        <f ca="1">(AO$358/AO$14+ IF(AP$2&gt;0,AP$2*IF(AP$6=OFFSET(Assumptions!$B$8,0,$C$1),SUMPRODUCT(OFFSET(AO$358,0,0,1,-OFFSET(Assumptions!$B$67,0,$C$1)),OFFSET(AO$16,0,0,1,-OFFSET(Assumptions!$B$67,0,$C$1)))/OFFSET(Assumptions!$B$67,0,$C$1)-AO$358/AO$14,(AO$358/AO$14-AN$358/AN$14)/AO$2),0))*AP$14</f>
        <v>0.24911769679660065</v>
      </c>
      <c r="AQ358" s="7">
        <f ca="1">(AP$358/AP$14+ IF(AQ$2&gt;0,AQ$2*IF(AQ$6=OFFSET(Assumptions!$B$8,0,$C$1),SUMPRODUCT(OFFSET(AP$358,0,0,1,-OFFSET(Assumptions!$B$67,0,$C$1)),OFFSET(AP$16,0,0,1,-OFFSET(Assumptions!$B$67,0,$C$1)))/OFFSET(Assumptions!$B$67,0,$C$1)-AP$358/AP$14,(AP$358/AP$14-AO$358/AO$14)/AP$2),0))*AQ$14</f>
        <v>0.25873172213456663</v>
      </c>
      <c r="AR358" s="7">
        <f ca="1">(AQ$358/AQ$14+ IF(AR$2&gt;0,AR$2*IF(AR$6=OFFSET(Assumptions!$B$8,0,$C$1),SUMPRODUCT(OFFSET(AQ$358,0,0,1,-OFFSET(Assumptions!$B$67,0,$C$1)),OFFSET(AQ$16,0,0,1,-OFFSET(Assumptions!$B$67,0,$C$1)))/OFFSET(Assumptions!$B$67,0,$C$1)-AQ$358/AQ$14,(AQ$358/AQ$14-AP$358/AP$14)/AQ$2),0))*AR$14</f>
        <v>0.26863308397498525</v>
      </c>
      <c r="AS358" s="7">
        <f ca="1">(AR$358/AR$14+ IF(AS$2&gt;0,AS$2*IF(AS$6=OFFSET(Assumptions!$B$8,0,$C$1),SUMPRODUCT(OFFSET(AR$358,0,0,1,-OFFSET(Assumptions!$B$67,0,$C$1)),OFFSET(AR$16,0,0,1,-OFFSET(Assumptions!$B$67,0,$C$1)))/OFFSET(Assumptions!$B$67,0,$C$1)-AR$358/AR$14,(AR$358/AR$14-AQ$358/AQ$14)/AR$2),0))*AS$14</f>
        <v>0.2788448819094364</v>
      </c>
      <c r="AT358" s="7">
        <f ca="1">(AS$358/AS$14+ IF(AT$2&gt;0,AT$2*IF(AT$6=OFFSET(Assumptions!$B$8,0,$C$1),SUMPRODUCT(OFFSET(AS$358,0,0,1,-OFFSET(Assumptions!$B$67,0,$C$1)),OFFSET(AS$16,0,0,1,-OFFSET(Assumptions!$B$67,0,$C$1)))/OFFSET(Assumptions!$B$67,0,$C$1)-AS$358/AS$14,(AS$358/AS$14-AR$358/AR$14)/AS$2),0))*AT$14</f>
        <v>0.28937527176660527</v>
      </c>
      <c r="AU358" s="7">
        <f ca="1">(AT$358/AT$14+ IF(AU$2&gt;0,AU$2*IF(AU$6=OFFSET(Assumptions!$B$8,0,$C$1),SUMPRODUCT(OFFSET(AT$358,0,0,1,-OFFSET(Assumptions!$B$67,0,$C$1)),OFFSET(AT$16,0,0,1,-OFFSET(Assumptions!$B$67,0,$C$1)))/OFFSET(Assumptions!$B$67,0,$C$1)-AT$358/AT$14,(AT$358/AT$14-AS$358/AS$14)/AT$2),0))*AU$14</f>
        <v>0.30023825661414916</v>
      </c>
      <c r="AV358" s="7">
        <f ca="1">(AU$358/AU$14+ IF(AV$2&gt;0,AV$2*IF(AV$6=OFFSET(Assumptions!$B$8,0,$C$1),SUMPRODUCT(OFFSET(AU$358,0,0,1,-OFFSET(Assumptions!$B$67,0,$C$1)),OFFSET(AU$16,0,0,1,-OFFSET(Assumptions!$B$67,0,$C$1)))/OFFSET(Assumptions!$B$67,0,$C$1)-AU$358/AU$14,(AU$358/AU$14-AT$358/AT$14)/AU$2),0))*AV$14</f>
        <v>0.31146742369389446</v>
      </c>
      <c r="AW358" s="7">
        <f ca="1">(AV$358/AV$14+ IF(AW$2&gt;0,AW$2*IF(AW$6=OFFSET(Assumptions!$B$8,0,$C$1),SUMPRODUCT(OFFSET(AV$358,0,0,1,-OFFSET(Assumptions!$B$67,0,$C$1)),OFFSET(AV$16,0,0,1,-OFFSET(Assumptions!$B$67,0,$C$1)))/OFFSET(Assumptions!$B$67,0,$C$1)-AV$358/AV$14,(AV$358/AV$14-AU$358/AU$14)/AV$2),0))*AW$14</f>
        <v>0.32305643351019253</v>
      </c>
    </row>
    <row r="359" spans="1:49" x14ac:dyDescent="0.2">
      <c r="A359" s="1" t="s">
        <v>530</v>
      </c>
      <c r="B359" s="4" t="str">
        <f t="shared" si="222"/>
        <v>From Fiscal</v>
      </c>
      <c r="D359" s="18">
        <f ca="1">Fiscal!D$117-SUM(D$356:D$358)</f>
        <v>-0.45799999999999841</v>
      </c>
      <c r="E359" s="19">
        <f ca="1">Fiscal!E$117-SUM(E$356:E$358)</f>
        <v>-0.4220000000000006</v>
      </c>
      <c r="F359" s="19">
        <f ca="1">Fiscal!F$117-SUM(F$356:F$358)</f>
        <v>-0.43100000000000094</v>
      </c>
      <c r="G359" s="19">
        <f ca="1">Fiscal!G$117-SUM(G$356:G$358)</f>
        <v>-0.44200000000000017</v>
      </c>
      <c r="H359" s="19">
        <f ca="1">Fiscal!H$117-SUM(H$356:H$358)</f>
        <v>-0.45199999999999818</v>
      </c>
      <c r="I359" s="19">
        <f ca="1">Fiscal!I$117-SUM(I$356:I$358)</f>
        <v>-0.46300000000000097</v>
      </c>
      <c r="J359" s="7">
        <f ca="1">IF(J$6=OFFSET(Assumptions!$B$8,0,$C$1),AVERAGE(G$359/G$357,H$359/H$357,I$359/I$357),I$359/I$357)*J$357</f>
        <v>-0.48953510654809823</v>
      </c>
      <c r="K359" s="7">
        <f ca="1">IF(K$6=OFFSET(Assumptions!$B$8,0,$C$1),AVERAGE(H$359/H$357,I$359/I$357,J$359/J$357),J$359/J$357)*K$357</f>
        <v>-0.51168381541885877</v>
      </c>
      <c r="L359" s="7">
        <f ca="1">IF(L$6=OFFSET(Assumptions!$B$8,0,$C$1),AVERAGE(I$359/I$357,J$359/J$357,K$359/K$357),K$359/K$357)*L$357</f>
        <v>-0.53423764605621415</v>
      </c>
      <c r="M359" s="7">
        <f ca="1">IF(M$6=OFFSET(Assumptions!$B$8,0,$C$1),AVERAGE(J$359/J$357,K$359/K$357,L$359/L$357),L$359/L$357)*M$357</f>
        <v>-0.55725156585304769</v>
      </c>
      <c r="N359" s="7">
        <f ca="1">IF(N$6=OFFSET(Assumptions!$B$8,0,$C$1),AVERAGE(K$359/K$357,L$359/L$357,M$359/M$357),M$359/M$357)*N$357</f>
        <v>-0.58111180405336127</v>
      </c>
      <c r="O359" s="7">
        <f ca="1">IF(O$6=OFFSET(Assumptions!$B$8,0,$C$1),AVERAGE(L$359/L$357,M$359/M$357,N$359/N$357),N$359/N$357)*O$357</f>
        <v>-0.60649410027674</v>
      </c>
      <c r="P359" s="7">
        <f ca="1">IF(P$6=OFFSET(Assumptions!$B$8,0,$C$1),AVERAGE(M$359/M$357,N$359/N$357,O$359/O$357),O$359/O$357)*P$357</f>
        <v>-0.63246363602774835</v>
      </c>
      <c r="Q359" s="7">
        <f ca="1">IF(Q$6=OFFSET(Assumptions!$B$8,0,$C$1),AVERAGE(N$359/N$357,O$359/O$357,P$359/P$357),P$359/P$357)*Q$357</f>
        <v>-0.65924876508493591</v>
      </c>
      <c r="R359" s="7">
        <f ca="1">IF(R$6=OFFSET(Assumptions!$B$8,0,$C$1),AVERAGE(O$359/O$357,P$359/P$357,Q$359/Q$357),Q$359/Q$357)*R$357</f>
        <v>-0.68699402436280321</v>
      </c>
      <c r="S359" s="7">
        <f ca="1">IF(S$6=OFFSET(Assumptions!$B$8,0,$C$1),AVERAGE(P$359/P$357,Q$359/Q$357,R$359/R$357),R$359/R$357)*S$357</f>
        <v>-0.71562241661522619</v>
      </c>
      <c r="T359" s="7">
        <f ca="1">IF(T$6=OFFSET(Assumptions!$B$8,0,$C$1),AVERAGE(Q$359/Q$357,R$359/R$357,S$359/S$357),S$359/S$357)*T$357</f>
        <v>-0.74533039694808156</v>
      </c>
      <c r="U359" s="7">
        <f ca="1">IF(U$6=OFFSET(Assumptions!$B$8,0,$C$1),AVERAGE(R$359/R$357,S$359/S$357,T$359/T$357),T$359/T$357)*U$357</f>
        <v>-0.7761302775629989</v>
      </c>
      <c r="V359" s="7">
        <f ca="1">IF(V$6=OFFSET(Assumptions!$B$8,0,$C$1),AVERAGE(S$359/S$357,T$359/T$357,U$359/U$357),U$359/U$357)*V$357</f>
        <v>-0.80812671216275378</v>
      </c>
      <c r="W359" s="7">
        <f ca="1">IF(W$6=OFFSET(Assumptions!$B$8,0,$C$1),AVERAGE(T$359/T$357,U$359/U$357,V$359/V$357),V$359/V$357)*W$357</f>
        <v>-0.84141979210144779</v>
      </c>
      <c r="X359" s="7">
        <f ca="1">IF(X$6=OFFSET(Assumptions!$B$8,0,$C$1),AVERAGE(U$359/U$357,V$359/V$357,W$359/W$357),W$359/W$357)*X$357</f>
        <v>-0.87609168473572707</v>
      </c>
      <c r="Y359" s="7">
        <f ca="1">IF(Y$6=OFFSET(Assumptions!$B$8,0,$C$1),AVERAGE(V$359/V$357,W$359/W$357,X$359/X$357),X$359/X$357)*Y$357</f>
        <v>-0.91198455486730168</v>
      </c>
      <c r="Z359" s="7">
        <f ca="1">IF(Z$6=OFFSET(Assumptions!$B$8,0,$C$1),AVERAGE(W$359/W$357,X$359/X$357,Y$359/Y$357),Y$359/Y$357)*Z$357</f>
        <v>-0.94958619440396674</v>
      </c>
      <c r="AA359" s="7">
        <f ca="1">IF(AA$6=OFFSET(Assumptions!$B$8,0,$C$1),AVERAGE(X$359/X$357,Y$359/Y$357,Z$359/Z$357),Z$359/Z$357)*AA$357</f>
        <v>-0.98896975413269261</v>
      </c>
      <c r="AB359" s="7">
        <f ca="1">IF(AB$6=OFFSET(Assumptions!$B$8,0,$C$1),AVERAGE(Y$359/Y$357,Z$359/Z$357,AA$359/AA$357),AA$359/AA$357)*AB$357</f>
        <v>-1.0301828559365707</v>
      </c>
      <c r="AC359" s="7">
        <f ca="1">IF(AC$6=OFFSET(Assumptions!$B$8,0,$C$1),AVERAGE(Z$359/Z$357,AA$359/AA$357,AB$359/AB$357),AB$359/AB$357)*AC$357</f>
        <v>-1.0733022069215568</v>
      </c>
      <c r="AD359" s="7">
        <f ca="1">IF(AD$6=OFFSET(Assumptions!$B$8,0,$C$1),AVERAGE(AA$359/AA$357,AB$359/AB$357,AC$359/AC$357),AC$359/AC$357)*AD$357</f>
        <v>-1.1188743224155073</v>
      </c>
      <c r="AE359" s="7">
        <f ca="1">IF(AE$6=OFFSET(Assumptions!$B$8,0,$C$1),AVERAGE(AB$359/AB$357,AC$359/AC$357,AD$359/AD$357),AD$359/AD$357)*AE$357</f>
        <v>-1.1669673902731499</v>
      </c>
      <c r="AF359" s="7">
        <f ca="1">IF(AF$6=OFFSET(Assumptions!$B$8,0,$C$1),AVERAGE(AC$359/AC$357,AD$359/AD$357,AE$359/AE$357),AE$359/AE$357)*AF$357</f>
        <v>-1.2175595595678512</v>
      </c>
      <c r="AG359" s="7">
        <f ca="1">IF(AG$6=OFFSET(Assumptions!$B$8,0,$C$1),AVERAGE(AD$359/AD$357,AE$359/AE$357,AF$359/AF$357),AF$359/AF$357)*AG$357</f>
        <v>-1.2710864183705364</v>
      </c>
      <c r="AH359" s="7">
        <f ca="1">IF(AH$6=OFFSET(Assumptions!$B$8,0,$C$1),AVERAGE(AE$359/AE$357,AF$359/AF$357,AG$359/AG$357),AG$359/AG$357)*AH$357</f>
        <v>-1.3276351090483314</v>
      </c>
      <c r="AI359" s="7">
        <f ca="1">IF(AI$6=OFFSET(Assumptions!$B$8,0,$C$1),AVERAGE(AF$359/AF$357,AG$359/AG$357,AH$359/AH$357),AH$359/AH$357)*AI$357</f>
        <v>-1.3871946393670649</v>
      </c>
      <c r="AJ359" s="7">
        <f ca="1">IF(AJ$6=OFFSET(Assumptions!$B$8,0,$C$1),AVERAGE(AG$359/AG$357,AH$359/AH$357,AI$359/AI$357),AI$359/AI$357)*AJ$357</f>
        <v>-1.4502602405155982</v>
      </c>
      <c r="AK359" s="7">
        <f ca="1">IF(AK$6=OFFSET(Assumptions!$B$8,0,$C$1),AVERAGE(AH$359/AH$357,AI$359/AI$357,AJ$359/AJ$357),AJ$359/AJ$357)*AK$357</f>
        <v>-1.5170552258542442</v>
      </c>
      <c r="AL359" s="7">
        <f ca="1">IF(AL$6=OFFSET(Assumptions!$B$8,0,$C$1),AVERAGE(AI$359/AI$357,AJ$359/AJ$357,AK$359/AK$357),AK$359/AK$357)*AL$357</f>
        <v>-1.587816990296345</v>
      </c>
      <c r="AM359" s="7">
        <f ca="1">IF(AM$6=OFFSET(Assumptions!$B$8,0,$C$1),AVERAGE(AJ$359/AJ$357,AK$359/AK$357,AL$359/AL$357),AL$359/AL$357)*AM$357</f>
        <v>-1.6627974113143607</v>
      </c>
      <c r="AN359" s="7">
        <f ca="1">IF(AN$6=OFFSET(Assumptions!$B$8,0,$C$1),AVERAGE(AK$359/AK$357,AL$359/AL$357,AM$359/AM$357),AM$359/AM$357)*AN$357</f>
        <v>-1.7422630133114829</v>
      </c>
      <c r="AO359" s="7">
        <f ca="1">IF(AO$6=OFFSET(Assumptions!$B$8,0,$C$1),AVERAGE(AL$359/AL$357,AM$359/AM$357,AN$359/AN$357),AN$359/AN$357)*AO$357</f>
        <v>-1.8264955721717269</v>
      </c>
      <c r="AP359" s="7">
        <f ca="1">IF(AP$6=OFFSET(Assumptions!$B$8,0,$C$1),AVERAGE(AM$359/AM$357,AN$359/AN$357,AO$359/AO$357),AO$359/AO$357)*AP$357</f>
        <v>-1.9157938018388256</v>
      </c>
      <c r="AQ359" s="7">
        <f ca="1">IF(AQ$6=OFFSET(Assumptions!$B$8,0,$C$1),AVERAGE(AN$359/AN$357,AO$359/AO$357,AP$359/AP$357),AP$359/AP$357)*AQ$357</f>
        <v>-2.0104738952538432</v>
      </c>
      <c r="AR359" s="7">
        <f ca="1">IF(AR$6=OFFSET(Assumptions!$B$8,0,$C$1),AVERAGE(AO$359/AO$357,AP$359/AP$357,AQ$359/AQ$357),AQ$359/AQ$357)*AR$357</f>
        <v>-2.1110129899510923</v>
      </c>
      <c r="AS359" s="7">
        <f ca="1">IF(AS$6=OFFSET(Assumptions!$B$8,0,$C$1),AVERAGE(AP$359/AP$357,AQ$359/AQ$357,AR$359/AR$357),AR$359/AR$357)*AS$357</f>
        <v>-2.2180623979520524</v>
      </c>
      <c r="AT359" s="7">
        <f ca="1">IF(AT$6=OFFSET(Assumptions!$B$8,0,$C$1),AVERAGE(AQ$359/AQ$357,AR$359/AR$357,AS$359/AS$357),AS$359/AS$357)*AT$357</f>
        <v>-2.3284270381719336</v>
      </c>
      <c r="AU359" s="7">
        <f ca="1">IF(AU$6=OFFSET(Assumptions!$B$8,0,$C$1),AVERAGE(AR$359/AR$357,AS$359/AS$357,AT$359/AT$357),AT$359/AT$357)*AU$357</f>
        <v>-2.4442831171457966</v>
      </c>
      <c r="AV359" s="7">
        <f ca="1">IF(AV$6=OFFSET(Assumptions!$B$8,0,$C$1),AVERAGE(AS$359/AS$357,AT$359/AT$357,AU$359/AU$357),AU$359/AU$357)*AV$357</f>
        <v>-2.565903873653097</v>
      </c>
      <c r="AW359" s="7">
        <f ca="1">IF(AW$6=OFFSET(Assumptions!$B$8,0,$C$1),AVERAGE(AT$359/AT$357,AU$359/AU$357,AV$359/AV$357),AV$359/AV$357)*AW$357</f>
        <v>-2.6935761420780024</v>
      </c>
    </row>
    <row r="360" spans="1:49" ht="15" x14ac:dyDescent="0.25">
      <c r="A360" s="2" t="s">
        <v>634</v>
      </c>
      <c r="B360" s="4"/>
      <c r="D360" s="40">
        <f t="shared" ref="D360:AW360" ca="1" si="223">SUM(D$356:D$359)</f>
        <v>25.408000000000001</v>
      </c>
      <c r="E360" s="39">
        <f t="shared" ca="1" si="223"/>
        <v>25.443000000000001</v>
      </c>
      <c r="F360" s="39">
        <f t="shared" ca="1" si="223"/>
        <v>26.617000000000001</v>
      </c>
      <c r="G360" s="39">
        <f t="shared" ca="1" si="223"/>
        <v>27.975000000000001</v>
      </c>
      <c r="H360" s="39">
        <f t="shared" ca="1" si="223"/>
        <v>29.437000000000001</v>
      </c>
      <c r="I360" s="39">
        <f t="shared" ca="1" si="223"/>
        <v>30.984999999999999</v>
      </c>
      <c r="J360" s="43">
        <f t="shared" ca="1" si="223"/>
        <v>34.311005671593151</v>
      </c>
      <c r="K360" s="43">
        <f t="shared" ca="1" si="223"/>
        <v>37.519681625675148</v>
      </c>
      <c r="L360" s="43">
        <f t="shared" ca="1" si="223"/>
        <v>40.842986272956132</v>
      </c>
      <c r="M360" s="43">
        <f t="shared" ca="1" si="223"/>
        <v>44.271888770509989</v>
      </c>
      <c r="N360" s="43">
        <f t="shared" ca="1" si="223"/>
        <v>47.810422953387558</v>
      </c>
      <c r="O360" s="43">
        <f t="shared" ca="1" si="223"/>
        <v>51.4237489552809</v>
      </c>
      <c r="P360" s="43">
        <f t="shared" ca="1" si="223"/>
        <v>55.06826970333276</v>
      </c>
      <c r="Q360" s="43">
        <f t="shared" ca="1" si="223"/>
        <v>58.745435053413061</v>
      </c>
      <c r="R360" s="43">
        <f t="shared" ca="1" si="223"/>
        <v>62.461776911890617</v>
      </c>
      <c r="S360" s="43">
        <f t="shared" ca="1" si="223"/>
        <v>66.234283476838073</v>
      </c>
      <c r="T360" s="43">
        <f t="shared" ca="1" si="223"/>
        <v>70.07419600683582</v>
      </c>
      <c r="U360" s="43">
        <f t="shared" ca="1" si="223"/>
        <v>73.977539633805392</v>
      </c>
      <c r="V360" s="43">
        <f t="shared" ca="1" si="223"/>
        <v>77.941034121996566</v>
      </c>
      <c r="W360" s="43">
        <f t="shared" ca="1" si="223"/>
        <v>81.961931999341061</v>
      </c>
      <c r="X360" s="43">
        <f t="shared" ca="1" si="223"/>
        <v>86.049358735251886</v>
      </c>
      <c r="Y360" s="43">
        <f t="shared" ca="1" si="223"/>
        <v>90.182065176885487</v>
      </c>
      <c r="Z360" s="43">
        <f t="shared" ca="1" si="223"/>
        <v>94.392137333394544</v>
      </c>
      <c r="AA360" s="43">
        <f t="shared" ca="1" si="223"/>
        <v>98.716861737378665</v>
      </c>
      <c r="AB360" s="43">
        <f t="shared" ca="1" si="223"/>
        <v>103.20406552581736</v>
      </c>
      <c r="AC360" s="43">
        <f t="shared" ca="1" si="223"/>
        <v>107.91120050310504</v>
      </c>
      <c r="AD360" s="43">
        <f t="shared" ca="1" si="223"/>
        <v>112.91614180862257</v>
      </c>
      <c r="AE360" s="43">
        <f t="shared" ca="1" si="223"/>
        <v>118.25117182772294</v>
      </c>
      <c r="AF360" s="43">
        <f t="shared" ca="1" si="223"/>
        <v>123.96826485161921</v>
      </c>
      <c r="AG360" s="43">
        <f t="shared" ca="1" si="223"/>
        <v>130.09318609290213</v>
      </c>
      <c r="AH360" s="43">
        <f t="shared" ca="1" si="223"/>
        <v>136.662972238967</v>
      </c>
      <c r="AI360" s="43">
        <f t="shared" ca="1" si="223"/>
        <v>143.70341413315106</v>
      </c>
      <c r="AJ360" s="43">
        <f t="shared" ca="1" si="223"/>
        <v>151.25545606668854</v>
      </c>
      <c r="AK360" s="43">
        <f t="shared" ca="1" si="223"/>
        <v>159.33357415786725</v>
      </c>
      <c r="AL360" s="43">
        <f t="shared" ca="1" si="223"/>
        <v>167.97289707846312</v>
      </c>
      <c r="AM360" s="43">
        <f t="shared" ca="1" si="223"/>
        <v>177.20457969027598</v>
      </c>
      <c r="AN360" s="43">
        <f t="shared" ca="1" si="223"/>
        <v>187.04336398294112</v>
      </c>
      <c r="AO360" s="43">
        <f t="shared" ca="1" si="223"/>
        <v>197.48807389863006</v>
      </c>
      <c r="AP360" s="43">
        <f t="shared" ca="1" si="223"/>
        <v>208.50712708021589</v>
      </c>
      <c r="AQ360" s="43">
        <f t="shared" ca="1" si="223"/>
        <v>220.07054671221766</v>
      </c>
      <c r="AR360" s="43">
        <f t="shared" ca="1" si="223"/>
        <v>232.12204150969686</v>
      </c>
      <c r="AS360" s="43">
        <f t="shared" ca="1" si="223"/>
        <v>244.61249999178537</v>
      </c>
      <c r="AT360" s="43">
        <f t="shared" ca="1" si="223"/>
        <v>257.47647754968017</v>
      </c>
      <c r="AU360" s="43">
        <f t="shared" ca="1" si="223"/>
        <v>270.76331725735383</v>
      </c>
      <c r="AV360" s="43">
        <f t="shared" ca="1" si="223"/>
        <v>284.49465719544031</v>
      </c>
      <c r="AW360" s="43">
        <f t="shared" ca="1" si="223"/>
        <v>298.6588319065458</v>
      </c>
    </row>
    <row r="361" spans="1:49" ht="15" x14ac:dyDescent="0.25">
      <c r="A361" s="2"/>
      <c r="B361" s="4"/>
      <c r="D361" s="55"/>
      <c r="E361" s="56"/>
      <c r="F361" s="56"/>
      <c r="G361" s="56"/>
      <c r="H361" s="56"/>
      <c r="I361" s="56"/>
      <c r="J361" s="57"/>
      <c r="K361" s="57"/>
      <c r="L361" s="57"/>
      <c r="M361" s="57"/>
      <c r="N361" s="57"/>
      <c r="O361" s="57"/>
      <c r="P361" s="57"/>
      <c r="Q361" s="57"/>
      <c r="R361" s="57"/>
      <c r="S361" s="57"/>
    </row>
    <row r="362" spans="1:49" x14ac:dyDescent="0.2">
      <c r="A362" s="22" t="s">
        <v>443</v>
      </c>
    </row>
    <row r="363" spans="1:49" x14ac:dyDescent="0.2">
      <c r="A363" s="1" t="s">
        <v>405</v>
      </c>
      <c r="B363" s="4" t="str">
        <f t="shared" ref="B363:B369" si="224">$B$43</f>
        <v>From Fiscal</v>
      </c>
      <c r="D363" s="18">
        <f>Fiscal!D$336</f>
        <v>0.76</v>
      </c>
      <c r="E363" s="19">
        <f>Fiscal!E$336</f>
        <v>0.73699999999999999</v>
      </c>
      <c r="F363" s="19">
        <f>Fiscal!F$336</f>
        <v>0.8</v>
      </c>
      <c r="G363" s="19">
        <f>Fiscal!G$336</f>
        <v>0.86299999999999999</v>
      </c>
      <c r="H363" s="19">
        <f>Fiscal!H$336</f>
        <v>0.93</v>
      </c>
      <c r="I363" s="19">
        <f>Fiscal!I$336</f>
        <v>1.0009999999999999</v>
      </c>
      <c r="J363" s="7">
        <f ca="1">IF(J$6=OFFSET(Assumptions!$B$8,0,$C$1),AVERAGE(G$363/(G$363-G$365+G$366),H$363/(H$363-H$365+H$366),I$363/(I$363-I$365+I$366)),(I$363-Exogenous!P$10)/(I$363-Exogenous!P$10-I$365+I$366))*Exogenous!Q$7 +Exogenous!Q$10</f>
        <v>0.88983354439123574</v>
      </c>
      <c r="K363" s="7">
        <f ca="1">IF(K$6=OFFSET(Assumptions!$B$8,0,$C$1),AVERAGE(H$363/(H$363-H$365+H$366),I$363/(I$363-I$365+I$366),J$363/(J$363-J$365+J$366)),(J$363-Exogenous!Q$10)/(J$363-Exogenous!Q$10-J$365+J$366))*Exogenous!R$7 +Exogenous!R$10</f>
        <v>1.0325165598499659</v>
      </c>
      <c r="L363" s="7">
        <f ca="1">IF(L$6=OFFSET(Assumptions!$B$8,0,$C$1),AVERAGE(I$363/(I$363-I$365+I$366),J$363/(J$363-J$365+J$366),K$363/(K$363-K$365+K$366)),(K$363-Exogenous!R$10)/(K$363-Exogenous!R$10-K$365+K$366))*Exogenous!S$7 +Exogenous!S$10</f>
        <v>1.1868220094680972</v>
      </c>
      <c r="M363" s="7">
        <f ca="1">IF(M$6=OFFSET(Assumptions!$B$8,0,$C$1),AVERAGE(J$363/(J$363-J$365+J$366),K$363/(K$363-K$365+K$366),L$363/(L$363-L$365+L$366)),(L$363-Exogenous!S$10)/(L$363-Exogenous!S$10-L$365+L$366))*Exogenous!T$7 +Exogenous!T$10</f>
        <v>1.3525778376383204</v>
      </c>
      <c r="N363" s="7">
        <f ca="1">IF(N$6=OFFSET(Assumptions!$B$8,0,$C$1),AVERAGE(K$363/(K$363-K$365+K$366),L$363/(L$363-L$365+L$366),M$363/(M$363-M$365+M$366)),(M$363-Exogenous!T$10)/(M$363-Exogenous!T$10-M$365+M$366))*Exogenous!U$7 +Exogenous!U$10</f>
        <v>1.5201236225619263</v>
      </c>
      <c r="O363" s="7">
        <f ca="1">IF(O$6=OFFSET(Assumptions!$B$8,0,$C$1),AVERAGE(L$363/(L$363-L$365+L$366),M$363/(M$363-M$365+M$366),N$363/(N$363-N$365+N$366)),(N$363-Exogenous!U$10)/(N$363-Exogenous!U$10-N$365+N$366))*Exogenous!V$7 +Exogenous!V$10</f>
        <v>1.664607348741596</v>
      </c>
      <c r="P363" s="7">
        <f ca="1">IF(P$6=OFFSET(Assumptions!$B$8,0,$C$1),AVERAGE(M$363/(M$363-M$365+M$366),N$363/(N$363-N$365+N$366),O$363/(O$363-O$365+O$366)),(O$363-Exogenous!V$10)/(O$363-Exogenous!V$10-O$365+O$366))*Exogenous!W$7 +Exogenous!W$10</f>
        <v>1.8103400446471285</v>
      </c>
      <c r="Q363" s="7">
        <f ca="1">IF(Q$6=OFFSET(Assumptions!$B$8,0,$C$1),AVERAGE(N$363/(N$363-N$365+N$366),O$363/(O$363-O$365+O$366),P$363/(P$363-P$365+P$366)),(P$363-Exogenous!W$10)/(P$363-Exogenous!W$10-P$365+P$366))*Exogenous!X$7 +Exogenous!X$10</f>
        <v>1.9567234718813273</v>
      </c>
      <c r="R363" s="7">
        <f ca="1">IF(R$6=OFFSET(Assumptions!$B$8,0,$C$1),AVERAGE(O$363/(O$363-O$365+O$366),P$363/(P$363-P$365+P$366),Q$363/(Q$363-Q$365+Q$366)),(Q$363-Exogenous!X$10)/(Q$363-Exogenous!X$10-Q$365+Q$366))*Exogenous!Y$7 +Exogenous!Y$10</f>
        <v>2.1036990753207552</v>
      </c>
      <c r="S363" s="7">
        <f ca="1">IF(S$6=OFFSET(Assumptions!$B$8,0,$C$1),AVERAGE(P$363/(P$363-P$365+P$366),Q$363/(Q$363-Q$365+Q$366),R$363/(R$363-R$365+R$366)),(R$363-Exogenous!Y$10)/(R$363-Exogenous!Y$10-R$365+R$366))*Exogenous!Z$7 +Exogenous!Z$10</f>
        <v>2.2517858164661502</v>
      </c>
      <c r="T363" s="7">
        <f ca="1">IF(T$6=OFFSET(Assumptions!$B$8,0,$C$1),AVERAGE(Q$363/(Q$363-Q$365+Q$366),R$363/(R$363-R$365+R$366),S$363/(S$363-S$365+S$366)),(S$363-Exogenous!Z$10)/(S$363-Exogenous!Z$10-S$365+S$366))*Exogenous!AA$7 +Exogenous!AA$10</f>
        <v>2.4016198864141249</v>
      </c>
      <c r="U363" s="7">
        <f ca="1">IF(U$6=OFFSET(Assumptions!$B$8,0,$C$1),AVERAGE(R$363/(R$363-R$365+R$366),S$363/(S$363-S$365+S$366),T$363/(T$363-T$365+T$366)),(T$363-Exogenous!AA$10)/(T$363-Exogenous!AA$10-T$365+T$366))*Exogenous!AB$7 +Exogenous!AB$10</f>
        <v>2.5532545462480902</v>
      </c>
      <c r="V363" s="7">
        <f ca="1">IF(V$6=OFFSET(Assumptions!$B$8,0,$C$1),AVERAGE(S$363/(S$363-S$365+S$366),T$363/(T$363-T$365+T$366),U$363/(U$363-U$365+U$366)),(U$363-Exogenous!AB$10)/(U$363-Exogenous!AB$10-U$365+U$366))*Exogenous!AC$7 +Exogenous!AC$10</f>
        <v>2.7064334533509511</v>
      </c>
      <c r="W363" s="7">
        <f ca="1">IF(W$6=OFFSET(Assumptions!$B$8,0,$C$1),AVERAGE(T$363/(T$363-T$365+T$366),U$363/(U$363-U$365+U$366),V$363/(V$363-V$365+V$366)),(V$363-Exogenous!AC$10)/(V$363-Exogenous!AC$10-V$365+V$366))*Exogenous!AD$7 +Exogenous!AD$10</f>
        <v>2.8608694875730265</v>
      </c>
      <c r="X363" s="7">
        <f ca="1">IF(X$6=OFFSET(Assumptions!$B$8,0,$C$1),AVERAGE(U$363/(U$363-U$365+U$366),V$363/(V$363-V$365+V$366),W$363/(W$363-W$365+W$366)),(W$363-Exogenous!AD$10)/(W$363-Exogenous!AD$10-W$365+W$366))*Exogenous!AE$7 +Exogenous!AE$10</f>
        <v>3.0165843008591633</v>
      </c>
      <c r="Y363" s="7">
        <f ca="1">IF(Y$6=OFFSET(Assumptions!$B$8,0,$C$1),AVERAGE(V$363/(V$363-V$365+V$366),W$363/(W$363-W$365+W$366),X$363/(X$363-X$365+X$366)),(X$363-Exogenous!AE$10)/(X$363-Exogenous!AE$10-X$365+X$366))*Exogenous!AF$7 +Exogenous!AF$10</f>
        <v>3.173355510496056</v>
      </c>
      <c r="Z363" s="7">
        <f ca="1">IF(Z$6=OFFSET(Assumptions!$B$8,0,$C$1),AVERAGE(W$363/(W$363-W$365+W$366),X$363/(X$363-X$365+X$366),Y$363/(Y$363-Y$365+Y$366)),(Y$363-Exogenous!AF$10)/(Y$363-Exogenous!AF$10-Y$365+Y$366))*Exogenous!AG$7 +Exogenous!AG$10</f>
        <v>3.3311890994912892</v>
      </c>
      <c r="AA363" s="7">
        <f ca="1">IF(AA$6=OFFSET(Assumptions!$B$8,0,$C$1),AVERAGE(X$363/(X$363-X$365+X$366),Y$363/(Y$363-Y$365+Y$366),Z$363/(Z$363-Z$365+Z$366)),(Z$363-Exogenous!AG$10)/(Z$363-Exogenous!AG$10-Z$365+Z$366))*Exogenous!AH$7 +Exogenous!AH$10</f>
        <v>3.4914130117505491</v>
      </c>
      <c r="AB363" s="7">
        <f ca="1">IF(AB$6=OFFSET(Assumptions!$B$8,0,$C$1),AVERAGE(Y$363/(Y$363-Y$365+Y$366),Z$363/(Z$363-Z$365+Z$366),AA$363/(AA$363-AA$365+AA$366)),(AA$363-Exogenous!AH$10)/(AA$363-Exogenous!AH$10-AA$365+AA$366))*Exogenous!AI$7 +Exogenous!AI$10</f>
        <v>3.6560448958866019</v>
      </c>
      <c r="AC363" s="7">
        <f ca="1">IF(AC$6=OFFSET(Assumptions!$B$8,0,$C$1),AVERAGE(Z$363/(Z$363-Z$365+Z$366),AA$363/(AA$363-AA$365+AA$366),AB$363/(AB$363-AB$365+AB$366)),(AB$363-Exogenous!AI$10)/(AB$363-Exogenous!AI$10-AB$365+AB$366))*Exogenous!AJ$7 +Exogenous!AJ$10</f>
        <v>3.8276029105804397</v>
      </c>
      <c r="AD363" s="7">
        <f ca="1">IF(AD$6=OFFSET(Assumptions!$B$8,0,$C$1),AVERAGE(AA$363/(AA$363-AA$365+AA$366),AB$363/(AB$363-AB$365+AB$366),AC$363/(AC$363-AC$365+AC$366)),(AC$363-Exogenous!AJ$10)/(AC$363-Exogenous!AJ$10-AC$365+AC$366))*Exogenous!AK$7 +Exogenous!AK$10</f>
        <v>4.0090203471879402</v>
      </c>
      <c r="AE363" s="7">
        <f ca="1">IF(AE$6=OFFSET(Assumptions!$B$8,0,$C$1),AVERAGE(AB$363/(AB$363-AB$365+AB$366),AC$363/(AC$363-AC$365+AC$366),AD$363/(AD$363-AD$365+AD$366)),(AD$363-Exogenous!AK$10)/(AD$363-Exogenous!AK$10-AD$365+AD$366))*Exogenous!AL$7 +Exogenous!AL$10</f>
        <v>4.202660570035186</v>
      </c>
      <c r="AF363" s="7">
        <f ca="1">IF(AF$6=OFFSET(Assumptions!$B$8,0,$C$1),AVERAGE(AC$363/(AC$363-AC$365+AC$366),AD$363/(AD$363-AD$365+AD$366),AE$363/(AE$363-AE$365+AE$366)),(AE$363-Exogenous!AL$10)/(AE$363-Exogenous!AL$10-AE$365+AE$366))*Exogenous!AM$7 +Exogenous!AM$10</f>
        <v>4.4105568658464724</v>
      </c>
      <c r="AG363" s="7">
        <f ca="1">IF(AG$6=OFFSET(Assumptions!$B$8,0,$C$1),AVERAGE(AD$363/(AD$363-AD$365+AD$366),AE$363/(AE$363-AE$365+AE$366),AF$363/(AF$363-AF$365+AF$366)),(AF$363-Exogenous!AM$10)/(AF$363-Exogenous!AM$10-AF$365+AF$366))*Exogenous!AN$7 +Exogenous!AN$10</f>
        <v>4.6344081715119527</v>
      </c>
      <c r="AH363" s="7">
        <f ca="1">IF(AH$6=OFFSET(Assumptions!$B$8,0,$C$1),AVERAGE(AE$363/(AE$363-AE$365+AE$366),AF$363/(AF$363-AF$365+AF$366),AG$363/(AG$363-AG$365+AG$366)),(AG$363-Exogenous!AN$10)/(AG$363-Exogenous!AN$10-AG$365+AG$366))*Exogenous!AO$7 +Exogenous!AO$10</f>
        <v>4.8754001911309555</v>
      </c>
      <c r="AI363" s="7">
        <f ca="1">IF(AI$6=OFFSET(Assumptions!$B$8,0,$C$1),AVERAGE(AF$363/(AF$363-AF$365+AF$366),AG$363/(AG$363-AG$365+AG$366),AH$363/(AH$363-AH$365+AH$366)),(AH$363-Exogenous!AO$10)/(AH$363-Exogenous!AO$10-AH$365+AH$366))*Exogenous!AP$7 +Exogenous!AP$10</f>
        <v>5.1350514631532373</v>
      </c>
      <c r="AJ363" s="7">
        <f ca="1">IF(AJ$6=OFFSET(Assumptions!$B$8,0,$C$1),AVERAGE(AG$363/(AG$363-AG$365+AG$366),AH$363/(AH$363-AH$365+AH$366),AI$363/(AI$363-AI$365+AI$366)),(AI$363-Exogenous!AP$10)/(AI$363-Exogenous!AP$10-AI$365+AI$366))*Exogenous!AQ$7 +Exogenous!AQ$10</f>
        <v>5.4146936434154771</v>
      </c>
      <c r="AK363" s="7">
        <f ca="1">IF(AK$6=OFFSET(Assumptions!$B$8,0,$C$1),AVERAGE(AH$363/(AH$363-AH$365+AH$366),AI$363/(AI$363-AI$365+AI$366),AJ$363/(AJ$363-AJ$365+AJ$366)),(AJ$363-Exogenous!AQ$10)/(AJ$363-Exogenous!AQ$10-AJ$365+AJ$366))*Exogenous!AR$7 +Exogenous!AR$10</f>
        <v>5.7152462252312519</v>
      </c>
      <c r="AL363" s="7">
        <f ca="1">IF(AL$6=OFFSET(Assumptions!$B$8,0,$C$1),AVERAGE(AI$363/(AI$363-AI$365+AI$366),AJ$363/(AJ$363-AJ$365+AJ$366),AK$363/(AK$363-AK$365+AK$366)),(AK$363-Exogenous!AR$10)/(AK$363-Exogenous!AR$10-AK$365+AK$366))*Exogenous!AS$7 +Exogenous!AS$10</f>
        <v>6.0376097762853158</v>
      </c>
      <c r="AM363" s="7">
        <f ca="1">IF(AM$6=OFFSET(Assumptions!$B$8,0,$C$1),AVERAGE(AJ$363/(AJ$363-AJ$365+AJ$366),AK$363/(AK$363-AK$365+AK$366),AL$363/(AL$363-AL$365+AL$366)),(AL$363-Exogenous!AS$10)/(AL$363-Exogenous!AS$10-AL$365+AL$366))*Exogenous!AT$7 +Exogenous!AT$10</f>
        <v>6.3831085984973788</v>
      </c>
      <c r="AN363" s="7">
        <f ca="1">IF(AN$6=OFFSET(Assumptions!$B$8,0,$C$1),AVERAGE(AK$363/(AK$363-AK$365+AK$366),AL$363/(AL$363-AL$365+AL$366),AM$363/(AM$363-AM$365+AM$366)),(AM$363-Exogenous!AT$10)/(AM$363-Exogenous!AT$10-AM$365+AM$366))*Exogenous!AU$7 +Exogenous!AU$10</f>
        <v>6.7525560906446547</v>
      </c>
      <c r="AO363" s="7">
        <f ca="1">IF(AO$6=OFFSET(Assumptions!$B$8,0,$C$1),AVERAGE(AL$363/(AL$363-AL$365+AL$366),AM$363/(AM$363-AM$365+AM$366),AN$363/(AN$363-AN$365+AN$366)),(AN$363-Exogenous!AU$10)/(AN$363-Exogenous!AU$10-AN$365+AN$366))*Exogenous!AV$7 +Exogenous!AV$10</f>
        <v>7.1459440404893888</v>
      </c>
      <c r="AP363" s="7">
        <f ca="1">IF(AP$6=OFFSET(Assumptions!$B$8,0,$C$1),AVERAGE(AM$363/(AM$363-AM$365+AM$366),AN$363/(AN$363-AN$365+AN$366),AO$363/(AO$363-AO$365+AO$366)),(AO$363-Exogenous!AV$10)/(AO$363-Exogenous!AV$10-AO$365+AO$366))*Exogenous!AW$7 +Exogenous!AW$10</f>
        <v>7.5621101387377125</v>
      </c>
      <c r="AQ363" s="7">
        <f ca="1">IF(AQ$6=OFFSET(Assumptions!$B$8,0,$C$1),AVERAGE(AN$363/(AN$363-AN$365+AN$366),AO$363/(AO$363-AO$365+AO$366),AP$363/(AP$363-AP$365+AP$366)),(AP$363-Exogenous!AW$10)/(AP$363-Exogenous!AW$10-AP$365+AP$366))*Exogenous!AX$7 +Exogenous!AX$10</f>
        <v>7.9991161267706206</v>
      </c>
      <c r="AR363" s="7">
        <f ca="1">IF(AR$6=OFFSET(Assumptions!$B$8,0,$C$1),AVERAGE(AO$363/(AO$363-AO$365+AO$366),AP$363/(AP$363-AP$365+AP$366),AQ$363/(AQ$363-AQ$365+AQ$366)),(AQ$363-Exogenous!AX$10)/(AQ$363-Exogenous!AX$10-AQ$365+AQ$366))*Exogenous!AY$7 +Exogenous!AY$10</f>
        <v>8.4543305274525604</v>
      </c>
      <c r="AS363" s="7">
        <f ca="1">IF(AS$6=OFFSET(Assumptions!$B$8,0,$C$1),AVERAGE(AP$363/(AP$363-AP$365+AP$366),AQ$363/(AQ$363-AQ$365+AQ$366),AR$363/(AR$363-AR$365+AR$366)),(AR$363-Exogenous!AY$10)/(AR$363-Exogenous!AY$10-AR$365+AR$366))*Exogenous!AZ$7 +Exogenous!AZ$10</f>
        <v>8.92438348118284</v>
      </c>
      <c r="AT363" s="7">
        <f ca="1">IF(AT$6=OFFSET(Assumptions!$B$8,0,$C$1),AVERAGE(AQ$363/(AQ$363-AQ$365+AQ$366),AR$363/(AR$363-AR$365+AR$366),AS$363/(AS$363-AS$365+AS$366)),(AS$363-Exogenous!AZ$10)/(AS$363-Exogenous!AZ$10-AS$365+AS$366))*Exogenous!BA$7 +Exogenous!BA$10</f>
        <v>9.4080207002752214</v>
      </c>
      <c r="AU363" s="7">
        <f ca="1">IF(AU$6=OFFSET(Assumptions!$B$8,0,$C$1),AVERAGE(AR$363/(AR$363-AR$365+AR$366),AS$363/(AS$363-AS$365+AS$366),AT$363/(AT$363-AT$365+AT$366)),(AT$363-Exogenous!BA$10)/(AT$363-Exogenous!BA$10-AT$365+AT$366))*Exogenous!BB$7 +Exogenous!BB$10</f>
        <v>9.9055546446626366</v>
      </c>
      <c r="AV363" s="7">
        <f ca="1">IF(AV$6=OFFSET(Assumptions!$B$8,0,$C$1),AVERAGE(AS$363/(AS$363-AS$365+AS$366),AT$363/(AT$363-AT$365+AT$366),AU$363/(AU$363-AU$365+AU$366)),(AU$363-Exogenous!BB$10)/(AU$363-Exogenous!BB$10-AU$365+AU$366))*Exogenous!BC$7 +Exogenous!BC$10</f>
        <v>10.417088241229017</v>
      </c>
      <c r="AW363" s="7">
        <f ca="1">IF(AW$6=OFFSET(Assumptions!$B$8,0,$C$1),AVERAGE(AT$363/(AT$363-AT$365+AT$366),AU$363/(AU$363-AU$365+AU$366),AV$363/(AV$363-AV$365+AV$366)),(AV$363-Exogenous!BC$10)/(AV$363-Exogenous!BC$10-AV$365+AV$366))*Exogenous!BD$7 +Exogenous!BD$10</f>
        <v>10.942535676034531</v>
      </c>
    </row>
    <row r="364" spans="1:49" x14ac:dyDescent="0.2">
      <c r="A364" s="1" t="s">
        <v>406</v>
      </c>
      <c r="B364" s="4" t="str">
        <f t="shared" si="224"/>
        <v>From Fiscal</v>
      </c>
      <c r="D364" s="18">
        <f>Fiscal!D$337</f>
        <v>4.5999999999999999E-2</v>
      </c>
      <c r="E364" s="19">
        <f>Fiscal!E$337</f>
        <v>0.128</v>
      </c>
      <c r="F364" s="19">
        <f>Fiscal!F$337</f>
        <v>0.61</v>
      </c>
      <c r="G364" s="19">
        <f>Fiscal!G$337</f>
        <v>0.65400000000000003</v>
      </c>
      <c r="H364" s="19">
        <f>Fiscal!H$337</f>
        <v>0.70099999999999996</v>
      </c>
      <c r="I364" s="19">
        <f>Fiscal!I$337</f>
        <v>0.752</v>
      </c>
      <c r="J364" s="7">
        <f>Exogenous!Q$8</f>
        <v>0.65361089933916705</v>
      </c>
      <c r="K364" s="7">
        <f>Exogenous!R$8</f>
        <v>0.75841608975060126</v>
      </c>
      <c r="L364" s="7">
        <f>Exogenous!S$8</f>
        <v>0.87175832587279645</v>
      </c>
      <c r="M364" s="7">
        <f>Exogenous!T$8</f>
        <v>0.99351122741705833</v>
      </c>
      <c r="N364" s="7">
        <f>Exogenous!U$8</f>
        <v>1.1165789088442899</v>
      </c>
      <c r="O364" s="7">
        <f>Exogenous!V$8</f>
        <v>1.2227067782681997</v>
      </c>
      <c r="P364" s="7">
        <f>Exogenous!W$8</f>
        <v>1.3297520554824922</v>
      </c>
      <c r="Q364" s="7">
        <f>Exogenous!X$8</f>
        <v>1.4372753154516931</v>
      </c>
      <c r="R364" s="7">
        <f>Exogenous!Y$8</f>
        <v>1.5452335475845158</v>
      </c>
      <c r="S364" s="7">
        <f>Exogenous!Z$8</f>
        <v>1.6540079455270724</v>
      </c>
      <c r="T364" s="7">
        <f>Exogenous!AA$8</f>
        <v>1.7640658117736667</v>
      </c>
      <c r="U364" s="7">
        <f>Exogenous!AB$8</f>
        <v>1.8754462682756425</v>
      </c>
      <c r="V364" s="7">
        <f>Exogenous!AC$8</f>
        <v>1.9879610232681466</v>
      </c>
      <c r="W364" s="7">
        <f>Exogenous!AD$8</f>
        <v>2.1013991779146117</v>
      </c>
      <c r="X364" s="7">
        <f>Exogenous!AE$8</f>
        <v>2.2157766362537572</v>
      </c>
      <c r="Y364" s="7">
        <f>Exogenous!AF$8</f>
        <v>2.3309300511448074</v>
      </c>
      <c r="Z364" s="7">
        <f>Exogenous!AG$8</f>
        <v>2.4468638172961832</v>
      </c>
      <c r="AA364" s="7">
        <f>Exogenous!AH$8</f>
        <v>2.5645533515326786</v>
      </c>
      <c r="AB364" s="7">
        <f>Exogenous!AI$8</f>
        <v>2.6854806806138534</v>
      </c>
      <c r="AC364" s="7">
        <f>Exogenous!AJ$8</f>
        <v>2.8114954717842573</v>
      </c>
      <c r="AD364" s="7">
        <f>Exogenous!AK$8</f>
        <v>2.9447523203760428</v>
      </c>
      <c r="AE364" s="7">
        <f>Exogenous!AL$8</f>
        <v>3.0869871922812293</v>
      </c>
      <c r="AF364" s="7">
        <f>Exogenous!AM$8</f>
        <v>3.239693600947199</v>
      </c>
      <c r="AG364" s="7">
        <f>Exogenous!AN$8</f>
        <v>3.40411946928683</v>
      </c>
      <c r="AH364" s="7">
        <f>Exogenous!AO$8</f>
        <v>3.5811357344856209</v>
      </c>
      <c r="AI364" s="7">
        <f>Exogenous!AP$8</f>
        <v>3.7718578110928216</v>
      </c>
      <c r="AJ364" s="7">
        <f>Exogenous!AQ$8</f>
        <v>3.977263842464017</v>
      </c>
      <c r="AK364" s="7">
        <f>Exogenous!AR$8</f>
        <v>4.1980292255376694</v>
      </c>
      <c r="AL364" s="7">
        <f>Exogenous!AS$8</f>
        <v>4.4348154557789234</v>
      </c>
      <c r="AM364" s="7">
        <f>Exogenous!AT$8</f>
        <v>4.6885952748586162</v>
      </c>
      <c r="AN364" s="7">
        <f>Exogenous!AU$8</f>
        <v>4.9599661499206276</v>
      </c>
      <c r="AO364" s="7">
        <f>Exogenous!AV$8</f>
        <v>5.2489220488164312</v>
      </c>
      <c r="AP364" s="7">
        <f>Exogenous!AW$8</f>
        <v>5.5546092185855258</v>
      </c>
      <c r="AQ364" s="7">
        <f>Exogenous!AX$8</f>
        <v>5.875603946931264</v>
      </c>
      <c r="AR364" s="7">
        <f>Exogenous!AY$8</f>
        <v>6.2099733306179798</v>
      </c>
      <c r="AS364" s="7">
        <f>Exogenous!AZ$8</f>
        <v>6.5552421011214195</v>
      </c>
      <c r="AT364" s="7">
        <f>Exogenous!BA$8</f>
        <v>6.9104889444410054</v>
      </c>
      <c r="AU364" s="7">
        <f>Exogenous!BB$8</f>
        <v>7.2759433722860427</v>
      </c>
      <c r="AV364" s="7">
        <f>Exogenous!BC$8</f>
        <v>7.6516809877101579</v>
      </c>
      <c r="AW364" s="7">
        <f>Exogenous!BD$8</f>
        <v>8.0376387576587458</v>
      </c>
    </row>
    <row r="365" spans="1:49" x14ac:dyDescent="0.2">
      <c r="A365" s="1" t="s">
        <v>407</v>
      </c>
      <c r="B365" s="4" t="str">
        <f t="shared" si="224"/>
        <v>From Fiscal</v>
      </c>
      <c r="D365" s="18">
        <f>Fiscal!D$338</f>
        <v>0.19800000000000001</v>
      </c>
      <c r="E365" s="19">
        <f>Fiscal!E$338</f>
        <v>0.54600000000000004</v>
      </c>
      <c r="F365" s="19">
        <f>Fiscal!F$338</f>
        <v>0.17</v>
      </c>
      <c r="G365" s="19">
        <f>Fiscal!G$338</f>
        <v>0.186</v>
      </c>
      <c r="H365" s="19">
        <f>Fiscal!H$338</f>
        <v>0.2</v>
      </c>
      <c r="I365" s="19">
        <f>Fiscal!I$338</f>
        <v>0.21299999999999999</v>
      </c>
      <c r="J365" s="7">
        <f ca="1">IF(J$6=OFFSET(Assumptions!$B$8,0,$C$1),AVERAGE(G$365/(G$363-G$365+G$366),H$365/(H$363-H$365+H$366),I$365/(I$363-I$365+I$366)),I$365/(I$363-Exogenous!P$10-I$365+I$366))*Exogenous!Q$7</f>
        <v>0.18542497899728058</v>
      </c>
      <c r="K365" s="7">
        <f ca="1">IF(K$6=OFFSET(Assumptions!$B$8,0,$C$1),AVERAGE(H$365/(H$363-H$365+H$366),I$365/(I$363-I$365+I$366),J$365/(J$363-J$365+J$366)),J$365/(J$363-Exogenous!Q$10-J$365+J$366))*Exogenous!R$7</f>
        <v>0.21515750067109968</v>
      </c>
      <c r="L365" s="7">
        <f ca="1">IF(L$6=OFFSET(Assumptions!$B$8,0,$C$1),AVERAGE(I$365/(I$363-I$365+I$366),J$365/(J$363-J$365+J$366),K$365/(K$363-K$365+K$366)),K$365/(K$363-Exogenous!R$10-K$365+K$366))*Exogenous!S$7</f>
        <v>0.24731192431016621</v>
      </c>
      <c r="M365" s="7">
        <f ca="1">IF(M$6=OFFSET(Assumptions!$B$8,0,$C$1),AVERAGE(J$365/(J$363-J$365+J$366),K$365/(K$363-K$365+K$366),L$365/(L$363-L$365+L$366)),L$365/(L$363-Exogenous!S$10-L$365+L$366))*Exogenous!T$7</f>
        <v>0.28185239668375761</v>
      </c>
      <c r="N365" s="7">
        <f ca="1">IF(N$6=OFFSET(Assumptions!$B$8,0,$C$1),AVERAGE(K$365/(K$363-K$365+K$366),L$365/(L$363-L$365+L$366),M$365/(M$363-M$365+M$366)),M$365/(M$363-Exogenous!T$10-M$365+M$366))*Exogenous!U$7</f>
        <v>0.31676586319259392</v>
      </c>
      <c r="O365" s="7">
        <f ca="1">IF(O$6=OFFSET(Assumptions!$B$8,0,$C$1),AVERAGE(L$365/(L$363-L$365+L$366),M$365/(M$363-M$365+M$366),N$365/(N$363-N$365+N$366)),N$365/(N$363-Exogenous!U$10-N$365+N$366))*Exogenous!V$7</f>
        <v>0.34687361993112265</v>
      </c>
      <c r="P365" s="7">
        <f ca="1">IF(P$6=OFFSET(Assumptions!$B$8,0,$C$1),AVERAGE(M$365/(M$363-M$365+M$366),N$365/(N$363-N$365+N$366),O$365/(O$363-O$365+O$366)),O$365/(O$363-Exogenous!V$10-O$365+O$366))*Exogenous!W$7</f>
        <v>0.37724163903742342</v>
      </c>
      <c r="Q365" s="7">
        <f ca="1">IF(Q$6=OFFSET(Assumptions!$B$8,0,$C$1),AVERAGE(N$365/(N$363-N$365+N$366),O$365/(O$363-O$365+O$366),P$365/(P$363-P$365+P$366)),P$365/(P$363-Exogenous!W$10-P$365+P$366))*Exogenous!X$7</f>
        <v>0.40774525860935218</v>
      </c>
      <c r="R365" s="7">
        <f ca="1">IF(R$6=OFFSET(Assumptions!$B$8,0,$C$1),AVERAGE(O$365/(O$363-O$365+O$366),P$365/(P$363-P$365+P$366),Q$365/(Q$363-Q$365+Q$366)),Q$365/(Q$363-Exogenous!X$10-Q$365+Q$366))*Exogenous!Y$7</f>
        <v>0.4383722768338823</v>
      </c>
      <c r="S365" s="7">
        <f ca="1">IF(S$6=OFFSET(Assumptions!$B$8,0,$C$1),AVERAGE(P$365/(P$363-P$365+P$366),Q$365/(Q$363-Q$365+Q$366),R$365/(R$363-R$365+R$366)),R$365/(R$363-Exogenous!Y$10-R$365+R$366))*Exogenous!Z$7</f>
        <v>0.46923083576295277</v>
      </c>
      <c r="T365" s="7">
        <f ca="1">IF(T$6=OFFSET(Assumptions!$B$8,0,$C$1),AVERAGE(Q$365/(Q$363-Q$365+Q$366),R$365/(R$363-R$365+R$366),S$365/(S$363-S$365+S$366)),S$365/(S$363-Exogenous!Z$10-S$365+S$366))*Exogenous!AA$7</f>
        <v>0.50045350594469729</v>
      </c>
      <c r="U365" s="7">
        <f ca="1">IF(U$6=OFFSET(Assumptions!$B$8,0,$C$1),AVERAGE(R$365/(R$363-R$365+R$366),S$365/(S$363-S$365+S$366),T$365/(T$363-T$365+T$366)),T$365/(T$363-Exogenous!AA$10-T$365+T$366))*Exogenous!AB$7</f>
        <v>0.53205138601136592</v>
      </c>
      <c r="V365" s="7">
        <f ca="1">IF(V$6=OFFSET(Assumptions!$B$8,0,$C$1),AVERAGE(S$365/(S$363-S$365+S$366),T$365/(T$363-T$365+T$366),U$365/(U$363-U$365+U$366)),U$365/(U$363-Exogenous!AB$10-U$365+U$366))*Exogenous!AC$7</f>
        <v>0.563971058866367</v>
      </c>
      <c r="W365" s="7">
        <f ca="1">IF(W$6=OFFSET(Assumptions!$B$8,0,$C$1),AVERAGE(T$365/(T$363-T$365+T$366),U$365/(U$363-U$365+U$366),V$365/(V$363-V$365+V$366)),V$365/(V$363-Exogenous!AC$10-V$365+V$366))*Exogenous!AD$7</f>
        <v>0.59615269394019732</v>
      </c>
      <c r="X365" s="7">
        <f ca="1">IF(X$6=OFFSET(Assumptions!$B$8,0,$C$1),AVERAGE(U$365/(U$363-U$365+U$366),V$365/(V$363-V$365+V$366),W$365/(W$363-W$365+W$366)),W$365/(W$363-Exogenous!AD$10-W$365+W$366))*Exogenous!AE$7</f>
        <v>0.62860080310077149</v>
      </c>
      <c r="Y365" s="7">
        <f ca="1">IF(Y$6=OFFSET(Assumptions!$B$8,0,$C$1),AVERAGE(V$365/(V$363-V$365+V$366),W$365/(W$363-W$365+W$366),X$365/(X$363-X$365+X$366)),X$365/(X$363-Exogenous!AE$10-X$365+X$366))*Exogenous!AF$7</f>
        <v>0.66126904587216118</v>
      </c>
      <c r="Z365" s="7">
        <f ca="1">IF(Z$6=OFFSET(Assumptions!$B$8,0,$C$1),AVERAGE(W$365/(W$363-W$365+W$366),X$365/(X$363-X$365+X$366),Y$365/(Y$363-Y$365+Y$366)),Y$365/(Y$363-Exogenous!AF$10-Y$365+Y$366))*Exogenous!AG$7</f>
        <v>0.69415866900333756</v>
      </c>
      <c r="AA365" s="7">
        <f ca="1">IF(AA$6=OFFSET(Assumptions!$B$8,0,$C$1),AVERAGE(X$365/(X$363-X$365+X$366),Y$365/(Y$363-Y$365+Y$366),Z$365/(Z$363-Z$365+Z$366)),Z$365/(Z$363-Exogenous!AG$10-Z$365+Z$366))*Exogenous!AH$7</f>
        <v>0.72754639163168666</v>
      </c>
      <c r="AB365" s="7">
        <f ca="1">IF(AB$6=OFFSET(Assumptions!$B$8,0,$C$1),AVERAGE(Y$365/(Y$363-Y$365+Y$366),Z$365/(Z$363-Z$365+Z$366),AA$365/(AA$363-AA$365+AA$366)),AA$365/(AA$363-Exogenous!AH$10-AA$365+AA$366))*Exogenous!AI$7</f>
        <v>0.76185265469698249</v>
      </c>
      <c r="AC365" s="7">
        <f ca="1">IF(AC$6=OFFSET(Assumptions!$B$8,0,$C$1),AVERAGE(Z$365/(Z$363-Z$365+Z$366),AA$365/(AA$363-AA$365+AA$366),AB$365/(AB$363-AB$365+AB$366)),AB$365/(AB$363-Exogenous!AI$10-AB$365+AB$366))*Exogenous!AJ$7</f>
        <v>0.79760219625105266</v>
      </c>
      <c r="AD365" s="7">
        <f ca="1">IF(AD$6=OFFSET(Assumptions!$B$8,0,$C$1),AVERAGE(AA$365/(AA$363-AA$365+AA$366),AB$365/(AB$363-AB$365+AB$366),AC$365/(AC$363-AC$365+AC$366)),AC$365/(AC$363-Exogenous!AJ$10-AC$365+AC$366))*Exogenous!AK$7</f>
        <v>0.83540626037598975</v>
      </c>
      <c r="AE365" s="7">
        <f ca="1">IF(AE$6=OFFSET(Assumptions!$B$8,0,$C$1),AVERAGE(AB$365/(AB$363-AB$365+AB$366),AC$365/(AC$363-AC$365+AC$366),AD$365/(AD$363-AD$365+AD$366)),AD$365/(AD$363-Exogenous!AK$10-AD$365+AD$366))*Exogenous!AL$7</f>
        <v>0.87575732882109281</v>
      </c>
      <c r="AF365" s="7">
        <f ca="1">IF(AF$6=OFFSET(Assumptions!$B$8,0,$C$1),AVERAGE(AC$365/(AC$363-AC$365+AC$366),AD$365/(AD$363-AD$365+AD$366),AE$365/(AE$363-AE$365+AE$366)),AE$365/(AE$363-Exogenous!AL$10-AE$365+AE$366))*Exogenous!AM$7</f>
        <v>0.91907910122156244</v>
      </c>
      <c r="AG365" s="7">
        <f ca="1">IF(AG$6=OFFSET(Assumptions!$B$8,0,$C$1),AVERAGE(AD$365/(AD$363-AD$365+AD$366),AE$365/(AE$363-AE$365+AE$366),AF$365/(AF$363-AF$365+AF$366)),AF$365/(AF$363-Exogenous!AM$10-AF$365+AF$366))*Exogenous!AN$7</f>
        <v>0.96572560484368897</v>
      </c>
      <c r="AH365" s="7">
        <f ca="1">IF(AH$6=OFFSET(Assumptions!$B$8,0,$C$1),AVERAGE(AE$365/(AE$363-AE$365+AE$366),AF$365/(AF$363-AF$365+AF$366),AG$365/(AG$363-AG$365+AG$366)),AG$365/(AG$363-Exogenous!AN$10-AG$365+AG$366))*Exogenous!AO$7</f>
        <v>1.0159439186598276</v>
      </c>
      <c r="AI365" s="7">
        <f ca="1">IF(AI$6=OFFSET(Assumptions!$B$8,0,$C$1),AVERAGE(AF$365/(AF$363-AF$365+AF$366),AG$365/(AG$363-AG$365+AG$366),AH$365/(AH$363-AH$365+AH$366)),AH$365/(AH$363-Exogenous!AO$10-AH$365+AH$366))*Exogenous!AP$7</f>
        <v>1.0700504782122517</v>
      </c>
      <c r="AJ365" s="7">
        <f ca="1">IF(AJ$6=OFFSET(Assumptions!$B$8,0,$C$1),AVERAGE(AG$365/(AG$363-AG$365+AG$366),AH$365/(AH$363-AH$365+AH$366),AI$365/(AI$363-AI$365+AI$366)),AI$365/(AI$363-Exogenous!AP$10-AI$365+AI$366))*Exogenous!AQ$7</f>
        <v>1.128322776136639</v>
      </c>
      <c r="AK365" s="7">
        <f ca="1">IF(AK$6=OFFSET(Assumptions!$B$8,0,$C$1),AVERAGE(AH$365/(AH$363-AH$365+AH$366),AI$365/(AI$363-AI$365+AI$366),AJ$365/(AJ$363-AJ$365+AJ$366)),AJ$365/(AJ$363-Exogenous!AQ$10-AJ$365+AJ$366))*Exogenous!AR$7</f>
        <v>1.1909524179635216</v>
      </c>
      <c r="AL365" s="7">
        <f ca="1">IF(AL$6=OFFSET(Assumptions!$B$8,0,$C$1),AVERAGE(AI$365/(AI$363-AI$365+AI$366),AJ$365/(AJ$363-AJ$365+AJ$366),AK$365/(AK$363-AK$365+AK$366)),AK$365/(AK$363-Exogenous!AR$10-AK$365+AK$366))*Exogenous!AS$7</f>
        <v>1.2581270654697383</v>
      </c>
      <c r="AM365" s="7">
        <f ca="1">IF(AM$6=OFFSET(Assumptions!$B$8,0,$C$1),AVERAGE(AJ$365/(AJ$363-AJ$365+AJ$366),AK$365/(AK$363-AK$365+AK$366),AL$365/(AL$363-AL$365+AL$366)),AL$365/(AL$363-Exogenous!AS$10-AL$365+AL$366))*Exogenous!AT$7</f>
        <v>1.3301226788696414</v>
      </c>
      <c r="AN365" s="7">
        <f ca="1">IF(AN$6=OFFSET(Assumptions!$B$8,0,$C$1),AVERAGE(AK$365/(AK$363-AK$365+AK$366),AL$365/(AL$363-AL$365+AL$366),AM$365/(AM$363-AM$365+AM$366)),AM$365/(AM$363-Exogenous!AT$10-AM$365+AM$366))*Exogenous!AU$7</f>
        <v>1.4071087555396022</v>
      </c>
      <c r="AO365" s="7">
        <f ca="1">IF(AO$6=OFFSET(Assumptions!$B$8,0,$C$1),AVERAGE(AL$365/(AL$363-AL$365+AL$366),AM$365/(AM$363-AM$365+AM$366),AN$365/(AN$363-AN$365+AN$366)),AN$365/(AN$363-Exogenous!AU$10-AN$365+AN$366))*Exogenous!AV$7</f>
        <v>1.489083584199997</v>
      </c>
      <c r="AP365" s="7">
        <f ca="1">IF(AP$6=OFFSET(Assumptions!$B$8,0,$C$1),AVERAGE(AM$365/(AM$363-AM$365+AM$366),AN$365/(AN$363-AN$365+AN$366),AO$365/(AO$363-AO$365+AO$366)),AO$365/(AO$363-Exogenous!AV$10-AO$365+AO$366))*Exogenous!AW$7</f>
        <v>1.5758049609265494</v>
      </c>
      <c r="AQ365" s="7">
        <f ca="1">IF(AQ$6=OFFSET(Assumptions!$B$8,0,$C$1),AVERAGE(AN$365/(AN$363-AN$365+AN$366),AO$365/(AO$363-AO$365+AO$366),AP$365/(AP$363-AP$365+AP$366)),AP$365/(AP$363-Exogenous!AW$10-AP$365+AP$366))*Exogenous!AX$7</f>
        <v>1.6668689881970928</v>
      </c>
      <c r="AR365" s="7">
        <f ca="1">IF(AR$6=OFFSET(Assumptions!$B$8,0,$C$1),AVERAGE(AO$365/(AO$363-AO$365+AO$366),AP$365/(AP$363-AP$365+AP$366),AQ$365/(AQ$363-AQ$365+AQ$366)),AQ$365/(AQ$363-Exogenous!AX$10-AQ$365+AQ$366))*Exogenous!AY$7</f>
        <v>1.7617273144736718</v>
      </c>
      <c r="AS365" s="7">
        <f ca="1">IF(AS$6=OFFSET(Assumptions!$B$8,0,$C$1),AVERAGE(AP$365/(AP$363-AP$365+AP$366),AQ$365/(AQ$363-AQ$365+AQ$366),AR$365/(AR$363-AR$365+AR$366)),AR$365/(AR$363-Exogenous!AY$10-AR$365+AR$366))*Exogenous!AZ$7</f>
        <v>1.8596777228645753</v>
      </c>
      <c r="AT365" s="7">
        <f ca="1">IF(AT$6=OFFSET(Assumptions!$B$8,0,$C$1),AVERAGE(AQ$365/(AQ$363-AQ$365+AQ$366),AR$365/(AR$363-AR$365+AR$366),AS$365/(AS$363-AS$365+AS$366)),AS$365/(AS$363-Exogenous!AZ$10-AS$365+AS$366))*Exogenous!BA$7</f>
        <v>1.9604588428366934</v>
      </c>
      <c r="AU365" s="7">
        <f ca="1">IF(AU$6=OFFSET(Assumptions!$B$8,0,$C$1),AVERAGE(AR$365/(AR$363-AR$365+AR$366),AS$365/(AS$363-AS$365+AS$366),AT$365/(AT$363-AT$365+AT$366)),AT$365/(AT$363-Exogenous!BA$10-AT$365+AT$366))*Exogenous!BB$7</f>
        <v>2.0641357853052824</v>
      </c>
      <c r="AV365" s="7">
        <f ca="1">IF(AV$6=OFFSET(Assumptions!$B$8,0,$C$1),AVERAGE(AS$365/(AS$363-AS$365+AS$366),AT$365/(AT$363-AT$365+AT$366),AU$365/(AU$363-AU$365+AU$366)),AU$365/(AU$363-Exogenous!BB$10-AU$365+AU$366))*Exogenous!BC$7</f>
        <v>2.1707299983438744</v>
      </c>
      <c r="AW365" s="7">
        <f ca="1">IF(AW$6=OFFSET(Assumptions!$B$8,0,$C$1),AVERAGE(AT$365/(AT$363-AT$365+AT$366),AU$365/(AU$363-AU$365+AU$366),AV$365/(AV$363-AV$365+AV$366)),AV$365/(AV$363-Exogenous!BC$10-AV$365+AV$366))*Exogenous!BD$7</f>
        <v>2.2802235999024032</v>
      </c>
    </row>
    <row r="366" spans="1:49" x14ac:dyDescent="0.2">
      <c r="A366" s="1" t="s">
        <v>417</v>
      </c>
      <c r="B366" s="4" t="str">
        <f t="shared" si="224"/>
        <v>From Fiscal</v>
      </c>
      <c r="D366" s="18">
        <f>Fiscal!D$339</f>
        <v>3.1560000000000001</v>
      </c>
      <c r="E366" s="19">
        <f>Fiscal!E$339</f>
        <v>-0.57299999999999995</v>
      </c>
      <c r="F366" s="19">
        <f>Fiscal!F$339</f>
        <v>1.927</v>
      </c>
      <c r="G366" s="19">
        <f>Fiscal!G$339</f>
        <v>2.0569999999999999</v>
      </c>
      <c r="H366" s="19">
        <f>Fiscal!H$339</f>
        <v>2.198</v>
      </c>
      <c r="I366" s="19">
        <f>Fiscal!I$339</f>
        <v>2.3479999999999999</v>
      </c>
      <c r="J366" s="7">
        <f ca="1">IF(J$6=OFFSET(Assumptions!$B$8,0,$C$1),AVERAGE(G$366/(G$363-G$365+G$366),H$366/(H$363-H$365+H$366),I$366/(I$363-I$365+I$366)),I$366/(I$363-Exogenous!P$10-I$365+I$366))*Exogenous!Q$7</f>
        <v>2.0441544878698412</v>
      </c>
      <c r="K366" s="7">
        <f ca="1">IF(K$6=OFFSET(Assumptions!$B$8,0,$C$1),AVERAGE(H$366/(H$363-H$365+H$366),I$366/(I$363-I$365+I$366),J$366/(J$363-J$365+J$366)),J$366/(J$363-Exogenous!Q$10-J$365+J$366))*Exogenous!R$7</f>
        <v>2.3719305401789321</v>
      </c>
      <c r="L366" s="7">
        <f ca="1">IF(L$6=OFFSET(Assumptions!$B$8,0,$C$1),AVERAGE(I$366/(I$363-I$365+I$366),J$366/(J$363-J$365+J$366),K$366/(K$363-K$365+K$366)),K$366/(K$363-Exogenous!R$10-K$365+K$366))*Exogenous!S$7</f>
        <v>2.7264060253164004</v>
      </c>
      <c r="M366" s="7">
        <f ca="1">IF(M$6=OFFSET(Assumptions!$B$8,0,$C$1),AVERAGE(J$366/(J$363-J$365+J$366),K$366/(K$363-K$365+K$366),L$366/(L$363-L$365+L$366)),L$366/(L$363-Exogenous!S$10-L$365+L$366))*Exogenous!T$7</f>
        <v>3.1071856915589766</v>
      </c>
      <c r="N366" s="7">
        <f ca="1">IF(N$6=OFFSET(Assumptions!$B$8,0,$C$1),AVERAGE(K$366/(K$363-K$365+K$366),L$366/(L$363-L$365+L$366),M$366/(M$363-M$365+M$366)),M$366/(M$363-Exogenous!T$10-M$365+M$366))*Exogenous!U$7</f>
        <v>3.49207730452865</v>
      </c>
      <c r="O366" s="7">
        <f ca="1">IF(O$6=OFFSET(Assumptions!$B$8,0,$C$1),AVERAGE(L$366/(L$363-L$365+L$366),M$366/(M$363-M$365+M$366),N$366/(N$363-N$365+N$366)),N$366/(N$363-Exogenous!U$10-N$365+N$366))*Exogenous!V$7</f>
        <v>3.82399000792801</v>
      </c>
      <c r="P366" s="7">
        <f ca="1">IF(P$6=OFFSET(Assumptions!$B$8,0,$C$1),AVERAGE(M$366/(M$363-M$365+M$366),N$366/(N$363-N$365+N$366),O$366/(O$363-O$365+O$366)),O$366/(O$363-Exogenous!V$10-O$365+O$366))*Exogenous!W$7</f>
        <v>4.1587718851031035</v>
      </c>
      <c r="Q366" s="7">
        <f ca="1">IF(Q$6=OFFSET(Assumptions!$B$8,0,$C$1),AVERAGE(N$366/(N$363-N$365+N$366),O$366/(O$363-O$365+O$366),P$366/(P$363-P$365+P$366)),P$366/(P$363-Exogenous!W$10-P$365+P$366))*Exogenous!X$7</f>
        <v>4.4950486433986887</v>
      </c>
      <c r="R366" s="7">
        <f ca="1">IF(R$6=OFFSET(Assumptions!$B$8,0,$C$1),AVERAGE(O$366/(O$363-O$365+O$366),P$366/(P$363-P$365+P$366),Q$366/(Q$363-Q$365+Q$366)),Q$366/(Q$363-Exogenous!X$10-Q$365+Q$366))*Exogenous!Y$7</f>
        <v>4.8326857680854491</v>
      </c>
      <c r="S366" s="7">
        <f ca="1">IF(S$6=OFFSET(Assumptions!$B$8,0,$C$1),AVERAGE(P$366/(P$363-P$365+P$366),Q$366/(Q$363-Q$365+Q$366),R$366/(R$363-R$365+R$366)),R$366/(R$363-Exogenous!Y$10-R$365+R$366))*Exogenous!Z$7</f>
        <v>5.1728754343600256</v>
      </c>
      <c r="T366" s="7">
        <f ca="1">IF(T$6=OFFSET(Assumptions!$B$8,0,$C$1),AVERAGE(Q$366/(Q$363-Q$365+Q$366),R$366/(R$363-R$365+R$366),S$366/(S$363-S$365+S$366)),S$366/(S$363-Exogenous!Z$10-S$365+S$366))*Exogenous!AA$7</f>
        <v>5.5170791210500969</v>
      </c>
      <c r="U366" s="7">
        <f ca="1">IF(U$6=OFFSET(Assumptions!$B$8,0,$C$1),AVERAGE(R$366/(R$363-R$365+R$366),S$366/(S$363-S$365+S$366),T$366/(T$363-T$365+T$366)),T$366/(T$363-Exogenous!AA$10-T$365+T$366))*Exogenous!AB$7</f>
        <v>5.8654191812444729</v>
      </c>
      <c r="V366" s="7">
        <f ca="1">IF(V$6=OFFSET(Assumptions!$B$8,0,$C$1),AVERAGE(S$366/(S$363-S$365+S$366),T$366/(T$363-T$365+T$366),U$366/(U$363-U$365+U$366)),U$366/(U$363-Exogenous!AB$10-U$365+U$366))*Exogenous!AC$7</f>
        <v>6.2173067363663996</v>
      </c>
      <c r="W366" s="7">
        <f ca="1">IF(W$6=OFFSET(Assumptions!$B$8,0,$C$1),AVERAGE(T$366/(T$363-T$365+T$366),U$366/(U$363-U$365+U$366),V$366/(V$363-V$365+V$366)),V$366/(V$363-Exogenous!AC$10-V$365+V$366))*Exogenous!AD$7</f>
        <v>6.5720822046927267</v>
      </c>
      <c r="X366" s="7">
        <f ca="1">IF(X$6=OFFSET(Assumptions!$B$8,0,$C$1),AVERAGE(U$366/(U$363-U$365+U$366),V$366/(V$363-V$365+V$366),W$366/(W$363-W$365+W$366)),W$366/(W$363-Exogenous!AD$10-W$365+W$366))*Exogenous!AE$7</f>
        <v>6.9297953257736307</v>
      </c>
      <c r="Y366" s="7">
        <f ca="1">IF(Y$6=OFFSET(Assumptions!$B$8,0,$C$1),AVERAGE(V$366/(V$363-V$365+V$366),W$366/(W$363-W$365+W$366),X$366/(X$363-X$365+X$366)),X$366/(X$363-Exogenous!AE$10-X$365+X$366))*Exogenous!AF$7</f>
        <v>7.2899352348251343</v>
      </c>
      <c r="Z366" s="7">
        <f ca="1">IF(Z$6=OFFSET(Assumptions!$B$8,0,$C$1),AVERAGE(W$366/(W$363-W$365+W$366),X$366/(X$363-X$365+X$366),Y$366/(Y$363-Y$365+Y$366)),Y$366/(Y$363-Exogenous!AF$10-Y$365+Y$366))*Exogenous!AG$7</f>
        <v>7.6525156762063782</v>
      </c>
      <c r="AA366" s="7">
        <f ca="1">IF(AA$6=OFFSET(Assumptions!$B$8,0,$C$1),AVERAGE(X$366/(X$363-X$365+X$366),Y$366/(Y$363-Y$365+Y$366),Z$366/(Z$363-Z$365+Z$366)),Z$366/(Z$363-Exogenous!AG$10-Z$365+Z$366))*Exogenous!AH$7</f>
        <v>8.0205872457412148</v>
      </c>
      <c r="AB366" s="7">
        <f ca="1">IF(AB$6=OFFSET(Assumptions!$B$8,0,$C$1),AVERAGE(Y$366/(Y$363-Y$365+Y$366),Z$366/(Z$363-Z$365+Z$366),AA$366/(AA$363-AA$365+AA$366)),AA$366/(AA$363-Exogenous!AH$10-AA$365+AA$366))*Exogenous!AI$7</f>
        <v>8.3987849512833392</v>
      </c>
      <c r="AC366" s="7">
        <f ca="1">IF(AC$6=OFFSET(Assumptions!$B$8,0,$C$1),AVERAGE(Z$366/(Z$363-Z$365+Z$366),AA$366/(AA$363-AA$365+AA$366),AB$366/(AB$363-AB$365+AB$366)),AB$366/(AB$363-Exogenous!AI$10-AB$365+AB$366))*Exogenous!AJ$7</f>
        <v>8.7928935886536781</v>
      </c>
      <c r="AD366" s="7">
        <f ca="1">IF(AD$6=OFFSET(Assumptions!$B$8,0,$C$1),AVERAGE(AA$366/(AA$363-AA$365+AA$366),AB$366/(AB$363-AB$365+AB$366),AC$366/(AC$363-AC$365+AC$366)),AC$366/(AC$363-Exogenous!AJ$10-AC$365+AC$366))*Exogenous!AK$7</f>
        <v>9.2096516099224459</v>
      </c>
      <c r="AE366" s="7">
        <f ca="1">IF(AE$6=OFFSET(Assumptions!$B$8,0,$C$1),AVERAGE(AB$366/(AB$363-AB$365+AB$366),AC$366/(AC$363-AC$365+AC$366),AD$366/(AD$363-AD$365+AD$366)),AD$366/(AD$363-Exogenous!AK$10-AD$365+AD$366))*Exogenous!AL$7</f>
        <v>9.6544882122963358</v>
      </c>
      <c r="AF366" s="7">
        <f ca="1">IF(AF$6=OFFSET(Assumptions!$B$8,0,$C$1),AVERAGE(AC$366/(AC$363-AC$365+AC$366),AD$366/(AD$363-AD$365+AD$366),AE$366/(AE$363-AE$365+AE$366)),AE$366/(AE$363-Exogenous!AL$10-AE$365+AE$366))*Exogenous!AM$7</f>
        <v>10.132074328006206</v>
      </c>
      <c r="AG366" s="7">
        <f ca="1">IF(AG$6=OFFSET(Assumptions!$B$8,0,$C$1),AVERAGE(AD$366/(AD$363-AD$365+AD$366),AE$366/(AE$363-AE$365+AE$366),AF$366/(AF$363-AF$365+AF$366)),AF$366/(AF$363-Exogenous!AM$10-AF$365+AF$366))*Exogenous!AN$7</f>
        <v>10.646312809996301</v>
      </c>
      <c r="AH366" s="7">
        <f ca="1">IF(AH$6=OFFSET(Assumptions!$B$8,0,$C$1),AVERAGE(AE$366/(AE$363-AE$365+AE$366),AF$366/(AF$363-AF$365+AF$366),AG$366/(AG$363-AG$365+AG$366)),AG$366/(AG$363-Exogenous!AN$10-AG$365+AG$366))*Exogenous!AO$7</f>
        <v>11.199927496192496</v>
      </c>
      <c r="AI366" s="7">
        <f ca="1">IF(AI$6=OFFSET(Assumptions!$B$8,0,$C$1),AVERAGE(AF$366/(AF$363-AF$365+AF$366),AG$366/(AG$363-AG$365+AG$366),AH$366/(AH$363-AH$365+AH$366)),AH$366/(AH$363-Exogenous!AO$10-AH$365+AH$366))*Exogenous!AP$7</f>
        <v>11.796406822388922</v>
      </c>
      <c r="AJ366" s="7">
        <f ca="1">IF(AJ$6=OFFSET(Assumptions!$B$8,0,$C$1),AVERAGE(AG$366/(AG$363-AG$365+AG$366),AH$366/(AH$363-AH$365+AH$366),AI$366/(AI$363-AI$365+AI$366)),AI$366/(AI$363-Exogenous!AP$10-AI$365+AI$366))*Exogenous!AQ$7</f>
        <v>12.438809911577739</v>
      </c>
      <c r="AK366" s="7">
        <f ca="1">IF(AK$6=OFFSET(Assumptions!$B$8,0,$C$1),AVERAGE(AH$366/(AH$363-AH$365+AH$366),AI$366/(AI$363-AI$365+AI$366),AJ$366/(AJ$363-AJ$365+AJ$366)),AJ$366/(AJ$363-Exogenous!AQ$10-AJ$365+AJ$366))*Exogenous!AR$7</f>
        <v>13.129249053630874</v>
      </c>
      <c r="AL366" s="7">
        <f ca="1">IF(AL$6=OFFSET(Assumptions!$B$8,0,$C$1),AVERAGE(AI$366/(AI$363-AI$365+AI$366),AJ$366/(AJ$363-AJ$365+AJ$366),AK$366/(AK$363-AK$365+AK$366)),AK$366/(AK$363-Exogenous!AR$10-AK$365+AK$366))*Exogenous!AS$7</f>
        <v>13.869793061851693</v>
      </c>
      <c r="AM366" s="7">
        <f ca="1">IF(AM$6=OFFSET(Assumptions!$B$8,0,$C$1),AVERAGE(AJ$366/(AJ$363-AJ$365+AJ$366),AK$366/(AK$363-AK$365+AK$366),AL$366/(AL$363-AL$365+AL$366)),AL$366/(AL$363-Exogenous!AS$10-AL$365+AL$366))*Exogenous!AT$7</f>
        <v>14.663484165575708</v>
      </c>
      <c r="AN366" s="7">
        <f ca="1">IF(AN$6=OFFSET(Assumptions!$B$8,0,$C$1),AVERAGE(AK$366/(AK$363-AK$365+AK$366),AL$366/(AL$363-AL$365+AL$366),AM$366/(AM$363-AM$365+AM$366)),AM$366/(AM$363-Exogenous!AT$10-AM$365+AM$366))*Exogenous!AU$7</f>
        <v>15.512190930863788</v>
      </c>
      <c r="AO366" s="7">
        <f ca="1">IF(AO$6=OFFSET(Assumptions!$B$8,0,$C$1),AVERAGE(AL$366/(AL$363-AL$365+AL$366),AM$366/(AM$363-AM$365+AM$366),AN$366/(AN$363-AN$365+AN$366)),AN$366/(AN$363-Exogenous!AU$10-AN$365+AN$366))*Exogenous!AV$7</f>
        <v>16.415894492296925</v>
      </c>
      <c r="AP366" s="7">
        <f ca="1">IF(AP$6=OFFSET(Assumptions!$B$8,0,$C$1),AVERAGE(AM$366/(AM$363-AM$365+AM$366),AN$366/(AN$363-AN$365+AN$366),AO$366/(AO$363-AO$365+AO$366)),AO$366/(AO$363-Exogenous!AV$10-AO$365+AO$366))*Exogenous!AW$7</f>
        <v>17.371924755255364</v>
      </c>
      <c r="AQ366" s="7">
        <f ca="1">IF(AQ$6=OFFSET(Assumptions!$B$8,0,$C$1),AVERAGE(AN$366/(AN$363-AN$365+AN$366),AO$366/(AO$363-AO$365+AO$366),AP$366/(AP$363-AP$365+AP$366)),AP$366/(AP$363-Exogenous!AW$10-AP$365+AP$366))*Exogenous!AX$7</f>
        <v>18.375829089154806</v>
      </c>
      <c r="AR366" s="7">
        <f ca="1">IF(AR$6=OFFSET(Assumptions!$B$8,0,$C$1),AVERAGE(AO$366/(AO$363-AO$365+AO$366),AP$366/(AP$363-AP$365+AP$366),AQ$366/(AQ$363-AQ$365+AQ$366)),AQ$366/(AQ$363-Exogenous!AX$10-AQ$365+AQ$366))*Exogenous!AY$7</f>
        <v>19.42156237934401</v>
      </c>
      <c r="AS366" s="7">
        <f ca="1">IF(AS$6=OFFSET(Assumptions!$B$8,0,$C$1),AVERAGE(AP$366/(AP$363-AP$365+AP$366),AQ$366/(AQ$363-AQ$365+AQ$366),AR$366/(AR$363-AR$365+AR$366)),AR$366/(AR$363-Exogenous!AY$10-AR$365+AR$366))*Exogenous!AZ$7</f>
        <v>20.501383275016789</v>
      </c>
      <c r="AT366" s="7">
        <f ca="1">IF(AT$6=OFFSET(Assumptions!$B$8,0,$C$1),AVERAGE(AQ$366/(AQ$363-AQ$365+AQ$366),AR$366/(AR$363-AR$365+AR$366),AS$366/(AS$363-AS$365+AS$366)),AS$366/(AS$363-Exogenous!AZ$10-AS$365+AS$366))*Exogenous!BA$7</f>
        <v>21.612410385806292</v>
      </c>
      <c r="AU366" s="7">
        <f ca="1">IF(AU$6=OFFSET(Assumptions!$B$8,0,$C$1),AVERAGE(AR$366/(AR$363-AR$365+AR$366),AS$366/(AS$363-AS$365+AS$366),AT$366/(AT$363-AT$365+AT$366)),AT$366/(AT$363-Exogenous!BA$10-AT$365+AT$366))*Exogenous!BB$7</f>
        <v>22.755361504807887</v>
      </c>
      <c r="AV366" s="7">
        <f ca="1">IF(AV$6=OFFSET(Assumptions!$B$8,0,$C$1),AVERAGE(AS$366/(AS$363-AS$365+AS$366),AT$366/(AT$363-AT$365+AT$366),AU$366/(AU$363-AU$365+AU$366)),AU$366/(AU$363-Exogenous!BB$10-AU$365+AU$366))*Exogenous!BC$7</f>
        <v>23.930473078998691</v>
      </c>
      <c r="AW366" s="7">
        <f ca="1">IF(AW$6=OFFSET(Assumptions!$B$8,0,$C$1),AVERAGE(AT$366/(AT$363-AT$365+AT$366),AU$366/(AU$363-AU$365+AU$366),AV$366/(AV$363-AV$365+AV$366)),AV$366/(AV$363-Exogenous!BC$10-AV$365+AV$366))*Exogenous!BD$7</f>
        <v>25.137547973811976</v>
      </c>
    </row>
    <row r="367" spans="1:49" ht="15" x14ac:dyDescent="0.25">
      <c r="A367" s="2" t="s">
        <v>553</v>
      </c>
      <c r="D367" s="40">
        <f t="shared" ref="D367:I367" si="225">SUM(D$363,D$366)-SUM(D$364,D$365)</f>
        <v>3.6720000000000006</v>
      </c>
      <c r="E367" s="39">
        <f t="shared" si="225"/>
        <v>-0.51</v>
      </c>
      <c r="F367" s="39">
        <f t="shared" si="225"/>
        <v>1.9470000000000003</v>
      </c>
      <c r="G367" s="39">
        <f t="shared" si="225"/>
        <v>2.08</v>
      </c>
      <c r="H367" s="39">
        <f t="shared" si="225"/>
        <v>2.2270000000000003</v>
      </c>
      <c r="I367" s="39">
        <f t="shared" si="225"/>
        <v>2.3839999999999999</v>
      </c>
      <c r="J367" s="43">
        <f t="shared" ref="J367:AW367" ca="1" si="226">SUM(J$363,J$366)-SUM(J$364,J$365)</f>
        <v>2.0949521539246292</v>
      </c>
      <c r="K367" s="43">
        <f t="shared" ca="1" si="226"/>
        <v>2.4308735096071974</v>
      </c>
      <c r="L367" s="43">
        <f t="shared" ca="1" si="226"/>
        <v>2.7941577846015351</v>
      </c>
      <c r="M367" s="43">
        <f t="shared" ca="1" si="226"/>
        <v>3.1843999050964813</v>
      </c>
      <c r="N367" s="43">
        <f t="shared" ca="1" si="226"/>
        <v>3.578856155053693</v>
      </c>
      <c r="O367" s="43">
        <f t="shared" ca="1" si="226"/>
        <v>3.9190169584702836</v>
      </c>
      <c r="P367" s="43">
        <f t="shared" ca="1" si="226"/>
        <v>4.2621182352303162</v>
      </c>
      <c r="Q367" s="43">
        <f t="shared" ca="1" si="226"/>
        <v>4.606751541218971</v>
      </c>
      <c r="R367" s="43">
        <f t="shared" ca="1" si="226"/>
        <v>4.9527790189878056</v>
      </c>
      <c r="S367" s="43">
        <f t="shared" ca="1" si="226"/>
        <v>5.3014224695361509</v>
      </c>
      <c r="T367" s="43">
        <f t="shared" ca="1" si="226"/>
        <v>5.6541796897458578</v>
      </c>
      <c r="U367" s="43">
        <f t="shared" ca="1" si="226"/>
        <v>6.0111760732055561</v>
      </c>
      <c r="V367" s="43">
        <f t="shared" ca="1" si="226"/>
        <v>6.3718081075828366</v>
      </c>
      <c r="W367" s="43">
        <f t="shared" ca="1" si="226"/>
        <v>6.7353998204109438</v>
      </c>
      <c r="X367" s="43">
        <f t="shared" ca="1" si="226"/>
        <v>7.1020021872782655</v>
      </c>
      <c r="Y367" s="43">
        <f t="shared" ca="1" si="226"/>
        <v>7.4710916483042222</v>
      </c>
      <c r="Z367" s="43">
        <f t="shared" ca="1" si="226"/>
        <v>7.8426822893981463</v>
      </c>
      <c r="AA367" s="43">
        <f t="shared" ca="1" si="226"/>
        <v>8.2199005143273993</v>
      </c>
      <c r="AB367" s="43">
        <f t="shared" ca="1" si="226"/>
        <v>8.6074965118591056</v>
      </c>
      <c r="AC367" s="43">
        <f t="shared" ca="1" si="226"/>
        <v>9.0113988311988074</v>
      </c>
      <c r="AD367" s="43">
        <f t="shared" ca="1" si="226"/>
        <v>9.4385133763583546</v>
      </c>
      <c r="AE367" s="43">
        <f t="shared" ca="1" si="226"/>
        <v>9.894404261229198</v>
      </c>
      <c r="AF367" s="43">
        <f t="shared" ca="1" si="226"/>
        <v>10.383858491683917</v>
      </c>
      <c r="AG367" s="43">
        <f t="shared" ca="1" si="226"/>
        <v>10.910875907377733</v>
      </c>
      <c r="AH367" s="43">
        <f t="shared" ca="1" si="226"/>
        <v>11.478248034178002</v>
      </c>
      <c r="AI367" s="43">
        <f t="shared" ca="1" si="226"/>
        <v>12.089549996237086</v>
      </c>
      <c r="AJ367" s="43">
        <f t="shared" ca="1" si="226"/>
        <v>12.747916936392562</v>
      </c>
      <c r="AK367" s="43">
        <f t="shared" ca="1" si="226"/>
        <v>13.455513635360935</v>
      </c>
      <c r="AL367" s="43">
        <f t="shared" ca="1" si="226"/>
        <v>14.214460316888349</v>
      </c>
      <c r="AM367" s="43">
        <f t="shared" ca="1" si="226"/>
        <v>15.027874810344828</v>
      </c>
      <c r="AN367" s="43">
        <f t="shared" ca="1" si="226"/>
        <v>15.897672116048211</v>
      </c>
      <c r="AO367" s="43">
        <f t="shared" ca="1" si="226"/>
        <v>16.823832899769886</v>
      </c>
      <c r="AP367" s="43">
        <f t="shared" ca="1" si="226"/>
        <v>17.803620714480999</v>
      </c>
      <c r="AQ367" s="43">
        <f t="shared" ca="1" si="226"/>
        <v>18.83247228079707</v>
      </c>
      <c r="AR367" s="43">
        <f t="shared" ca="1" si="226"/>
        <v>19.904192261704921</v>
      </c>
      <c r="AS367" s="43">
        <f t="shared" ca="1" si="226"/>
        <v>21.010846932213632</v>
      </c>
      <c r="AT367" s="43">
        <f t="shared" ca="1" si="226"/>
        <v>22.149483298803816</v>
      </c>
      <c r="AU367" s="43">
        <f t="shared" ca="1" si="226"/>
        <v>23.320836991879197</v>
      </c>
      <c r="AV367" s="43">
        <f t="shared" ca="1" si="226"/>
        <v>24.525150334173681</v>
      </c>
      <c r="AW367" s="43">
        <f t="shared" ca="1" si="226"/>
        <v>25.762221292285361</v>
      </c>
    </row>
    <row r="368" spans="1:49" x14ac:dyDescent="0.2">
      <c r="A368" s="1" t="s">
        <v>554</v>
      </c>
      <c r="B368" s="4" t="str">
        <f t="shared" si="224"/>
        <v>From Fiscal</v>
      </c>
      <c r="D368" s="18">
        <f>Fiscal!D$340</f>
        <v>0</v>
      </c>
      <c r="E368" s="19">
        <f>Fiscal!E$340</f>
        <v>0</v>
      </c>
      <c r="F368" s="19">
        <f>Fiscal!F$340</f>
        <v>0</v>
      </c>
      <c r="G368" s="19">
        <f>Fiscal!G$340</f>
        <v>0</v>
      </c>
      <c r="H368" s="19">
        <f>Fiscal!H$340</f>
        <v>0</v>
      </c>
      <c r="I368" s="19">
        <f>Fiscal!I$340</f>
        <v>0</v>
      </c>
      <c r="J368" s="7">
        <f>Exogenous!Q$9</f>
        <v>2.964</v>
      </c>
      <c r="K368" s="7">
        <f>Exogenous!R$9</f>
        <v>2.8650000000000002</v>
      </c>
      <c r="L368" s="7">
        <f>Exogenous!S$9</f>
        <v>2.7120000000000002</v>
      </c>
      <c r="M368" s="7">
        <f>Exogenous!T$9</f>
        <v>2.5110000000000001</v>
      </c>
      <c r="N368" s="7">
        <f>Exogenous!U$9</f>
        <v>2.2930000000000001</v>
      </c>
      <c r="O368" s="7">
        <f>Exogenous!V$9</f>
        <v>2.0219999999999998</v>
      </c>
      <c r="P368" s="7">
        <f>Exogenous!W$9</f>
        <v>1.71</v>
      </c>
      <c r="Q368" s="7">
        <f>Exogenous!X$9</f>
        <v>1.387</v>
      </c>
      <c r="R368" s="7">
        <f>Exogenous!Y$9</f>
        <v>1.0680000000000001</v>
      </c>
      <c r="S368" s="7">
        <f>Exogenous!Z$9</f>
        <v>0.78500000000000003</v>
      </c>
      <c r="T368" s="7">
        <f>Exogenous!AA$9</f>
        <v>0.51</v>
      </c>
      <c r="U368" s="7">
        <f>Exogenous!AB$9</f>
        <v>0.222</v>
      </c>
      <c r="V368" s="7">
        <f>Exogenous!AC$9</f>
        <v>-8.2000000000000003E-2</v>
      </c>
      <c r="W368" s="7">
        <f>Exogenous!AD$9</f>
        <v>-0.4</v>
      </c>
      <c r="X368" s="7">
        <f>Exogenous!AE$9</f>
        <v>-0.70699999999999996</v>
      </c>
      <c r="Y368" s="7">
        <f>Exogenous!AF$9</f>
        <v>-1.0509999999999999</v>
      </c>
      <c r="Z368" s="7">
        <f>Exogenous!AG$9</f>
        <v>-1.359</v>
      </c>
      <c r="AA368" s="7">
        <f>Exogenous!AH$9</f>
        <v>-1.601</v>
      </c>
      <c r="AB368" s="7">
        <f>Exogenous!AI$9</f>
        <v>-1.7589999999999999</v>
      </c>
      <c r="AC368" s="7">
        <f>Exogenous!AJ$9</f>
        <v>-1.821</v>
      </c>
      <c r="AD368" s="7">
        <f>Exogenous!AK$9</f>
        <v>-1.778</v>
      </c>
      <c r="AE368" s="7">
        <f>Exogenous!AL$9</f>
        <v>-1.702</v>
      </c>
      <c r="AF368" s="7">
        <f>Exogenous!AM$9</f>
        <v>-1.5529999999999999</v>
      </c>
      <c r="AG368" s="7">
        <f>Exogenous!AN$9</f>
        <v>-1.413</v>
      </c>
      <c r="AH368" s="7">
        <f>Exogenous!AO$9</f>
        <v>-1.2430000000000001</v>
      </c>
      <c r="AI368" s="7">
        <f>Exogenous!AP$9</f>
        <v>-1.0640000000000001</v>
      </c>
      <c r="AJ368" s="7">
        <f>Exogenous!AQ$9</f>
        <v>-0.876</v>
      </c>
      <c r="AK368" s="7">
        <f>Exogenous!AR$9</f>
        <v>-0.72</v>
      </c>
      <c r="AL368" s="7">
        <f>Exogenous!AS$9</f>
        <v>-0.55700000000000005</v>
      </c>
      <c r="AM368" s="7">
        <f>Exogenous!AT$9</f>
        <v>-0.39900000000000002</v>
      </c>
      <c r="AN368" s="7">
        <f>Exogenous!AU$9</f>
        <v>-0.28199999999999997</v>
      </c>
      <c r="AO368" s="7">
        <f>Exogenous!AV$9</f>
        <v>-0.23899999999999999</v>
      </c>
      <c r="AP368" s="7">
        <f>Exogenous!AW$9</f>
        <v>-0.33</v>
      </c>
      <c r="AQ368" s="7">
        <f>Exogenous!AX$9</f>
        <v>-0.54800000000000004</v>
      </c>
      <c r="AR368" s="7">
        <f>Exogenous!AY$9</f>
        <v>-0.94899999999999995</v>
      </c>
      <c r="AS368" s="7">
        <f>Exogenous!AZ$9</f>
        <v>-1.52</v>
      </c>
      <c r="AT368" s="7">
        <f>Exogenous!BA$9</f>
        <v>-2.0819999999999999</v>
      </c>
      <c r="AU368" s="7">
        <f>Exogenous!BB$9</f>
        <v>-2.6949999999999998</v>
      </c>
      <c r="AV368" s="7">
        <f>Exogenous!BC$9</f>
        <v>-3.3119999999999998</v>
      </c>
      <c r="AW368" s="7">
        <f>Exogenous!BD$9</f>
        <v>-4.0010000000000003</v>
      </c>
    </row>
    <row r="369" spans="1:49" x14ac:dyDescent="0.2">
      <c r="A369" s="1" t="s">
        <v>86</v>
      </c>
      <c r="B369" s="4" t="str">
        <f t="shared" si="224"/>
        <v>From Fiscal</v>
      </c>
      <c r="D369" s="18">
        <f>Fiscal!D$341</f>
        <v>4.1000000000000002E-2</v>
      </c>
      <c r="E369" s="19">
        <f>Fiscal!E$341</f>
        <v>0.03</v>
      </c>
      <c r="F369" s="19">
        <f>Fiscal!F$341</f>
        <v>1.7000000000000001E-2</v>
      </c>
      <c r="G369" s="19">
        <f>Fiscal!G$341</f>
        <v>2.1999999999999999E-2</v>
      </c>
      <c r="H369" s="19">
        <f>Fiscal!H$341</f>
        <v>2.5000000000000001E-2</v>
      </c>
      <c r="I369" s="19">
        <f>Fiscal!I$341</f>
        <v>2.9000000000000001E-2</v>
      </c>
      <c r="J369" s="7">
        <f ca="1">IF(J$6=OFFSET(Assumptions!$B$8,0,$C$1),0,I$369)</f>
        <v>0</v>
      </c>
      <c r="K369" s="7">
        <f ca="1">IF(K$6=OFFSET(Assumptions!$B$8,0,$C$1),0,J$369)</f>
        <v>0</v>
      </c>
      <c r="L369" s="7">
        <f ca="1">IF(L$6=OFFSET(Assumptions!$B$8,0,$C$1),0,K$369)</f>
        <v>0</v>
      </c>
      <c r="M369" s="7">
        <f ca="1">IF(M$6=OFFSET(Assumptions!$B$8,0,$C$1),0,L$369)</f>
        <v>0</v>
      </c>
      <c r="N369" s="7">
        <f ca="1">IF(N$6=OFFSET(Assumptions!$B$8,0,$C$1),0,M$369)</f>
        <v>0</v>
      </c>
      <c r="O369" s="7">
        <f ca="1">IF(O$6=OFFSET(Assumptions!$B$8,0,$C$1),0,N$369)</f>
        <v>0</v>
      </c>
      <c r="P369" s="7">
        <f ca="1">IF(P$6=OFFSET(Assumptions!$B$8,0,$C$1),0,O$369)</f>
        <v>0</v>
      </c>
      <c r="Q369" s="7">
        <f ca="1">IF(Q$6=OFFSET(Assumptions!$B$8,0,$C$1),0,P$369)</f>
        <v>0</v>
      </c>
      <c r="R369" s="7">
        <f ca="1">IF(R$6=OFFSET(Assumptions!$B$8,0,$C$1),0,Q$369)</f>
        <v>0</v>
      </c>
      <c r="S369" s="7">
        <f ca="1">IF(S$6=OFFSET(Assumptions!$B$8,0,$C$1),0,R$369)</f>
        <v>0</v>
      </c>
      <c r="T369" s="7">
        <f ca="1">IF(T$6=OFFSET(Assumptions!$B$8,0,$C$1),0,S$369)</f>
        <v>0</v>
      </c>
      <c r="U369" s="7">
        <f ca="1">IF(U$6=OFFSET(Assumptions!$B$8,0,$C$1),0,T$369)</f>
        <v>0</v>
      </c>
      <c r="V369" s="7">
        <f ca="1">IF(V$6=OFFSET(Assumptions!$B$8,0,$C$1),0,U$369)</f>
        <v>0</v>
      </c>
      <c r="W369" s="7">
        <f ca="1">IF(W$6=OFFSET(Assumptions!$B$8,0,$C$1),0,V$369)</f>
        <v>0</v>
      </c>
      <c r="X369" s="7">
        <f ca="1">IF(X$6=OFFSET(Assumptions!$B$8,0,$C$1),0,W$369)</f>
        <v>0</v>
      </c>
      <c r="Y369" s="7">
        <f ca="1">IF(Y$6=OFFSET(Assumptions!$B$8,0,$C$1),0,X$369)</f>
        <v>0</v>
      </c>
      <c r="Z369" s="7">
        <f ca="1">IF(Z$6=OFFSET(Assumptions!$B$8,0,$C$1),0,Y$369)</f>
        <v>0</v>
      </c>
      <c r="AA369" s="7">
        <f ca="1">IF(AA$6=OFFSET(Assumptions!$B$8,0,$C$1),0,Z$369)</f>
        <v>0</v>
      </c>
      <c r="AB369" s="7">
        <f ca="1">IF(AB$6=OFFSET(Assumptions!$B$8,0,$C$1),0,AA$369)</f>
        <v>0</v>
      </c>
      <c r="AC369" s="7">
        <f ca="1">IF(AC$6=OFFSET(Assumptions!$B$8,0,$C$1),0,AB$369)</f>
        <v>0</v>
      </c>
      <c r="AD369" s="7">
        <f ca="1">IF(AD$6=OFFSET(Assumptions!$B$8,0,$C$1),0,AC$369)</f>
        <v>0</v>
      </c>
      <c r="AE369" s="7">
        <f ca="1">IF(AE$6=OFFSET(Assumptions!$B$8,0,$C$1),0,AD$369)</f>
        <v>0</v>
      </c>
      <c r="AF369" s="7">
        <f ca="1">IF(AF$6=OFFSET(Assumptions!$B$8,0,$C$1),0,AE$369)</f>
        <v>0</v>
      </c>
      <c r="AG369" s="7">
        <f ca="1">IF(AG$6=OFFSET(Assumptions!$B$8,0,$C$1),0,AF$369)</f>
        <v>0</v>
      </c>
      <c r="AH369" s="7">
        <f ca="1">IF(AH$6=OFFSET(Assumptions!$B$8,0,$C$1),0,AG$369)</f>
        <v>0</v>
      </c>
      <c r="AI369" s="7">
        <f ca="1">IF(AI$6=OFFSET(Assumptions!$B$8,0,$C$1),0,AH$369)</f>
        <v>0</v>
      </c>
      <c r="AJ369" s="7">
        <f ca="1">IF(AJ$6=OFFSET(Assumptions!$B$8,0,$C$1),0,AI$369)</f>
        <v>0</v>
      </c>
      <c r="AK369" s="7">
        <f ca="1">IF(AK$6=OFFSET(Assumptions!$B$8,0,$C$1),0,AJ$369)</f>
        <v>0</v>
      </c>
      <c r="AL369" s="7">
        <f ca="1">IF(AL$6=OFFSET(Assumptions!$B$8,0,$C$1),0,AK$369)</f>
        <v>0</v>
      </c>
      <c r="AM369" s="7">
        <f ca="1">IF(AM$6=OFFSET(Assumptions!$B$8,0,$C$1),0,AL$369)</f>
        <v>0</v>
      </c>
      <c r="AN369" s="7">
        <f ca="1">IF(AN$6=OFFSET(Assumptions!$B$8,0,$C$1),0,AM$369)</f>
        <v>0</v>
      </c>
      <c r="AO369" s="7">
        <f ca="1">IF(AO$6=OFFSET(Assumptions!$B$8,0,$C$1),0,AN$369)</f>
        <v>0</v>
      </c>
      <c r="AP369" s="7">
        <f ca="1">IF(AP$6=OFFSET(Assumptions!$B$8,0,$C$1),0,AO$369)</f>
        <v>0</v>
      </c>
      <c r="AQ369" s="7">
        <f ca="1">IF(AQ$6=OFFSET(Assumptions!$B$8,0,$C$1),0,AP$369)</f>
        <v>0</v>
      </c>
      <c r="AR369" s="7">
        <f ca="1">IF(AR$6=OFFSET(Assumptions!$B$8,0,$C$1),0,AQ$369)</f>
        <v>0</v>
      </c>
      <c r="AS369" s="7">
        <f ca="1">IF(AS$6=OFFSET(Assumptions!$B$8,0,$C$1),0,AR$369)</f>
        <v>0</v>
      </c>
      <c r="AT369" s="7">
        <f ca="1">IF(AT$6=OFFSET(Assumptions!$B$8,0,$C$1),0,AS$369)</f>
        <v>0</v>
      </c>
      <c r="AU369" s="7">
        <f ca="1">IF(AU$6=OFFSET(Assumptions!$B$8,0,$C$1),0,AT$369)</f>
        <v>0</v>
      </c>
      <c r="AV369" s="7">
        <f ca="1">IF(AV$6=OFFSET(Assumptions!$B$8,0,$C$1),0,AU$369)</f>
        <v>0</v>
      </c>
      <c r="AW369" s="7">
        <f ca="1">IF(AW$6=OFFSET(Assumptions!$B$8,0,$C$1),0,AV$369)</f>
        <v>0</v>
      </c>
    </row>
    <row r="370" spans="1:49" ht="15" x14ac:dyDescent="0.25">
      <c r="A370" s="2" t="s">
        <v>410</v>
      </c>
      <c r="C370" s="69">
        <f>Fiscal!C$342</f>
        <v>25.809000000000001</v>
      </c>
      <c r="D370" s="40">
        <f>SUM(C$370,D$367:D$369)</f>
        <v>29.522000000000002</v>
      </c>
      <c r="E370" s="39">
        <f t="shared" ref="E370:I370" si="227">SUM(D$370,E$367:E$369)</f>
        <v>29.042000000000002</v>
      </c>
      <c r="F370" s="39">
        <f t="shared" si="227"/>
        <v>31.006</v>
      </c>
      <c r="G370" s="39">
        <f t="shared" si="227"/>
        <v>33.107999999999997</v>
      </c>
      <c r="H370" s="39">
        <f t="shared" si="227"/>
        <v>35.359999999999992</v>
      </c>
      <c r="I370" s="39">
        <f t="shared" si="227"/>
        <v>37.772999999999996</v>
      </c>
      <c r="J370" s="43">
        <f t="shared" ref="J370:AW370" ca="1" si="228">SUM(I$370,J$367:J$369)</f>
        <v>42.831952153924625</v>
      </c>
      <c r="K370" s="43">
        <f t="shared" ca="1" si="228"/>
        <v>48.127825663531823</v>
      </c>
      <c r="L370" s="43">
        <f t="shared" ca="1" si="228"/>
        <v>53.633983448133364</v>
      </c>
      <c r="M370" s="43">
        <f t="shared" ca="1" si="228"/>
        <v>59.329383353229851</v>
      </c>
      <c r="N370" s="43">
        <f t="shared" ca="1" si="228"/>
        <v>65.20123950828355</v>
      </c>
      <c r="O370" s="43">
        <f t="shared" ca="1" si="228"/>
        <v>71.142256466753835</v>
      </c>
      <c r="P370" s="43">
        <f t="shared" ca="1" si="228"/>
        <v>77.114374701984147</v>
      </c>
      <c r="Q370" s="43">
        <f t="shared" ca="1" si="228"/>
        <v>83.108126243203117</v>
      </c>
      <c r="R370" s="43">
        <f t="shared" ca="1" si="228"/>
        <v>89.128905262190926</v>
      </c>
      <c r="S370" s="43">
        <f t="shared" ca="1" si="228"/>
        <v>95.215327731727072</v>
      </c>
      <c r="T370" s="43">
        <f t="shared" ca="1" si="228"/>
        <v>101.37950742147294</v>
      </c>
      <c r="U370" s="43">
        <f t="shared" ca="1" si="228"/>
        <v>107.61268349467849</v>
      </c>
      <c r="V370" s="43">
        <f t="shared" ca="1" si="228"/>
        <v>113.90249160226134</v>
      </c>
      <c r="W370" s="43">
        <f t="shared" ca="1" si="228"/>
        <v>120.23789142267228</v>
      </c>
      <c r="X370" s="43">
        <f t="shared" ca="1" si="228"/>
        <v>126.63289360995054</v>
      </c>
      <c r="Y370" s="43">
        <f t="shared" ca="1" si="228"/>
        <v>133.05298525825478</v>
      </c>
      <c r="Z370" s="43">
        <f t="shared" ca="1" si="228"/>
        <v>139.53666754765291</v>
      </c>
      <c r="AA370" s="43">
        <f t="shared" ca="1" si="228"/>
        <v>146.15556806198032</v>
      </c>
      <c r="AB370" s="43">
        <f t="shared" ca="1" si="228"/>
        <v>153.00406457383943</v>
      </c>
      <c r="AC370" s="43">
        <f t="shared" ca="1" si="228"/>
        <v>160.19446340503825</v>
      </c>
      <c r="AD370" s="43">
        <f t="shared" ca="1" si="228"/>
        <v>167.8549767813966</v>
      </c>
      <c r="AE370" s="43">
        <f t="shared" ca="1" si="228"/>
        <v>176.0473810426258</v>
      </c>
      <c r="AF370" s="43">
        <f t="shared" ca="1" si="228"/>
        <v>184.87823953430973</v>
      </c>
      <c r="AG370" s="43">
        <f t="shared" ca="1" si="228"/>
        <v>194.37611544168746</v>
      </c>
      <c r="AH370" s="43">
        <f t="shared" ca="1" si="228"/>
        <v>204.61136347586546</v>
      </c>
      <c r="AI370" s="43">
        <f t="shared" ca="1" si="228"/>
        <v>215.63691347210255</v>
      </c>
      <c r="AJ370" s="43">
        <f t="shared" ca="1" si="228"/>
        <v>227.5088304084951</v>
      </c>
      <c r="AK370" s="43">
        <f t="shared" ca="1" si="228"/>
        <v>240.24434404385605</v>
      </c>
      <c r="AL370" s="43">
        <f t="shared" ca="1" si="228"/>
        <v>253.90180436074442</v>
      </c>
      <c r="AM370" s="43">
        <f t="shared" ca="1" si="228"/>
        <v>268.53067917108928</v>
      </c>
      <c r="AN370" s="43">
        <f t="shared" ca="1" si="228"/>
        <v>284.14635128713752</v>
      </c>
      <c r="AO370" s="43">
        <f t="shared" ca="1" si="228"/>
        <v>300.73118418690746</v>
      </c>
      <c r="AP370" s="43">
        <f t="shared" ca="1" si="228"/>
        <v>318.20480490138846</v>
      </c>
      <c r="AQ370" s="43">
        <f t="shared" ca="1" si="228"/>
        <v>336.4892771821855</v>
      </c>
      <c r="AR370" s="43">
        <f t="shared" ca="1" si="228"/>
        <v>355.4444694438904</v>
      </c>
      <c r="AS370" s="43">
        <f t="shared" ca="1" si="228"/>
        <v>374.93531637610403</v>
      </c>
      <c r="AT370" s="43">
        <f t="shared" ca="1" si="228"/>
        <v>395.00279967490786</v>
      </c>
      <c r="AU370" s="43">
        <f t="shared" ca="1" si="228"/>
        <v>415.62863666678709</v>
      </c>
      <c r="AV370" s="43">
        <f t="shared" ca="1" si="228"/>
        <v>436.84178700096078</v>
      </c>
      <c r="AW370" s="43">
        <f t="shared" ca="1" si="228"/>
        <v>458.60300829324615</v>
      </c>
    </row>
    <row r="371" spans="1:49" x14ac:dyDescent="0.2">
      <c r="A371" s="4" t="s">
        <v>557</v>
      </c>
    </row>
    <row r="372" spans="1:49" x14ac:dyDescent="0.2">
      <c r="A372" s="1" t="s">
        <v>411</v>
      </c>
      <c r="B372" s="4" t="str">
        <f t="shared" ref="B372:B377" si="229">$B$43</f>
        <v>From Fiscal</v>
      </c>
      <c r="D372" s="18">
        <f>Fiscal!D$343</f>
        <v>31.274000000000001</v>
      </c>
      <c r="E372" s="19">
        <f>Fiscal!E$343</f>
        <v>30.513999999999999</v>
      </c>
      <c r="F372" s="19">
        <f>Fiscal!F$343</f>
        <v>32.759</v>
      </c>
      <c r="G372" s="19">
        <f>Fiscal!G$343</f>
        <v>34.863999999999997</v>
      </c>
      <c r="H372" s="19">
        <f>Fiscal!H$343</f>
        <v>37.118000000000002</v>
      </c>
      <c r="I372" s="19">
        <f>Fiscal!I$343</f>
        <v>39.533000000000001</v>
      </c>
      <c r="J372" s="7">
        <f ca="1">IF(J$6=OFFSET(Assumptions!$B$8,0,$C$1),AVERAGE(G$372/G$370,H$372/H$370,I$372/I$370),I$372/I$370)*J$370</f>
        <v>44.96426755197038</v>
      </c>
      <c r="K372" s="7">
        <f ca="1">IF(K$6=OFFSET(Assumptions!$B$8,0,$C$1),AVERAGE(H$372/H$370,I$372/I$370,J$372/J$370),J$372/J$370)*K$370</f>
        <v>50.523787056279303</v>
      </c>
      <c r="L372" s="7">
        <f ca="1">IF(L$6=OFFSET(Assumptions!$B$8,0,$C$1),AVERAGE(I$372/I$370,J$372/J$370,K$372/K$370),K$372/K$370)*L$370</f>
        <v>56.304059478149355</v>
      </c>
      <c r="M372" s="7">
        <f ca="1">IF(M$6=OFFSET(Assumptions!$B$8,0,$C$1),AVERAGE(J$372/J$370,K$372/K$370,L$372/L$370),L$372/L$370)*M$370</f>
        <v>62.282995115449282</v>
      </c>
      <c r="N372" s="7">
        <f ca="1">IF(N$6=OFFSET(Assumptions!$B$8,0,$C$1),AVERAGE(K$372/K$370,L$372/L$370,M$372/M$370),M$372/M$370)*N$370</f>
        <v>68.447171574969502</v>
      </c>
      <c r="O372" s="7">
        <f ca="1">IF(O$6=OFFSET(Assumptions!$B$8,0,$C$1),AVERAGE(L$372/L$370,M$372/M$370,N$372/N$370),N$372/N$370)*O$370</f>
        <v>74.683951890082326</v>
      </c>
      <c r="P372" s="7">
        <f ca="1">IF(P$6=OFFSET(Assumptions!$B$8,0,$C$1),AVERAGE(M$372/M$370,N$372/N$370,O$372/O$370),O$372/O$370)*P$370</f>
        <v>80.953381805764835</v>
      </c>
      <c r="Q372" s="7">
        <f ca="1">IF(Q$6=OFFSET(Assumptions!$B$8,0,$C$1),AVERAGE(N$372/N$370,O$372/O$370,P$372/P$370),P$372/P$370)*Q$370</f>
        <v>87.245522004532546</v>
      </c>
      <c r="R372" s="7">
        <f ca="1">IF(R$6=OFFSET(Assumptions!$B$8,0,$C$1),AVERAGE(O$372/O$370,P$372/P$370,Q$372/Q$370),Q$372/Q$370)*R$370</f>
        <v>93.566035197771441</v>
      </c>
      <c r="S372" s="7">
        <f ca="1">IF(S$6=OFFSET(Assumptions!$B$8,0,$C$1),AVERAGE(P$372/P$370,Q$372/Q$370,R$372/R$370),R$372/R$370)*S$370</f>
        <v>99.955459788344797</v>
      </c>
      <c r="T372" s="7">
        <f ca="1">IF(T$6=OFFSET(Assumptions!$B$8,0,$C$1),AVERAGE(Q$372/Q$370,R$372/R$370,S$372/S$370),S$372/S$370)*T$370</f>
        <v>106.42651260919453</v>
      </c>
      <c r="U372" s="7">
        <f ca="1">IF(U$6=OFFSET(Assumptions!$B$8,0,$C$1),AVERAGE(R$372/R$370,S$372/S$370,T$372/T$370),T$372/T$370)*U$370</f>
        <v>112.96999668031395</v>
      </c>
      <c r="V372" s="7">
        <f ca="1">IF(V$6=OFFSET(Assumptions!$B$8,0,$C$1),AVERAGE(S$372/S$370,T$372/T$370,U$372/U$370),U$372/U$370)*V$370</f>
        <v>119.5729321146727</v>
      </c>
      <c r="W372" s="7">
        <f ca="1">IF(W$6=OFFSET(Assumptions!$B$8,0,$C$1),AVERAGE(T$372/T$370,U$372/U$370,V$372/V$370),V$372/V$370)*W$370</f>
        <v>126.2237289672173</v>
      </c>
      <c r="X372" s="7">
        <f ca="1">IF(X$6=OFFSET(Assumptions!$B$8,0,$C$1),AVERAGE(U$372/U$370,V$372/V$370,W$372/W$370),W$372/W$370)*X$370</f>
        <v>132.93709538840827</v>
      </c>
      <c r="Y372" s="7">
        <f ca="1">IF(Y$6=OFFSET(Assumptions!$B$8,0,$C$1),AVERAGE(V$372/V$370,W$372/W$370,X$372/X$370),X$372/X$370)*Y$370</f>
        <v>139.67680030648242</v>
      </c>
      <c r="Z372" s="7">
        <f ca="1">IF(Z$6=OFFSET(Assumptions!$B$8,0,$C$1),AVERAGE(W$372/W$370,X$372/X$370,Y$372/Y$370),Y$372/Y$370)*Z$370</f>
        <v>146.48326161683286</v>
      </c>
      <c r="AA372" s="7">
        <f ca="1">IF(AA$6=OFFSET(Assumptions!$B$8,0,$C$1),AVERAGE(X$372/X$370,Y$372/Y$370,Z$372/Z$370),Z$372/Z$370)*AA$370</f>
        <v>153.43167275991036</v>
      </c>
      <c r="AB372" s="7">
        <f ca="1">IF(AB$6=OFFSET(Assumptions!$B$8,0,$C$1),AVERAGE(Y$372/Y$370,Z$372/Z$370,AA$372/AA$370),AA$372/AA$370)*AB$370</f>
        <v>160.62110994412595</v>
      </c>
      <c r="AC372" s="7">
        <f ca="1">IF(AC$6=OFFSET(Assumptions!$B$8,0,$C$1),AVERAGE(Z$372/Z$370,AA$372/AA$370,AB$372/AB$370),AB$372/AB$370)*AC$370</f>
        <v>168.16947046921993</v>
      </c>
      <c r="AD372" s="7">
        <f ca="1">IF(AD$6=OFFSET(Assumptions!$B$8,0,$C$1),AVERAGE(AA$372/AA$370,AB$372/AB$370,AC$372/AC$370),AC$372/AC$370)*AD$370</f>
        <v>176.21134938714042</v>
      </c>
      <c r="AE372" s="7">
        <f ca="1">IF(AE$6=OFFSET(Assumptions!$B$8,0,$C$1),AVERAGE(AB$372/AB$370,AC$372/AC$370,AD$372/AD$370),AD$372/AD$370)*AE$370</f>
        <v>184.81159846689334</v>
      </c>
      <c r="AF372" s="7">
        <f ca="1">IF(AF$6=OFFSET(Assumptions!$B$8,0,$C$1),AVERAGE(AC$372/AC$370,AD$372/AD$370,AE$372/AE$370),AE$372/AE$370)*AF$370</f>
        <v>194.08208612775712</v>
      </c>
      <c r="AG372" s="7">
        <f ca="1">IF(AG$6=OFFSET(Assumptions!$B$8,0,$C$1),AVERAGE(AD$372/AD$370,AE$372/AE$370,AF$372/AF$370),AF$372/AF$370)*AG$370</f>
        <v>204.05279752423999</v>
      </c>
      <c r="AH372" s="7">
        <f ca="1">IF(AH$6=OFFSET(Assumptions!$B$8,0,$C$1),AVERAGE(AE$372/AE$370,AF$372/AF$370,AG$372/AG$370),AG$372/AG$370)*AH$370</f>
        <v>214.7975898562745</v>
      </c>
      <c r="AI372" s="7">
        <f ca="1">IF(AI$6=OFFSET(Assumptions!$B$8,0,$C$1),AVERAGE(AF$372/AF$370,AG$372/AG$370,AH$372/AH$370),AH$372/AH$370)*AI$370</f>
        <v>226.37202798033758</v>
      </c>
      <c r="AJ372" s="7">
        <f ca="1">IF(AJ$6=OFFSET(Assumptions!$B$8,0,$C$1),AVERAGE(AG$372/AG$370,AH$372/AH$370,AI$372/AI$370),AI$372/AI$370)*AJ$370</f>
        <v>238.83496797346163</v>
      </c>
      <c r="AK372" s="7">
        <f ca="1">IF(AK$6=OFFSET(Assumptions!$B$8,0,$C$1),AVERAGE(AH$372/AH$370,AI$372/AI$370,AJ$372/AJ$370),AJ$372/AJ$370)*AK$370</f>
        <v>252.20449734850007</v>
      </c>
      <c r="AL372" s="7">
        <f ca="1">IF(AL$6=OFFSET(Assumptions!$B$8,0,$C$1),AVERAGE(AI$372/AI$370,AJ$372/AJ$370,AK$372/AK$370),AK$372/AK$370)*AL$370</f>
        <v>266.54187094198261</v>
      </c>
      <c r="AM372" s="7">
        <f ca="1">IF(AM$6=OFFSET(Assumptions!$B$8,0,$C$1),AVERAGE(AJ$372/AJ$370,AK$372/AK$370,AL$372/AL$370),AL$372/AL$370)*AM$370</f>
        <v>281.89901923615292</v>
      </c>
      <c r="AN372" s="7">
        <f ca="1">IF(AN$6=OFFSET(Assumptions!$B$8,0,$C$1),AVERAGE(AK$372/AK$370,AL$372/AL$370,AM$372/AM$370),AM$372/AM$370)*AN$370</f>
        <v>298.29209085022597</v>
      </c>
      <c r="AO372" s="7">
        <f ca="1">IF(AO$6=OFFSET(Assumptions!$B$8,0,$C$1),AVERAGE(AL$372/AL$370,AM$372/AM$370,AN$372/AN$370),AN$372/AN$370)*AO$370</f>
        <v>315.70257125817176</v>
      </c>
      <c r="AP372" s="7">
        <f ca="1">IF(AP$6=OFFSET(Assumptions!$B$8,0,$C$1),AVERAGE(AM$372/AM$370,AN$372/AN$370,AO$372/AO$370),AO$372/AO$370)*AP$370</f>
        <v>334.0460862603378</v>
      </c>
      <c r="AQ372" s="7">
        <f ca="1">IF(AQ$6=OFFSET(Assumptions!$B$8,0,$C$1),AVERAGE(AN$372/AN$370,AO$372/AO$370,AP$372/AP$370),AP$372/AP$370)*AQ$370</f>
        <v>353.24081968565082</v>
      </c>
      <c r="AR372" s="7">
        <f ca="1">IF(AR$6=OFFSET(Assumptions!$B$8,0,$C$1),AVERAGE(AO$372/AO$370,AP$372/AP$370,AQ$372/AQ$370),AQ$372/AQ$370)*AR$370</f>
        <v>373.13966373766635</v>
      </c>
      <c r="AS372" s="7">
        <f ca="1">IF(AS$6=OFFSET(Assumptions!$B$8,0,$C$1),AVERAGE(AP$372/AP$370,AQ$372/AQ$370,AR$372/AR$370),AR$372/AR$370)*AS$370</f>
        <v>393.60082911077563</v>
      </c>
      <c r="AT372" s="7">
        <f ca="1">IF(AT$6=OFFSET(Assumptions!$B$8,0,$C$1),AVERAGE(AQ$372/AQ$370,AR$372/AR$370,AS$372/AS$370),AS$372/AS$370)*AT$370</f>
        <v>414.66733770462764</v>
      </c>
      <c r="AU372" s="7">
        <f ca="1">IF(AU$6=OFFSET(Assumptions!$B$8,0,$C$1),AVERAGE(AR$372/AR$370,AS$372/AS$370,AT$372/AT$370),AT$372/AT$370)*AU$370</f>
        <v>436.31999667411168</v>
      </c>
      <c r="AV372" s="7">
        <f ca="1">IF(AV$6=OFFSET(Assumptions!$B$8,0,$C$1),AVERAGE(AS$372/AS$370,AT$372/AT$370,AU$372/AU$370),AU$372/AU$370)*AV$370</f>
        <v>458.58920737499625</v>
      </c>
      <c r="AW372" s="7">
        <f ca="1">IF(AW$6=OFFSET(Assumptions!$B$8,0,$C$1),AVERAGE(AT$372/AT$370,AU$372/AU$370,AV$372/AV$370),AV$372/AV$370)*AW$370</f>
        <v>481.43377380819578</v>
      </c>
    </row>
    <row r="373" spans="1:49" x14ac:dyDescent="0.2">
      <c r="A373" s="1" t="s">
        <v>558</v>
      </c>
      <c r="B373" s="4" t="str">
        <f t="shared" si="229"/>
        <v>From Fiscal</v>
      </c>
      <c r="D373" s="18">
        <f>-Fiscal!D$344</f>
        <v>3.145</v>
      </c>
      <c r="E373" s="19">
        <f>-Fiscal!E$344</f>
        <v>2.4790000000000001</v>
      </c>
      <c r="F373" s="19">
        <f>-Fiscal!F$344</f>
        <v>2.827</v>
      </c>
      <c r="G373" s="19">
        <f>-Fiscal!G$344</f>
        <v>2.89</v>
      </c>
      <c r="H373" s="19">
        <f>-Fiscal!H$344</f>
        <v>2.9540000000000002</v>
      </c>
      <c r="I373" s="19">
        <f>-Fiscal!I$344</f>
        <v>3.0219999999999998</v>
      </c>
      <c r="J373" s="7">
        <f ca="1">IF(J$6=OFFSET(Assumptions!$B$8,0,$C$1),AVERAGE(G$373/G$370,H$373/H$370,I$373/I$370),I$373/I$370)*J$370</f>
        <v>3.5812514881047282</v>
      </c>
      <c r="K373" s="7">
        <f ca="1">IF(K$6=OFFSET(Assumptions!$B$8,0,$C$1),AVERAGE(H$373/H$370,I$373/I$370,J$373/J$370),J$373/J$370)*K$370</f>
        <v>4.0240483706502133</v>
      </c>
      <c r="L373" s="7">
        <f ca="1">IF(L$6=OFFSET(Assumptions!$B$8,0,$C$1),AVERAGE(I$373/I$370,J$373/J$370,K$373/K$370),K$373/K$370)*L$370</f>
        <v>4.4844274747587543</v>
      </c>
      <c r="M373" s="7">
        <f ca="1">IF(M$6=OFFSET(Assumptions!$B$8,0,$C$1),AVERAGE(J$373/J$370,K$373/K$370,L$373/L$370),L$373/L$370)*M$370</f>
        <v>4.960629430536514</v>
      </c>
      <c r="N373" s="7">
        <f ca="1">IF(N$6=OFFSET(Assumptions!$B$8,0,$C$1),AVERAGE(K$373/K$370,L$373/L$370,M$373/M$370),M$373/M$370)*N$370</f>
        <v>5.4515851898643355</v>
      </c>
      <c r="O373" s="7">
        <f ca="1">IF(O$6=OFFSET(Assumptions!$B$8,0,$C$1),AVERAGE(L$373/L$370,M$373/M$370,N$373/N$370),N$373/N$370)*O$370</f>
        <v>5.9483236001734632</v>
      </c>
      <c r="P373" s="7">
        <f ca="1">IF(P$6=OFFSET(Assumptions!$B$8,0,$C$1),AVERAGE(M$373/M$370,N$373/N$370,O$373/O$370),O$373/O$370)*P$370</f>
        <v>6.4476624404905092</v>
      </c>
      <c r="Q373" s="7">
        <f ca="1">IF(Q$6=OFFSET(Assumptions!$B$8,0,$C$1),AVERAGE(N$373/N$370,O$373/O$370,P$373/P$370),P$373/P$370)*Q$370</f>
        <v>6.9488100778706947</v>
      </c>
      <c r="R373" s="7">
        <f ca="1">IF(R$6=OFFSET(Assumptions!$B$8,0,$C$1),AVERAGE(O$373/O$370,P$373/P$370,Q$373/Q$370),Q$373/Q$370)*R$370</f>
        <v>7.4522175280801317</v>
      </c>
      <c r="S373" s="7">
        <f ca="1">IF(S$6=OFFSET(Assumptions!$B$8,0,$C$1),AVERAGE(P$373/P$370,Q$373/Q$370,R$373/R$370),R$373/R$370)*S$370</f>
        <v>7.9611135374875195</v>
      </c>
      <c r="T373" s="7">
        <f ca="1">IF(T$6=OFFSET(Assumptions!$B$8,0,$C$1),AVERAGE(Q$373/Q$370,R$373/R$370,S$373/S$370),S$373/S$370)*T$370</f>
        <v>8.4765109587284417</v>
      </c>
      <c r="U373" s="7">
        <f ca="1">IF(U$6=OFFSET(Assumptions!$B$8,0,$C$1),AVERAGE(R$373/R$370,S$373/S$370,T$373/T$370),T$373/T$370)*U$370</f>
        <v>8.9976772835218082</v>
      </c>
      <c r="V373" s="7">
        <f ca="1">IF(V$6=OFFSET(Assumptions!$B$8,0,$C$1),AVERAGE(S$373/S$370,T$373/T$370,U$373/U$370),U$373/U$370)*V$370</f>
        <v>9.5235787078656049</v>
      </c>
      <c r="W373" s="7">
        <f ca="1">IF(W$6=OFFSET(Assumptions!$B$8,0,$C$1),AVERAGE(T$373/T$370,U$373/U$370,V$373/V$370),V$373/V$370)*W$370</f>
        <v>10.05329213192457</v>
      </c>
      <c r="X373" s="7">
        <f ca="1">IF(X$6=OFFSET(Assumptions!$B$8,0,$C$1),AVERAGE(U$373/U$370,V$373/V$370,W$373/W$370),W$373/W$370)*X$370</f>
        <v>10.587989010024364</v>
      </c>
      <c r="Y373" s="7">
        <f ca="1">IF(Y$6=OFFSET(Assumptions!$B$8,0,$C$1),AVERAGE(V$373/V$370,W$373/W$370,X$373/X$370),X$373/X$370)*Y$370</f>
        <v>11.124783660117183</v>
      </c>
      <c r="Z373" s="7">
        <f ca="1">IF(Z$6=OFFSET(Assumptions!$B$8,0,$C$1),AVERAGE(W$373/W$370,X$373/X$370,Y$373/Y$370),Y$373/Y$370)*Z$370</f>
        <v>11.666895230560225</v>
      </c>
      <c r="AA373" s="7">
        <f ca="1">IF(AA$6=OFFSET(Assumptions!$B$8,0,$C$1),AVERAGE(X$373/X$370,Y$373/Y$370,Z$373/Z$370),Z$373/Z$370)*AA$370</f>
        <v>12.220312623990429</v>
      </c>
      <c r="AB373" s="7">
        <f ca="1">IF(AB$6=OFFSET(Assumptions!$B$8,0,$C$1),AVERAGE(Y$373/Y$370,Z$373/Z$370,AA$373/AA$370),AA$373/AA$370)*AB$370</f>
        <v>12.792926924553617</v>
      </c>
      <c r="AC373" s="7">
        <f ca="1">IF(AC$6=OFFSET(Assumptions!$B$8,0,$C$1),AVERAGE(Z$373/Z$370,AA$373/AA$370,AB$373/AB$370),AB$373/AB$370)*AC$370</f>
        <v>13.39412825251919</v>
      </c>
      <c r="AD373" s="7">
        <f ca="1">IF(AD$6=OFFSET(Assumptions!$B$8,0,$C$1),AVERAGE(AA$373/AA$370,AB$373/AB$370,AC$373/AC$370),AC$373/AC$370)*AD$370</f>
        <v>14.034636647516912</v>
      </c>
      <c r="AE373" s="7">
        <f ca="1">IF(AE$6=OFFSET(Assumptions!$B$8,0,$C$1),AVERAGE(AB$373/AB$370,AC$373/AC$370,AD$373/AD$370),AD$373/AD$370)*AE$370</f>
        <v>14.71961733310993</v>
      </c>
      <c r="AF373" s="7">
        <f ca="1">IF(AF$6=OFFSET(Assumptions!$B$8,0,$C$1),AVERAGE(AC$373/AC$370,AD$373/AD$370,AE$373/AE$370),AE$373/AE$370)*AF$370</f>
        <v>15.457980249675888</v>
      </c>
      <c r="AG373" s="7">
        <f ca="1">IF(AG$6=OFFSET(Assumptions!$B$8,0,$C$1),AVERAGE(AD$373/AD$370,AE$373/AE$370,AF$373/AF$370),AF$373/AF$370)*AG$370</f>
        <v>16.252113613126003</v>
      </c>
      <c r="AH373" s="7">
        <f ca="1">IF(AH$6=OFFSET(Assumptions!$B$8,0,$C$1),AVERAGE(AE$373/AE$370,AF$373/AF$370,AG$373/AG$370),AG$373/AG$370)*AH$370</f>
        <v>17.107899899069601</v>
      </c>
      <c r="AI373" s="7">
        <f ca="1">IF(AI$6=OFFSET(Assumptions!$B$8,0,$C$1),AVERAGE(AF$373/AF$370,AG$373/AG$370,AH$373/AH$370),AH$373/AH$370)*AI$370</f>
        <v>18.029764659968183</v>
      </c>
      <c r="AJ373" s="7">
        <f ca="1">IF(AJ$6=OFFSET(Assumptions!$B$8,0,$C$1),AVERAGE(AG$373/AG$370,AH$373/AH$370,AI$373/AI$370),AI$373/AI$370)*AJ$370</f>
        <v>19.022395582843732</v>
      </c>
      <c r="AK373" s="7">
        <f ca="1">IF(AK$6=OFFSET(Assumptions!$B$8,0,$C$1),AVERAGE(AH$373/AH$370,AI$373/AI$370,AJ$373/AJ$370),AJ$373/AJ$370)*AK$370</f>
        <v>20.087233276780953</v>
      </c>
      <c r="AL373" s="7">
        <f ca="1">IF(AL$6=OFFSET(Assumptions!$B$8,0,$C$1),AVERAGE(AI$373/AI$370,AJ$373/AJ$370,AK$373/AK$370),AK$373/AK$370)*AL$370</f>
        <v>21.229156481864337</v>
      </c>
      <c r="AM373" s="7">
        <f ca="1">IF(AM$6=OFFSET(Assumptions!$B$8,0,$C$1),AVERAGE(AJ$373/AJ$370,AK$373/AK$370,AL$373/AL$370),AL$373/AL$370)*AM$370</f>
        <v>22.452301284967714</v>
      </c>
      <c r="AN373" s="7">
        <f ca="1">IF(AN$6=OFFSET(Assumptions!$B$8,0,$C$1),AVERAGE(AK$373/AK$370,AL$373/AL$370,AM$373/AM$370),AM$373/AM$370)*AN$370</f>
        <v>23.757953868870057</v>
      </c>
      <c r="AO373" s="7">
        <f ca="1">IF(AO$6=OFFSET(Assumptions!$B$8,0,$C$1),AVERAGE(AL$373/AL$370,AM$373/AM$370,AN$373/AN$370),AN$373/AN$370)*AO$370</f>
        <v>25.144639614334665</v>
      </c>
      <c r="AP373" s="7">
        <f ca="1">IF(AP$6=OFFSET(Assumptions!$B$8,0,$C$1),AVERAGE(AM$373/AM$370,AN$373/AN$370,AO$373/AO$370),AO$373/AO$370)*AP$370</f>
        <v>26.605638402375636</v>
      </c>
      <c r="AQ373" s="7">
        <f ca="1">IF(AQ$6=OFFSET(Assumptions!$B$8,0,$C$1),AVERAGE(AN$373/AN$370,AO$373/AO$370,AP$373/AP$370),AP$373/AP$370)*AQ$370</f>
        <v>28.13443385231205</v>
      </c>
      <c r="AR373" s="7">
        <f ca="1">IF(AR$6=OFFSET(Assumptions!$B$8,0,$C$1),AVERAGE(AO$373/AO$370,AP$373/AP$370,AQ$373/AQ$370),AQ$373/AQ$370)*AR$370</f>
        <v>29.719309326831414</v>
      </c>
      <c r="AS373" s="7">
        <f ca="1">IF(AS$6=OFFSET(Assumptions!$B$8,0,$C$1),AVERAGE(AP$373/AP$370,AQ$373/AQ$370,AR$373/AR$370),AR$373/AR$370)*AS$370</f>
        <v>31.348971788387367</v>
      </c>
      <c r="AT373" s="7">
        <f ca="1">IF(AT$6=OFFSET(Assumptions!$B$8,0,$C$1),AVERAGE(AQ$373/AQ$370,AR$373/AR$370,AS$373/AS$370),AS$373/AS$370)*AT$370</f>
        <v>33.026847785448894</v>
      </c>
      <c r="AU373" s="7">
        <f ca="1">IF(AU$6=OFFSET(Assumptions!$B$8,0,$C$1),AVERAGE(AR$373/AR$370,AS$373/AS$370,AT$373/AT$370),AT$373/AT$370)*AU$370</f>
        <v>34.751408672963912</v>
      </c>
      <c r="AV373" s="7">
        <f ca="1">IF(AV$6=OFFSET(Assumptions!$B$8,0,$C$1),AVERAGE(AS$373/AS$370,AT$373/AT$370,AU$373/AU$370),AU$373/AU$370)*AV$370</f>
        <v>36.525075815863161</v>
      </c>
      <c r="AW373" s="7">
        <f ca="1">IF(AW$6=OFFSET(Assumptions!$B$8,0,$C$1),AVERAGE(AT$373/AT$370,AU$373/AU$370,AV$373/AV$370),AV$373/AV$370)*AW$370</f>
        <v>38.344568092467988</v>
      </c>
    </row>
    <row r="374" spans="1:49" x14ac:dyDescent="0.2">
      <c r="A374" s="1" t="s">
        <v>413</v>
      </c>
      <c r="B374" s="4" t="str">
        <f t="shared" si="229"/>
        <v>From Fiscal</v>
      </c>
      <c r="D374" s="18">
        <f>Fiscal!D$345</f>
        <v>1.393</v>
      </c>
      <c r="E374" s="19">
        <f>Fiscal!E$345</f>
        <v>1.0069999999999999</v>
      </c>
      <c r="F374" s="19">
        <f>Fiscal!F$345</f>
        <v>1.0740000000000001</v>
      </c>
      <c r="G374" s="19">
        <f>Fiscal!G$345</f>
        <v>1.1339999999999999</v>
      </c>
      <c r="H374" s="19">
        <f>Fiscal!H$345</f>
        <v>1.196</v>
      </c>
      <c r="I374" s="19">
        <f>Fiscal!I$345</f>
        <v>1.262</v>
      </c>
      <c r="J374" s="7">
        <f ca="1">IF(J$6=OFFSET(Assumptions!$B$8,0,$C$1),AVERAGE(G$374/G$370,H$374/H$370,I$374/I$370),I$374/I$370)*J$370</f>
        <v>1.4489360900589778</v>
      </c>
      <c r="K374" s="7">
        <f ca="1">IF(K$6=OFFSET(Assumptions!$B$8,0,$C$1),AVERAGE(H$374/H$370,I$374/I$370,J$374/J$370),J$374/J$370)*K$370</f>
        <v>1.6280869779027407</v>
      </c>
      <c r="L374" s="7">
        <f ca="1">IF(L$6=OFFSET(Assumptions!$B$8,0,$C$1),AVERAGE(I$374/I$370,J$374/J$370,K$374/K$370),K$374/K$370)*L$370</f>
        <v>1.8143514447427687</v>
      </c>
      <c r="M374" s="7">
        <f ca="1">IF(M$6=OFFSET(Assumptions!$B$8,0,$C$1),AVERAGE(J$374/J$370,K$374/K$370,L$374/L$370),L$374/L$370)*M$370</f>
        <v>2.0070176683170926</v>
      </c>
      <c r="N374" s="7">
        <f ca="1">IF(N$6=OFFSET(Assumptions!$B$8,0,$C$1),AVERAGE(K$374/K$370,L$374/L$370,M$374/M$370),M$374/M$370)*N$370</f>
        <v>2.2056531231783922</v>
      </c>
      <c r="O374" s="7">
        <f ca="1">IF(O$6=OFFSET(Assumptions!$B$8,0,$C$1),AVERAGE(L$374/L$370,M$374/M$370,N$374/N$370),N$374/N$370)*O$370</f>
        <v>2.4066281768449871</v>
      </c>
      <c r="P374" s="7">
        <f ca="1">IF(P$6=OFFSET(Assumptions!$B$8,0,$C$1),AVERAGE(M$374/M$370,N$374/N$370,O$374/O$370),O$374/O$370)*P$370</f>
        <v>2.6086553367098366</v>
      </c>
      <c r="Q374" s="7">
        <f ca="1">IF(Q$6=OFFSET(Assumptions!$B$8,0,$C$1),AVERAGE(N$374/N$370,O$374/O$370,P$374/P$370),P$374/P$370)*Q$370</f>
        <v>2.8114143165412764</v>
      </c>
      <c r="R374" s="7">
        <f ca="1">IF(R$6=OFFSET(Assumptions!$B$8,0,$C$1),AVERAGE(O$374/O$370,P$374/P$370,Q$374/Q$370),Q$374/Q$370)*R$370</f>
        <v>3.0150875924996305</v>
      </c>
      <c r="S374" s="7">
        <f ca="1">IF(S$6=OFFSET(Assumptions!$B$8,0,$C$1),AVERAGE(P$374/P$370,Q$374/Q$370,R$374/R$370),R$374/R$370)*S$370</f>
        <v>3.2209814808698054</v>
      </c>
      <c r="T374" s="7">
        <f ca="1">IF(T$6=OFFSET(Assumptions!$B$8,0,$C$1),AVERAGE(Q$374/Q$370,R$374/R$370,S$374/S$370),S$374/S$370)*T$370</f>
        <v>3.4295057710068577</v>
      </c>
      <c r="U374" s="7">
        <f ca="1">IF(U$6=OFFSET(Assumptions!$B$8,0,$C$1),AVERAGE(R$374/R$370,S$374/S$370,T$374/T$370),T$374/T$370)*U$370</f>
        <v>3.6403640978863647</v>
      </c>
      <c r="V374" s="7">
        <f ca="1">IF(V$6=OFFSET(Assumptions!$B$8,0,$C$1),AVERAGE(S$374/S$370,T$374/T$370,U$374/U$370),U$374/U$370)*V$370</f>
        <v>3.8531381954542545</v>
      </c>
      <c r="W374" s="7">
        <f ca="1">IF(W$6=OFFSET(Assumptions!$B$8,0,$C$1),AVERAGE(T$374/T$370,U$374/U$370,V$374/V$370),V$374/V$370)*W$370</f>
        <v>4.0674545873795633</v>
      </c>
      <c r="X374" s="7">
        <f ca="1">IF(X$6=OFFSET(Assumptions!$B$8,0,$C$1),AVERAGE(U$374/U$370,V$374/V$370,W$374/W$370),W$374/W$370)*X$370</f>
        <v>4.2837872315666568</v>
      </c>
      <c r="Y374" s="7">
        <f ca="1">IF(Y$6=OFFSET(Assumptions!$B$8,0,$C$1),AVERAGE(V$374/V$370,W$374/W$370,X$374/X$370),X$374/X$370)*Y$370</f>
        <v>4.5009686118895678</v>
      </c>
      <c r="Z374" s="7">
        <f ca="1">IF(Z$6=OFFSET(Assumptions!$B$8,0,$C$1),AVERAGE(W$374/W$370,X$374/X$370,Y$374/Y$370),Y$374/Y$370)*Z$370</f>
        <v>4.7203011613802959</v>
      </c>
      <c r="AA374" s="7">
        <f ca="1">IF(AA$6=OFFSET(Assumptions!$B$8,0,$C$1),AVERAGE(X$374/X$370,Y$374/Y$370,Z$374/Z$370),Z$374/Z$370)*AA$370</f>
        <v>4.9442079260604146</v>
      </c>
      <c r="AB374" s="7">
        <f ca="1">IF(AB$6=OFFSET(Assumptions!$B$8,0,$C$1),AVERAGE(Y$374/Y$370,Z$374/Z$370,AA$374/AA$370),AA$374/AA$370)*AB$370</f>
        <v>5.1758815542671188</v>
      </c>
      <c r="AC374" s="7">
        <f ca="1">IF(AC$6=OFFSET(Assumptions!$B$8,0,$C$1),AVERAGE(Z$374/Z$370,AA$374/AA$370,AB$374/AB$370),AB$374/AB$370)*AC$370</f>
        <v>5.4191211883375274</v>
      </c>
      <c r="AD374" s="7">
        <f ca="1">IF(AD$6=OFFSET(Assumptions!$B$8,0,$C$1),AVERAGE(AA$374/AA$370,AB$374/AB$370,AC$374/AC$370),AC$374/AC$370)*AD$370</f>
        <v>5.6782640417731285</v>
      </c>
      <c r="AE374" s="7">
        <f ca="1">IF(AE$6=OFFSET(Assumptions!$B$8,0,$C$1),AVERAGE(AB$374/AB$370,AC$374/AC$370,AD$374/AD$370),AD$374/AD$370)*AE$370</f>
        <v>5.955399908842411</v>
      </c>
      <c r="AF374" s="7">
        <f ca="1">IF(AF$6=OFFSET(Assumptions!$B$8,0,$C$1),AVERAGE(AC$374/AC$370,AD$374/AD$370,AE$374/AE$370),AE$374/AE$370)*AF$370</f>
        <v>6.2541336562285252</v>
      </c>
      <c r="AG374" s="7">
        <f ca="1">IF(AG$6=OFFSET(Assumptions!$B$8,0,$C$1),AVERAGE(AD$374/AD$370,AE$374/AE$370,AF$374/AF$370),AF$374/AF$370)*AG$370</f>
        <v>6.5754315305734909</v>
      </c>
      <c r="AH374" s="7">
        <f ca="1">IF(AH$6=OFFSET(Assumptions!$B$8,0,$C$1),AVERAGE(AE$374/AE$370,AF$374/AF$370,AG$374/AG$370),AG$374/AG$370)*AH$370</f>
        <v>6.9216735186605742</v>
      </c>
      <c r="AI374" s="7">
        <f ca="1">IF(AI$6=OFFSET(Assumptions!$B$8,0,$C$1),AVERAGE(AF$374/AF$370,AG$374/AG$370,AH$374/AH$370),AH$374/AH$370)*AI$370</f>
        <v>7.2946501517331752</v>
      </c>
      <c r="AJ374" s="7">
        <f ca="1">IF(AJ$6=OFFSET(Assumptions!$B$8,0,$C$1),AVERAGE(AG$374/AG$370,AH$374/AH$370,AI$374/AI$370),AI$374/AI$370)*AJ$370</f>
        <v>7.6962580178772226</v>
      </c>
      <c r="AK374" s="7">
        <f ca="1">IF(AK$6=OFFSET(Assumptions!$B$8,0,$C$1),AVERAGE(AH$374/AH$370,AI$374/AI$370,AJ$374/AJ$370),AJ$374/AJ$370)*AK$370</f>
        <v>8.1270799721369436</v>
      </c>
      <c r="AL374" s="7">
        <f ca="1">IF(AL$6=OFFSET(Assumptions!$B$8,0,$C$1),AVERAGE(AI$374/AI$370,AJ$374/AJ$370,AK$374/AK$370),AK$374/AK$370)*AL$370</f>
        <v>8.589089900626151</v>
      </c>
      <c r="AM374" s="7">
        <f ca="1">IF(AM$6=OFFSET(Assumptions!$B$8,0,$C$1),AVERAGE(AJ$374/AJ$370,AK$374/AK$370,AL$374/AL$370),AL$374/AL$370)*AM$370</f>
        <v>9.0839612199041166</v>
      </c>
      <c r="AN374" s="7">
        <f ca="1">IF(AN$6=OFFSET(Assumptions!$B$8,0,$C$1),AVERAGE(AK$374/AK$370,AL$374/AL$370,AM$374/AM$370),AM$374/AM$370)*AN$370</f>
        <v>9.6122143057816594</v>
      </c>
      <c r="AO374" s="7">
        <f ca="1">IF(AO$6=OFFSET(Assumptions!$B$8,0,$C$1),AVERAGE(AL$374/AL$370,AM$374/AM$370,AN$374/AN$370),AN$374/AN$370)*AO$370</f>
        <v>10.173252543070413</v>
      </c>
      <c r="AP374" s="7">
        <f ca="1">IF(AP$6=OFFSET(Assumptions!$B$8,0,$C$1),AVERAGE(AM$374/AM$370,AN$374/AN$370,AO$374/AO$370),AO$374/AO$370)*AP$370</f>
        <v>10.764357043426319</v>
      </c>
      <c r="AQ374" s="7">
        <f ca="1">IF(AQ$6=OFFSET(Assumptions!$B$8,0,$C$1),AVERAGE(AN$374/AN$370,AO$374/AO$370,AP$374/AP$370),AP$374/AP$370)*AQ$370</f>
        <v>11.382891348846773</v>
      </c>
      <c r="AR374" s="7">
        <f ca="1">IF(AR$6=OFFSET(Assumptions!$B$8,0,$C$1),AVERAGE(AO$374/AO$370,AP$374/AP$370,AQ$374/AQ$370),AQ$374/AQ$370)*AR$370</f>
        <v>12.024115033055486</v>
      </c>
      <c r="AS374" s="7">
        <f ca="1">IF(AS$6=OFFSET(Assumptions!$B$8,0,$C$1),AVERAGE(AP$374/AP$370,AQ$374/AQ$370,AR$374/AR$370),AR$374/AR$370)*AS$370</f>
        <v>12.683459053715817</v>
      </c>
      <c r="AT374" s="7">
        <f ca="1">IF(AT$6=OFFSET(Assumptions!$B$8,0,$C$1),AVERAGE(AQ$374/AQ$370,AR$374/AR$370,AS$374/AS$370),AS$374/AS$370)*AT$370</f>
        <v>13.362309755729138</v>
      </c>
      <c r="AU374" s="7">
        <f ca="1">IF(AU$6=OFFSET(Assumptions!$B$8,0,$C$1),AVERAGE(AR$374/AR$370,AS$374/AS$370,AT$374/AT$370),AT$374/AT$370)*AU$370</f>
        <v>14.060048665639387</v>
      </c>
      <c r="AV374" s="7">
        <f ca="1">IF(AV$6=OFFSET(Assumptions!$B$8,0,$C$1),AVERAGE(AS$374/AS$370,AT$374/AT$370,AU$374/AU$370),AU$374/AU$370)*AV$370</f>
        <v>14.777655441827722</v>
      </c>
      <c r="AW374" s="7">
        <f ca="1">IF(AW$6=OFFSET(Assumptions!$B$8,0,$C$1),AVERAGE(AT$374/AT$370,AU$374/AU$370,AV$374/AV$370),AV$374/AV$370)*AW$370</f>
        <v>15.51380257751841</v>
      </c>
    </row>
    <row r="375" spans="1:49" x14ac:dyDescent="0.2">
      <c r="B375" s="4"/>
      <c r="D375" s="18"/>
      <c r="E375" s="19"/>
      <c r="F375" s="19"/>
      <c r="G375" s="19"/>
      <c r="H375" s="19"/>
      <c r="I375" s="19"/>
      <c r="J375" s="19"/>
      <c r="K375" s="19"/>
      <c r="L375" s="19"/>
      <c r="M375" s="19"/>
      <c r="N375" s="19"/>
      <c r="O375" s="19"/>
      <c r="P375" s="19"/>
      <c r="Q375" s="19"/>
      <c r="R375" s="19"/>
      <c r="S375" s="19"/>
    </row>
    <row r="376" spans="1:49" x14ac:dyDescent="0.2">
      <c r="A376" s="22" t="s">
        <v>236</v>
      </c>
      <c r="B376" s="4"/>
      <c r="D376" s="18"/>
      <c r="E376" s="19"/>
      <c r="F376" s="19"/>
      <c r="G376" s="19"/>
      <c r="H376" s="19"/>
      <c r="I376" s="19"/>
      <c r="J376" s="19"/>
      <c r="K376" s="19"/>
      <c r="L376" s="19"/>
      <c r="M376" s="19"/>
      <c r="N376" s="19"/>
      <c r="O376" s="19"/>
      <c r="P376" s="19"/>
      <c r="Q376" s="19"/>
      <c r="R376" s="19"/>
      <c r="S376" s="19"/>
    </row>
    <row r="377" spans="1:49" x14ac:dyDescent="0.2">
      <c r="A377" s="1" t="s">
        <v>635</v>
      </c>
      <c r="B377" s="4" t="str">
        <f t="shared" si="229"/>
        <v>From Fiscal</v>
      </c>
      <c r="D377" s="18">
        <f>Fiscal!D$171-D$80</f>
        <v>0.96799999999999997</v>
      </c>
      <c r="E377" s="19">
        <f>Fiscal!E$171-E$80</f>
        <v>1.2750000000000004</v>
      </c>
      <c r="F377" s="19">
        <f>Fiscal!F$171-F$80</f>
        <v>1.2750000000000004</v>
      </c>
      <c r="G377" s="19">
        <f>Fiscal!G$171-G$80</f>
        <v>1.2749999999999986</v>
      </c>
      <c r="H377" s="19">
        <f>Fiscal!H$171-H$80</f>
        <v>1.2739999999999991</v>
      </c>
      <c r="I377" s="19">
        <f>Fiscal!I$171-I$80</f>
        <v>1.2739999999999991</v>
      </c>
      <c r="J377" s="7">
        <f ca="1">IF(J$6=OFFSET(Assumptions!$B$8,0,$C$1),AVERAGE(G$377/G$372,H$377/H$372,I$377/I$372),I$377/I$372)*J$372</f>
        <v>1.5455700476656296</v>
      </c>
      <c r="K377" s="7">
        <f ca="1">IF(K$6=OFFSET(Assumptions!$B$8,0,$C$1),AVERAGE(H$377/H$372,I$377/I$372,J$377/J$372),J$377/J$372)*K$372</f>
        <v>1.7366690534559777</v>
      </c>
      <c r="L377" s="7">
        <f ca="1">IF(L$6=OFFSET(Assumptions!$B$8,0,$C$1),AVERAGE(I$377/I$372,J$377/J$372,K$377/K$372),K$377/K$372)*L$372</f>
        <v>1.935356064475654</v>
      </c>
      <c r="M377" s="7">
        <f ca="1">IF(M$6=OFFSET(Assumptions!$B$8,0,$C$1),AVERAGE(J$377/J$372,K$377/K$372,L$377/L$372),L$377/L$372)*M$372</f>
        <v>2.1408717848696459</v>
      </c>
      <c r="N377" s="7">
        <f ca="1">IF(N$6=OFFSET(Assumptions!$B$8,0,$C$1),AVERAGE(K$377/K$372,L$377/L$372,M$377/M$372),M$377/M$372)*N$372</f>
        <v>2.3527548427521827</v>
      </c>
      <c r="O377" s="7">
        <f ca="1">IF(O$6=OFFSET(Assumptions!$B$8,0,$C$1),AVERAGE(L$377/L$372,M$377/M$372,N$377/N$372),N$377/N$372)*O$372</f>
        <v>2.5671335344047854</v>
      </c>
      <c r="P377" s="7">
        <f ca="1">IF(P$6=OFFSET(Assumptions!$B$8,0,$C$1),AVERAGE(M$377/M$372,N$377/N$372,O$377/O$372),O$377/O$372)*P$372</f>
        <v>2.7826345004200346</v>
      </c>
      <c r="Q377" s="7">
        <f ca="1">IF(Q$6=OFFSET(Assumptions!$B$8,0,$C$1),AVERAGE(N$377/N$372,O$377/O$372,P$377/P$372),P$377/P$372)*Q$372</f>
        <v>2.9989160937027006</v>
      </c>
      <c r="R377" s="7">
        <f ca="1">IF(R$6=OFFSET(Assumptions!$B$8,0,$C$1),AVERAGE(O$377/O$372,P$377/P$372,Q$377/Q$372),Q$377/Q$372)*R$372</f>
        <v>3.2161729603035978</v>
      </c>
      <c r="S377" s="7">
        <f ca="1">IF(S$6=OFFSET(Assumptions!$B$8,0,$C$1),AVERAGE(P$377/P$372,Q$377/Q$372,R$377/R$372),R$377/R$372)*S$372</f>
        <v>3.4357985387163761</v>
      </c>
      <c r="T377" s="7">
        <f ca="1">IF(T$6=OFFSET(Assumptions!$B$8,0,$C$1),AVERAGE(Q$377/Q$372,R$377/R$372,S$377/S$372),S$377/S$372)*T$372</f>
        <v>3.6582299483953546</v>
      </c>
      <c r="U377" s="7">
        <f ca="1">IF(U$6=OFFSET(Assumptions!$B$8,0,$C$1),AVERAGE(R$377/R$372,S$377/S$372,T$377/T$372),T$377/T$372)*U$372</f>
        <v>3.8831510588306597</v>
      </c>
      <c r="V377" s="7">
        <f ca="1">IF(V$6=OFFSET(Assumptions!$B$8,0,$C$1),AVERAGE(S$377/S$372,T$377/T$372,U$377/U$372),U$377/U$372)*V$372</f>
        <v>4.1101157085321027</v>
      </c>
      <c r="W377" s="7">
        <f ca="1">IF(W$6=OFFSET(Assumptions!$B$8,0,$C$1),AVERAGE(T$377/T$372,U$377/U$372,V$377/V$372),V$377/V$372)*W$372</f>
        <v>4.3387255128955529</v>
      </c>
      <c r="X377" s="7">
        <f ca="1">IF(X$6=OFFSET(Assumptions!$B$8,0,$C$1),AVERAGE(U$377/U$372,V$377/V$372,W$377/W$372),W$377/W$372)*X$372</f>
        <v>4.5694860395204833</v>
      </c>
      <c r="Y377" s="7">
        <f ca="1">IF(Y$6=OFFSET(Assumptions!$B$8,0,$C$1),AVERAGE(V$377/V$372,W$377/W$372,X$377/X$372),X$377/X$372)*Y$372</f>
        <v>4.8011519070772133</v>
      </c>
      <c r="Z377" s="7">
        <f ca="1">IF(Z$6=OFFSET(Assumptions!$B$8,0,$C$1),AVERAGE(W$377/W$372,X$377/X$372,Y$377/Y$372),Y$377/Y$372)*Z$372</f>
        <v>5.0351124118205322</v>
      </c>
      <c r="AA377" s="7">
        <f ca="1">IF(AA$6=OFFSET(Assumptions!$B$8,0,$C$1),AVERAGE(X$377/X$372,Y$377/Y$372,Z$377/Z$372),Z$377/Z$372)*AA$372</f>
        <v>5.2739522000856045</v>
      </c>
      <c r="AB377" s="7">
        <f ca="1">IF(AB$6=OFFSET(Assumptions!$B$8,0,$C$1),AVERAGE(Y$377/Y$372,Z$377/Z$372,AA$377/AA$372),AA$377/AA$372)*AB$372</f>
        <v>5.5210768476438901</v>
      </c>
      <c r="AC377" s="7">
        <f ca="1">IF(AC$6=OFFSET(Assumptions!$B$8,0,$C$1),AVERAGE(Z$377/Z$372,AA$377/AA$372,AB$377/AB$372),AB$377/AB$372)*AC$372</f>
        <v>5.7805388731974592</v>
      </c>
      <c r="AD377" s="7">
        <f ca="1">IF(AD$6=OFFSET(Assumptions!$B$8,0,$C$1),AVERAGE(AA$377/AA$372,AB$377/AB$372,AC$377/AC$372),AC$377/AC$372)*AD$372</f>
        <v>6.0569647522162962</v>
      </c>
      <c r="AE377" s="7">
        <f ca="1">IF(AE$6=OFFSET(Assumptions!$B$8,0,$C$1),AVERAGE(AB$377/AB$372,AC$377/AC$372,AD$377/AD$372),AD$377/AD$372)*AE$372</f>
        <v>6.3525836537088338</v>
      </c>
      <c r="AF377" s="7">
        <f ca="1">IF(AF$6=OFFSET(Assumptions!$B$8,0,$C$1),AVERAGE(AC$377/AC$372,AD$377/AD$372,AE$377/AE$372),AE$377/AE$372)*AF$372</f>
        <v>6.6712408638885421</v>
      </c>
      <c r="AG377" s="7">
        <f ca="1">IF(AG$6=OFFSET(Assumptions!$B$8,0,$C$1),AVERAGE(AD$377/AD$372,AE$377/AE$372,AF$377/AF$372),AF$377/AF$372)*AG$372</f>
        <v>7.0139670713267179</v>
      </c>
      <c r="AH377" s="7">
        <f ca="1">IF(AH$6=OFFSET(Assumptions!$B$8,0,$C$1),AVERAGE(AE$377/AE$372,AF$377/AF$372,AG$377/AG$372),AG$377/AG$372)*AH$372</f>
        <v>7.3833009913685705</v>
      </c>
      <c r="AI377" s="7">
        <f ca="1">IF(AI$6=OFFSET(Assumptions!$B$8,0,$C$1),AVERAGE(AF$377/AF$372,AG$377/AG$372,AH$377/AH$372),AH$377/AH$372)*AI$372</f>
        <v>7.7811525712355065</v>
      </c>
      <c r="AJ377" s="7">
        <f ca="1">IF(AJ$6=OFFSET(Assumptions!$B$8,0,$C$1),AVERAGE(AG$377/AG$372,AH$377/AH$372,AI$377/AI$372),AI$377/AI$372)*AJ$372</f>
        <v>8.2095448882450732</v>
      </c>
      <c r="AK377" s="7">
        <f ca="1">IF(AK$6=OFFSET(Assumptions!$B$8,0,$C$1),AVERAGE(AH$377/AH$372,AI$377/AI$372,AJ$377/AJ$372),AJ$377/AJ$372)*AK$372</f>
        <v>8.6690996698182836</v>
      </c>
      <c r="AL377" s="7">
        <f ca="1">IF(AL$6=OFFSET(Assumptions!$B$8,0,$C$1),AVERAGE(AI$377/AI$372,AJ$377/AJ$372,AK$377/AK$372),AK$377/AK$372)*AL$372</f>
        <v>9.1619224465413023</v>
      </c>
      <c r="AM377" s="7">
        <f ca="1">IF(AM$6=OFFSET(Assumptions!$B$8,0,$C$1),AVERAGE(AJ$377/AJ$372,AK$377/AK$372,AL$377/AL$372),AL$377/AL$372)*AM$372</f>
        <v>9.6897982402166924</v>
      </c>
      <c r="AN377" s="7">
        <f ca="1">IF(AN$6=OFFSET(Assumptions!$B$8,0,$C$1),AVERAGE(AK$377/AK$372,AL$377/AL$372,AM$377/AM$372),AM$377/AM$372)*AN$372</f>
        <v>10.253282132101832</v>
      </c>
      <c r="AO377" s="7">
        <f ca="1">IF(AO$6=OFFSET(Assumptions!$B$8,0,$C$1),AVERAGE(AL$377/AL$372,AM$377/AM$372,AN$377/AN$372),AN$377/AN$372)*AO$372</f>
        <v>10.851737716925678</v>
      </c>
      <c r="AP377" s="7">
        <f ca="1">IF(AP$6=OFFSET(Assumptions!$B$8,0,$C$1),AVERAGE(AM$377/AM$372,AN$377/AN$372,AO$377/AO$372),AO$377/AO$372)*AP$372</f>
        <v>11.482264775405708</v>
      </c>
      <c r="AQ377" s="7">
        <f ca="1">IF(AQ$6=OFFSET(Assumptions!$B$8,0,$C$1),AVERAGE(AN$377/AN$372,AO$377/AO$372,AP$377/AP$372),AP$377/AP$372)*AQ$372</f>
        <v>12.142051016131207</v>
      </c>
      <c r="AR377" s="7">
        <f ca="1">IF(AR$6=OFFSET(Assumptions!$B$8,0,$C$1),AVERAGE(AO$377/AO$372,AP$377/AP$372,AQ$377/AQ$372),AQ$377/AQ$372)*AR$372</f>
        <v>12.826039859370285</v>
      </c>
      <c r="AS377" s="7">
        <f ca="1">IF(AS$6=OFFSET(Assumptions!$B$8,0,$C$1),AVERAGE(AP$377/AP$372,AQ$377/AQ$372,AR$377/AR$372),AR$377/AR$372)*AS$372</f>
        <v>13.529357539447229</v>
      </c>
      <c r="AT377" s="7">
        <f ca="1">IF(AT$6=OFFSET(Assumptions!$B$8,0,$C$1),AVERAGE(AQ$377/AQ$372,AR$377/AR$372,AS$377/AS$372),AS$377/AS$372)*AT$372</f>
        <v>14.253482860824146</v>
      </c>
      <c r="AU377" s="7">
        <f ca="1">IF(AU$6=OFFSET(Assumptions!$B$8,0,$C$1),AVERAGE(AR$377/AR$372,AS$377/AS$372,AT$377/AT$372),AT$377/AT$372)*AU$372</f>
        <v>14.997756102167907</v>
      </c>
      <c r="AV377" s="7">
        <f ca="1">IF(AV$6=OFFSET(Assumptions!$B$8,0,$C$1),AVERAGE(AS$377/AS$372,AT$377/AT$372,AU$377/AU$372),AU$377/AU$372)*AV$372</f>
        <v>15.76322225825864</v>
      </c>
      <c r="AW377" s="7">
        <f ca="1">IF(AW$6=OFFSET(Assumptions!$B$8,0,$C$1),AVERAGE(AT$377/AT$372,AU$377/AU$372,AV$377/AV$372),AV$377/AV$372)*AW$372</f>
        <v>16.548465286853546</v>
      </c>
    </row>
    <row r="378" spans="1:49" x14ac:dyDescent="0.2">
      <c r="A378" s="1" t="s">
        <v>548</v>
      </c>
      <c r="B378" s="4"/>
      <c r="D378" s="18">
        <f t="shared" ref="D378:I378" si="230">D$392</f>
        <v>8.8639999999999972</v>
      </c>
      <c r="E378" s="19">
        <f t="shared" si="230"/>
        <v>9.096999999999996</v>
      </c>
      <c r="F378" s="19">
        <f t="shared" si="230"/>
        <v>9.2599999999999962</v>
      </c>
      <c r="G378" s="19">
        <f t="shared" si="230"/>
        <v>9.394999999999996</v>
      </c>
      <c r="H378" s="19">
        <f t="shared" si="230"/>
        <v>9.4629999999999956</v>
      </c>
      <c r="I378" s="19">
        <f t="shared" si="230"/>
        <v>9.5079999999999938</v>
      </c>
      <c r="J378" s="7">
        <f t="shared" ref="J378:AW378" ca="1" si="231">J$392</f>
        <v>9.7379999999999924</v>
      </c>
      <c r="K378" s="7">
        <f t="shared" ca="1" si="231"/>
        <v>9.9619999999999926</v>
      </c>
      <c r="L378" s="7">
        <f t="shared" ca="1" si="231"/>
        <v>10.179999999999993</v>
      </c>
      <c r="M378" s="7">
        <f t="shared" ca="1" si="231"/>
        <v>10.406999999999993</v>
      </c>
      <c r="N378" s="7">
        <f t="shared" ca="1" si="231"/>
        <v>10.627999999999993</v>
      </c>
      <c r="O378" s="7">
        <f t="shared" ca="1" si="231"/>
        <v>10.850999999999994</v>
      </c>
      <c r="P378" s="7">
        <f t="shared" ca="1" si="231"/>
        <v>11.080999999999994</v>
      </c>
      <c r="Q378" s="7">
        <f t="shared" ca="1" si="231"/>
        <v>11.317999999999994</v>
      </c>
      <c r="R378" s="7">
        <f t="shared" ca="1" si="231"/>
        <v>11.560999999999996</v>
      </c>
      <c r="S378" s="7">
        <f t="shared" ca="1" si="231"/>
        <v>11.808999999999996</v>
      </c>
      <c r="T378" s="7">
        <f t="shared" ca="1" si="231"/>
        <v>12.060999999999995</v>
      </c>
      <c r="U378" s="7">
        <f t="shared" ca="1" si="231"/>
        <v>12.322329999999994</v>
      </c>
      <c r="V378" s="7">
        <f t="shared" ca="1" si="231"/>
        <v>12.588999899999996</v>
      </c>
      <c r="W378" s="7">
        <f t="shared" ca="1" si="231"/>
        <v>12.861019896999995</v>
      </c>
      <c r="X378" s="7">
        <f t="shared" ca="1" si="231"/>
        <v>13.128400493909995</v>
      </c>
      <c r="Y378" s="7">
        <f t="shared" ca="1" si="231"/>
        <v>13.393152508727294</v>
      </c>
      <c r="Z378" s="7">
        <f t="shared" ca="1" si="231"/>
        <v>13.660287083989111</v>
      </c>
      <c r="AA378" s="7">
        <f t="shared" ca="1" si="231"/>
        <v>13.947815696508785</v>
      </c>
      <c r="AB378" s="7">
        <f t="shared" ca="1" si="231"/>
        <v>14.254750167404051</v>
      </c>
      <c r="AC378" s="7">
        <f t="shared" ca="1" si="231"/>
        <v>14.580102672426172</v>
      </c>
      <c r="AD378" s="7">
        <f t="shared" ca="1" si="231"/>
        <v>14.926885752598958</v>
      </c>
      <c r="AE378" s="7">
        <f t="shared" ca="1" si="231"/>
        <v>15.305112325176928</v>
      </c>
      <c r="AF378" s="7">
        <f t="shared" ca="1" si="231"/>
        <v>15.718795694932234</v>
      </c>
      <c r="AG378" s="7">
        <f t="shared" ca="1" si="231"/>
        <v>16.152949565780201</v>
      </c>
      <c r="AH378" s="7">
        <f t="shared" ca="1" si="231"/>
        <v>16.587588052753606</v>
      </c>
      <c r="AI378" s="7">
        <f t="shared" ca="1" si="231"/>
        <v>17.015725694336211</v>
      </c>
      <c r="AJ378" s="7">
        <f t="shared" ca="1" si="231"/>
        <v>17.457377465166296</v>
      </c>
      <c r="AK378" s="7">
        <f t="shared" ca="1" si="231"/>
        <v>17.915558789121285</v>
      </c>
      <c r="AL378" s="7">
        <f t="shared" ca="1" si="231"/>
        <v>18.385285552794922</v>
      </c>
      <c r="AM378" s="7">
        <f t="shared" ca="1" si="231"/>
        <v>18.864574119378773</v>
      </c>
      <c r="AN378" s="7">
        <f t="shared" ca="1" si="231"/>
        <v>19.333441342960136</v>
      </c>
      <c r="AO378" s="7">
        <f t="shared" ca="1" si="231"/>
        <v>19.818904583248944</v>
      </c>
      <c r="AP378" s="7">
        <f t="shared" ca="1" si="231"/>
        <v>20.316981720746412</v>
      </c>
      <c r="AQ378" s="7">
        <f t="shared" ca="1" si="231"/>
        <v>20.816691172368806</v>
      </c>
      <c r="AR378" s="7">
        <f t="shared" ca="1" si="231"/>
        <v>21.328051907539873</v>
      </c>
      <c r="AS378" s="7">
        <f t="shared" ca="1" si="231"/>
        <v>21.865083464766073</v>
      </c>
      <c r="AT378" s="7">
        <f t="shared" ca="1" si="231"/>
        <v>22.401805968709056</v>
      </c>
      <c r="AU378" s="7">
        <f t="shared" ca="1" si="231"/>
        <v>22.930240147770323</v>
      </c>
      <c r="AV378" s="7">
        <f t="shared" ca="1" si="231"/>
        <v>23.465407352203435</v>
      </c>
      <c r="AW378" s="7">
        <f t="shared" ca="1" si="231"/>
        <v>24.033329572769539</v>
      </c>
    </row>
    <row r="379" spans="1:49" x14ac:dyDescent="0.2">
      <c r="A379" s="1" t="s">
        <v>636</v>
      </c>
      <c r="B379" s="4"/>
      <c r="D379" s="18">
        <f t="shared" ref="D379:I379" si="232">D$80-D$392</f>
        <v>5.2760000000000034</v>
      </c>
      <c r="E379" s="19">
        <f t="shared" si="232"/>
        <v>5.0550000000000033</v>
      </c>
      <c r="F379" s="19">
        <f t="shared" si="232"/>
        <v>5.3120000000000029</v>
      </c>
      <c r="G379" s="19">
        <f t="shared" si="232"/>
        <v>5.3780000000000037</v>
      </c>
      <c r="H379" s="19">
        <f t="shared" si="232"/>
        <v>5.3840000000000039</v>
      </c>
      <c r="I379" s="19">
        <f t="shared" si="232"/>
        <v>5.2780000000000058</v>
      </c>
      <c r="J379" s="7">
        <f ca="1">(I$379/I$14+ IF(J$2&gt;0,J$2*IF(J$6=OFFSET(Assumptions!$B$8,0,$C$1),SUMPRODUCT(OFFSET(I$379,0,0,1,-OFFSET(Assumptions!$B$67,0,$C$1)),OFFSET(I$16,0,0,1,-OFFSET(Assumptions!$B$67,0,$C$1)))/OFFSET(Assumptions!$B$67,0,$C$1)-I$379/I$14,(I$379/I$14-H$379/H$14)/I$2),0))*J$14</f>
        <v>5.6079175285410328</v>
      </c>
      <c r="K379" s="7">
        <f ca="1">(J$379/J$14+ IF(K$2&gt;0,K$2*IF(K$6=OFFSET(Assumptions!$B$8,0,$C$1),SUMPRODUCT(OFFSET(J$379,0,0,1,-OFFSET(Assumptions!$B$67,0,$C$1)),OFFSET(J$16,0,0,1,-OFFSET(Assumptions!$B$67,0,$C$1)))/OFFSET(Assumptions!$B$67,0,$C$1)-J$379/J$14,(J$379/J$14-I$379/I$14)/J$2),0))*K$14</f>
        <v>5.9318822067544659</v>
      </c>
      <c r="L379" s="7">
        <f ca="1">(K$379/K$14+ IF(L$2&gt;0,L$2*IF(L$6=OFFSET(Assumptions!$B$8,0,$C$1),SUMPRODUCT(OFFSET(K$379,0,0,1,-OFFSET(Assumptions!$B$67,0,$C$1)),OFFSET(K$16,0,0,1,-OFFSET(Assumptions!$B$67,0,$C$1)))/OFFSET(Assumptions!$B$67,0,$C$1)-K$379/K$14,(K$379/K$14-J$379/J$14)/K$2),0))*L$14</f>
        <v>6.2591209729291561</v>
      </c>
      <c r="M379" s="7">
        <f ca="1">(L$379/L$14+ IF(M$2&gt;0,M$2*IF(M$6=OFFSET(Assumptions!$B$8,0,$C$1),SUMPRODUCT(OFFSET(L$379,0,0,1,-OFFSET(Assumptions!$B$67,0,$C$1)),OFFSET(L$16,0,0,1,-OFFSET(Assumptions!$B$67,0,$C$1)))/OFFSET(Assumptions!$B$67,0,$C$1)-L$379/L$14,(L$379/L$14-K$379/K$14)/L$2),0))*M$14</f>
        <v>6.5783215463909785</v>
      </c>
      <c r="N379" s="7">
        <f ca="1">(M$379/M$14+ IF(N$2&gt;0,N$2*IF(N$6=OFFSET(Assumptions!$B$8,0,$C$1),SUMPRODUCT(OFFSET(M$379,0,0,1,-OFFSET(Assumptions!$B$67,0,$C$1)),OFFSET(M$16,0,0,1,-OFFSET(Assumptions!$B$67,0,$C$1)))/OFFSET(Assumptions!$B$67,0,$C$1)-M$379/M$14,(M$379/M$14-L$379/L$14)/M$2),0))*N$14</f>
        <v>6.8874626114425208</v>
      </c>
      <c r="O379" s="7">
        <f ca="1">(N$379/N$14+ IF(O$2&gt;0,O$2*IF(O$6=OFFSET(Assumptions!$B$8,0,$C$1),SUMPRODUCT(OFFSET(N$379,0,0,1,-OFFSET(Assumptions!$B$67,0,$C$1)),OFFSET(N$16,0,0,1,-OFFSET(Assumptions!$B$67,0,$C$1)))/OFFSET(Assumptions!$B$67,0,$C$1)-N$379/N$14,(N$379/N$14-M$379/M$14)/N$2),0))*O$14</f>
        <v>7.1814658895594006</v>
      </c>
      <c r="P379" s="7">
        <f ca="1">(O$379/O$14+ IF(P$2&gt;0,P$2*IF(P$6=OFFSET(Assumptions!$B$8,0,$C$1),SUMPRODUCT(OFFSET(O$379,0,0,1,-OFFSET(Assumptions!$B$67,0,$C$1)),OFFSET(O$16,0,0,1,-OFFSET(Assumptions!$B$67,0,$C$1)))/OFFSET(Assumptions!$B$67,0,$C$1)-O$379/O$14,(O$379/O$14-N$379/N$14)/O$2),0))*P$14</f>
        <v>7.485162191192666</v>
      </c>
      <c r="Q379" s="7">
        <f ca="1">(P$379/P$14+ IF(Q$2&gt;0,Q$2*IF(Q$6=OFFSET(Assumptions!$B$8,0,$C$1),SUMPRODUCT(OFFSET(P$379,0,0,1,-OFFSET(Assumptions!$B$67,0,$C$1)),OFFSET(P$16,0,0,1,-OFFSET(Assumptions!$B$67,0,$C$1)))/OFFSET(Assumptions!$B$67,0,$C$1)-P$379/P$14,(P$379/P$14-O$379/O$14)/P$2),0))*Q$14</f>
        <v>7.7982234685722167</v>
      </c>
      <c r="R379" s="7">
        <f ca="1">(Q$379/Q$14+ IF(R$2&gt;0,R$2*IF(R$6=OFFSET(Assumptions!$B$8,0,$C$1),SUMPRODUCT(OFFSET(Q$379,0,0,1,-OFFSET(Assumptions!$B$67,0,$C$1)),OFFSET(Q$16,0,0,1,-OFFSET(Assumptions!$B$67,0,$C$1)))/OFFSET(Assumptions!$B$67,0,$C$1)-Q$379/Q$14,(Q$379/Q$14-P$379/P$14)/Q$2),0))*R$14</f>
        <v>8.1204173621373705</v>
      </c>
      <c r="S379" s="7">
        <f ca="1">(R$379/R$14+ IF(S$2&gt;0,S$2*IF(S$6=OFFSET(Assumptions!$B$8,0,$C$1),SUMPRODUCT(OFFSET(R$379,0,0,1,-OFFSET(Assumptions!$B$67,0,$C$1)),OFFSET(R$16,0,0,1,-OFFSET(Assumptions!$B$67,0,$C$1)))/OFFSET(Assumptions!$B$67,0,$C$1)-R$379/R$14,(R$379/R$14-Q$379/Q$14)/R$2),0))*S$14</f>
        <v>8.4527677909437315</v>
      </c>
      <c r="T379" s="7">
        <f ca="1">(S$379/S$14+ IF(T$2&gt;0,T$2*IF(T$6=OFFSET(Assumptions!$B$8,0,$C$1),SUMPRODUCT(OFFSET(S$379,0,0,1,-OFFSET(Assumptions!$B$67,0,$C$1)),OFFSET(S$16,0,0,1,-OFFSET(Assumptions!$B$67,0,$C$1)))/OFFSET(Assumptions!$B$67,0,$C$1)-S$379/S$14,(S$379/S$14-R$379/R$14)/S$2),0))*T$14</f>
        <v>8.7953959519403888</v>
      </c>
      <c r="U379" s="7">
        <f ca="1">(T$379/T$14+ IF(U$2&gt;0,U$2*IF(U$6=OFFSET(Assumptions!$B$8,0,$C$1),SUMPRODUCT(OFFSET(T$379,0,0,1,-OFFSET(Assumptions!$B$67,0,$C$1)),OFFSET(T$16,0,0,1,-OFFSET(Assumptions!$B$67,0,$C$1)))/OFFSET(Assumptions!$B$67,0,$C$1)-T$379/T$14,(T$379/T$14-S$379/S$14)/T$2),0))*U$14</f>
        <v>9.1495315285655909</v>
      </c>
      <c r="V379" s="7">
        <f ca="1">(U$379/U$14+ IF(V$2&gt;0,V$2*IF(V$6=OFFSET(Assumptions!$B$8,0,$C$1),SUMPRODUCT(OFFSET(U$379,0,0,1,-OFFSET(Assumptions!$B$67,0,$C$1)),OFFSET(U$16,0,0,1,-OFFSET(Assumptions!$B$67,0,$C$1)))/OFFSET(Assumptions!$B$67,0,$C$1)-U$379/U$14,(U$379/U$14-T$379/T$14)/U$2),0))*V$14</f>
        <v>9.5160487065129775</v>
      </c>
      <c r="W379" s="7">
        <f ca="1">(V$379/V$14+ IF(W$2&gt;0,W$2*IF(W$6=OFFSET(Assumptions!$B$8,0,$C$1),SUMPRODUCT(OFFSET(V$379,0,0,1,-OFFSET(Assumptions!$B$67,0,$C$1)),OFFSET(V$16,0,0,1,-OFFSET(Assumptions!$B$67,0,$C$1)))/OFFSET(Assumptions!$B$67,0,$C$1)-V$379/V$14,(V$379/V$14-U$379/U$14)/V$2),0))*W$14</f>
        <v>9.8960093784963892</v>
      </c>
      <c r="X379" s="7">
        <f ca="1">(W$379/W$14+ IF(X$2&gt;0,X$2*IF(X$6=OFFSET(Assumptions!$B$8,0,$C$1),SUMPRODUCT(OFFSET(W$379,0,0,1,-OFFSET(Assumptions!$B$67,0,$C$1)),OFFSET(W$16,0,0,1,-OFFSET(Assumptions!$B$67,0,$C$1)))/OFFSET(Assumptions!$B$67,0,$C$1)-W$379/W$14,(W$379/W$14-V$379/V$14)/W$2),0))*X$14</f>
        <v>10.290617053731298</v>
      </c>
      <c r="Y379" s="7">
        <f ca="1">(X$379/X$14+ IF(Y$2&gt;0,Y$2*IF(Y$6=OFFSET(Assumptions!$B$8,0,$C$1),SUMPRODUCT(OFFSET(X$379,0,0,1,-OFFSET(Assumptions!$B$67,0,$C$1)),OFFSET(X$16,0,0,1,-OFFSET(Assumptions!$B$67,0,$C$1)))/OFFSET(Assumptions!$B$67,0,$C$1)-X$379/X$14,(X$379/X$14-W$379/W$14)/X$2),0))*Y$14</f>
        <v>10.699831390247514</v>
      </c>
      <c r="Z379" s="7">
        <f ca="1">(Y$379/Y$14+ IF(Z$2&gt;0,Z$2*IF(Z$6=OFFSET(Assumptions!$B$8,0,$C$1),SUMPRODUCT(OFFSET(Y$379,0,0,1,-OFFSET(Assumptions!$B$67,0,$C$1)),OFFSET(Y$16,0,0,1,-OFFSET(Assumptions!$B$67,0,$C$1)))/OFFSET(Assumptions!$B$67,0,$C$1)-Y$379/Y$14,(Y$379/Y$14-X$379/X$14)/Y$2),0))*Z$14</f>
        <v>11.125723684678727</v>
      </c>
      <c r="AA379" s="7">
        <f ca="1">(Z$379/Z$14+ IF(AA$2&gt;0,AA$2*IF(AA$6=OFFSET(Assumptions!$B$8,0,$C$1),SUMPRODUCT(OFFSET(Z$379,0,0,1,-OFFSET(Assumptions!$B$67,0,$C$1)),OFFSET(Z$16,0,0,1,-OFFSET(Assumptions!$B$67,0,$C$1)))/OFFSET(Assumptions!$B$67,0,$C$1)-Z$379/Z$14,(Z$379/Z$14-Y$379/Y$14)/Z$2),0))*AA$14</f>
        <v>11.568983032226013</v>
      </c>
      <c r="AB379" s="7">
        <f ca="1">(AA$379/AA$14+ IF(AB$2&gt;0,AB$2*IF(AB$6=OFFSET(Assumptions!$B$8,0,$C$1),SUMPRODUCT(OFFSET(AA$379,0,0,1,-OFFSET(Assumptions!$B$67,0,$C$1)),OFFSET(AA$16,0,0,1,-OFFSET(Assumptions!$B$67,0,$C$1)))/OFFSET(Assumptions!$B$67,0,$C$1)-AA$379/AA$14,(AA$379/AA$14-Z$379/Z$14)/AA$2),0))*AB$14</f>
        <v>12.030940581645616</v>
      </c>
      <c r="AC379" s="7">
        <f ca="1">(AB$379/AB$14+ IF(AC$2&gt;0,AC$2*IF(AC$6=OFFSET(Assumptions!$B$8,0,$C$1),SUMPRODUCT(OFFSET(AB$379,0,0,1,-OFFSET(Assumptions!$B$67,0,$C$1)),OFFSET(AB$16,0,0,1,-OFFSET(Assumptions!$B$67,0,$C$1)))/OFFSET(Assumptions!$B$67,0,$C$1)-AB$379/AB$14,(AB$379/AB$14-AA$379/AA$14)/AB$2),0))*AC$14</f>
        <v>12.513340285375339</v>
      </c>
      <c r="AD379" s="7">
        <f ca="1">(AC$379/AC$14+ IF(AD$2&gt;0,AD$2*IF(AD$6=OFFSET(Assumptions!$B$8,0,$C$1),SUMPRODUCT(OFFSET(AC$379,0,0,1,-OFFSET(Assumptions!$B$67,0,$C$1)),OFFSET(AC$16,0,0,1,-OFFSET(Assumptions!$B$67,0,$C$1)))/OFFSET(Assumptions!$B$67,0,$C$1)-AC$379/AC$14,(AC$379/AC$14-AB$379/AB$14)/AC$2),0))*AD$14</f>
        <v>13.016690598653648</v>
      </c>
      <c r="AE379" s="7">
        <f ca="1">(AD$379/AD$14+ IF(AE$2&gt;0,AE$2*IF(AE$6=OFFSET(Assumptions!$B$8,0,$C$1),SUMPRODUCT(OFFSET(AD$379,0,0,1,-OFFSET(Assumptions!$B$67,0,$C$1)),OFFSET(AD$16,0,0,1,-OFFSET(Assumptions!$B$67,0,$C$1)))/OFFSET(Assumptions!$B$67,0,$C$1)-AD$379/AD$14,(AD$379/AD$14-AC$379/AC$14)/AD$2),0))*AE$14</f>
        <v>13.540529261307546</v>
      </c>
      <c r="AF379" s="7">
        <f ca="1">(AE$379/AE$14+ IF(AF$2&gt;0,AF$2*IF(AF$6=OFFSET(Assumptions!$B$8,0,$C$1),SUMPRODUCT(OFFSET(AE$379,0,0,1,-OFFSET(Assumptions!$B$67,0,$C$1)),OFFSET(AE$16,0,0,1,-OFFSET(Assumptions!$B$67,0,$C$1)))/OFFSET(Assumptions!$B$67,0,$C$1)-AE$379/AE$14,(AE$379/AE$14-AD$379/AD$14)/AE$2),0))*AF$14</f>
        <v>14.086305525171072</v>
      </c>
      <c r="AG379" s="7">
        <f ca="1">(AF$379/AF$14+ IF(AG$2&gt;0,AG$2*IF(AG$6=OFFSET(Assumptions!$B$8,0,$C$1),SUMPRODUCT(OFFSET(AF$379,0,0,1,-OFFSET(Assumptions!$B$67,0,$C$1)),OFFSET(AF$16,0,0,1,-OFFSET(Assumptions!$B$67,0,$C$1)))/OFFSET(Assumptions!$B$67,0,$C$1)-AF$379/AF$14,(AF$379/AF$14-AE$379/AE$14)/AF$2),0))*AG$14</f>
        <v>14.654324565509123</v>
      </c>
      <c r="AH379" s="7">
        <f ca="1">(AG$379/AG$14+ IF(AH$2&gt;0,AH$2*IF(AH$6=OFFSET(Assumptions!$B$8,0,$C$1),SUMPRODUCT(OFFSET(AG$379,0,0,1,-OFFSET(Assumptions!$B$67,0,$C$1)),OFFSET(AG$16,0,0,1,-OFFSET(Assumptions!$B$67,0,$C$1)))/OFFSET(Assumptions!$B$67,0,$C$1)-AG$379/AG$14,(AG$379/AG$14-AF$379/AF$14)/AG$2),0))*AH$14</f>
        <v>15.245497240265623</v>
      </c>
      <c r="AI379" s="7">
        <f ca="1">(AH$379/AH$14+ IF(AI$2&gt;0,AI$2*IF(AI$6=OFFSET(Assumptions!$B$8,0,$C$1),SUMPRODUCT(OFFSET(AH$379,0,0,1,-OFFSET(Assumptions!$B$67,0,$C$1)),OFFSET(AH$16,0,0,1,-OFFSET(Assumptions!$B$67,0,$C$1)))/OFFSET(Assumptions!$B$67,0,$C$1)-AH$379/AH$14,(AH$379/AH$14-AG$379/AG$14)/AH$2),0))*AI$14</f>
        <v>15.858790575079761</v>
      </c>
      <c r="AJ379" s="7">
        <f ca="1">(AI$379/AI$14+ IF(AJ$2&gt;0,AJ$2*IF(AJ$6=OFFSET(Assumptions!$B$8,0,$C$1),SUMPRODUCT(OFFSET(AI$379,0,0,1,-OFFSET(Assumptions!$B$67,0,$C$1)),OFFSET(AI$16,0,0,1,-OFFSET(Assumptions!$B$67,0,$C$1)))/OFFSET(Assumptions!$B$67,0,$C$1)-AI$379/AI$14,(AI$379/AI$14-AH$379/AH$14)/AI$2),0))*AJ$14</f>
        <v>16.496169254066231</v>
      </c>
      <c r="AK379" s="7">
        <f ca="1">(AJ$379/AJ$14+ IF(AK$2&gt;0,AK$2*IF(AK$6=OFFSET(Assumptions!$B$8,0,$C$1),SUMPRODUCT(OFFSET(AJ$379,0,0,1,-OFFSET(Assumptions!$B$67,0,$C$1)),OFFSET(AJ$16,0,0,1,-OFFSET(Assumptions!$B$67,0,$C$1)))/OFFSET(Assumptions!$B$67,0,$C$1)-AJ$379/AJ$14,(AJ$379/AJ$14-AI$379/AI$14)/AJ$2),0))*AK$14</f>
        <v>17.157108949890151</v>
      </c>
      <c r="AL379" s="7">
        <f ca="1">(AK$379/AK$14+ IF(AL$2&gt;0,AL$2*IF(AL$6=OFFSET(Assumptions!$B$8,0,$C$1),SUMPRODUCT(OFFSET(AK$379,0,0,1,-OFFSET(Assumptions!$B$67,0,$C$1)),OFFSET(AK$16,0,0,1,-OFFSET(Assumptions!$B$67,0,$C$1)))/OFFSET(Assumptions!$B$67,0,$C$1)-AK$379/AK$14,(AK$379/AK$14-AJ$379/AJ$14)/AK$2),0))*AL$14</f>
        <v>17.841089022119011</v>
      </c>
      <c r="AM379" s="7">
        <f ca="1">(AL$379/AL$14+ IF(AM$2&gt;0,AM$2*IF(AM$6=OFFSET(Assumptions!$B$8,0,$C$1),SUMPRODUCT(OFFSET(AL$379,0,0,1,-OFFSET(Assumptions!$B$67,0,$C$1)),OFFSET(AL$16,0,0,1,-OFFSET(Assumptions!$B$67,0,$C$1)))/OFFSET(Assumptions!$B$67,0,$C$1)-AL$379/AL$14,(AL$379/AL$14-AK$379/AK$14)/AL$2),0))*AM$14</f>
        <v>18.549043876599544</v>
      </c>
      <c r="AN379" s="7">
        <f ca="1">(AM$379/AM$14+ IF(AN$2&gt;0,AN$2*IF(AN$6=OFFSET(Assumptions!$B$8,0,$C$1),SUMPRODUCT(OFFSET(AM$379,0,0,1,-OFFSET(Assumptions!$B$67,0,$C$1)),OFFSET(AM$16,0,0,1,-OFFSET(Assumptions!$B$67,0,$C$1)))/OFFSET(Assumptions!$B$67,0,$C$1)-AM$379/AM$14,(AM$379/AM$14-AL$379/AL$14)/AM$2),0))*AN$14</f>
        <v>19.281958271678441</v>
      </c>
      <c r="AO379" s="7">
        <f ca="1">(AN$379/AN$14+ IF(AO$2&gt;0,AO$2*IF(AO$6=OFFSET(Assumptions!$B$8,0,$C$1),SUMPRODUCT(OFFSET(AN$379,0,0,1,-OFFSET(Assumptions!$B$67,0,$C$1)),OFFSET(AN$16,0,0,1,-OFFSET(Assumptions!$B$67,0,$C$1)))/OFFSET(Assumptions!$B$67,0,$C$1)-AN$379/AN$14,(AN$379/AN$14-AM$379/AM$14)/AN$2),0))*AO$14</f>
        <v>20.036954305979766</v>
      </c>
      <c r="AP379" s="7">
        <f ca="1">(AO$379/AO$14+ IF(AP$2&gt;0,AP$2*IF(AP$6=OFFSET(Assumptions!$B$8,0,$C$1),SUMPRODUCT(OFFSET(AO$379,0,0,1,-OFFSET(Assumptions!$B$67,0,$C$1)),OFFSET(AO$16,0,0,1,-OFFSET(Assumptions!$B$67,0,$C$1)))/OFFSET(Assumptions!$B$67,0,$C$1)-AO$379/AO$14,(AO$379/AO$14-AN$379/AN$14)/AO$2),0))*AP$14</f>
        <v>20.817238066477568</v>
      </c>
      <c r="AQ379" s="7">
        <f ca="1">(AP$379/AP$14+ IF(AQ$2&gt;0,AQ$2*IF(AQ$6=OFFSET(Assumptions!$B$8,0,$C$1),SUMPRODUCT(OFFSET(AP$379,0,0,1,-OFFSET(Assumptions!$B$67,0,$C$1)),OFFSET(AP$16,0,0,1,-OFFSET(Assumptions!$B$67,0,$C$1)))/OFFSET(Assumptions!$B$67,0,$C$1)-AP$379/AP$14,(AP$379/AP$14-AO$379/AO$14)/AP$2),0))*AQ$14</f>
        <v>21.620623200537288</v>
      </c>
      <c r="AR379" s="7">
        <f ca="1">(AQ$379/AQ$14+ IF(AR$2&gt;0,AR$2*IF(AR$6=OFFSET(Assumptions!$B$8,0,$C$1),SUMPRODUCT(OFFSET(AQ$379,0,0,1,-OFFSET(Assumptions!$B$67,0,$C$1)),OFFSET(AQ$16,0,0,1,-OFFSET(Assumptions!$B$67,0,$C$1)))/OFFSET(Assumptions!$B$67,0,$C$1)-AQ$379/AQ$14,(AQ$379/AQ$14-AP$379/AP$14)/AQ$2),0))*AR$14</f>
        <v>22.448019283853768</v>
      </c>
      <c r="AS379" s="7">
        <f ca="1">(AR$379/AR$14+ IF(AS$2&gt;0,AS$2*IF(AS$6=OFFSET(Assumptions!$B$8,0,$C$1),SUMPRODUCT(OFFSET(AR$379,0,0,1,-OFFSET(Assumptions!$B$67,0,$C$1)),OFFSET(AR$16,0,0,1,-OFFSET(Assumptions!$B$67,0,$C$1)))/OFFSET(Assumptions!$B$67,0,$C$1)-AR$379/AR$14,(AR$379/AR$14-AQ$379/AQ$14)/AR$2),0))*AS$14</f>
        <v>23.301356607624076</v>
      </c>
      <c r="AT379" s="7">
        <f ca="1">(AS$379/AS$14+ IF(AT$2&gt;0,AT$2*IF(AT$6=OFFSET(Assumptions!$B$8,0,$C$1),SUMPRODUCT(OFFSET(AS$379,0,0,1,-OFFSET(Assumptions!$B$67,0,$C$1)),OFFSET(AS$16,0,0,1,-OFFSET(Assumptions!$B$67,0,$C$1)))/OFFSET(Assumptions!$B$67,0,$C$1)-AS$379/AS$14,(AS$379/AS$14-AR$379/AR$14)/AS$2),0))*AT$14</f>
        <v>24.1813167044312</v>
      </c>
      <c r="AU379" s="7">
        <f ca="1">(AT$379/AT$14+ IF(AU$2&gt;0,AU$2*IF(AU$6=OFFSET(Assumptions!$B$8,0,$C$1),SUMPRODUCT(OFFSET(AT$379,0,0,1,-OFFSET(Assumptions!$B$67,0,$C$1)),OFFSET(AT$16,0,0,1,-OFFSET(Assumptions!$B$67,0,$C$1)))/OFFSET(Assumptions!$B$67,0,$C$1)-AT$379/AT$14,(AT$379/AT$14-AS$379/AS$14)/AT$2),0))*AU$14</f>
        <v>25.089069724757557</v>
      </c>
      <c r="AV379" s="7">
        <f ca="1">(AU$379/AU$14+ IF(AV$2&gt;0,AV$2*IF(AV$6=OFFSET(Assumptions!$B$8,0,$C$1),SUMPRODUCT(OFFSET(AU$379,0,0,1,-OFFSET(Assumptions!$B$67,0,$C$1)),OFFSET(AU$16,0,0,1,-OFFSET(Assumptions!$B$67,0,$C$1)))/OFFSET(Assumptions!$B$67,0,$C$1)-AU$379/AU$14,(AU$379/AU$14-AT$379/AT$14)/AU$2),0))*AV$14</f>
        <v>26.027422348409864</v>
      </c>
      <c r="AW379" s="7">
        <f ca="1">(AV$379/AV$14+ IF(AW$2&gt;0,AW$2*IF(AW$6=OFFSET(Assumptions!$B$8,0,$C$1),SUMPRODUCT(OFFSET(AV$379,0,0,1,-OFFSET(Assumptions!$B$67,0,$C$1)),OFFSET(AV$16,0,0,1,-OFFSET(Assumptions!$B$67,0,$C$1)))/OFFSET(Assumptions!$B$67,0,$C$1)-AV$379/AV$14,(AV$379/AV$14-AU$379/AU$14)/AV$2),0))*AW$14</f>
        <v>26.9958448226173</v>
      </c>
    </row>
    <row r="380" spans="1:49" ht="15" x14ac:dyDescent="0.25">
      <c r="A380" s="2" t="s">
        <v>637</v>
      </c>
      <c r="B380" s="4"/>
      <c r="D380" s="40">
        <f t="shared" ref="D380:I380" si="233">SUM(D$377:D$379)</f>
        <v>15.108000000000001</v>
      </c>
      <c r="E380" s="39">
        <f t="shared" si="233"/>
        <v>15.427</v>
      </c>
      <c r="F380" s="39">
        <f t="shared" si="233"/>
        <v>15.847</v>
      </c>
      <c r="G380" s="39">
        <f t="shared" si="233"/>
        <v>16.047999999999998</v>
      </c>
      <c r="H380" s="39">
        <f t="shared" si="233"/>
        <v>16.120999999999999</v>
      </c>
      <c r="I380" s="39">
        <f t="shared" si="233"/>
        <v>16.059999999999999</v>
      </c>
      <c r="J380" s="43">
        <f t="shared" ref="J380:AW380" ca="1" si="234">SUM(J$377:J$379)</f>
        <v>16.891487576206654</v>
      </c>
      <c r="K380" s="43">
        <f t="shared" ca="1" si="234"/>
        <v>17.630551260210439</v>
      </c>
      <c r="L380" s="43">
        <f t="shared" ca="1" si="234"/>
        <v>18.374477037404802</v>
      </c>
      <c r="M380" s="43">
        <f t="shared" ca="1" si="234"/>
        <v>19.126193331260616</v>
      </c>
      <c r="N380" s="43">
        <f t="shared" ca="1" si="234"/>
        <v>19.868217454194699</v>
      </c>
      <c r="O380" s="43">
        <f t="shared" ca="1" si="234"/>
        <v>20.599599423964179</v>
      </c>
      <c r="P380" s="43">
        <f t="shared" ca="1" si="234"/>
        <v>21.348796691612694</v>
      </c>
      <c r="Q380" s="43">
        <f t="shared" ca="1" si="234"/>
        <v>22.115139562274912</v>
      </c>
      <c r="R380" s="43">
        <f t="shared" ca="1" si="234"/>
        <v>22.897590322440966</v>
      </c>
      <c r="S380" s="43">
        <f t="shared" ca="1" si="234"/>
        <v>23.697566329660106</v>
      </c>
      <c r="T380" s="43">
        <f t="shared" ca="1" si="234"/>
        <v>24.514625900335737</v>
      </c>
      <c r="U380" s="43">
        <f t="shared" ca="1" si="234"/>
        <v>25.355012587396246</v>
      </c>
      <c r="V380" s="43">
        <f t="shared" ca="1" si="234"/>
        <v>26.215164315045072</v>
      </c>
      <c r="W380" s="43">
        <f t="shared" ca="1" si="234"/>
        <v>27.095754788391936</v>
      </c>
      <c r="X380" s="43">
        <f t="shared" ca="1" si="234"/>
        <v>27.988503587161773</v>
      </c>
      <c r="Y380" s="43">
        <f t="shared" ca="1" si="234"/>
        <v>28.89413580605202</v>
      </c>
      <c r="Z380" s="43">
        <f t="shared" ca="1" si="234"/>
        <v>29.821123180488371</v>
      </c>
      <c r="AA380" s="43">
        <f t="shared" ca="1" si="234"/>
        <v>30.790750928820401</v>
      </c>
      <c r="AB380" s="43">
        <f t="shared" ca="1" si="234"/>
        <v>31.806767596693557</v>
      </c>
      <c r="AC380" s="43">
        <f t="shared" ca="1" si="234"/>
        <v>32.873981830998972</v>
      </c>
      <c r="AD380" s="43">
        <f t="shared" ca="1" si="234"/>
        <v>34.000541103468905</v>
      </c>
      <c r="AE380" s="43">
        <f t="shared" ca="1" si="234"/>
        <v>35.19822524019331</v>
      </c>
      <c r="AF380" s="43">
        <f t="shared" ca="1" si="234"/>
        <v>36.476342083991845</v>
      </c>
      <c r="AG380" s="43">
        <f t="shared" ca="1" si="234"/>
        <v>37.821241202616044</v>
      </c>
      <c r="AH380" s="43">
        <f t="shared" ca="1" si="234"/>
        <v>39.216386284387802</v>
      </c>
      <c r="AI380" s="43">
        <f t="shared" ca="1" si="234"/>
        <v>40.655668840651479</v>
      </c>
      <c r="AJ380" s="43">
        <f t="shared" ca="1" si="234"/>
        <v>42.163091607477597</v>
      </c>
      <c r="AK380" s="43">
        <f t="shared" ca="1" si="234"/>
        <v>43.741767408829716</v>
      </c>
      <c r="AL380" s="43">
        <f t="shared" ca="1" si="234"/>
        <v>45.38829702145523</v>
      </c>
      <c r="AM380" s="43">
        <f t="shared" ca="1" si="234"/>
        <v>47.10341623619501</v>
      </c>
      <c r="AN380" s="43">
        <f t="shared" ca="1" si="234"/>
        <v>48.868681746740407</v>
      </c>
      <c r="AO380" s="43">
        <f t="shared" ca="1" si="234"/>
        <v>50.707596606154382</v>
      </c>
      <c r="AP380" s="43">
        <f t="shared" ca="1" si="234"/>
        <v>52.616484562629694</v>
      </c>
      <c r="AQ380" s="43">
        <f t="shared" ca="1" si="234"/>
        <v>54.579365389037299</v>
      </c>
      <c r="AR380" s="43">
        <f t="shared" ca="1" si="234"/>
        <v>56.602111050763924</v>
      </c>
      <c r="AS380" s="43">
        <f t="shared" ca="1" si="234"/>
        <v>58.695797611837378</v>
      </c>
      <c r="AT380" s="43">
        <f t="shared" ca="1" si="234"/>
        <v>60.836605533964402</v>
      </c>
      <c r="AU380" s="43">
        <f t="shared" ca="1" si="234"/>
        <v>63.01706597469579</v>
      </c>
      <c r="AV380" s="43">
        <f t="shared" ca="1" si="234"/>
        <v>65.25605195887195</v>
      </c>
      <c r="AW380" s="43">
        <f t="shared" ca="1" si="234"/>
        <v>67.577639682240388</v>
      </c>
    </row>
    <row r="381" spans="1:49" x14ac:dyDescent="0.2">
      <c r="A381" s="1" t="s">
        <v>639</v>
      </c>
      <c r="B381" s="4" t="str">
        <f t="shared" ref="B381:B382" si="235">$B$43</f>
        <v>From Fiscal</v>
      </c>
      <c r="D381" s="18">
        <f>Fiscal!D$303</f>
        <v>15.598000000000001</v>
      </c>
      <c r="E381" s="19">
        <f>Fiscal!E$303</f>
        <v>16.64</v>
      </c>
      <c r="F381" s="19">
        <f>Fiscal!F$303</f>
        <v>17.753</v>
      </c>
      <c r="G381" s="19">
        <f>Fiscal!G$303</f>
        <v>18.959</v>
      </c>
      <c r="H381" s="19">
        <f>Fiscal!H$303</f>
        <v>20.207999999999998</v>
      </c>
      <c r="I381" s="19">
        <f>Fiscal!I$303</f>
        <v>21.507000000000001</v>
      </c>
      <c r="J381" s="7">
        <f ca="1">IF(J$6=OFFSET(Assumptions!$B$8,0,$C$1),AVERAGE(G$381/G$14,H$381/H$14,I$381/I$14),I$381/I$14) *J$14</f>
        <v>21.979120709134591</v>
      </c>
      <c r="K381" s="7">
        <f ca="1">IF(K$6=OFFSET(Assumptions!$B$8,0,$C$1),AVERAGE(H$381/H$14,I$381/I$14,J$381/J$14),J$381/J$14) *K$14</f>
        <v>22.897632500958881</v>
      </c>
      <c r="L381" s="7">
        <f ca="1">IF(L$6=OFFSET(Assumptions!$B$8,0,$C$1),AVERAGE(I$381/I$14,J$381/J$14,K$381/K$14),K$381/K$14) *L$14</f>
        <v>23.890137029313305</v>
      </c>
      <c r="M381" s="7">
        <f ca="1">IF(M$6=OFFSET(Assumptions!$B$8,0,$C$1),AVERAGE(J$381/J$14,K$381/K$14,L$381/L$14),L$381/L$14) *M$14</f>
        <v>24.922345128631324</v>
      </c>
      <c r="N381" s="7">
        <f ca="1">IF(N$6=OFFSET(Assumptions!$B$8,0,$C$1),AVERAGE(K$381/K$14,L$381/L$14,M$381/M$14),M$381/M$14) *N$14</f>
        <v>25.997182982885004</v>
      </c>
      <c r="O381" s="7">
        <f ca="1">IF(O$6=OFFSET(Assumptions!$B$8,0,$C$1),AVERAGE(L$381/L$14,M$381/M$14,N$381/N$14),N$381/N$14) *O$14</f>
        <v>27.106917793796988</v>
      </c>
      <c r="P381" s="7">
        <f ca="1">IF(P$6=OFFSET(Assumptions!$B$8,0,$C$1),AVERAGE(M$381/M$14,N$381/N$14,O$381/O$14),O$381/O$14) *P$14</f>
        <v>28.253239562813729</v>
      </c>
      <c r="Q381" s="7">
        <f ca="1">IF(Q$6=OFFSET(Assumptions!$B$8,0,$C$1),AVERAGE(N$381/N$14,O$381/O$14,P$381/P$14),P$381/P$14) *Q$14</f>
        <v>29.434910051938505</v>
      </c>
      <c r="R381" s="7">
        <f ca="1">IF(R$6=OFFSET(Assumptions!$B$8,0,$C$1),AVERAGE(O$381/O$14,P$381/P$14,Q$381/Q$14),Q$381/Q$14) *R$14</f>
        <v>30.651052204647367</v>
      </c>
      <c r="S381" s="7">
        <f ca="1">IF(S$6=OFFSET(Assumptions!$B$8,0,$C$1),AVERAGE(P$381/P$14,Q$381/Q$14,R$381/R$14),R$381/R$14) *S$14</f>
        <v>31.905530871110816</v>
      </c>
      <c r="T381" s="7">
        <f ca="1">IF(T$6=OFFSET(Assumptions!$B$8,0,$C$1),AVERAGE(Q$381/Q$14,R$381/R$14,S$381/S$14),S$381/S$14) *T$14</f>
        <v>33.198803517225976</v>
      </c>
      <c r="U381" s="7">
        <f ca="1">IF(U$6=OFFSET(Assumptions!$B$8,0,$C$1),AVERAGE(R$381/R$14,S$381/S$14,T$381/T$14),T$381/T$14) *U$14</f>
        <v>34.535511664429499</v>
      </c>
      <c r="V381" s="7">
        <f ca="1">IF(V$6=OFFSET(Assumptions!$B$8,0,$C$1),AVERAGE(S$381/S$14,T$381/T$14,U$381/U$14),U$381/U$14) *V$14</f>
        <v>35.918954984417731</v>
      </c>
      <c r="W381" s="7">
        <f ca="1">IF(W$6=OFFSET(Assumptions!$B$8,0,$C$1),AVERAGE(T$381/T$14,U$381/U$14,V$381/V$14),V$381/V$14) *W$14</f>
        <v>37.353141661444759</v>
      </c>
      <c r="X381" s="7">
        <f ca="1">IF(X$6=OFFSET(Assumptions!$B$8,0,$C$1),AVERAGE(U$381/U$14,V$381/V$14,W$381/W$14),W$381/W$14) *X$14</f>
        <v>38.842614420612911</v>
      </c>
      <c r="Y381" s="7">
        <f ca="1">IF(Y$6=OFFSET(Assumptions!$B$8,0,$C$1),AVERAGE(V$381/V$14,W$381/W$14,X$381/X$14),X$381/X$14) *Y$14</f>
        <v>40.387220988488544</v>
      </c>
      <c r="Z381" s="7">
        <f ca="1">IF(Z$6=OFFSET(Assumptions!$B$8,0,$C$1),AVERAGE(W$381/W$14,X$381/X$14,Y$381/Y$14),Y$381/Y$14) *Z$14</f>
        <v>41.994779611156702</v>
      </c>
      <c r="AA381" s="7">
        <f ca="1">IF(AA$6=OFFSET(Assumptions!$B$8,0,$C$1),AVERAGE(X$381/X$14,Y$381/Y$14,Z$381/Z$14),Z$381/Z$14) *AA$14</f>
        <v>43.667891324012523</v>
      </c>
      <c r="AB381" s="7">
        <f ca="1">IF(AB$6=OFFSET(Assumptions!$B$8,0,$C$1),AVERAGE(Y$381/Y$14,Z$381/Z$14,AA$381/AA$14),AA$381/AA$14) *AB$14</f>
        <v>45.411580636043681</v>
      </c>
      <c r="AC381" s="7">
        <f ca="1">IF(AC$6=OFFSET(Assumptions!$B$8,0,$C$1),AVERAGE(Z$381/Z$14,AA$381/AA$14,AB$381/AB$14),AB$381/AB$14) *AC$14</f>
        <v>47.232430211025914</v>
      </c>
      <c r="AD381" s="7">
        <f ca="1">IF(AD$6=OFFSET(Assumptions!$B$8,0,$C$1),AVERAGE(AA$381/AA$14,AB$381/AB$14,AC$381/AC$14),AC$381/AC$14) *AD$14</f>
        <v>49.132359246872696</v>
      </c>
      <c r="AE381" s="7">
        <f ca="1">IF(AE$6=OFFSET(Assumptions!$B$8,0,$C$1),AVERAGE(AB$381/AB$14,AC$381/AC$14,AD$381/AD$14),AD$381/AD$14) *AE$14</f>
        <v>51.109622911999274</v>
      </c>
      <c r="AF381" s="7">
        <f ca="1">IF(AF$6=OFFSET(Assumptions!$B$8,0,$C$1),AVERAGE(AC$381/AC$14,AD$381/AD$14,AE$381/AE$14),AE$381/AE$14) *AF$14</f>
        <v>53.16969150326873</v>
      </c>
      <c r="AG381" s="7">
        <f ca="1">IF(AG$6=OFFSET(Assumptions!$B$8,0,$C$1),AVERAGE(AD$381/AD$14,AE$381/AE$14,AF$381/AF$14),AF$381/AF$14) *AG$14</f>
        <v>55.313716924894685</v>
      </c>
      <c r="AH381" s="7">
        <f ca="1">IF(AH$6=OFFSET(Assumptions!$B$8,0,$C$1),AVERAGE(AE$381/AE$14,AF$381/AF$14,AG$381/AG$14),AG$381/AG$14) *AH$14</f>
        <v>57.545137270406713</v>
      </c>
      <c r="AI381" s="7">
        <f ca="1">IF(AI$6=OFFSET(Assumptions!$B$8,0,$C$1),AVERAGE(AF$381/AF$14,AG$381/AG$14,AH$381/AH$14),AH$381/AH$14) *AI$14</f>
        <v>59.860053509786141</v>
      </c>
      <c r="AJ381" s="7">
        <f ca="1">IF(AJ$6=OFFSET(Assumptions!$B$8,0,$C$1),AVERAGE(AG$381/AG$14,AH$381/AH$14,AI$381/AI$14),AI$381/AI$14) *AJ$14</f>
        <v>62.265881473116501</v>
      </c>
      <c r="AK381" s="7">
        <f ca="1">IF(AK$6=OFFSET(Assumptions!$B$8,0,$C$1),AVERAGE(AH$381/AH$14,AI$381/AI$14,AJ$381/AJ$14),AJ$381/AJ$14) *AK$14</f>
        <v>64.760642052207061</v>
      </c>
      <c r="AL381" s="7">
        <f ca="1">IF(AL$6=OFFSET(Assumptions!$B$8,0,$C$1),AVERAGE(AI$381/AI$14,AJ$381/AJ$14,AK$381/AK$14),AK$381/AK$14) *AL$14</f>
        <v>67.342370055323769</v>
      </c>
      <c r="AM381" s="7">
        <f ca="1">IF(AM$6=OFFSET(Assumptions!$B$8,0,$C$1),AVERAGE(AJ$381/AJ$14,AK$381/AK$14,AL$381/AL$14),AL$381/AL$14) *AM$14</f>
        <v>70.014592459112251</v>
      </c>
      <c r="AN381" s="7">
        <f ca="1">IF(AN$6=OFFSET(Assumptions!$B$8,0,$C$1),AVERAGE(AK$381/AK$14,AL$381/AL$14,AM$381/AM$14),AM$381/AM$14) *AN$14</f>
        <v>72.781026299058112</v>
      </c>
      <c r="AO381" s="7">
        <f ca="1">IF(AO$6=OFFSET(Assumptions!$B$8,0,$C$1),AVERAGE(AL$381/AL$14,AM$381/AM$14,AN$381/AN$14),AN$381/AN$14) *AO$14</f>
        <v>75.630808746149071</v>
      </c>
      <c r="AP381" s="7">
        <f ca="1">IF(AP$6=OFFSET(Assumptions!$B$8,0,$C$1),AVERAGE(AM$381/AM$14,AN$381/AN$14,AO$381/AO$14),AO$381/AO$14) *AP$14</f>
        <v>78.576041387635073</v>
      </c>
      <c r="AQ381" s="7">
        <f ca="1">IF(AQ$6=OFFSET(Assumptions!$B$8,0,$C$1),AVERAGE(AN$381/AN$14,AO$381/AO$14,AP$381/AP$14),AP$381/AP$14) *AQ$14</f>
        <v>81.608471690949031</v>
      </c>
      <c r="AR381" s="7">
        <f ca="1">IF(AR$6=OFFSET(Assumptions!$B$8,0,$C$1),AVERAGE(AO$381/AO$14,AP$381/AP$14,AQ$381/AQ$14),AQ$381/AQ$14) *AR$14</f>
        <v>84.731532909686578</v>
      </c>
      <c r="AS381" s="7">
        <f ca="1">IF(AS$6=OFFSET(Assumptions!$B$8,0,$C$1),AVERAGE(AP$381/AP$14,AQ$381/AQ$14,AR$381/AR$14),AR$381/AR$14) *AS$14</f>
        <v>87.95251105558981</v>
      </c>
      <c r="AT381" s="7">
        <f ca="1">IF(AT$6=OFFSET(Assumptions!$B$8,0,$C$1),AVERAGE(AQ$381/AQ$14,AR$381/AR$14,AS$381/AS$14),AS$381/AS$14) *AT$14</f>
        <v>91.273978618451949</v>
      </c>
      <c r="AU381" s="7">
        <f ca="1">IF(AU$6=OFFSET(Assumptions!$B$8,0,$C$1),AVERAGE(AR$381/AR$14,AS$381/AS$14,AT$381/AT$14),AT$381/AT$14) *AU$14</f>
        <v>94.700352408631872</v>
      </c>
      <c r="AV381" s="7">
        <f ca="1">IF(AV$6=OFFSET(Assumptions!$B$8,0,$C$1),AVERAGE(AS$381/AS$14,AT$381/AT$14,AU$381/AU$14),AU$381/AU$14) *AV$14</f>
        <v>98.242226424620185</v>
      </c>
      <c r="AW381" s="7">
        <f ca="1">IF(AW$6=OFFSET(Assumptions!$B$8,0,$C$1),AVERAGE(AT$381/AT$14,AU$381/AU$14,AV$381/AV$14),AV$381/AV$14) *AW$14</f>
        <v>101.89760107955948</v>
      </c>
    </row>
    <row r="382" spans="1:49" x14ac:dyDescent="0.2">
      <c r="A382" s="1" t="s">
        <v>640</v>
      </c>
      <c r="B382" s="4" t="str">
        <f t="shared" si="235"/>
        <v>From Fiscal</v>
      </c>
      <c r="D382" s="18">
        <f>Fiscal!D$118-SUM(D$380:D$381)</f>
        <v>-4.2090000000000032</v>
      </c>
      <c r="E382" s="19">
        <f>Fiscal!E$118-SUM(E$380:E$381)</f>
        <v>-4.5629999999999988</v>
      </c>
      <c r="F382" s="19">
        <f>Fiscal!F$118-SUM(F$380:F$381)</f>
        <v>-4.8210000000000015</v>
      </c>
      <c r="G382" s="19">
        <f>Fiscal!G$118-SUM(G$380:G$381)</f>
        <v>-4.8559999999999981</v>
      </c>
      <c r="H382" s="19">
        <f>Fiscal!H$118-SUM(H$380:H$381)</f>
        <v>-4.8739999999999952</v>
      </c>
      <c r="I382" s="19">
        <f>Fiscal!I$118-SUM(I$380:I$381)</f>
        <v>-4.7590000000000003</v>
      </c>
      <c r="J382" s="7">
        <f ca="1">IF(J$6=OFFSET(Assumptions!$B$8,0,$C$1),AVERAGE(G$382/G$381,H$382/H$381,I$382/I$381),I$382/I$381) *J$381</f>
        <v>-5.2647324384204524</v>
      </c>
      <c r="K382" s="7">
        <f ca="1">IF(K$6=OFFSET(Assumptions!$B$8,0,$C$1),AVERAGE(H$382/H$381,I$382/I$381,J$382/J$381),J$382/J$381) *K$381</f>
        <v>-5.484746645971498</v>
      </c>
      <c r="L382" s="7">
        <f ca="1">IF(L$6=OFFSET(Assumptions!$B$8,0,$C$1),AVERAGE(I$382/I$381,J$382/J$381,K$382/K$381),K$382/K$381) *L$381</f>
        <v>-5.7224845816631236</v>
      </c>
      <c r="M382" s="7">
        <f ca="1">IF(M$6=OFFSET(Assumptions!$B$8,0,$C$1),AVERAGE(J$382/J$381,K$382/K$381,L$382/L$381),L$382/L$381) *M$381</f>
        <v>-5.9697328467596149</v>
      </c>
      <c r="N382" s="7">
        <f ca="1">IF(N$6=OFFSET(Assumptions!$B$8,0,$C$1),AVERAGE(K$382/K$381,L$382/L$381,M$382/M$381),M$382/M$381) *N$381</f>
        <v>-6.2271923599138326</v>
      </c>
      <c r="O382" s="7">
        <f ca="1">IF(O$6=OFFSET(Assumptions!$B$8,0,$C$1),AVERAGE(L$382/L$381,M$382/M$381,N$382/N$381),N$382/N$381) *O$381</f>
        <v>-6.4930108580407646</v>
      </c>
      <c r="P382" s="7">
        <f ca="1">IF(P$6=OFFSET(Assumptions!$B$8,0,$C$1),AVERAGE(M$382/M$381,N$382/N$381,O$382/O$381),O$382/O$381) *P$381</f>
        <v>-6.7675931528502993</v>
      </c>
      <c r="Q382" s="7">
        <f ca="1">IF(Q$6=OFFSET(Assumptions!$B$8,0,$C$1),AVERAGE(N$382/N$381,O$382/O$381,P$382/P$381),P$382/P$381) *Q$381</f>
        <v>-7.0506426450455821</v>
      </c>
      <c r="R382" s="7">
        <f ca="1">IF(R$6=OFFSET(Assumptions!$B$8,0,$C$1),AVERAGE(O$382/O$381,P$382/P$381,Q$382/Q$381),Q$382/Q$381) *R$381</f>
        <v>-7.3419492503382981</v>
      </c>
      <c r="S382" s="7">
        <f ca="1">IF(S$6=OFFSET(Assumptions!$B$8,0,$C$1),AVERAGE(P$382/P$381,Q$382/Q$381,R$382/R$381),R$382/R$381) *S$381</f>
        <v>-7.6424387292414142</v>
      </c>
      <c r="T382" s="7">
        <f ca="1">IF(T$6=OFFSET(Assumptions!$B$8,0,$C$1),AVERAGE(Q$382/Q$381,R$382/R$381,S$382/S$381),S$382/S$381) *T$381</f>
        <v>-7.9522206600942988</v>
      </c>
      <c r="U382" s="7">
        <f ca="1">IF(U$6=OFFSET(Assumptions!$B$8,0,$C$1),AVERAGE(R$382/R$381,S$382/S$381,T$382/T$381),T$382/T$381) *U$381</f>
        <v>-8.2724068420810291</v>
      </c>
      <c r="V382" s="7">
        <f ca="1">IF(V$6=OFFSET(Assumptions!$B$8,0,$C$1),AVERAGE(S$382/S$381,T$382/T$381,U$382/U$381),U$382/U$381) *V$381</f>
        <v>-8.6037876566206712</v>
      </c>
      <c r="W382" s="7">
        <f ca="1">IF(W$6=OFFSET(Assumptions!$B$8,0,$C$1),AVERAGE(T$382/T$381,U$382/U$381,V$382/V$381),V$382/V$381) *W$381</f>
        <v>-8.947323197519566</v>
      </c>
      <c r="X382" s="7">
        <f ca="1">IF(X$6=OFFSET(Assumptions!$B$8,0,$C$1),AVERAGE(U$382/U$381,V$382/V$381,W$382/W$381),W$382/W$381) *X$381</f>
        <v>-9.3041015989447491</v>
      </c>
      <c r="Y382" s="7">
        <f ca="1">IF(Y$6=OFFSET(Assumptions!$B$8,0,$C$1),AVERAGE(V$382/V$381,W$382/W$381,X$382/X$381),X$382/X$381) *Y$381</f>
        <v>-9.674086386330373</v>
      </c>
      <c r="Z382" s="7">
        <f ca="1">IF(Z$6=OFFSET(Assumptions!$B$8,0,$C$1),AVERAGE(W$382/W$381,X$382/X$381,Y$382/Y$381),Y$382/Y$381) *Z$381</f>
        <v>-10.059150290361172</v>
      </c>
      <c r="AA382" s="7">
        <f ca="1">IF(AA$6=OFFSET(Assumptions!$B$8,0,$C$1),AVERAGE(X$382/X$381,Y$382/Y$381,Z$382/Z$381),Z$382/Z$381) *AA$381</f>
        <v>-10.45991634576176</v>
      </c>
      <c r="AB382" s="7">
        <f ca="1">IF(AB$6=OFFSET(Assumptions!$B$8,0,$C$1),AVERAGE(Y$382/Y$381,Z$382/Z$381,AA$382/AA$381),AA$382/AA$381) *AB$381</f>
        <v>-10.877588090007754</v>
      </c>
      <c r="AC382" s="7">
        <f ca="1">IF(AC$6=OFFSET(Assumptions!$B$8,0,$C$1),AVERAGE(Z$382/Z$381,AA$382/AA$381,AB$382/AB$381),AB$382/AB$381) *AC$381</f>
        <v>-11.313742290612737</v>
      </c>
      <c r="AD382" s="7">
        <f ca="1">IF(AD$6=OFFSET(Assumptions!$B$8,0,$C$1),AVERAGE(AA$382/AA$381,AB$382/AB$381,AC$382/AC$381),AC$382/AC$381) *AD$381</f>
        <v>-11.768838659484414</v>
      </c>
      <c r="AE382" s="7">
        <f ca="1">IF(AE$6=OFFSET(Assumptions!$B$8,0,$C$1),AVERAGE(AB$382/AB$381,AC$382/AC$381,AD$382/AD$381),AD$382/AD$381) *AE$381</f>
        <v>-12.242459251266126</v>
      </c>
      <c r="AF382" s="7">
        <f ca="1">IF(AF$6=OFFSET(Assumptions!$B$8,0,$C$1),AVERAGE(AC$382/AC$381,AD$382/AD$381,AE$382/AE$381),AE$382/AE$381) *AF$381</f>
        <v>-12.73591438449718</v>
      </c>
      <c r="AG382" s="7">
        <f ca="1">IF(AG$6=OFFSET(Assumptions!$B$8,0,$C$1),AVERAGE(AD$382/AD$381,AE$382/AE$381,AF$382/AF$381),AF$382/AF$381) *AG$381</f>
        <v>-13.249479978654048</v>
      </c>
      <c r="AH382" s="7">
        <f ca="1">IF(AH$6=OFFSET(Assumptions!$B$8,0,$C$1),AVERAGE(AE$382/AE$381,AF$382/AF$381,AG$382/AG$381),AG$382/AG$381) *AH$381</f>
        <v>-13.78397957180138</v>
      </c>
      <c r="AI382" s="7">
        <f ca="1">IF(AI$6=OFFSET(Assumptions!$B$8,0,$C$1),AVERAGE(AF$382/AF$381,AG$382/AG$381,AH$382/AH$381),AH$382/AH$381) *AI$381</f>
        <v>-14.338479216212635</v>
      </c>
      <c r="AJ382" s="7">
        <f ca="1">IF(AJ$6=OFFSET(Assumptions!$B$8,0,$C$1),AVERAGE(AG$382/AG$381,AH$382/AH$381,AI$382/AI$381),AI$382/AI$381) *AJ$381</f>
        <v>-14.914755250519153</v>
      </c>
      <c r="AK382" s="7">
        <f ca="1">IF(AK$6=OFFSET(Assumptions!$B$8,0,$C$1),AVERAGE(AH$382/AH$381,AI$382/AI$381,AJ$382/AJ$381),AJ$382/AJ$381) *AK$381</f>
        <v>-15.512333612303754</v>
      </c>
      <c r="AL382" s="7">
        <f ca="1">IF(AL$6=OFFSET(Assumptions!$B$8,0,$C$1),AVERAGE(AI$382/AI$381,AJ$382/AJ$381,AK$382/AK$381),AK$382/AK$381) *AL$381</f>
        <v>-16.130743572604761</v>
      </c>
      <c r="AM382" s="7">
        <f ca="1">IF(AM$6=OFFSET(Assumptions!$B$8,0,$C$1),AVERAGE(AJ$382/AJ$381,AK$382/AK$381,AL$382/AL$381),AL$382/AL$381) *AM$381</f>
        <v>-16.770829959957471</v>
      </c>
      <c r="AN382" s="7">
        <f ca="1">IF(AN$6=OFFSET(Assumptions!$B$8,0,$C$1),AVERAGE(AK$382/AK$381,AL$382/AL$381,AM$382/AM$381),AM$382/AM$381) *AN$381</f>
        <v>-17.433483128328032</v>
      </c>
      <c r="AO382" s="7">
        <f ca="1">IF(AO$6=OFFSET(Assumptions!$B$8,0,$C$1),AVERAGE(AL$382/AL$381,AM$382/AM$381,AN$382/AN$381),AN$382/AN$381) *AO$381</f>
        <v>-18.116101067880344</v>
      </c>
      <c r="AP382" s="7">
        <f ca="1">IF(AP$6=OFFSET(Assumptions!$B$8,0,$C$1),AVERAGE(AM$382/AM$381,AN$382/AN$381,AO$382/AO$381),AO$382/AO$381) *AP$381</f>
        <v>-18.821582512362415</v>
      </c>
      <c r="AQ382" s="7">
        <f ca="1">IF(AQ$6=OFFSET(Assumptions!$B$8,0,$C$1),AVERAGE(AN$382/AN$381,AO$382/AO$381,AP$382/AP$381),AP$382/AP$381) *AQ$381</f>
        <v>-19.54795070499312</v>
      </c>
      <c r="AR382" s="7">
        <f ca="1">IF(AR$6=OFFSET(Assumptions!$B$8,0,$C$1),AVERAGE(AO$382/AO$381,AP$382/AP$381,AQ$382/AQ$381),AQ$382/AQ$381) *AR$381</f>
        <v>-20.296028024511507</v>
      </c>
      <c r="AS382" s="7">
        <f ca="1">IF(AS$6=OFFSET(Assumptions!$B$8,0,$C$1),AVERAGE(AP$382/AP$381,AQ$382/AQ$381,AR$382/AR$381),AR$382/AR$381) *AS$381</f>
        <v>-21.06755971372656</v>
      </c>
      <c r="AT382" s="7">
        <f ca="1">IF(AT$6=OFFSET(Assumptions!$B$8,0,$C$1),AVERAGE(AQ$382/AQ$381,AR$382/AR$381,AS$382/AS$381),AS$382/AS$381) *AT$381</f>
        <v>-21.863161969739203</v>
      </c>
      <c r="AU382" s="7">
        <f ca="1">IF(AU$6=OFFSET(Assumptions!$B$8,0,$C$1),AVERAGE(AR$382/AR$381,AS$382/AS$381,AT$382/AT$381),AT$382/AT$381) *AU$381</f>
        <v>-22.683892765936015</v>
      </c>
      <c r="AV382" s="7">
        <f ca="1">IF(AV$6=OFFSET(Assumptions!$B$8,0,$C$1),AVERAGE(AS$382/AS$381,AT$382/AT$381,AU$382/AU$381),AU$382/AU$381) *AV$381</f>
        <v>-23.532289718277354</v>
      </c>
      <c r="AW382" s="7">
        <f ca="1">IF(AW$6=OFFSET(Assumptions!$B$8,0,$C$1),AVERAGE(AT$382/AT$381,AU$382/AU$381,AV$382/AV$381),AV$382/AV$381) *AW$381</f>
        <v>-24.407873859022384</v>
      </c>
    </row>
    <row r="383" spans="1:49" ht="15" x14ac:dyDescent="0.25">
      <c r="A383" s="2" t="s">
        <v>638</v>
      </c>
      <c r="D383" s="40">
        <f t="shared" ref="D383:I383" si="236">SUM(D$380:D$382)</f>
        <v>26.497</v>
      </c>
      <c r="E383" s="39">
        <f t="shared" si="236"/>
        <v>27.504000000000001</v>
      </c>
      <c r="F383" s="39">
        <f t="shared" si="236"/>
        <v>28.779</v>
      </c>
      <c r="G383" s="39">
        <f t="shared" si="236"/>
        <v>30.151</v>
      </c>
      <c r="H383" s="39">
        <f t="shared" si="236"/>
        <v>31.454999999999998</v>
      </c>
      <c r="I383" s="39">
        <f t="shared" si="236"/>
        <v>32.808</v>
      </c>
      <c r="J383" s="43">
        <f t="shared" ref="J383:AW383" ca="1" si="237">SUM(J$380:J$382)</f>
        <v>33.605875846920796</v>
      </c>
      <c r="K383" s="43">
        <f t="shared" ca="1" si="237"/>
        <v>35.043437115197818</v>
      </c>
      <c r="L383" s="43">
        <f t="shared" ca="1" si="237"/>
        <v>36.542129485054986</v>
      </c>
      <c r="M383" s="43">
        <f t="shared" ca="1" si="237"/>
        <v>38.078805613132332</v>
      </c>
      <c r="N383" s="43">
        <f t="shared" ca="1" si="237"/>
        <v>39.638208077165871</v>
      </c>
      <c r="O383" s="43">
        <f t="shared" ca="1" si="237"/>
        <v>41.213506359720405</v>
      </c>
      <c r="P383" s="43">
        <f t="shared" ca="1" si="237"/>
        <v>42.834443101576127</v>
      </c>
      <c r="Q383" s="43">
        <f t="shared" ca="1" si="237"/>
        <v>44.499406969167836</v>
      </c>
      <c r="R383" s="43">
        <f t="shared" ca="1" si="237"/>
        <v>46.206693276750038</v>
      </c>
      <c r="S383" s="43">
        <f t="shared" ca="1" si="237"/>
        <v>47.960658471529506</v>
      </c>
      <c r="T383" s="43">
        <f t="shared" ca="1" si="237"/>
        <v>49.761208757467415</v>
      </c>
      <c r="U383" s="43">
        <f t="shared" ca="1" si="237"/>
        <v>51.618117409744713</v>
      </c>
      <c r="V383" s="43">
        <f t="shared" ca="1" si="237"/>
        <v>53.530331642842128</v>
      </c>
      <c r="W383" s="43">
        <f t="shared" ca="1" si="237"/>
        <v>55.501573252317129</v>
      </c>
      <c r="X383" s="43">
        <f t="shared" ca="1" si="237"/>
        <v>57.52701640882993</v>
      </c>
      <c r="Y383" s="43">
        <f t="shared" ca="1" si="237"/>
        <v>59.607270408210184</v>
      </c>
      <c r="Z383" s="43">
        <f t="shared" ca="1" si="237"/>
        <v>61.756752501283898</v>
      </c>
      <c r="AA383" s="43">
        <f t="shared" ca="1" si="237"/>
        <v>63.998725907071169</v>
      </c>
      <c r="AB383" s="43">
        <f t="shared" ca="1" si="237"/>
        <v>66.340760142729494</v>
      </c>
      <c r="AC383" s="43">
        <f t="shared" ca="1" si="237"/>
        <v>68.792669751412149</v>
      </c>
      <c r="AD383" s="43">
        <f t="shared" ca="1" si="237"/>
        <v>71.364061690857184</v>
      </c>
      <c r="AE383" s="43">
        <f t="shared" ca="1" si="237"/>
        <v>74.06538890092645</v>
      </c>
      <c r="AF383" s="43">
        <f t="shared" ca="1" si="237"/>
        <v>76.910119202763397</v>
      </c>
      <c r="AG383" s="43">
        <f t="shared" ca="1" si="237"/>
        <v>79.885478148856677</v>
      </c>
      <c r="AH383" s="43">
        <f t="shared" ca="1" si="237"/>
        <v>82.977543982993126</v>
      </c>
      <c r="AI383" s="43">
        <f t="shared" ca="1" si="237"/>
        <v>86.17724313422498</v>
      </c>
      <c r="AJ383" s="43">
        <f t="shared" ca="1" si="237"/>
        <v>89.514217830074941</v>
      </c>
      <c r="AK383" s="43">
        <f t="shared" ca="1" si="237"/>
        <v>92.990075848733028</v>
      </c>
      <c r="AL383" s="43">
        <f t="shared" ca="1" si="237"/>
        <v>96.599923504174242</v>
      </c>
      <c r="AM383" s="43">
        <f t="shared" ca="1" si="237"/>
        <v>100.34717873534979</v>
      </c>
      <c r="AN383" s="43">
        <f t="shared" ca="1" si="237"/>
        <v>104.21622491747048</v>
      </c>
      <c r="AO383" s="43">
        <f t="shared" ca="1" si="237"/>
        <v>108.2223042844231</v>
      </c>
      <c r="AP383" s="43">
        <f t="shared" ca="1" si="237"/>
        <v>112.37094343790237</v>
      </c>
      <c r="AQ383" s="43">
        <f t="shared" ca="1" si="237"/>
        <v>116.63988637499321</v>
      </c>
      <c r="AR383" s="43">
        <f t="shared" ca="1" si="237"/>
        <v>121.03761593593899</v>
      </c>
      <c r="AS383" s="43">
        <f t="shared" ca="1" si="237"/>
        <v>125.58074895370063</v>
      </c>
      <c r="AT383" s="43">
        <f t="shared" ca="1" si="237"/>
        <v>130.24742218267716</v>
      </c>
      <c r="AU383" s="43">
        <f t="shared" ca="1" si="237"/>
        <v>135.03352561739166</v>
      </c>
      <c r="AV383" s="43">
        <f t="shared" ca="1" si="237"/>
        <v>139.96598866521478</v>
      </c>
      <c r="AW383" s="43">
        <f t="shared" ca="1" si="237"/>
        <v>145.06736690277748</v>
      </c>
    </row>
    <row r="384" spans="1:49" ht="15" x14ac:dyDescent="0.25">
      <c r="A384" s="2"/>
      <c r="D384" s="55"/>
      <c r="E384" s="56"/>
      <c r="F384" s="56"/>
      <c r="G384" s="56"/>
      <c r="H384" s="56"/>
      <c r="I384" s="56"/>
      <c r="J384" s="57"/>
      <c r="K384" s="57"/>
      <c r="L384" s="57"/>
      <c r="M384" s="57"/>
      <c r="N384" s="57"/>
      <c r="O384" s="57"/>
      <c r="P384" s="57"/>
      <c r="Q384" s="57"/>
      <c r="R384" s="57"/>
      <c r="S384" s="57"/>
    </row>
    <row r="385" spans="1:49" x14ac:dyDescent="0.2">
      <c r="A385" s="22" t="s">
        <v>548</v>
      </c>
    </row>
    <row r="386" spans="1:49" x14ac:dyDescent="0.2">
      <c r="A386" s="1" t="s">
        <v>89</v>
      </c>
      <c r="B386" s="4" t="str">
        <f t="shared" ref="B386:B391" si="238">$B$43</f>
        <v>From Fiscal</v>
      </c>
      <c r="D386" s="18">
        <f>Fiscal!D$305</f>
        <v>1.518</v>
      </c>
      <c r="E386" s="19">
        <f>Fiscal!E$305</f>
        <v>1.5389999999999999</v>
      </c>
      <c r="F386" s="19">
        <f>Fiscal!F$305</f>
        <v>1.58</v>
      </c>
      <c r="G386" s="19">
        <f>Fiscal!G$305</f>
        <v>1.6140000000000001</v>
      </c>
      <c r="H386" s="19">
        <f>Fiscal!H$305</f>
        <v>1.619</v>
      </c>
      <c r="I386" s="19">
        <f>Fiscal!I$305</f>
        <v>1.6459999999999999</v>
      </c>
      <c r="J386" s="7">
        <f>SUM(Exogenous!Q$14,Exogenous!Q$19)</f>
        <v>1.6969999999999998</v>
      </c>
      <c r="K386" s="7">
        <f>SUM(Exogenous!R$14,Exogenous!R$19)</f>
        <v>1.746</v>
      </c>
      <c r="L386" s="7">
        <f>SUM(Exogenous!S$14,Exogenous!S$19)</f>
        <v>1.8019999999999998</v>
      </c>
      <c r="M386" s="7">
        <f>SUM(Exogenous!T$14,Exogenous!T$19)</f>
        <v>1.86</v>
      </c>
      <c r="N386" s="7">
        <f>SUM(Exogenous!U$14,Exogenous!U$19)</f>
        <v>1.92</v>
      </c>
      <c r="O386" s="7">
        <f>SUM(Exogenous!V$14,Exogenous!V$19)</f>
        <v>1.984</v>
      </c>
      <c r="P386" s="7">
        <f>SUM(Exogenous!W$14,Exogenous!W$19)</f>
        <v>2.0500000000000003</v>
      </c>
      <c r="Q386" s="7">
        <f>SUM(Exogenous!X$14,Exogenous!X$19)</f>
        <v>2.1180000000000003</v>
      </c>
      <c r="R386" s="7">
        <f>SUM(Exogenous!Y$14,Exogenous!Y$19)</f>
        <v>2.1840000000000002</v>
      </c>
      <c r="S386" s="7">
        <f>SUM(Exogenous!Z$14,Exogenous!Z$19)</f>
        <v>2.2479999999999998</v>
      </c>
      <c r="T386" s="7">
        <f>SUM(Exogenous!AA$14,Exogenous!AA$19)</f>
        <v>2.3149999999999999</v>
      </c>
      <c r="U386" s="7">
        <f>SUM(Exogenous!AB$14,Exogenous!AB$19)</f>
        <v>2.3783300000000001</v>
      </c>
      <c r="V386" s="7">
        <f>SUM(Exogenous!AC$14,Exogenous!AC$19)</f>
        <v>2.4386698999999998</v>
      </c>
      <c r="W386" s="7">
        <f>SUM(Exogenous!AD$14,Exogenous!AD$19)</f>
        <v>2.5010199969999998</v>
      </c>
      <c r="X386" s="7">
        <f>SUM(Exogenous!AE$14,Exogenous!AE$19)</f>
        <v>2.5633805969099996</v>
      </c>
      <c r="Y386" s="7">
        <f>SUM(Exogenous!AF$14,Exogenous!AF$19)</f>
        <v>2.6297520148172997</v>
      </c>
      <c r="Z386" s="7">
        <f>SUM(Exogenous!AG$14,Exogenous!AG$19)</f>
        <v>2.7031345752618186</v>
      </c>
      <c r="AA386" s="7">
        <f>SUM(Exogenous!AH$14,Exogenous!AH$19)</f>
        <v>2.7825286125196733</v>
      </c>
      <c r="AB386" s="7">
        <f>SUM(Exogenous!AI$14,Exogenous!AI$19)</f>
        <v>2.8699344708952634</v>
      </c>
      <c r="AC386" s="7">
        <f>SUM(Exogenous!AJ$14,Exogenous!AJ$19)</f>
        <v>2.9623525050221216</v>
      </c>
      <c r="AD386" s="7">
        <f>SUM(Exogenous!AK$14,Exogenous!AK$19)</f>
        <v>3.0577830801727854</v>
      </c>
      <c r="AE386" s="7">
        <f>SUM(Exogenous!AL$14,Exogenous!AL$19)</f>
        <v>3.1572265725779691</v>
      </c>
      <c r="AF386" s="7">
        <f>SUM(Exogenous!AM$14,Exogenous!AM$19)</f>
        <v>3.2586833697553081</v>
      </c>
      <c r="AG386" s="7">
        <f>SUM(Exogenous!AN$14,Exogenous!AN$19)</f>
        <v>3.3611538708479674</v>
      </c>
      <c r="AH386" s="7">
        <f>SUM(Exogenous!AO$14,Exogenous!AO$19)</f>
        <v>3.4666384869734066</v>
      </c>
      <c r="AI386" s="7">
        <f>SUM(Exogenous!AP$14,Exogenous!AP$19)</f>
        <v>3.5721376415826085</v>
      </c>
      <c r="AJ386" s="7">
        <f>SUM(Exogenous!AQ$14,Exogenous!AQ$19)</f>
        <v>3.6786517708300868</v>
      </c>
      <c r="AK386" s="7">
        <f>SUM(Exogenous!AR$14,Exogenous!AR$19)</f>
        <v>3.7841813239549893</v>
      </c>
      <c r="AL386" s="7">
        <f>SUM(Exogenous!AS$14,Exogenous!AS$19)</f>
        <v>3.8917267636736392</v>
      </c>
      <c r="AM386" s="7">
        <f>SUM(Exogenous!AT$14,Exogenous!AT$19)</f>
        <v>4.0002885665838486</v>
      </c>
      <c r="AN386" s="7">
        <f>SUM(Exogenous!AU$14,Exogenous!AU$19)</f>
        <v>4.1118672235813643</v>
      </c>
      <c r="AO386" s="7">
        <f>SUM(Exogenous!AV$14,Exogenous!AV$19)</f>
        <v>4.227463240288805</v>
      </c>
      <c r="AP386" s="7">
        <f>SUM(Exogenous!AW$14,Exogenous!AW$19)</f>
        <v>4.3460771374974696</v>
      </c>
      <c r="AQ386" s="7">
        <f>SUM(Exogenous!AX$14,Exogenous!AX$19)</f>
        <v>4.4707094516223931</v>
      </c>
      <c r="AR386" s="7">
        <f>SUM(Exogenous!AY$14,Exogenous!AY$19)</f>
        <v>4.5993607351710653</v>
      </c>
      <c r="AS386" s="7">
        <f>SUM(Exogenous!AZ$14,Exogenous!AZ$19)</f>
        <v>4.7270315572261969</v>
      </c>
      <c r="AT386" s="7">
        <f>SUM(Exogenous!BA$14,Exogenous!BA$19)</f>
        <v>4.8567225039429829</v>
      </c>
      <c r="AU386" s="7">
        <f>SUM(Exogenous!BB$14,Exogenous!BB$19)</f>
        <v>4.9894341790612717</v>
      </c>
      <c r="AV386" s="7">
        <f>SUM(Exogenous!BC$14,Exogenous!BC$19)</f>
        <v>5.1271672044331105</v>
      </c>
      <c r="AW386" s="7">
        <f>SUM(Exogenous!BD$14,Exogenous!BD$19)</f>
        <v>5.2669222205661042</v>
      </c>
    </row>
    <row r="387" spans="1:49" x14ac:dyDescent="0.2">
      <c r="A387" s="1" t="s">
        <v>391</v>
      </c>
      <c r="B387" s="4" t="str">
        <f t="shared" si="238"/>
        <v>From Fiscal</v>
      </c>
      <c r="D387" s="18">
        <f>-Fiscal!D$306</f>
        <v>0.60199999999999998</v>
      </c>
      <c r="E387" s="19">
        <f>-Fiscal!E$306</f>
        <v>0.67</v>
      </c>
      <c r="F387" s="19">
        <f>-Fiscal!F$306</f>
        <v>0.68899999999999995</v>
      </c>
      <c r="G387" s="19">
        <f>-Fiscal!G$306</f>
        <v>0.70299999999999996</v>
      </c>
      <c r="H387" s="19">
        <f>-Fiscal!H$306</f>
        <v>0.70599999999999996</v>
      </c>
      <c r="I387" s="19">
        <f>-Fiscal!I$306</f>
        <v>0.71699999999999997</v>
      </c>
      <c r="J387" s="7">
        <f>Exogenous!Q$15</f>
        <v>0.72199999999999998</v>
      </c>
      <c r="K387" s="7">
        <f>Exogenous!R$15</f>
        <v>0.72699999999999998</v>
      </c>
      <c r="L387" s="7">
        <f>Exogenous!S$15</f>
        <v>0.74099999999999999</v>
      </c>
      <c r="M387" s="7">
        <f>Exogenous!T$15</f>
        <v>0.755</v>
      </c>
      <c r="N387" s="7">
        <f>Exogenous!U$15</f>
        <v>0.78</v>
      </c>
      <c r="O387" s="7">
        <f>Exogenous!V$15</f>
        <v>0.80200000000000005</v>
      </c>
      <c r="P387" s="7">
        <f>Exogenous!W$15</f>
        <v>0.82699999999999996</v>
      </c>
      <c r="Q387" s="7">
        <f>Exogenous!X$15</f>
        <v>0.85199999999999998</v>
      </c>
      <c r="R387" s="7">
        <f>Exogenous!Y$15</f>
        <v>0.874</v>
      </c>
      <c r="S387" s="7">
        <f>Exogenous!Z$15</f>
        <v>0.89600000000000002</v>
      </c>
      <c r="T387" s="7">
        <f>Exogenous!AA$15</f>
        <v>0.92200000000000004</v>
      </c>
      <c r="U387" s="7">
        <f>Exogenous!AB$15</f>
        <v>0.94500000000000006</v>
      </c>
      <c r="V387" s="7">
        <f>Exogenous!AC$15</f>
        <v>0.96700000000000008</v>
      </c>
      <c r="W387" s="7">
        <f>Exogenous!AD$15</f>
        <v>0.9890000000000001</v>
      </c>
      <c r="X387" s="7">
        <f>Exogenous!AE$15</f>
        <v>1.0110000000000001</v>
      </c>
      <c r="Y387" s="7">
        <f>Exogenous!AF$15</f>
        <v>1.0350000000000001</v>
      </c>
      <c r="Z387" s="7">
        <f>Exogenous!AG$15</f>
        <v>1.0640000000000001</v>
      </c>
      <c r="AA387" s="7">
        <f>Exogenous!AH$15</f>
        <v>1.0920000000000001</v>
      </c>
      <c r="AB387" s="7">
        <f>Exogenous!AI$15</f>
        <v>1.125</v>
      </c>
      <c r="AC387" s="7">
        <f>Exogenous!AJ$15</f>
        <v>1.1619999999999999</v>
      </c>
      <c r="AD387" s="7">
        <f>Exogenous!AK$15</f>
        <v>1.1949999999999998</v>
      </c>
      <c r="AE387" s="7">
        <f>Exogenous!AL$15</f>
        <v>1.2299999999999998</v>
      </c>
      <c r="AF387" s="7">
        <f>Exogenous!AM$15</f>
        <v>1.2629999999999997</v>
      </c>
      <c r="AG387" s="7">
        <f>Exogenous!AN$15</f>
        <v>1.2969999999999997</v>
      </c>
      <c r="AH387" s="7">
        <f>Exogenous!AO$15</f>
        <v>1.3399999999999996</v>
      </c>
      <c r="AI387" s="7">
        <f>Exogenous!AP$15</f>
        <v>1.3819999999999997</v>
      </c>
      <c r="AJ387" s="7">
        <f>Exogenous!AQ$15</f>
        <v>1.4199999999999997</v>
      </c>
      <c r="AK387" s="7">
        <f>Exogenous!AR$15</f>
        <v>1.4539999999999997</v>
      </c>
      <c r="AL387" s="7">
        <f>Exogenous!AS$15</f>
        <v>1.4869999999999997</v>
      </c>
      <c r="AM387" s="7">
        <f>Exogenous!AT$15</f>
        <v>1.5179999999999996</v>
      </c>
      <c r="AN387" s="7">
        <f>Exogenous!AU$15</f>
        <v>1.5549999999999995</v>
      </c>
      <c r="AO387" s="7">
        <f>Exogenous!AV$15</f>
        <v>1.5919999999999994</v>
      </c>
      <c r="AP387" s="7">
        <f>Exogenous!AW$15</f>
        <v>1.6259999999999994</v>
      </c>
      <c r="AQ387" s="7">
        <f>Exogenous!AX$15</f>
        <v>1.6659999999999995</v>
      </c>
      <c r="AR387" s="7">
        <f>Exogenous!AY$15</f>
        <v>1.7039999999999995</v>
      </c>
      <c r="AS387" s="7">
        <f>Exogenous!AZ$15</f>
        <v>1.7419999999999995</v>
      </c>
      <c r="AT387" s="7">
        <f>Exogenous!BA$15</f>
        <v>1.7829999999999995</v>
      </c>
      <c r="AU387" s="7">
        <f>Exogenous!BB$15</f>
        <v>1.8249999999999995</v>
      </c>
      <c r="AV387" s="7">
        <f>Exogenous!BC$15</f>
        <v>1.8739999999999994</v>
      </c>
      <c r="AW387" s="7">
        <f>Exogenous!BD$15</f>
        <v>1.9149999999999994</v>
      </c>
    </row>
    <row r="388" spans="1:49" x14ac:dyDescent="0.2">
      <c r="A388" s="1" t="s">
        <v>555</v>
      </c>
      <c r="B388" s="4" t="str">
        <f t="shared" si="238"/>
        <v>From Fiscal</v>
      </c>
      <c r="D388" s="18">
        <f>-Fiscal!D$307</f>
        <v>1.1140000000000001</v>
      </c>
      <c r="E388" s="19">
        <f>-Fiscal!E$307</f>
        <v>1.1910000000000001</v>
      </c>
      <c r="F388" s="19">
        <f>-Fiscal!F$307</f>
        <v>1.2470000000000001</v>
      </c>
      <c r="G388" s="19">
        <f>-Fiscal!G$307</f>
        <v>1.3029999999999999</v>
      </c>
      <c r="H388" s="19">
        <f>-Fiscal!H$307</f>
        <v>1.3779999999999999</v>
      </c>
      <c r="I388" s="19">
        <f>-Fiscal!I$307</f>
        <v>1.419</v>
      </c>
      <c r="J388" s="7">
        <f>Exogenous!Q$16</f>
        <v>1.3839999999999999</v>
      </c>
      <c r="K388" s="7">
        <f>Exogenous!R$16</f>
        <v>1.4590000000000001</v>
      </c>
      <c r="L388" s="7">
        <f>Exogenous!S$16</f>
        <v>1.5269999999999999</v>
      </c>
      <c r="M388" s="7">
        <f>Exogenous!T$16</f>
        <v>1.589</v>
      </c>
      <c r="N388" s="7">
        <f>Exogenous!U$16</f>
        <v>1.6479999999999999</v>
      </c>
      <c r="O388" s="7">
        <f>Exogenous!V$16</f>
        <v>1.7050000000000001</v>
      </c>
      <c r="P388" s="7">
        <f>Exogenous!W$16</f>
        <v>1.756</v>
      </c>
      <c r="Q388" s="7">
        <f>Exogenous!X$16</f>
        <v>1.8140000000000001</v>
      </c>
      <c r="R388" s="7">
        <f>Exogenous!Y$16</f>
        <v>1.871</v>
      </c>
      <c r="S388" s="7">
        <f>Exogenous!Z$16</f>
        <v>1.93</v>
      </c>
      <c r="T388" s="7">
        <f>Exogenous!AA$16</f>
        <v>1.9909999999999999</v>
      </c>
      <c r="U388" s="7">
        <f>Exogenous!AB$16</f>
        <v>2.0419999999999998</v>
      </c>
      <c r="V388" s="7">
        <f>Exogenous!AC$16</f>
        <v>2.0979999999999999</v>
      </c>
      <c r="W388" s="7">
        <f>Exogenous!AD$16</f>
        <v>2.1559999999999997</v>
      </c>
      <c r="X388" s="7">
        <f>Exogenous!AE$16</f>
        <v>2.2259999999999995</v>
      </c>
      <c r="Y388" s="7">
        <f>Exogenous!AF$16</f>
        <v>2.2939999999999996</v>
      </c>
      <c r="Z388" s="7">
        <f>Exogenous!AG$16</f>
        <v>2.3609999999999998</v>
      </c>
      <c r="AA388" s="7">
        <f>Exogenous!AH$16</f>
        <v>2.4149999999999996</v>
      </c>
      <c r="AB388" s="7">
        <f>Exogenous!AI$16</f>
        <v>2.4789999999999996</v>
      </c>
      <c r="AC388" s="7">
        <f>Exogenous!AJ$16</f>
        <v>2.5419999999999998</v>
      </c>
      <c r="AD388" s="7">
        <f>Exogenous!AK$16</f>
        <v>2.6139999999999999</v>
      </c>
      <c r="AE388" s="7">
        <f>Exogenous!AL$16</f>
        <v>2.6789999999999998</v>
      </c>
      <c r="AF388" s="7">
        <f>Exogenous!AM$16</f>
        <v>2.7439999999999998</v>
      </c>
      <c r="AG388" s="7">
        <f>Exogenous!AN$16</f>
        <v>2.831</v>
      </c>
      <c r="AH388" s="7">
        <f>Exogenous!AO$16</f>
        <v>2.9289999999999998</v>
      </c>
      <c r="AI388" s="7">
        <f>Exogenous!AP$16</f>
        <v>3.0369999999999999</v>
      </c>
      <c r="AJ388" s="7">
        <f>Exogenous!AQ$16</f>
        <v>3.13</v>
      </c>
      <c r="AK388" s="7">
        <f>Exogenous!AR$16</f>
        <v>3.222</v>
      </c>
      <c r="AL388" s="7">
        <f>Exogenous!AS$16</f>
        <v>3.3290000000000002</v>
      </c>
      <c r="AM388" s="7">
        <f>Exogenous!AT$16</f>
        <v>3.4340000000000002</v>
      </c>
      <c r="AN388" s="7">
        <f>Exogenous!AU$16</f>
        <v>3.5609999999999999</v>
      </c>
      <c r="AO388" s="7">
        <f>Exogenous!AV$16</f>
        <v>3.6619999999999999</v>
      </c>
      <c r="AP388" s="7">
        <f>Exogenous!AW$16</f>
        <v>3.7759999999999998</v>
      </c>
      <c r="AQ388" s="7">
        <f>Exogenous!AX$16</f>
        <v>3.8979999999999997</v>
      </c>
      <c r="AR388" s="7">
        <f>Exogenous!AY$16</f>
        <v>4.0190000000000001</v>
      </c>
      <c r="AS388" s="7">
        <f>Exogenous!AZ$16</f>
        <v>4.1230000000000002</v>
      </c>
      <c r="AT388" s="7">
        <f>Exogenous!BA$16</f>
        <v>4.2560000000000002</v>
      </c>
      <c r="AU388" s="7">
        <f>Exogenous!BB$16</f>
        <v>4.3959999999999999</v>
      </c>
      <c r="AV388" s="7">
        <f>Exogenous!BC$16</f>
        <v>4.5169999999999995</v>
      </c>
      <c r="AW388" s="7">
        <f>Exogenous!BD$16</f>
        <v>4.6259999999999994</v>
      </c>
    </row>
    <row r="389" spans="1:49" x14ac:dyDescent="0.2">
      <c r="A389" s="1" t="s">
        <v>92</v>
      </c>
      <c r="B389" s="4" t="str">
        <f t="shared" si="238"/>
        <v>From Fiscal</v>
      </c>
      <c r="D389" s="18">
        <f>Fiscal!D$308</f>
        <v>0.60399999999999998</v>
      </c>
      <c r="E389" s="19">
        <f>Fiscal!E$308</f>
        <v>0.59399999999999997</v>
      </c>
      <c r="F389" s="19">
        <f>Fiscal!F$308</f>
        <v>0.60799999999999998</v>
      </c>
      <c r="G389" s="19">
        <f>Fiscal!G$308</f>
        <v>0.61699999999999999</v>
      </c>
      <c r="H389" s="19">
        <f>Fiscal!H$308</f>
        <v>0.622</v>
      </c>
      <c r="I389" s="19">
        <f>Fiscal!I$308</f>
        <v>0.625</v>
      </c>
      <c r="J389" s="7">
        <f>Exogenous!Q$17</f>
        <v>0.63900000000000001</v>
      </c>
      <c r="K389" s="7">
        <f>Exogenous!R$17</f>
        <v>0.66400000000000003</v>
      </c>
      <c r="L389" s="7">
        <f>Exogenous!S$17</f>
        <v>0.68400000000000005</v>
      </c>
      <c r="M389" s="7">
        <f>Exogenous!T$17</f>
        <v>0.71099999999999997</v>
      </c>
      <c r="N389" s="7">
        <f>Exogenous!U$17</f>
        <v>0.72899999999999998</v>
      </c>
      <c r="O389" s="7">
        <f>Exogenous!V$17</f>
        <v>0.746</v>
      </c>
      <c r="P389" s="7">
        <f>Exogenous!W$17</f>
        <v>0.76300000000000001</v>
      </c>
      <c r="Q389" s="7">
        <f>Exogenous!X$17</f>
        <v>0.78500000000000003</v>
      </c>
      <c r="R389" s="7">
        <f>Exogenous!Y$17</f>
        <v>0.80400000000000005</v>
      </c>
      <c r="S389" s="7">
        <f>Exogenous!Z$17</f>
        <v>0.82599999999999996</v>
      </c>
      <c r="T389" s="7">
        <f>Exogenous!AA$17</f>
        <v>0.85</v>
      </c>
      <c r="U389" s="7">
        <f>Exogenous!AB$17</f>
        <v>0.87</v>
      </c>
      <c r="V389" s="7">
        <f>Exogenous!AC$17</f>
        <v>0.89300000000000002</v>
      </c>
      <c r="W389" s="7">
        <f>Exogenous!AD$17</f>
        <v>0.91600000000000004</v>
      </c>
      <c r="X389" s="7">
        <f>Exogenous!AE$17</f>
        <v>0.94100000000000006</v>
      </c>
      <c r="Y389" s="7">
        <f>Exogenous!AF$17</f>
        <v>0.96400000000000008</v>
      </c>
      <c r="Z389" s="7">
        <f>Exogenous!AG$17</f>
        <v>0.9890000000000001</v>
      </c>
      <c r="AA389" s="7">
        <f>Exogenous!AH$17</f>
        <v>1.012</v>
      </c>
      <c r="AB389" s="7">
        <f>Exogenous!AI$17</f>
        <v>1.0409999999999999</v>
      </c>
      <c r="AC389" s="7">
        <f>Exogenous!AJ$17</f>
        <v>1.0669999999999999</v>
      </c>
      <c r="AD389" s="7">
        <f>Exogenous!AK$17</f>
        <v>1.0979999999999999</v>
      </c>
      <c r="AE389" s="7">
        <f>Exogenous!AL$17</f>
        <v>1.1299999999999999</v>
      </c>
      <c r="AF389" s="7">
        <f>Exogenous!AM$17</f>
        <v>1.1619999999999999</v>
      </c>
      <c r="AG389" s="7">
        <f>Exogenous!AN$17</f>
        <v>1.2009999999999998</v>
      </c>
      <c r="AH389" s="7">
        <f>Exogenous!AO$17</f>
        <v>1.2369999999999999</v>
      </c>
      <c r="AI389" s="7">
        <f>Exogenous!AP$17</f>
        <v>1.2749999999999999</v>
      </c>
      <c r="AJ389" s="7">
        <f>Exogenous!AQ$17</f>
        <v>1.3129999999999999</v>
      </c>
      <c r="AK389" s="7">
        <f>Exogenous!AR$17</f>
        <v>1.3499999999999999</v>
      </c>
      <c r="AL389" s="7">
        <f>Exogenous!AS$17</f>
        <v>1.3939999999999999</v>
      </c>
      <c r="AM389" s="7">
        <f>Exogenous!AT$17</f>
        <v>1.4309999999999998</v>
      </c>
      <c r="AN389" s="7">
        <f>Exogenous!AU$17</f>
        <v>1.4729999999999999</v>
      </c>
      <c r="AO389" s="7">
        <f>Exogenous!AV$17</f>
        <v>1.5119999999999998</v>
      </c>
      <c r="AP389" s="7">
        <f>Exogenous!AW$17</f>
        <v>1.5539999999999998</v>
      </c>
      <c r="AQ389" s="7">
        <f>Exogenous!AX$17</f>
        <v>1.5929999999999997</v>
      </c>
      <c r="AR389" s="7">
        <f>Exogenous!AY$17</f>
        <v>1.6349999999999998</v>
      </c>
      <c r="AS389" s="7">
        <f>Exogenous!AZ$17</f>
        <v>1.6749999999999998</v>
      </c>
      <c r="AT389" s="7">
        <f>Exogenous!BA$17</f>
        <v>1.7189999999999999</v>
      </c>
      <c r="AU389" s="7">
        <f>Exogenous!BB$17</f>
        <v>1.7599999999999998</v>
      </c>
      <c r="AV389" s="7">
        <f>Exogenous!BC$17</f>
        <v>1.7989999999999997</v>
      </c>
      <c r="AW389" s="7">
        <f>Exogenous!BD$17</f>
        <v>1.8419999999999996</v>
      </c>
    </row>
    <row r="390" spans="1:49" x14ac:dyDescent="0.2">
      <c r="A390" s="1" t="s">
        <v>556</v>
      </c>
      <c r="B390" s="4" t="str">
        <f t="shared" si="238"/>
        <v>From Fiscal</v>
      </c>
      <c r="D390" s="18">
        <f>-Fiscal!D$309</f>
        <v>0.26900000000000002</v>
      </c>
      <c r="E390" s="19">
        <f>-Fiscal!E$309</f>
        <v>4.9000000000000002E-2</v>
      </c>
      <c r="F390" s="19">
        <f>-Fiscal!F$309</f>
        <v>0.1</v>
      </c>
      <c r="G390" s="19">
        <f>-Fiscal!G$309</f>
        <v>0.1</v>
      </c>
      <c r="H390" s="19">
        <f>-Fiscal!H$309</f>
        <v>0.1</v>
      </c>
      <c r="I390" s="19">
        <f>-Fiscal!I$309</f>
        <v>0.1</v>
      </c>
      <c r="J390" s="7">
        <f>Exogenous!Q$18</f>
        <v>0</v>
      </c>
      <c r="K390" s="7">
        <f>Exogenous!R$18</f>
        <v>0</v>
      </c>
      <c r="L390" s="7">
        <f>Exogenous!S$18</f>
        <v>0</v>
      </c>
      <c r="M390" s="7">
        <f>Exogenous!T$18</f>
        <v>0</v>
      </c>
      <c r="N390" s="7">
        <f>Exogenous!U$18</f>
        <v>0</v>
      </c>
      <c r="O390" s="7">
        <f>Exogenous!V$18</f>
        <v>0</v>
      </c>
      <c r="P390" s="7">
        <f>Exogenous!W$18</f>
        <v>0</v>
      </c>
      <c r="Q390" s="7">
        <f>Exogenous!X$18</f>
        <v>0</v>
      </c>
      <c r="R390" s="7">
        <f>Exogenous!Y$18</f>
        <v>0</v>
      </c>
      <c r="S390" s="7">
        <f>Exogenous!Z$18</f>
        <v>0</v>
      </c>
      <c r="T390" s="7">
        <f>Exogenous!AA$18</f>
        <v>0</v>
      </c>
      <c r="U390" s="7">
        <f>Exogenous!AB$18</f>
        <v>0</v>
      </c>
      <c r="V390" s="7">
        <f>Exogenous!AC$18</f>
        <v>0</v>
      </c>
      <c r="W390" s="7">
        <f>Exogenous!AD$18</f>
        <v>0</v>
      </c>
      <c r="X390" s="7">
        <f>Exogenous!AE$18</f>
        <v>0</v>
      </c>
      <c r="Y390" s="7">
        <f>Exogenous!AF$18</f>
        <v>0</v>
      </c>
      <c r="Z390" s="7">
        <f>Exogenous!AG$18</f>
        <v>0</v>
      </c>
      <c r="AA390" s="7">
        <f>Exogenous!AH$18</f>
        <v>0</v>
      </c>
      <c r="AB390" s="7">
        <f>Exogenous!AI$18</f>
        <v>0</v>
      </c>
      <c r="AC390" s="7">
        <f>Exogenous!AJ$18</f>
        <v>0</v>
      </c>
      <c r="AD390" s="7">
        <f>Exogenous!AK$18</f>
        <v>0</v>
      </c>
      <c r="AE390" s="7">
        <f>Exogenous!AL$18</f>
        <v>0</v>
      </c>
      <c r="AF390" s="7">
        <f>Exogenous!AM$18</f>
        <v>0</v>
      </c>
      <c r="AG390" s="7">
        <f>Exogenous!AN$18</f>
        <v>0</v>
      </c>
      <c r="AH390" s="7">
        <f>Exogenous!AO$18</f>
        <v>0</v>
      </c>
      <c r="AI390" s="7">
        <f>Exogenous!AP$18</f>
        <v>0</v>
      </c>
      <c r="AJ390" s="7">
        <f>Exogenous!AQ$18</f>
        <v>0</v>
      </c>
      <c r="AK390" s="7">
        <f>Exogenous!AR$18</f>
        <v>0</v>
      </c>
      <c r="AL390" s="7">
        <f>Exogenous!AS$18</f>
        <v>0</v>
      </c>
      <c r="AM390" s="7">
        <f>Exogenous!AT$18</f>
        <v>0</v>
      </c>
      <c r="AN390" s="7">
        <f>Exogenous!AU$18</f>
        <v>0</v>
      </c>
      <c r="AO390" s="7">
        <f>Exogenous!AV$18</f>
        <v>0</v>
      </c>
      <c r="AP390" s="7">
        <f>Exogenous!AW$18</f>
        <v>0</v>
      </c>
      <c r="AQ390" s="7">
        <f>Exogenous!AX$18</f>
        <v>0</v>
      </c>
      <c r="AR390" s="7">
        <f>Exogenous!AY$18</f>
        <v>0</v>
      </c>
      <c r="AS390" s="7">
        <f>Exogenous!AZ$18</f>
        <v>0</v>
      </c>
      <c r="AT390" s="7">
        <f>Exogenous!BA$18</f>
        <v>0</v>
      </c>
      <c r="AU390" s="7">
        <f>Exogenous!BB$18</f>
        <v>0</v>
      </c>
      <c r="AV390" s="7">
        <f>Exogenous!BC$18</f>
        <v>0</v>
      </c>
      <c r="AW390" s="7">
        <f>Exogenous!BD$18</f>
        <v>0</v>
      </c>
    </row>
    <row r="391" spans="1:49" x14ac:dyDescent="0.2">
      <c r="A391" s="1" t="s">
        <v>94</v>
      </c>
      <c r="B391" s="4" t="str">
        <f t="shared" si="238"/>
        <v>From Fiscal</v>
      </c>
      <c r="D391" s="18">
        <f>Fiscal!D$310</f>
        <v>1.0999999999999999E-2</v>
      </c>
      <c r="E391" s="19">
        <f>Fiscal!E$310</f>
        <v>0.01</v>
      </c>
      <c r="F391" s="19">
        <f>Fiscal!F$310</f>
        <v>1.0999999999999999E-2</v>
      </c>
      <c r="G391" s="19">
        <f>Fiscal!G$310</f>
        <v>0.01</v>
      </c>
      <c r="H391" s="19">
        <f>Fiscal!H$310</f>
        <v>1.0999999999999999E-2</v>
      </c>
      <c r="I391" s="19">
        <f>Fiscal!I$310</f>
        <v>0.01</v>
      </c>
      <c r="J391" s="7">
        <f ca="1">IF(J$6=OFFSET(Assumptions!$B$8,0,$C$1),0,I$391)</f>
        <v>0</v>
      </c>
      <c r="K391" s="7">
        <f ca="1">IF(K$6=OFFSET(Assumptions!$B$8,0,$C$1),0,J$391)</f>
        <v>0</v>
      </c>
      <c r="L391" s="7">
        <f ca="1">IF(L$6=OFFSET(Assumptions!$B$8,0,$C$1),0,K$391)</f>
        <v>0</v>
      </c>
      <c r="M391" s="7">
        <f ca="1">IF(M$6=OFFSET(Assumptions!$B$8,0,$C$1),0,L$391)</f>
        <v>0</v>
      </c>
      <c r="N391" s="7">
        <f ca="1">IF(N$6=OFFSET(Assumptions!$B$8,0,$C$1),0,M$391)</f>
        <v>0</v>
      </c>
      <c r="O391" s="7">
        <f ca="1">IF(O$6=OFFSET(Assumptions!$B$8,0,$C$1),0,N$391)</f>
        <v>0</v>
      </c>
      <c r="P391" s="7">
        <f ca="1">IF(P$6=OFFSET(Assumptions!$B$8,0,$C$1),0,O$391)</f>
        <v>0</v>
      </c>
      <c r="Q391" s="7">
        <f ca="1">IF(Q$6=OFFSET(Assumptions!$B$8,0,$C$1),0,P$391)</f>
        <v>0</v>
      </c>
      <c r="R391" s="7">
        <f ca="1">IF(R$6=OFFSET(Assumptions!$B$8,0,$C$1),0,Q$391)</f>
        <v>0</v>
      </c>
      <c r="S391" s="7">
        <f ca="1">IF(S$6=OFFSET(Assumptions!$B$8,0,$C$1),0,R$391)</f>
        <v>0</v>
      </c>
      <c r="T391" s="7">
        <f ca="1">IF(T$6=OFFSET(Assumptions!$B$8,0,$C$1),0,S$391)</f>
        <v>0</v>
      </c>
      <c r="U391" s="7">
        <f ca="1">IF(U$6=OFFSET(Assumptions!$B$8,0,$C$1),0,T$391)</f>
        <v>0</v>
      </c>
      <c r="V391" s="7">
        <f ca="1">IF(V$6=OFFSET(Assumptions!$B$8,0,$C$1),0,U$391)</f>
        <v>0</v>
      </c>
      <c r="W391" s="7">
        <f ca="1">IF(W$6=OFFSET(Assumptions!$B$8,0,$C$1),0,V$391)</f>
        <v>0</v>
      </c>
      <c r="X391" s="7">
        <f ca="1">IF(X$6=OFFSET(Assumptions!$B$8,0,$C$1),0,W$391)</f>
        <v>0</v>
      </c>
      <c r="Y391" s="7">
        <f ca="1">IF(Y$6=OFFSET(Assumptions!$B$8,0,$C$1),0,X$391)</f>
        <v>0</v>
      </c>
      <c r="Z391" s="7">
        <f ca="1">IF(Z$6=OFFSET(Assumptions!$B$8,0,$C$1),0,Y$391)</f>
        <v>0</v>
      </c>
      <c r="AA391" s="7">
        <f ca="1">IF(AA$6=OFFSET(Assumptions!$B$8,0,$C$1),0,Z$391)</f>
        <v>0</v>
      </c>
      <c r="AB391" s="7">
        <f ca="1">IF(AB$6=OFFSET(Assumptions!$B$8,0,$C$1),0,AA$391)</f>
        <v>0</v>
      </c>
      <c r="AC391" s="7">
        <f ca="1">IF(AC$6=OFFSET(Assumptions!$B$8,0,$C$1),0,AB$391)</f>
        <v>0</v>
      </c>
      <c r="AD391" s="7">
        <f ca="1">IF(AD$6=OFFSET(Assumptions!$B$8,0,$C$1),0,AC$391)</f>
        <v>0</v>
      </c>
      <c r="AE391" s="7">
        <f ca="1">IF(AE$6=OFFSET(Assumptions!$B$8,0,$C$1),0,AD$391)</f>
        <v>0</v>
      </c>
      <c r="AF391" s="7">
        <f ca="1">IF(AF$6=OFFSET(Assumptions!$B$8,0,$C$1),0,AE$391)</f>
        <v>0</v>
      </c>
      <c r="AG391" s="7">
        <f ca="1">IF(AG$6=OFFSET(Assumptions!$B$8,0,$C$1),0,AF$391)</f>
        <v>0</v>
      </c>
      <c r="AH391" s="7">
        <f ca="1">IF(AH$6=OFFSET(Assumptions!$B$8,0,$C$1),0,AG$391)</f>
        <v>0</v>
      </c>
      <c r="AI391" s="7">
        <f ca="1">IF(AI$6=OFFSET(Assumptions!$B$8,0,$C$1),0,AH$391)</f>
        <v>0</v>
      </c>
      <c r="AJ391" s="7">
        <f ca="1">IF(AJ$6=OFFSET(Assumptions!$B$8,0,$C$1),0,AI$391)</f>
        <v>0</v>
      </c>
      <c r="AK391" s="7">
        <f ca="1">IF(AK$6=OFFSET(Assumptions!$B$8,0,$C$1),0,AJ$391)</f>
        <v>0</v>
      </c>
      <c r="AL391" s="7">
        <f ca="1">IF(AL$6=OFFSET(Assumptions!$B$8,0,$C$1),0,AK$391)</f>
        <v>0</v>
      </c>
      <c r="AM391" s="7">
        <f ca="1">IF(AM$6=OFFSET(Assumptions!$B$8,0,$C$1),0,AL$391)</f>
        <v>0</v>
      </c>
      <c r="AN391" s="7">
        <f ca="1">IF(AN$6=OFFSET(Assumptions!$B$8,0,$C$1),0,AM$391)</f>
        <v>0</v>
      </c>
      <c r="AO391" s="7">
        <f ca="1">IF(AO$6=OFFSET(Assumptions!$B$8,0,$C$1),0,AN$391)</f>
        <v>0</v>
      </c>
      <c r="AP391" s="7">
        <f ca="1">IF(AP$6=OFFSET(Assumptions!$B$8,0,$C$1),0,AO$391)</f>
        <v>0</v>
      </c>
      <c r="AQ391" s="7">
        <f ca="1">IF(AQ$6=OFFSET(Assumptions!$B$8,0,$C$1),0,AP$391)</f>
        <v>0</v>
      </c>
      <c r="AR391" s="7">
        <f ca="1">IF(AR$6=OFFSET(Assumptions!$B$8,0,$C$1),0,AQ$391)</f>
        <v>0</v>
      </c>
      <c r="AS391" s="7">
        <f ca="1">IF(AS$6=OFFSET(Assumptions!$B$8,0,$C$1),0,AR$391)</f>
        <v>0</v>
      </c>
      <c r="AT391" s="7">
        <f ca="1">IF(AT$6=OFFSET(Assumptions!$B$8,0,$C$1),0,AS$391)</f>
        <v>0</v>
      </c>
      <c r="AU391" s="7">
        <f ca="1">IF(AU$6=OFFSET(Assumptions!$B$8,0,$C$1),0,AT$391)</f>
        <v>0</v>
      </c>
      <c r="AV391" s="7">
        <f ca="1">IF(AV$6=OFFSET(Assumptions!$B$8,0,$C$1),0,AU$391)</f>
        <v>0</v>
      </c>
      <c r="AW391" s="7">
        <f ca="1">IF(AW$6=OFFSET(Assumptions!$B$8,0,$C$1),0,AV$391)</f>
        <v>0</v>
      </c>
    </row>
    <row r="392" spans="1:49" ht="15" x14ac:dyDescent="0.25">
      <c r="A392" s="2" t="s">
        <v>549</v>
      </c>
      <c r="C392" s="69">
        <f>Fiscal!C$302</f>
        <v>8.7159999999999993</v>
      </c>
      <c r="D392" s="40">
        <f>SUM(C$392,D$386,D$389,D$391)-SUM(D$387,D$388,D$390)</f>
        <v>8.8639999999999972</v>
      </c>
      <c r="E392" s="39">
        <f t="shared" ref="E392:I392" si="239">SUM(D$392,E$386,E$389,E$391)-SUM(E$387,E$388,E$390)</f>
        <v>9.096999999999996</v>
      </c>
      <c r="F392" s="39">
        <f t="shared" si="239"/>
        <v>9.2599999999999962</v>
      </c>
      <c r="G392" s="39">
        <f t="shared" si="239"/>
        <v>9.394999999999996</v>
      </c>
      <c r="H392" s="39">
        <f t="shared" si="239"/>
        <v>9.4629999999999956</v>
      </c>
      <c r="I392" s="39">
        <f t="shared" si="239"/>
        <v>9.5079999999999938</v>
      </c>
      <c r="J392" s="43">
        <f t="shared" ref="J392:AW392" ca="1" si="240">SUM(I$392,J$386,J$389,J$391)-SUM(J$387,J$388,J$390)</f>
        <v>9.7379999999999924</v>
      </c>
      <c r="K392" s="43">
        <f t="shared" ca="1" si="240"/>
        <v>9.9619999999999926</v>
      </c>
      <c r="L392" s="43">
        <f t="shared" ca="1" si="240"/>
        <v>10.179999999999993</v>
      </c>
      <c r="M392" s="43">
        <f t="shared" ca="1" si="240"/>
        <v>10.406999999999993</v>
      </c>
      <c r="N392" s="43">
        <f t="shared" ca="1" si="240"/>
        <v>10.627999999999993</v>
      </c>
      <c r="O392" s="43">
        <f t="shared" ca="1" si="240"/>
        <v>10.850999999999994</v>
      </c>
      <c r="P392" s="43">
        <f t="shared" ca="1" si="240"/>
        <v>11.080999999999994</v>
      </c>
      <c r="Q392" s="43">
        <f t="shared" ca="1" si="240"/>
        <v>11.317999999999994</v>
      </c>
      <c r="R392" s="43">
        <f t="shared" ca="1" si="240"/>
        <v>11.560999999999996</v>
      </c>
      <c r="S392" s="43">
        <f t="shared" ca="1" si="240"/>
        <v>11.808999999999996</v>
      </c>
      <c r="T392" s="43">
        <f t="shared" ca="1" si="240"/>
        <v>12.060999999999995</v>
      </c>
      <c r="U392" s="43">
        <f t="shared" ca="1" si="240"/>
        <v>12.322329999999994</v>
      </c>
      <c r="V392" s="43">
        <f t="shared" ca="1" si="240"/>
        <v>12.588999899999996</v>
      </c>
      <c r="W392" s="43">
        <f t="shared" ca="1" si="240"/>
        <v>12.861019896999995</v>
      </c>
      <c r="X392" s="43">
        <f t="shared" ca="1" si="240"/>
        <v>13.128400493909995</v>
      </c>
      <c r="Y392" s="43">
        <f t="shared" ca="1" si="240"/>
        <v>13.393152508727294</v>
      </c>
      <c r="Z392" s="43">
        <f t="shared" ca="1" si="240"/>
        <v>13.660287083989111</v>
      </c>
      <c r="AA392" s="43">
        <f t="shared" ca="1" si="240"/>
        <v>13.947815696508785</v>
      </c>
      <c r="AB392" s="43">
        <f t="shared" ca="1" si="240"/>
        <v>14.254750167404051</v>
      </c>
      <c r="AC392" s="43">
        <f t="shared" ca="1" si="240"/>
        <v>14.580102672426172</v>
      </c>
      <c r="AD392" s="43">
        <f t="shared" ca="1" si="240"/>
        <v>14.926885752598958</v>
      </c>
      <c r="AE392" s="43">
        <f t="shared" ca="1" si="240"/>
        <v>15.305112325176928</v>
      </c>
      <c r="AF392" s="43">
        <f t="shared" ca="1" si="240"/>
        <v>15.718795694932234</v>
      </c>
      <c r="AG392" s="43">
        <f t="shared" ca="1" si="240"/>
        <v>16.152949565780201</v>
      </c>
      <c r="AH392" s="43">
        <f t="shared" ca="1" si="240"/>
        <v>16.587588052753606</v>
      </c>
      <c r="AI392" s="43">
        <f t="shared" ca="1" si="240"/>
        <v>17.015725694336211</v>
      </c>
      <c r="AJ392" s="43">
        <f t="shared" ca="1" si="240"/>
        <v>17.457377465166296</v>
      </c>
      <c r="AK392" s="43">
        <f t="shared" ca="1" si="240"/>
        <v>17.915558789121285</v>
      </c>
      <c r="AL392" s="43">
        <f t="shared" ca="1" si="240"/>
        <v>18.385285552794922</v>
      </c>
      <c r="AM392" s="43">
        <f t="shared" ca="1" si="240"/>
        <v>18.864574119378773</v>
      </c>
      <c r="AN392" s="43">
        <f t="shared" ca="1" si="240"/>
        <v>19.333441342960136</v>
      </c>
      <c r="AO392" s="43">
        <f t="shared" ca="1" si="240"/>
        <v>19.818904583248944</v>
      </c>
      <c r="AP392" s="43">
        <f t="shared" ca="1" si="240"/>
        <v>20.316981720746412</v>
      </c>
      <c r="AQ392" s="43">
        <f t="shared" ca="1" si="240"/>
        <v>20.816691172368806</v>
      </c>
      <c r="AR392" s="43">
        <f t="shared" ca="1" si="240"/>
        <v>21.328051907539873</v>
      </c>
      <c r="AS392" s="43">
        <f t="shared" ca="1" si="240"/>
        <v>21.865083464766073</v>
      </c>
      <c r="AT392" s="43">
        <f t="shared" ca="1" si="240"/>
        <v>22.401805968709056</v>
      </c>
      <c r="AU392" s="43">
        <f t="shared" ca="1" si="240"/>
        <v>22.930240147770323</v>
      </c>
      <c r="AV392" s="43">
        <f t="shared" ca="1" si="240"/>
        <v>23.465407352203435</v>
      </c>
      <c r="AW392" s="43">
        <f t="shared" ca="1" si="240"/>
        <v>24.033329572769539</v>
      </c>
    </row>
    <row r="393" spans="1:49" ht="15" x14ac:dyDescent="0.25">
      <c r="A393" s="2"/>
      <c r="D393" s="55"/>
      <c r="E393" s="56"/>
      <c r="F393" s="56"/>
      <c r="G393" s="56"/>
      <c r="H393" s="56"/>
      <c r="I393" s="56"/>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row>
    <row r="394" spans="1:49" x14ac:dyDescent="0.2">
      <c r="A394" s="22" t="s">
        <v>237</v>
      </c>
    </row>
    <row r="395" spans="1:49" ht="15" x14ac:dyDescent="0.25">
      <c r="A395" s="2" t="s">
        <v>641</v>
      </c>
      <c r="B395" s="4" t="str">
        <f t="shared" ref="B395:B400" si="241">$B$43</f>
        <v>From Fiscal</v>
      </c>
      <c r="D395" s="47">
        <f>ROUND(Fiscal!D$175*D$396/SUM(D$396,D$400),3)</f>
        <v>0.45500000000000002</v>
      </c>
      <c r="E395" s="44">
        <f>ROUND(Fiscal!E$175*E$396/SUM(E$396,E$400),3)</f>
        <v>0.49299999999999999</v>
      </c>
      <c r="F395" s="44">
        <f>ROUND(Fiscal!F$175*F$396/SUM(F$396,F$400),3)</f>
        <v>0.44600000000000001</v>
      </c>
      <c r="G395" s="44">
        <f>ROUND(Fiscal!G$175*G$396/SUM(G$396,G$400),3)</f>
        <v>0.44400000000000001</v>
      </c>
      <c r="H395" s="44">
        <f>ROUND(Fiscal!H$175*H$396/SUM(H$396,H$400),3)</f>
        <v>0.441</v>
      </c>
      <c r="I395" s="44">
        <f>ROUND(Fiscal!I$175*I$396/SUM(I$396,I$400),3)</f>
        <v>0.437</v>
      </c>
      <c r="J395" s="8">
        <f ca="1">(I$395/I$14+ IF(J$2&gt;0,J$2*IF(J$6=OFFSET(Assumptions!$B$8,0,$C$1),SUMPRODUCT(OFFSET(I$395,0,0,1,-OFFSET(Assumptions!$B$67,0,$C$1)),OFFSET(I$16,0,0,1,-OFFSET(Assumptions!$B$67,0,$C$1)))/OFFSET(Assumptions!$B$67,0,$C$1)-I$395/I$14,(I$395/I$14-H$395/H$14)/I$2),0))*J$14</f>
        <v>0.46357833028745371</v>
      </c>
      <c r="K395" s="8">
        <f ca="1">(J$395/J$14+ IF(K$2&gt;0,K$2*IF(K$6=OFFSET(Assumptions!$B$8,0,$C$1),SUMPRODUCT(OFFSET(J$395,0,0,1,-OFFSET(Assumptions!$B$67,0,$C$1)),OFFSET(J$16,0,0,1,-OFFSET(Assumptions!$B$67,0,$C$1)))/OFFSET(Assumptions!$B$67,0,$C$1)-J$395/J$14,(J$395/J$14-I$395/I$14)/J$2),0))*K$14</f>
        <v>0.48975583265693579</v>
      </c>
      <c r="L395" s="8">
        <f ca="1">(K$395/K$14+ IF(L$2&gt;0,L$2*IF(L$6=OFFSET(Assumptions!$B$8,0,$C$1),SUMPRODUCT(OFFSET(K$395,0,0,1,-OFFSET(Assumptions!$B$67,0,$C$1)),OFFSET(K$16,0,0,1,-OFFSET(Assumptions!$B$67,0,$C$1)))/OFFSET(Assumptions!$B$67,0,$C$1)-K$395/K$14,(K$395/K$14-J$395/J$14)/K$2),0))*L$14</f>
        <v>0.51630900213199316</v>
      </c>
      <c r="M395" s="8">
        <f ca="1">(L$395/L$14+ IF(M$2&gt;0,M$2*IF(M$6=OFFSET(Assumptions!$B$8,0,$C$1),SUMPRODUCT(OFFSET(L$395,0,0,1,-OFFSET(Assumptions!$B$67,0,$C$1)),OFFSET(L$16,0,0,1,-OFFSET(Assumptions!$B$67,0,$C$1)))/OFFSET(Assumptions!$B$67,0,$C$1)-L$395/L$14,(L$395/L$14-K$395/K$14)/L$2),0))*M$14</f>
        <v>0.54231996053134357</v>
      </c>
      <c r="N395" s="8">
        <f ca="1">(M$395/M$14+ IF(N$2&gt;0,N$2*IF(N$6=OFFSET(Assumptions!$B$8,0,$C$1),SUMPRODUCT(OFFSET(M$395,0,0,1,-OFFSET(Assumptions!$B$67,0,$C$1)),OFFSET(M$16,0,0,1,-OFFSET(Assumptions!$B$67,0,$C$1)))/OFFSET(Assumptions!$B$67,0,$C$1)-M$395/M$14,(M$395/M$14-L$395/L$14)/M$2),0))*N$14</f>
        <v>0.56764024278843028</v>
      </c>
      <c r="O395" s="8">
        <f ca="1">(N$395/N$14+ IF(O$2&gt;0,O$2*IF(O$6=OFFSET(Assumptions!$B$8,0,$C$1),SUMPRODUCT(OFFSET(N$395,0,0,1,-OFFSET(Assumptions!$B$67,0,$C$1)),OFFSET(N$16,0,0,1,-OFFSET(Assumptions!$B$67,0,$C$1)))/OFFSET(Assumptions!$B$67,0,$C$1)-N$395/N$14,(N$395/N$14-M$395/M$14)/N$2),0))*O$14</f>
        <v>0.591870950319764</v>
      </c>
      <c r="P395" s="8">
        <f ca="1">(O$395/O$14+ IF(P$2&gt;0,P$2*IF(P$6=OFFSET(Assumptions!$B$8,0,$C$1),SUMPRODUCT(OFFSET(O$395,0,0,1,-OFFSET(Assumptions!$B$67,0,$C$1)),OFFSET(O$16,0,0,1,-OFFSET(Assumptions!$B$67,0,$C$1)))/OFFSET(Assumptions!$B$67,0,$C$1)-O$395/O$14,(O$395/O$14-N$395/N$14)/O$2),0))*P$14</f>
        <v>0.61690052247405114</v>
      </c>
      <c r="Q395" s="8">
        <f ca="1">(P$395/P$14+ IF(Q$2&gt;0,Q$2*IF(Q$6=OFFSET(Assumptions!$B$8,0,$C$1),SUMPRODUCT(OFFSET(P$395,0,0,1,-OFFSET(Assumptions!$B$67,0,$C$1)),OFFSET(P$16,0,0,1,-OFFSET(Assumptions!$B$67,0,$C$1)))/OFFSET(Assumptions!$B$67,0,$C$1)-P$395/P$14,(P$395/P$14-O$395/O$14)/P$2),0))*Q$14</f>
        <v>0.64270192271746607</v>
      </c>
      <c r="R395" s="8">
        <f ca="1">(Q$395/Q$14+ IF(R$2&gt;0,R$2*IF(R$6=OFFSET(Assumptions!$B$8,0,$C$1),SUMPRODUCT(OFFSET(Q$395,0,0,1,-OFFSET(Assumptions!$B$67,0,$C$1)),OFFSET(Q$16,0,0,1,-OFFSET(Assumptions!$B$67,0,$C$1)))/OFFSET(Assumptions!$B$67,0,$C$1)-Q$395/Q$14,(Q$395/Q$14-P$395/P$14)/Q$2),0))*R$14</f>
        <v>0.66925600079905578</v>
      </c>
      <c r="S395" s="8">
        <f ca="1">(R$395/R$14+ IF(S$2&gt;0,S$2*IF(S$6=OFFSET(Assumptions!$B$8,0,$C$1),SUMPRODUCT(OFFSET(R$395,0,0,1,-OFFSET(Assumptions!$B$67,0,$C$1)),OFFSET(R$16,0,0,1,-OFFSET(Assumptions!$B$67,0,$C$1)))/OFFSET(Assumptions!$B$67,0,$C$1)-R$395/R$14,(R$395/R$14-Q$395/Q$14)/R$2),0))*S$14</f>
        <v>0.69664714449616394</v>
      </c>
      <c r="T395" s="8">
        <f ca="1">(S$395/S$14+ IF(T$2&gt;0,T$2*IF(T$6=OFFSET(Assumptions!$B$8,0,$C$1),SUMPRODUCT(OFFSET(S$395,0,0,1,-OFFSET(Assumptions!$B$67,0,$C$1)),OFFSET(S$16,0,0,1,-OFFSET(Assumptions!$B$67,0,$C$1)))/OFFSET(Assumptions!$B$67,0,$C$1)-S$395/S$14,(S$395/S$14-R$395/R$14)/S$2),0))*T$14</f>
        <v>0.72488534243152258</v>
      </c>
      <c r="U395" s="8">
        <f ca="1">(T$395/T$14+ IF(U$2&gt;0,U$2*IF(U$6=OFFSET(Assumptions!$B$8,0,$C$1),SUMPRODUCT(OFFSET(T$395,0,0,1,-OFFSET(Assumptions!$B$67,0,$C$1)),OFFSET(T$16,0,0,1,-OFFSET(Assumptions!$B$67,0,$C$1)))/OFFSET(Assumptions!$B$67,0,$C$1)-T$395/T$14,(T$395/T$14-S$395/S$14)/T$2),0))*U$14</f>
        <v>0.75407194075317185</v>
      </c>
      <c r="V395" s="8">
        <f ca="1">(U$395/U$14+ IF(V$2&gt;0,V$2*IF(V$6=OFFSET(Assumptions!$B$8,0,$C$1),SUMPRODUCT(OFFSET(U$395,0,0,1,-OFFSET(Assumptions!$B$67,0,$C$1)),OFFSET(U$16,0,0,1,-OFFSET(Assumptions!$B$67,0,$C$1)))/OFFSET(Assumptions!$B$67,0,$C$1)-U$395/U$14,(U$395/U$14-T$395/T$14)/U$2),0))*V$14</f>
        <v>0.78427898674577601</v>
      </c>
      <c r="W395" s="8">
        <f ca="1">(V$395/V$14+ IF(W$2&gt;0,W$2*IF(W$6=OFFSET(Assumptions!$B$8,0,$C$1),SUMPRODUCT(OFFSET(V$395,0,0,1,-OFFSET(Assumptions!$B$67,0,$C$1)),OFFSET(V$16,0,0,1,-OFFSET(Assumptions!$B$67,0,$C$1)))/OFFSET(Assumptions!$B$67,0,$C$1)-V$395/V$14,(V$395/V$14-U$395/U$14)/V$2),0))*W$14</f>
        <v>0.8155939978409209</v>
      </c>
      <c r="X395" s="8">
        <f ca="1">(W$395/W$14+ IF(X$2&gt;0,X$2*IF(X$6=OFFSET(Assumptions!$B$8,0,$C$1),SUMPRODUCT(OFFSET(W$395,0,0,1,-OFFSET(Assumptions!$B$67,0,$C$1)),OFFSET(W$16,0,0,1,-OFFSET(Assumptions!$B$67,0,$C$1)))/OFFSET(Assumptions!$B$67,0,$C$1)-W$395/W$14,(W$395/W$14-V$395/V$14)/W$2),0))*X$14</f>
        <v>0.84811616300002979</v>
      </c>
      <c r="Y395" s="8">
        <f ca="1">(X$395/X$14+ IF(Y$2&gt;0,Y$2*IF(Y$6=OFFSET(Assumptions!$B$8,0,$C$1),SUMPRODUCT(OFFSET(X$395,0,0,1,-OFFSET(Assumptions!$B$67,0,$C$1)),OFFSET(X$16,0,0,1,-OFFSET(Assumptions!$B$67,0,$C$1)))/OFFSET(Assumptions!$B$67,0,$C$1)-X$395/X$14,(X$395/X$14-W$395/W$14)/X$2),0))*Y$14</f>
        <v>0.88184215738098826</v>
      </c>
      <c r="Z395" s="8">
        <f ca="1">(Y$395/Y$14+ IF(Z$2&gt;0,Z$2*IF(Z$6=OFFSET(Assumptions!$B$8,0,$C$1),SUMPRODUCT(OFFSET(Y$395,0,0,1,-OFFSET(Assumptions!$B$67,0,$C$1)),OFFSET(Y$16,0,0,1,-OFFSET(Assumptions!$B$67,0,$C$1)))/OFFSET(Assumptions!$B$67,0,$C$1)-Y$395/Y$14,(Y$395/Y$14-X$395/X$14)/Y$2),0))*Z$14</f>
        <v>0.91694268990671357</v>
      </c>
      <c r="AA395" s="8">
        <f ca="1">(Z$395/Z$14+ IF(AA$2&gt;0,AA$2*IF(AA$6=OFFSET(Assumptions!$B$8,0,$C$1),SUMPRODUCT(OFFSET(Z$395,0,0,1,-OFFSET(Assumptions!$B$67,0,$C$1)),OFFSET(Z$16,0,0,1,-OFFSET(Assumptions!$B$67,0,$C$1)))/OFFSET(Assumptions!$B$67,0,$C$1)-Z$395/Z$14,(Z$395/Z$14-Y$395/Y$14)/Z$2),0))*AA$14</f>
        <v>0.95347455335987652</v>
      </c>
      <c r="AB395" s="8">
        <f ca="1">(AA$395/AA$14+ IF(AB$2&gt;0,AB$2*IF(AB$6=OFFSET(Assumptions!$B$8,0,$C$1),SUMPRODUCT(OFFSET(AA$395,0,0,1,-OFFSET(Assumptions!$B$67,0,$C$1)),OFFSET(AA$16,0,0,1,-OFFSET(Assumptions!$B$67,0,$C$1)))/OFFSET(Assumptions!$B$67,0,$C$1)-AA$395/AA$14,(AA$395/AA$14-Z$395/Z$14)/AA$2),0))*AB$14</f>
        <v>0.99154745630019037</v>
      </c>
      <c r="AC395" s="8">
        <f ca="1">(AB$395/AB$14+ IF(AC$2&gt;0,AC$2*IF(AC$6=OFFSET(Assumptions!$B$8,0,$C$1),SUMPRODUCT(OFFSET(AB$395,0,0,1,-OFFSET(Assumptions!$B$67,0,$C$1)),OFFSET(AB$16,0,0,1,-OFFSET(Assumptions!$B$67,0,$C$1)))/OFFSET(Assumptions!$B$67,0,$C$1)-AB$395/AB$14,(AB$395/AB$14-AA$395/AA$14)/AB$2),0))*AC$14</f>
        <v>1.0313051291028388</v>
      </c>
      <c r="AD395" s="8">
        <f ca="1">(AC$395/AC$14+ IF(AD$2&gt;0,AD$2*IF(AD$6=OFFSET(Assumptions!$B$8,0,$C$1),SUMPRODUCT(OFFSET(AC$395,0,0,1,-OFFSET(Assumptions!$B$67,0,$C$1)),OFFSET(AC$16,0,0,1,-OFFSET(Assumptions!$B$67,0,$C$1)))/OFFSET(Assumptions!$B$67,0,$C$1)-AC$395/AC$14,(AC$395/AC$14-AB$395/AB$14)/AC$2),0))*AD$14</f>
        <v>1.0727894768453945</v>
      </c>
      <c r="AE395" s="8">
        <f ca="1">(AD$395/AD$14+ IF(AE$2&gt;0,AE$2*IF(AE$6=OFFSET(Assumptions!$B$8,0,$C$1),SUMPRODUCT(OFFSET(AD$395,0,0,1,-OFFSET(Assumptions!$B$67,0,$C$1)),OFFSET(AD$16,0,0,1,-OFFSET(Assumptions!$B$67,0,$C$1)))/OFFSET(Assumptions!$B$67,0,$C$1)-AD$395/AD$14,(AD$395/AD$14-AC$395/AC$14)/AD$2),0))*AE$14</f>
        <v>1.1159624016837548</v>
      </c>
      <c r="AF395" s="8">
        <f ca="1">(AE$395/AE$14+ IF(AF$2&gt;0,AF$2*IF(AF$6=OFFSET(Assumptions!$B$8,0,$C$1),SUMPRODUCT(OFFSET(AE$395,0,0,1,-OFFSET(Assumptions!$B$67,0,$C$1)),OFFSET(AE$16,0,0,1,-OFFSET(Assumptions!$B$67,0,$C$1)))/OFFSET(Assumptions!$B$67,0,$C$1)-AE$395/AE$14,(AE$395/AE$14-AD$395/AD$14)/AE$2),0))*AF$14</f>
        <v>1.1609433458144653</v>
      </c>
      <c r="AG395" s="8">
        <f ca="1">(AF$395/AF$14+ IF(AG$2&gt;0,AG$2*IF(AG$6=OFFSET(Assumptions!$B$8,0,$C$1),SUMPRODUCT(OFFSET(AF$395,0,0,1,-OFFSET(Assumptions!$B$67,0,$C$1)),OFFSET(AF$16,0,0,1,-OFFSET(Assumptions!$B$67,0,$C$1)))/OFFSET(Assumptions!$B$67,0,$C$1)-AF$395/AF$14,(AF$395/AF$14-AE$395/AE$14)/AF$2),0))*AG$14</f>
        <v>1.2077574607005876</v>
      </c>
      <c r="AH395" s="8">
        <f ca="1">(AG$395/AG$14+ IF(AH$2&gt;0,AH$2*IF(AH$6=OFFSET(Assumptions!$B$8,0,$C$1),SUMPRODUCT(OFFSET(AG$395,0,0,1,-OFFSET(Assumptions!$B$67,0,$C$1)),OFFSET(AG$16,0,0,1,-OFFSET(Assumptions!$B$67,0,$C$1)))/OFFSET(Assumptions!$B$67,0,$C$1)-AG$395/AG$14,(AG$395/AG$14-AF$395/AF$14)/AG$2),0))*AH$14</f>
        <v>1.2564798160235999</v>
      </c>
      <c r="AI395" s="8">
        <f ca="1">(AH$395/AH$14+ IF(AI$2&gt;0,AI$2*IF(AI$6=OFFSET(Assumptions!$B$8,0,$C$1),SUMPRODUCT(OFFSET(AH$395,0,0,1,-OFFSET(Assumptions!$B$67,0,$C$1)),OFFSET(AH$16,0,0,1,-OFFSET(Assumptions!$B$67,0,$C$1)))/OFFSET(Assumptions!$B$67,0,$C$1)-AH$395/AH$14,(AH$395/AH$14-AG$395/AG$14)/AH$2),0))*AI$14</f>
        <v>1.3070252777000171</v>
      </c>
      <c r="AJ395" s="8">
        <f ca="1">(AI$395/AI$14+ IF(AJ$2&gt;0,AJ$2*IF(AJ$6=OFFSET(Assumptions!$B$8,0,$C$1),SUMPRODUCT(OFFSET(AI$395,0,0,1,-OFFSET(Assumptions!$B$67,0,$C$1)),OFFSET(AI$16,0,0,1,-OFFSET(Assumptions!$B$67,0,$C$1)))/OFFSET(Assumptions!$B$67,0,$C$1)-AI$395/AI$14,(AI$395/AI$14-AH$395/AH$14)/AI$2),0))*AJ$14</f>
        <v>1.3595557680270307</v>
      </c>
      <c r="AK395" s="8">
        <f ca="1">(AJ$395/AJ$14+ IF(AK$2&gt;0,AK$2*IF(AK$6=OFFSET(Assumptions!$B$8,0,$C$1),SUMPRODUCT(OFFSET(AJ$395,0,0,1,-OFFSET(Assumptions!$B$67,0,$C$1)),OFFSET(AJ$16,0,0,1,-OFFSET(Assumptions!$B$67,0,$C$1)))/OFFSET(Assumptions!$B$67,0,$C$1)-AJ$395/AJ$14,(AJ$395/AJ$14-AI$395/AI$14)/AJ$2),0))*AK$14</f>
        <v>1.4140280738051705</v>
      </c>
      <c r="AL395" s="8">
        <f ca="1">(AK$395/AK$14+ IF(AL$2&gt;0,AL$2*IF(AL$6=OFFSET(Assumptions!$B$8,0,$C$1),SUMPRODUCT(OFFSET(AK$395,0,0,1,-OFFSET(Assumptions!$B$67,0,$C$1)),OFFSET(AK$16,0,0,1,-OFFSET(Assumptions!$B$67,0,$C$1)))/OFFSET(Assumptions!$B$67,0,$C$1)-AK$395/AK$14,(AK$395/AK$14-AJ$395/AJ$14)/AK$2),0))*AL$14</f>
        <v>1.4703992856963839</v>
      </c>
      <c r="AM395" s="8">
        <f ca="1">(AL$395/AL$14+ IF(AM$2&gt;0,AM$2*IF(AM$6=OFFSET(Assumptions!$B$8,0,$C$1),SUMPRODUCT(OFFSET(AL$395,0,0,1,-OFFSET(Assumptions!$B$67,0,$C$1)),OFFSET(AL$16,0,0,1,-OFFSET(Assumptions!$B$67,0,$C$1)))/OFFSET(Assumptions!$B$67,0,$C$1)-AL$395/AL$14,(AL$395/AL$14-AK$395/AK$14)/AL$2),0))*AM$14</f>
        <v>1.5287464141167895</v>
      </c>
      <c r="AN395" s="8">
        <f ca="1">(AM$395/AM$14+ IF(AN$2&gt;0,AN$2*IF(AN$6=OFFSET(Assumptions!$B$8,0,$C$1),SUMPRODUCT(OFFSET(AM$395,0,0,1,-OFFSET(Assumptions!$B$67,0,$C$1)),OFFSET(AM$16,0,0,1,-OFFSET(Assumptions!$B$67,0,$C$1)))/OFFSET(Assumptions!$B$67,0,$C$1)-AM$395/AM$14,(AM$395/AM$14-AL$395/AL$14)/AM$2),0))*AN$14</f>
        <v>1.5891506193569811</v>
      </c>
      <c r="AO395" s="8">
        <f ca="1">(AN$395/AN$14+ IF(AO$2&gt;0,AO$2*IF(AO$6=OFFSET(Assumptions!$B$8,0,$C$1),SUMPRODUCT(OFFSET(AN$395,0,0,1,-OFFSET(Assumptions!$B$67,0,$C$1)),OFFSET(AN$16,0,0,1,-OFFSET(Assumptions!$B$67,0,$C$1)))/OFFSET(Assumptions!$B$67,0,$C$1)-AN$395/AN$14,(AN$395/AN$14-AM$395/AM$14)/AN$2),0))*AO$14</f>
        <v>1.6513747149917228</v>
      </c>
      <c r="AP395" s="8">
        <f ca="1">(AO$395/AO$14+ IF(AP$2&gt;0,AP$2*IF(AP$6=OFFSET(Assumptions!$B$8,0,$C$1),SUMPRODUCT(OFFSET(AO$395,0,0,1,-OFFSET(Assumptions!$B$67,0,$C$1)),OFFSET(AO$16,0,0,1,-OFFSET(Assumptions!$B$67,0,$C$1)))/OFFSET(Assumptions!$B$67,0,$C$1)-AO$395/AO$14,(AO$395/AO$14-AN$395/AN$14)/AO$2),0))*AP$14</f>
        <v>1.7156829353393719</v>
      </c>
      <c r="AQ395" s="8">
        <f ca="1">(AP$395/AP$14+ IF(AQ$2&gt;0,AQ$2*IF(AQ$6=OFFSET(Assumptions!$B$8,0,$C$1),SUMPRODUCT(OFFSET(AP$395,0,0,1,-OFFSET(Assumptions!$B$67,0,$C$1)),OFFSET(AP$16,0,0,1,-OFFSET(Assumptions!$B$67,0,$C$1)))/OFFSET(Assumptions!$B$67,0,$C$1)-AP$395/AP$14,(AP$395/AP$14-AO$395/AO$14)/AP$2),0))*AQ$14</f>
        <v>1.7818950889694536</v>
      </c>
      <c r="AR395" s="8">
        <f ca="1">(AQ$395/AQ$14+ IF(AR$2&gt;0,AR$2*IF(AR$6=OFFSET(Assumptions!$B$8,0,$C$1),SUMPRODUCT(OFFSET(AQ$395,0,0,1,-OFFSET(Assumptions!$B$67,0,$C$1)),OFFSET(AQ$16,0,0,1,-OFFSET(Assumptions!$B$67,0,$C$1)))/OFFSET(Assumptions!$B$67,0,$C$1)-AQ$395/AQ$14,(AQ$395/AQ$14-AP$395/AP$14)/AQ$2),0))*AR$14</f>
        <v>1.8500861398850239</v>
      </c>
      <c r="AS395" s="8">
        <f ca="1">(AR$395/AR$14+ IF(AS$2&gt;0,AS$2*IF(AS$6=OFFSET(Assumptions!$B$8,0,$C$1),SUMPRODUCT(OFFSET(AR$395,0,0,1,-OFFSET(Assumptions!$B$67,0,$C$1)),OFFSET(AR$16,0,0,1,-OFFSET(Assumptions!$B$67,0,$C$1)))/OFFSET(Assumptions!$B$67,0,$C$1)-AR$395/AR$14,(AR$395/AR$14-AQ$395/AQ$14)/AR$2),0))*AS$14</f>
        <v>1.9204151758409744</v>
      </c>
      <c r="AT395" s="8">
        <f ca="1">(AS$395/AS$14+ IF(AT$2&gt;0,AT$2*IF(AT$6=OFFSET(Assumptions!$B$8,0,$C$1),SUMPRODUCT(OFFSET(AS$395,0,0,1,-OFFSET(Assumptions!$B$67,0,$C$1)),OFFSET(AS$16,0,0,1,-OFFSET(Assumptions!$B$67,0,$C$1)))/OFFSET(Assumptions!$B$67,0,$C$1)-AS$395/AS$14,(AS$395/AS$14-AR$395/AR$14)/AS$2),0))*AT$14</f>
        <v>1.9929383663358136</v>
      </c>
      <c r="AU395" s="8">
        <f ca="1">(AT$395/AT$14+ IF(AU$2&gt;0,AU$2*IF(AU$6=OFFSET(Assumptions!$B$8,0,$C$1),SUMPRODUCT(OFFSET(AT$395,0,0,1,-OFFSET(Assumptions!$B$67,0,$C$1)),OFFSET(AT$16,0,0,1,-OFFSET(Assumptions!$B$67,0,$C$1)))/OFFSET(Assumptions!$B$67,0,$C$1)-AT$395/AT$14,(AT$395/AT$14-AS$395/AS$14)/AT$2),0))*AU$14</f>
        <v>2.0677521510224883</v>
      </c>
      <c r="AV395" s="8">
        <f ca="1">(AU$395/AU$14+ IF(AV$2&gt;0,AV$2*IF(AV$6=OFFSET(Assumptions!$B$8,0,$C$1),SUMPRODUCT(OFFSET(AU$395,0,0,1,-OFFSET(Assumptions!$B$67,0,$C$1)),OFFSET(AU$16,0,0,1,-OFFSET(Assumptions!$B$67,0,$C$1)))/OFFSET(Assumptions!$B$67,0,$C$1)-AU$395/AU$14,(AU$395/AU$14-AT$395/AT$14)/AU$2),0))*AV$14</f>
        <v>2.1450878464970802</v>
      </c>
      <c r="AW395" s="8">
        <f ca="1">(AV$395/AV$14+ IF(AW$2&gt;0,AW$2*IF(AW$6=OFFSET(Assumptions!$B$8,0,$C$1),SUMPRODUCT(OFFSET(AV$395,0,0,1,-OFFSET(Assumptions!$B$67,0,$C$1)),OFFSET(AV$16,0,0,1,-OFFSET(Assumptions!$B$67,0,$C$1)))/OFFSET(Assumptions!$B$67,0,$C$1)-AV$395/AV$14,(AV$395/AV$14-AU$395/AU$14)/AV$2),0))*AW$14</f>
        <v>2.2249017924149292</v>
      </c>
    </row>
    <row r="396" spans="1:49" ht="15" x14ac:dyDescent="0.25">
      <c r="A396" s="2" t="s">
        <v>642</v>
      </c>
      <c r="B396" s="4" t="str">
        <f t="shared" si="241"/>
        <v>From Fiscal</v>
      </c>
      <c r="D396" s="47">
        <f>Fiscal!D$119</f>
        <v>0.995</v>
      </c>
      <c r="E396" s="44">
        <f>Fiscal!E$119</f>
        <v>0.97899999999999998</v>
      </c>
      <c r="F396" s="44">
        <f>Fiscal!F$119</f>
        <v>0.86299999999999999</v>
      </c>
      <c r="G396" s="44">
        <f>Fiscal!G$119</f>
        <v>0.85599999999999998</v>
      </c>
      <c r="H396" s="44">
        <f>Fiscal!H$119</f>
        <v>0.84699999999999998</v>
      </c>
      <c r="I396" s="44">
        <f>Fiscal!I$119</f>
        <v>0.84499999999999997</v>
      </c>
      <c r="J396" s="8">
        <f ca="1">((I$396-I$395)/I$14+ IF(J$2&gt;0,J$2*IF(J$6=OFFSET(Assumptions!$B$8,0,$C$1),(SUMPRODUCT(OFFSET(I$396,0,0,1,-OFFSET(Assumptions!$B$67,0,$C$1)),OFFSET(I$16,0,0,1,-OFFSET(Assumptions!$B$67,0,$C$1)))-SUMPRODUCT(OFFSET(I$395,0,0,1,-OFFSET(Assumptions!$B$67,0,$C$1)),OFFSET(I$16,0,0,1,-OFFSET(Assumptions!$B$67,0,$C$1))))/OFFSET(Assumptions!$B$67,0,$C$1)-(I$396-I$395)/I$14,((I$396-I$395)/I$14-(H$396-H$395)/H$14)/I$2),0))*J$14 +J$395</f>
        <v>0.89538070952042181</v>
      </c>
      <c r="K396" s="8">
        <f ca="1">((J$396-J$395)/J$14+ IF(K$2&gt;0,K$2*IF(K$6=OFFSET(Assumptions!$B$8,0,$C$1),(SUMPRODUCT(OFFSET(J$396,0,0,1,-OFFSET(Assumptions!$B$67,0,$C$1)),OFFSET(J$16,0,0,1,-OFFSET(Assumptions!$B$67,0,$C$1)))-SUMPRODUCT(OFFSET(J$395,0,0,1,-OFFSET(Assumptions!$B$67,0,$C$1)),OFFSET(J$16,0,0,1,-OFFSET(Assumptions!$B$67,0,$C$1))))/OFFSET(Assumptions!$B$67,0,$C$1)-(J$396-J$395)/J$14,((J$396-J$395)/J$14-(I$396-I$395)/I$14)/J$2),0))*K$14 +K$395</f>
        <v>0.94511265916997389</v>
      </c>
      <c r="L396" s="8">
        <f ca="1">((K$396-K$395)/K$14+ IF(L$2&gt;0,L$2*IF(L$6=OFFSET(Assumptions!$B$8,0,$C$1),(SUMPRODUCT(OFFSET(K$396,0,0,1,-OFFSET(Assumptions!$B$67,0,$C$1)),OFFSET(K$16,0,0,1,-OFFSET(Assumptions!$B$67,0,$C$1)))-SUMPRODUCT(OFFSET(K$395,0,0,1,-OFFSET(Assumptions!$B$67,0,$C$1)),OFFSET(K$16,0,0,1,-OFFSET(Assumptions!$B$67,0,$C$1))))/OFFSET(Assumptions!$B$67,0,$C$1)-(K$396-K$395)/K$14,((K$396-K$395)/K$14-(J$396-J$395)/J$14)/K$2),0))*L$14 +L$395</f>
        <v>0.99571451094533248</v>
      </c>
      <c r="M396" s="8">
        <f ca="1">((L$396-L$395)/L$14+ IF(M$2&gt;0,M$2*IF(M$6=OFFSET(Assumptions!$B$8,0,$C$1),(SUMPRODUCT(OFFSET(L$396,0,0,1,-OFFSET(Assumptions!$B$67,0,$C$1)),OFFSET(L$16,0,0,1,-OFFSET(Assumptions!$B$67,0,$C$1)))-SUMPRODUCT(OFFSET(L$395,0,0,1,-OFFSET(Assumptions!$B$67,0,$C$1)),OFFSET(L$16,0,0,1,-OFFSET(Assumptions!$B$67,0,$C$1))))/OFFSET(Assumptions!$B$67,0,$C$1)-(L$396-L$395)/L$14,((L$396-L$395)/L$14-(K$396-K$395)/K$14)/L$2),0))*M$14 +M$395</f>
        <v>1.0454371320386355</v>
      </c>
      <c r="N396" s="8">
        <f ca="1">((M$396-M$395)/M$14+ IF(N$2&gt;0,N$2*IF(N$6=OFFSET(Assumptions!$B$8,0,$C$1),(SUMPRODUCT(OFFSET(M$396,0,0,1,-OFFSET(Assumptions!$B$67,0,$C$1)),OFFSET(M$16,0,0,1,-OFFSET(Assumptions!$B$67,0,$C$1)))-SUMPRODUCT(OFFSET(M$395,0,0,1,-OFFSET(Assumptions!$B$67,0,$C$1)),OFFSET(M$16,0,0,1,-OFFSET(Assumptions!$B$67,0,$C$1))))/OFFSET(Assumptions!$B$67,0,$C$1)-(M$396-M$395)/M$14,((M$396-M$395)/M$14-(L$396-L$395)/L$14)/M$2),0))*N$14 +N$395</f>
        <v>1.0940193671777749</v>
      </c>
      <c r="O396" s="8">
        <f ca="1">((N$396-N$395)/N$14+ IF(O$2&gt;0,O$2*IF(O$6=OFFSET(Assumptions!$B$8,0,$C$1),(SUMPRODUCT(OFFSET(N$396,0,0,1,-OFFSET(Assumptions!$B$67,0,$C$1)),OFFSET(N$16,0,0,1,-OFFSET(Assumptions!$B$67,0,$C$1)))-SUMPRODUCT(OFFSET(N$395,0,0,1,-OFFSET(Assumptions!$B$67,0,$C$1)),OFFSET(N$16,0,0,1,-OFFSET(Assumptions!$B$67,0,$C$1))))/OFFSET(Assumptions!$B$67,0,$C$1)-(N$396-N$395)/N$14,((N$396-N$395)/N$14-(M$396-M$395)/M$14)/N$2),0))*O$14 +O$395</f>
        <v>1.1407194798926161</v>
      </c>
      <c r="P396" s="8">
        <f ca="1">((O$396-O$395)/O$14+ IF(P$2&gt;0,P$2*IF(P$6=OFFSET(Assumptions!$B$8,0,$C$1),(SUMPRODUCT(OFFSET(O$396,0,0,1,-OFFSET(Assumptions!$B$67,0,$C$1)),OFFSET(O$16,0,0,1,-OFFSET(Assumptions!$B$67,0,$C$1)))-SUMPRODUCT(OFFSET(O$395,0,0,1,-OFFSET(Assumptions!$B$67,0,$C$1)),OFFSET(O$16,0,0,1,-OFFSET(Assumptions!$B$67,0,$C$1))))/OFFSET(Assumptions!$B$67,0,$C$1)-(O$396-O$395)/O$14,((O$396-O$395)/O$14-(N$396-N$395)/N$14)/O$2),0))*P$14 +P$395</f>
        <v>1.1889592532998896</v>
      </c>
      <c r="Q396" s="8">
        <f ca="1">((P$396-P$395)/P$14+ IF(Q$2&gt;0,Q$2*IF(Q$6=OFFSET(Assumptions!$B$8,0,$C$1),(SUMPRODUCT(OFFSET(P$396,0,0,1,-OFFSET(Assumptions!$B$67,0,$C$1)),OFFSET(P$16,0,0,1,-OFFSET(Assumptions!$B$67,0,$C$1)))-SUMPRODUCT(OFFSET(P$395,0,0,1,-OFFSET(Assumptions!$B$67,0,$C$1)),OFFSET(P$16,0,0,1,-OFFSET(Assumptions!$B$67,0,$C$1))))/OFFSET(Assumptions!$B$67,0,$C$1)-(P$396-P$395)/P$14,((P$396-P$395)/P$14-(O$396-O$395)/O$14)/P$2),0))*Q$14 +Q$395</f>
        <v>1.2386865795865885</v>
      </c>
      <c r="R396" s="8">
        <f ca="1">((Q$396-Q$395)/Q$14+ IF(R$2&gt;0,R$2*IF(R$6=OFFSET(Assumptions!$B$8,0,$C$1),(SUMPRODUCT(OFFSET(Q$396,0,0,1,-OFFSET(Assumptions!$B$67,0,$C$1)),OFFSET(Q$16,0,0,1,-OFFSET(Assumptions!$B$67,0,$C$1)))-SUMPRODUCT(OFFSET(Q$395,0,0,1,-OFFSET(Assumptions!$B$67,0,$C$1)),OFFSET(Q$16,0,0,1,-OFFSET(Assumptions!$B$67,0,$C$1))))/OFFSET(Assumptions!$B$67,0,$C$1)-(Q$396-Q$395)/Q$14,((Q$396-Q$395)/Q$14-(P$396-P$395)/P$14)/Q$2),0))*R$14 +R$395</f>
        <v>1.289864550260591</v>
      </c>
      <c r="S396" s="8">
        <f ca="1">((R$396-R$395)/R$14+ IF(S$2&gt;0,S$2*IF(S$6=OFFSET(Assumptions!$B$8,0,$C$1),(SUMPRODUCT(OFFSET(R$396,0,0,1,-OFFSET(Assumptions!$B$67,0,$C$1)),OFFSET(R$16,0,0,1,-OFFSET(Assumptions!$B$67,0,$C$1)))-SUMPRODUCT(OFFSET(R$395,0,0,1,-OFFSET(Assumptions!$B$67,0,$C$1)),OFFSET(R$16,0,0,1,-OFFSET(Assumptions!$B$67,0,$C$1))))/OFFSET(Assumptions!$B$67,0,$C$1)-(R$396-R$395)/R$14,((R$396-R$395)/R$14-(Q$396-Q$395)/Q$14)/R$2),0))*S$14 +S$395</f>
        <v>1.3426558068258074</v>
      </c>
      <c r="T396" s="8">
        <f ca="1">((S$396-S$395)/S$14+ IF(T$2&gt;0,T$2*IF(T$6=OFFSET(Assumptions!$B$8,0,$C$1),(SUMPRODUCT(OFFSET(S$396,0,0,1,-OFFSET(Assumptions!$B$67,0,$C$1)),OFFSET(S$16,0,0,1,-OFFSET(Assumptions!$B$67,0,$C$1)))-SUMPRODUCT(OFFSET(S$395,0,0,1,-OFFSET(Assumptions!$B$67,0,$C$1)),OFFSET(S$16,0,0,1,-OFFSET(Assumptions!$B$67,0,$C$1))))/OFFSET(Assumptions!$B$67,0,$C$1)-(S$396-S$395)/S$14,((S$396-S$395)/S$14-(R$396-R$395)/R$14)/S$2),0))*T$14 +T$395</f>
        <v>1.3970796004661681</v>
      </c>
      <c r="U396" s="8">
        <f ca="1">((T$396-T$395)/T$14+ IF(U$2&gt;0,U$2*IF(U$6=OFFSET(Assumptions!$B$8,0,$C$1),(SUMPRODUCT(OFFSET(T$396,0,0,1,-OFFSET(Assumptions!$B$67,0,$C$1)),OFFSET(T$16,0,0,1,-OFFSET(Assumptions!$B$67,0,$C$1)))-SUMPRODUCT(OFFSET(T$395,0,0,1,-OFFSET(Assumptions!$B$67,0,$C$1)),OFFSET(T$16,0,0,1,-OFFSET(Assumptions!$B$67,0,$C$1))))/OFFSET(Assumptions!$B$67,0,$C$1)-(T$396-T$395)/T$14,((T$396-T$395)/T$14-(S$396-S$395)/S$14)/T$2),0))*U$14 +U$395</f>
        <v>1.4533312567424548</v>
      </c>
      <c r="V396" s="8">
        <f ca="1">((U$396-U$395)/U$14+ IF(V$2&gt;0,V$2*IF(V$6=OFFSET(Assumptions!$B$8,0,$C$1),(SUMPRODUCT(OFFSET(U$396,0,0,1,-OFFSET(Assumptions!$B$67,0,$C$1)),OFFSET(U$16,0,0,1,-OFFSET(Assumptions!$B$67,0,$C$1)))-SUMPRODUCT(OFFSET(U$395,0,0,1,-OFFSET(Assumptions!$B$67,0,$C$1)),OFFSET(U$16,0,0,1,-OFFSET(Assumptions!$B$67,0,$C$1))))/OFFSET(Assumptions!$B$67,0,$C$1)-(U$396-U$395)/U$14,((U$396-U$395)/U$14-(T$396-T$395)/T$14)/U$2),0))*V$14 +V$395</f>
        <v>1.5115496331894818</v>
      </c>
      <c r="W396" s="8">
        <f ca="1">((V$396-V$395)/V$14+ IF(W$2&gt;0,W$2*IF(W$6=OFFSET(Assumptions!$B$8,0,$C$1),(SUMPRODUCT(OFFSET(V$396,0,0,1,-OFFSET(Assumptions!$B$67,0,$C$1)),OFFSET(V$16,0,0,1,-OFFSET(Assumptions!$B$67,0,$C$1)))-SUMPRODUCT(OFFSET(V$395,0,0,1,-OFFSET(Assumptions!$B$67,0,$C$1)),OFFSET(V$16,0,0,1,-OFFSET(Assumptions!$B$67,0,$C$1))))/OFFSET(Assumptions!$B$67,0,$C$1)-(V$396-V$395)/V$14,((V$396-V$395)/V$14-(U$396-U$395)/U$14)/V$2),0))*W$14 +W$395</f>
        <v>1.5719034031286656</v>
      </c>
      <c r="X396" s="8">
        <f ca="1">((W$396-W$395)/W$14+ IF(X$2&gt;0,X$2*IF(X$6=OFFSET(Assumptions!$B$8,0,$C$1),(SUMPRODUCT(OFFSET(W$396,0,0,1,-OFFSET(Assumptions!$B$67,0,$C$1)),OFFSET(W$16,0,0,1,-OFFSET(Assumptions!$B$67,0,$C$1)))-SUMPRODUCT(OFFSET(W$395,0,0,1,-OFFSET(Assumptions!$B$67,0,$C$1)),OFFSET(W$16,0,0,1,-OFFSET(Assumptions!$B$67,0,$C$1))))/OFFSET(Assumptions!$B$67,0,$C$1)-(W$396-W$395)/W$14,((W$396-W$395)/W$14-(V$396-V$395)/V$14)/W$2),0))*X$14 +X$395</f>
        <v>1.6345837345509757</v>
      </c>
      <c r="Y396" s="8">
        <f ca="1">((X$396-X$395)/X$14+ IF(Y$2&gt;0,Y$2*IF(Y$6=OFFSET(Assumptions!$B$8,0,$C$1),(SUMPRODUCT(OFFSET(X$396,0,0,1,-OFFSET(Assumptions!$B$67,0,$C$1)),OFFSET(X$16,0,0,1,-OFFSET(Assumptions!$B$67,0,$C$1)))-SUMPRODUCT(OFFSET(X$395,0,0,1,-OFFSET(Assumptions!$B$67,0,$C$1)),OFFSET(X$16,0,0,1,-OFFSET(Assumptions!$B$67,0,$C$1))))/OFFSET(Assumptions!$B$67,0,$C$1)-(X$396-X$395)/X$14,((X$396-X$395)/X$14-(W$396-W$395)/W$14)/X$2),0))*Y$14 +Y$395</f>
        <v>1.6995842194511441</v>
      </c>
      <c r="Z396" s="8">
        <f ca="1">((Y$396-Y$395)/Y$14+ IF(Z$2&gt;0,Z$2*IF(Z$6=OFFSET(Assumptions!$B$8,0,$C$1),(SUMPRODUCT(OFFSET(Y$396,0,0,1,-OFFSET(Assumptions!$B$67,0,$C$1)),OFFSET(Y$16,0,0,1,-OFFSET(Assumptions!$B$67,0,$C$1)))-SUMPRODUCT(OFFSET(Y$395,0,0,1,-OFFSET(Assumptions!$B$67,0,$C$1)),OFFSET(Y$16,0,0,1,-OFFSET(Assumptions!$B$67,0,$C$1))))/OFFSET(Assumptions!$B$67,0,$C$1)-(Y$396-Y$395)/Y$14,((Y$396-Y$395)/Y$14-(X$396-X$395)/X$14)/Y$2),0))*Z$14 +Z$395</f>
        <v>1.7672338670391317</v>
      </c>
      <c r="AA396" s="8">
        <f ca="1">((Z$396-Z$395)/Z$14+ IF(AA$2&gt;0,AA$2*IF(AA$6=OFFSET(Assumptions!$B$8,0,$C$1),(SUMPRODUCT(OFFSET(Z$396,0,0,1,-OFFSET(Assumptions!$B$67,0,$C$1)),OFFSET(Z$16,0,0,1,-OFFSET(Assumptions!$B$67,0,$C$1)))-SUMPRODUCT(OFFSET(Z$395,0,0,1,-OFFSET(Assumptions!$B$67,0,$C$1)),OFFSET(Z$16,0,0,1,-OFFSET(Assumptions!$B$67,0,$C$1))))/OFFSET(Assumptions!$B$67,0,$C$1)-(Z$396-Z$395)/Z$14,((Z$396-Z$395)/Z$14-(Y$396-Y$395)/Y$14)/Z$2),0))*AA$14 +AA$395</f>
        <v>1.837642134678025</v>
      </c>
      <c r="AB396" s="8">
        <f ca="1">((AA$396-AA$395)/AA$14+ IF(AB$2&gt;0,AB$2*IF(AB$6=OFFSET(Assumptions!$B$8,0,$C$1),(SUMPRODUCT(OFFSET(AA$396,0,0,1,-OFFSET(Assumptions!$B$67,0,$C$1)),OFFSET(AA$16,0,0,1,-OFFSET(Assumptions!$B$67,0,$C$1)))-SUMPRODUCT(OFFSET(AA$395,0,0,1,-OFFSET(Assumptions!$B$67,0,$C$1)),OFFSET(AA$16,0,0,1,-OFFSET(Assumptions!$B$67,0,$C$1))))/OFFSET(Assumptions!$B$67,0,$C$1)-(AA$396-AA$395)/AA$14,((AA$396-AA$395)/AA$14-(Z$396-Z$395)/Z$14)/AA$2),0))*AB$14 +AB$395</f>
        <v>1.9110204648978357</v>
      </c>
      <c r="AC396" s="8">
        <f ca="1">((AB$396-AB$395)/AB$14+ IF(AC$2&gt;0,AC$2*IF(AC$6=OFFSET(Assumptions!$B$8,0,$C$1),(SUMPRODUCT(OFFSET(AB$396,0,0,1,-OFFSET(Assumptions!$B$67,0,$C$1)),OFFSET(AB$16,0,0,1,-OFFSET(Assumptions!$B$67,0,$C$1)))-SUMPRODUCT(OFFSET(AB$395,0,0,1,-OFFSET(Assumptions!$B$67,0,$C$1)),OFFSET(AB$16,0,0,1,-OFFSET(Assumptions!$B$67,0,$C$1))))/OFFSET(Assumptions!$B$67,0,$C$1)-(AB$396-AB$395)/AB$14,((AB$396-AB$395)/AB$14-(AA$396-AA$395)/AA$14)/AB$2),0))*AC$14 +AC$395</f>
        <v>1.9876458708527587</v>
      </c>
      <c r="AD396" s="8">
        <f ca="1">((AC$396-AC$395)/AC$14+ IF(AD$2&gt;0,AD$2*IF(AD$6=OFFSET(Assumptions!$B$8,0,$C$1),(SUMPRODUCT(OFFSET(AC$396,0,0,1,-OFFSET(Assumptions!$B$67,0,$C$1)),OFFSET(AC$16,0,0,1,-OFFSET(Assumptions!$B$67,0,$C$1)))-SUMPRODUCT(OFFSET(AC$395,0,0,1,-OFFSET(Assumptions!$B$67,0,$C$1)),OFFSET(AC$16,0,0,1,-OFFSET(Assumptions!$B$67,0,$C$1))))/OFFSET(Assumptions!$B$67,0,$C$1)-(AC$396-AC$395)/AC$14,((AC$396-AC$395)/AC$14-(AB$396-AB$395)/AB$14)/AC$2),0))*AD$14 +AD$395</f>
        <v>2.0675991166658982</v>
      </c>
      <c r="AE396" s="8">
        <f ca="1">((AD$396-AD$395)/AD$14+ IF(AE$2&gt;0,AE$2*IF(AE$6=OFFSET(Assumptions!$B$8,0,$C$1),(SUMPRODUCT(OFFSET(AD$396,0,0,1,-OFFSET(Assumptions!$B$67,0,$C$1)),OFFSET(AD$16,0,0,1,-OFFSET(Assumptions!$B$67,0,$C$1)))-SUMPRODUCT(OFFSET(AD$395,0,0,1,-OFFSET(Assumptions!$B$67,0,$C$1)),OFFSET(AD$16,0,0,1,-OFFSET(Assumptions!$B$67,0,$C$1))))/OFFSET(Assumptions!$B$67,0,$C$1)-(AD$396-AD$395)/AD$14,((AD$396-AD$395)/AD$14-(AC$396-AC$395)/AC$14)/AD$2),0))*AE$14 +AE$395</f>
        <v>2.1508067759376543</v>
      </c>
      <c r="AF396" s="8">
        <f ca="1">((AE$396-AE$395)/AE$14+ IF(AF$2&gt;0,AF$2*IF(AF$6=OFFSET(Assumptions!$B$8,0,$C$1),(SUMPRODUCT(OFFSET(AE$396,0,0,1,-OFFSET(Assumptions!$B$67,0,$C$1)),OFFSET(AE$16,0,0,1,-OFFSET(Assumptions!$B$67,0,$C$1)))-SUMPRODUCT(OFFSET(AE$395,0,0,1,-OFFSET(Assumptions!$B$67,0,$C$1)),OFFSET(AE$16,0,0,1,-OFFSET(Assumptions!$B$67,0,$C$1))))/OFFSET(Assumptions!$B$67,0,$C$1)-(AE$396-AE$395)/AE$14,((AE$396-AE$395)/AE$14-(AD$396-AD$395)/AD$14)/AE$2),0))*AF$14 +AF$395</f>
        <v>2.2374990509448023</v>
      </c>
      <c r="AG396" s="8">
        <f ca="1">((AF$396-AF$395)/AF$14+ IF(AG$2&gt;0,AG$2*IF(AG$6=OFFSET(Assumptions!$B$8,0,$C$1),(SUMPRODUCT(OFFSET(AF$396,0,0,1,-OFFSET(Assumptions!$B$67,0,$C$1)),OFFSET(AF$16,0,0,1,-OFFSET(Assumptions!$B$67,0,$C$1)))-SUMPRODUCT(OFFSET(AF$395,0,0,1,-OFFSET(Assumptions!$B$67,0,$C$1)),OFFSET(AF$16,0,0,1,-OFFSET(Assumptions!$B$67,0,$C$1))))/OFFSET(Assumptions!$B$67,0,$C$1)-(AF$396-AF$395)/AF$14,((AF$396-AF$395)/AF$14-(AE$396-AE$395)/AE$14)/AF$2),0))*AG$14 +AG$395</f>
        <v>2.3277244163824538</v>
      </c>
      <c r="AH396" s="8">
        <f ca="1">((AG$396-AG$395)/AG$14+ IF(AH$2&gt;0,AH$2*IF(AH$6=OFFSET(Assumptions!$B$8,0,$C$1),(SUMPRODUCT(OFFSET(AG$396,0,0,1,-OFFSET(Assumptions!$B$67,0,$C$1)),OFFSET(AG$16,0,0,1,-OFFSET(Assumptions!$B$67,0,$C$1)))-SUMPRODUCT(OFFSET(AG$395,0,0,1,-OFFSET(Assumptions!$B$67,0,$C$1)),OFFSET(AG$16,0,0,1,-OFFSET(Assumptions!$B$67,0,$C$1))))/OFFSET(Assumptions!$B$67,0,$C$1)-(AG$396-AG$395)/AG$14,((AG$396-AG$395)/AG$14-(AF$396-AF$395)/AF$14)/AG$2),0))*AH$14 +AH$395</f>
        <v>2.4216275548844921</v>
      </c>
      <c r="AI396" s="8">
        <f ca="1">((AH$396-AH$395)/AH$14+ IF(AI$2&gt;0,AI$2*IF(AI$6=OFFSET(Assumptions!$B$8,0,$C$1),(SUMPRODUCT(OFFSET(AH$396,0,0,1,-OFFSET(Assumptions!$B$67,0,$C$1)),OFFSET(AH$16,0,0,1,-OFFSET(Assumptions!$B$67,0,$C$1)))-SUMPRODUCT(OFFSET(AH$395,0,0,1,-OFFSET(Assumptions!$B$67,0,$C$1)),OFFSET(AH$16,0,0,1,-OFFSET(Assumptions!$B$67,0,$C$1))))/OFFSET(Assumptions!$B$67,0,$C$1)-(AH$396-AH$395)/AH$14,((AH$396-AH$395)/AH$14-(AG$396-AG$395)/AG$14)/AH$2),0))*AI$14 +AI$395</f>
        <v>2.5190443865828618</v>
      </c>
      <c r="AJ396" s="8">
        <f ca="1">((AI$396-AI$395)/AI$14+ IF(AJ$2&gt;0,AJ$2*IF(AJ$6=OFFSET(Assumptions!$B$8,0,$C$1),(SUMPRODUCT(OFFSET(AI$396,0,0,1,-OFFSET(Assumptions!$B$67,0,$C$1)),OFFSET(AI$16,0,0,1,-OFFSET(Assumptions!$B$67,0,$C$1)))-SUMPRODUCT(OFFSET(AI$395,0,0,1,-OFFSET(Assumptions!$B$67,0,$C$1)),OFFSET(AI$16,0,0,1,-OFFSET(Assumptions!$B$67,0,$C$1))))/OFFSET(Assumptions!$B$67,0,$C$1)-(AI$396-AI$395)/AI$14,((AI$396-AI$395)/AI$14-(AH$396-AH$395)/AH$14)/AI$2),0))*AJ$14 +AJ$395</f>
        <v>2.620286986125822</v>
      </c>
      <c r="AK396" s="8">
        <f ca="1">((AJ$396-AJ$395)/AJ$14+ IF(AK$2&gt;0,AK$2*IF(AK$6=OFFSET(Assumptions!$B$8,0,$C$1),(SUMPRODUCT(OFFSET(AJ$396,0,0,1,-OFFSET(Assumptions!$B$67,0,$C$1)),OFFSET(AJ$16,0,0,1,-OFFSET(Assumptions!$B$67,0,$C$1)))-SUMPRODUCT(OFFSET(AJ$395,0,0,1,-OFFSET(Assumptions!$B$67,0,$C$1)),OFFSET(AJ$16,0,0,1,-OFFSET(Assumptions!$B$67,0,$C$1))))/OFFSET(Assumptions!$B$67,0,$C$1)-(AJ$396-AJ$395)/AJ$14,((AJ$396-AJ$395)/AJ$14-(AI$396-AI$395)/AI$14)/AJ$2),0))*AK$14 +AK$395</f>
        <v>2.7252720682323535</v>
      </c>
      <c r="AL396" s="8">
        <f ca="1">((AK$396-AK$395)/AK$14+ IF(AL$2&gt;0,AL$2*IF(AL$6=OFFSET(Assumptions!$B$8,0,$C$1),(SUMPRODUCT(OFFSET(AK$396,0,0,1,-OFFSET(Assumptions!$B$67,0,$C$1)),OFFSET(AK$16,0,0,1,-OFFSET(Assumptions!$B$67,0,$C$1)))-SUMPRODUCT(OFFSET(AK$395,0,0,1,-OFFSET(Assumptions!$B$67,0,$C$1)),OFFSET(AK$16,0,0,1,-OFFSET(Assumptions!$B$67,0,$C$1))))/OFFSET(Assumptions!$B$67,0,$C$1)-(AK$396-AK$395)/AK$14,((AK$396-AK$395)/AK$14-(AJ$396-AJ$395)/AJ$14)/AK$2),0))*AL$14 +AL$395</f>
        <v>2.8339169332569347</v>
      </c>
      <c r="AM396" s="8">
        <f ca="1">((AL$396-AL$395)/AL$14+ IF(AM$2&gt;0,AM$2*IF(AM$6=OFFSET(Assumptions!$B$8,0,$C$1),(SUMPRODUCT(OFFSET(AL$396,0,0,1,-OFFSET(Assumptions!$B$67,0,$C$1)),OFFSET(AL$16,0,0,1,-OFFSET(Assumptions!$B$67,0,$C$1)))-SUMPRODUCT(OFFSET(AL$395,0,0,1,-OFFSET(Assumptions!$B$67,0,$C$1)),OFFSET(AL$16,0,0,1,-OFFSET(Assumptions!$B$67,0,$C$1))))/OFFSET(Assumptions!$B$67,0,$C$1)-(AL$396-AL$395)/AL$14,((AL$396-AL$395)/AL$14-(AK$396-AK$395)/AK$14)/AL$2),0))*AM$14 +AM$395</f>
        <v>2.9463700042329544</v>
      </c>
      <c r="AN396" s="8">
        <f ca="1">((AM$396-AM$395)/AM$14+ IF(AN$2&gt;0,AN$2*IF(AN$6=OFFSET(Assumptions!$B$8,0,$C$1),(SUMPRODUCT(OFFSET(AM$396,0,0,1,-OFFSET(Assumptions!$B$67,0,$C$1)),OFFSET(AM$16,0,0,1,-OFFSET(Assumptions!$B$67,0,$C$1)))-SUMPRODUCT(OFFSET(AM$395,0,0,1,-OFFSET(Assumptions!$B$67,0,$C$1)),OFFSET(AM$16,0,0,1,-OFFSET(Assumptions!$B$67,0,$C$1))))/OFFSET(Assumptions!$B$67,0,$C$1)-(AM$396-AM$395)/AM$14,((AM$396-AM$395)/AM$14-(AL$396-AL$395)/AL$14)/AM$2),0))*AN$14 +AN$395</f>
        <v>3.0627877022931349</v>
      </c>
      <c r="AO396" s="8">
        <f ca="1">((AN$396-AN$395)/AN$14+ IF(AO$2&gt;0,AO$2*IF(AO$6=OFFSET(Assumptions!$B$8,0,$C$1),(SUMPRODUCT(OFFSET(AN$396,0,0,1,-OFFSET(Assumptions!$B$67,0,$C$1)),OFFSET(AN$16,0,0,1,-OFFSET(Assumptions!$B$67,0,$C$1)))-SUMPRODUCT(OFFSET(AN$395,0,0,1,-OFFSET(Assumptions!$B$67,0,$C$1)),OFFSET(AN$16,0,0,1,-OFFSET(Assumptions!$B$67,0,$C$1))))/OFFSET(Assumptions!$B$67,0,$C$1)-(AN$396-AN$395)/AN$14,((AN$396-AN$395)/AN$14-(AM$396-AM$395)/AM$14)/AN$2),0))*AO$14 +AO$395</f>
        <v>3.1827128953962989</v>
      </c>
      <c r="AP396" s="8">
        <f ca="1">((AO$396-AO$395)/AO$14+ IF(AP$2&gt;0,AP$2*IF(AP$6=OFFSET(Assumptions!$B$8,0,$C$1),(SUMPRODUCT(OFFSET(AO$396,0,0,1,-OFFSET(Assumptions!$B$67,0,$C$1)),OFFSET(AO$16,0,0,1,-OFFSET(Assumptions!$B$67,0,$C$1)))-SUMPRODUCT(OFFSET(AO$395,0,0,1,-OFFSET(Assumptions!$B$67,0,$C$1)),OFFSET(AO$16,0,0,1,-OFFSET(Assumptions!$B$67,0,$C$1))))/OFFSET(Assumptions!$B$67,0,$C$1)-(AO$396-AO$395)/AO$14,((AO$396-AO$395)/AO$14-(AN$396-AN$395)/AN$14)/AO$2),0))*AP$14 +AP$395</f>
        <v>3.3066548452895277</v>
      </c>
      <c r="AQ396" s="8">
        <f ca="1">((AP$396-AP$395)/AP$14+ IF(AQ$2&gt;0,AQ$2*IF(AQ$6=OFFSET(Assumptions!$B$8,0,$C$1),(SUMPRODUCT(OFFSET(AP$396,0,0,1,-OFFSET(Assumptions!$B$67,0,$C$1)),OFFSET(AP$16,0,0,1,-OFFSET(Assumptions!$B$67,0,$C$1)))-SUMPRODUCT(OFFSET(AP$395,0,0,1,-OFFSET(Assumptions!$B$67,0,$C$1)),OFFSET(AP$16,0,0,1,-OFFSET(Assumptions!$B$67,0,$C$1))))/OFFSET(Assumptions!$B$67,0,$C$1)-(AP$396-AP$395)/AP$14,((AP$396-AP$395)/AP$14-(AO$396-AO$395)/AO$14)/AP$2),0))*AQ$14 +AQ$395</f>
        <v>3.4342662670203481</v>
      </c>
      <c r="AR396" s="8">
        <f ca="1">((AQ$396-AQ$395)/AQ$14+ IF(AR$2&gt;0,AR$2*IF(AR$6=OFFSET(Assumptions!$B$8,0,$C$1),(SUMPRODUCT(OFFSET(AQ$396,0,0,1,-OFFSET(Assumptions!$B$67,0,$C$1)),OFFSET(AQ$16,0,0,1,-OFFSET(Assumptions!$B$67,0,$C$1)))-SUMPRODUCT(OFFSET(AQ$395,0,0,1,-OFFSET(Assumptions!$B$67,0,$C$1)),OFFSET(AQ$16,0,0,1,-OFFSET(Assumptions!$B$67,0,$C$1))))/OFFSET(Assumptions!$B$67,0,$C$1)-(AQ$396-AQ$395)/AQ$14,((AQ$396-AQ$395)/AQ$14-(AP$396-AP$395)/AP$14)/AQ$2),0))*AR$14 +AR$395</f>
        <v>3.5656916395474423</v>
      </c>
      <c r="AS396" s="8">
        <f ca="1">((AR$396-AR$395)/AR$14+ IF(AS$2&gt;0,AS$2*IF(AS$6=OFFSET(Assumptions!$B$8,0,$C$1),(SUMPRODUCT(OFFSET(AR$396,0,0,1,-OFFSET(Assumptions!$B$67,0,$C$1)),OFFSET(AR$16,0,0,1,-OFFSET(Assumptions!$B$67,0,$C$1)))-SUMPRODUCT(OFFSET(AR$395,0,0,1,-OFFSET(Assumptions!$B$67,0,$C$1)),OFFSET(AR$16,0,0,1,-OFFSET(Assumptions!$B$67,0,$C$1))))/OFFSET(Assumptions!$B$67,0,$C$1)-(AR$396-AR$395)/AR$14,((AR$396-AR$395)/AR$14-(AQ$396-AQ$395)/AQ$14)/AR$2),0))*AS$14 +AS$395</f>
        <v>3.7012375744740984</v>
      </c>
      <c r="AT396" s="8">
        <f ca="1">((AS$396-AS$395)/AS$14+ IF(AT$2&gt;0,AT$2*IF(AT$6=OFFSET(Assumptions!$B$8,0,$C$1),(SUMPRODUCT(OFFSET(AS$396,0,0,1,-OFFSET(Assumptions!$B$67,0,$C$1)),OFFSET(AS$16,0,0,1,-OFFSET(Assumptions!$B$67,0,$C$1)))-SUMPRODUCT(OFFSET(AS$395,0,0,1,-OFFSET(Assumptions!$B$67,0,$C$1)),OFFSET(AS$16,0,0,1,-OFFSET(Assumptions!$B$67,0,$C$1))))/OFFSET(Assumptions!$B$67,0,$C$1)-(AS$396-AS$395)/AS$14,((AS$396-AS$395)/AS$14-(AR$396-AR$395)/AR$14)/AS$2),0))*AT$14 +AT$395</f>
        <v>3.8410123279008901</v>
      </c>
      <c r="AU396" s="8">
        <f ca="1">((AT$396-AT$395)/AT$14+ IF(AU$2&gt;0,AU$2*IF(AU$6=OFFSET(Assumptions!$B$8,0,$C$1),(SUMPRODUCT(OFFSET(AT$396,0,0,1,-OFFSET(Assumptions!$B$67,0,$C$1)),OFFSET(AT$16,0,0,1,-OFFSET(Assumptions!$B$67,0,$C$1)))-SUMPRODUCT(OFFSET(AT$395,0,0,1,-OFFSET(Assumptions!$B$67,0,$C$1)),OFFSET(AT$16,0,0,1,-OFFSET(Assumptions!$B$67,0,$C$1))))/OFFSET(Assumptions!$B$67,0,$C$1)-(AT$396-AT$395)/AT$14,((AT$396-AT$395)/AT$14-(AS$396-AS$395)/AS$14)/AT$2),0))*AU$14 +AU$395</f>
        <v>3.9852017690459154</v>
      </c>
      <c r="AV396" s="8">
        <f ca="1">((AU$396-AU$395)/AU$14+ IF(AV$2&gt;0,AV$2*IF(AV$6=OFFSET(Assumptions!$B$8,0,$C$1),(SUMPRODUCT(OFFSET(AU$396,0,0,1,-OFFSET(Assumptions!$B$67,0,$C$1)),OFFSET(AU$16,0,0,1,-OFFSET(Assumptions!$B$67,0,$C$1)))-SUMPRODUCT(OFFSET(AU$395,0,0,1,-OFFSET(Assumptions!$B$67,0,$C$1)),OFFSET(AU$16,0,0,1,-OFFSET(Assumptions!$B$67,0,$C$1))))/OFFSET(Assumptions!$B$67,0,$C$1)-(AU$396-AU$395)/AU$14,((AU$396-AU$395)/AU$14-(AT$396-AT$395)/AT$14)/AU$2),0))*AV$14 +AV$395</f>
        <v>4.1342517169631927</v>
      </c>
      <c r="AW396" s="8">
        <f ca="1">((AV$396-AV$395)/AV$14+ IF(AW$2&gt;0,AW$2*IF(AW$6=OFFSET(Assumptions!$B$8,0,$C$1),(SUMPRODUCT(OFFSET(AV$396,0,0,1,-OFFSET(Assumptions!$B$67,0,$C$1)),OFFSET(AV$16,0,0,1,-OFFSET(Assumptions!$B$67,0,$C$1)))-SUMPRODUCT(OFFSET(AV$395,0,0,1,-OFFSET(Assumptions!$B$67,0,$C$1)),OFFSET(AV$16,0,0,1,-OFFSET(Assumptions!$B$67,0,$C$1))))/OFFSET(Assumptions!$B$67,0,$C$1)-(AV$396-AV$395)/AV$14,((AV$396-AV$395)/AV$14-(AU$396-AU$395)/AU$14)/AV$2),0))*AW$14 +AW$395</f>
        <v>4.2880780245837951</v>
      </c>
    </row>
    <row r="397" spans="1:49" ht="15" x14ac:dyDescent="0.25">
      <c r="A397" s="2"/>
      <c r="B397" s="4"/>
      <c r="D397" s="47"/>
      <c r="E397" s="44"/>
      <c r="F397" s="44"/>
      <c r="G397" s="44"/>
      <c r="H397" s="44"/>
      <c r="I397" s="44"/>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row>
    <row r="398" spans="1:49" x14ac:dyDescent="0.2">
      <c r="A398" s="22" t="s">
        <v>238</v>
      </c>
      <c r="E398" s="29"/>
      <c r="F398" s="29"/>
      <c r="G398" s="29"/>
      <c r="H398" s="29"/>
      <c r="I398" s="29"/>
    </row>
    <row r="399" spans="1:49" ht="15" x14ac:dyDescent="0.25">
      <c r="A399" s="2" t="s">
        <v>643</v>
      </c>
      <c r="B399" s="4" t="str">
        <f t="shared" si="241"/>
        <v>From Fiscal</v>
      </c>
      <c r="D399" s="47">
        <f>Fiscal!D$175-D$395</f>
        <v>1.0919999999999999</v>
      </c>
      <c r="E399" s="44">
        <f>Fiscal!E$175-E$395</f>
        <v>1.1819999999999999</v>
      </c>
      <c r="F399" s="44">
        <f>Fiscal!F$175-F$395</f>
        <v>1.1879999999999999</v>
      </c>
      <c r="G399" s="44">
        <f>Fiscal!G$175-G$395</f>
        <v>1.1930000000000001</v>
      </c>
      <c r="H399" s="44">
        <f>Fiscal!H$175-H$395</f>
        <v>1.1969999999999998</v>
      </c>
      <c r="I399" s="44">
        <f>Fiscal!I$175-I$395</f>
        <v>1.1989999999999998</v>
      </c>
      <c r="J399" s="8">
        <f ca="1">(I$399/I$14+ IF(J$2&gt;0,J$2*IF(J$6=OFFSET(Assumptions!$B$8,0,$C$1),SUMPRODUCT(OFFSET(I$399,0,0,1,-OFFSET(Assumptions!$B$67,0,$C$1)),OFFSET(I$16,0,0,1,-OFFSET(Assumptions!$B$67,0,$C$1)))/OFFSET(Assumptions!$B$67,0,$C$1)-I$399/I$14,(I$399/I$14-H$399/H$14)/I$2),0))*J$14</f>
        <v>1.2671679442855688</v>
      </c>
      <c r="K399" s="8">
        <f ca="1">(J$399/J$14+ IF(K$2&gt;0,K$2*IF(K$6=OFFSET(Assumptions!$B$8,0,$C$1),SUMPRODUCT(OFFSET(J$399,0,0,1,-OFFSET(Assumptions!$B$67,0,$C$1)),OFFSET(J$16,0,0,1,-OFFSET(Assumptions!$B$67,0,$C$1)))/OFFSET(Assumptions!$B$67,0,$C$1)-J$399/J$14,(J$399/J$14-I$399/I$14)/J$2),0))*K$14</f>
        <v>1.3348294779569219</v>
      </c>
      <c r="L399" s="8">
        <f ca="1">(K$399/K$14+ IF(L$2&gt;0,L$2*IF(L$6=OFFSET(Assumptions!$B$8,0,$C$1),SUMPRODUCT(OFFSET(K$399,0,0,1,-OFFSET(Assumptions!$B$67,0,$C$1)),OFFSET(K$16,0,0,1,-OFFSET(Assumptions!$B$67,0,$C$1)))/OFFSET(Assumptions!$B$67,0,$C$1)-K$399/K$14,(K$399/K$14-J$399/J$14)/K$2),0))*L$14</f>
        <v>1.4041958883926293</v>
      </c>
      <c r="M399" s="8">
        <f ca="1">(L$399/L$14+ IF(M$2&gt;0,M$2*IF(M$6=OFFSET(Assumptions!$B$8,0,$C$1),SUMPRODUCT(OFFSET(L$399,0,0,1,-OFFSET(Assumptions!$B$67,0,$C$1)),OFFSET(L$16,0,0,1,-OFFSET(Assumptions!$B$67,0,$C$1)))/OFFSET(Assumptions!$B$67,0,$C$1)-L$399/L$14,(L$399/L$14-K$399/K$14)/L$2),0))*M$14</f>
        <v>1.4728695810957009</v>
      </c>
      <c r="N399" s="8">
        <f ca="1">(M$399/M$14+ IF(N$2&gt;0,N$2*IF(N$6=OFFSET(Assumptions!$B$8,0,$C$1),SUMPRODUCT(OFFSET(M$399,0,0,1,-OFFSET(Assumptions!$B$67,0,$C$1)),OFFSET(M$16,0,0,1,-OFFSET(Assumptions!$B$67,0,$C$1)))/OFFSET(Assumptions!$B$67,0,$C$1)-M$399/M$14,(M$399/M$14-L$399/L$14)/M$2),0))*N$14</f>
        <v>1.5405649959359911</v>
      </c>
      <c r="O399" s="8">
        <f ca="1">(N$399/N$14+ IF(O$2&gt;0,O$2*IF(O$6=OFFSET(Assumptions!$B$8,0,$C$1),SUMPRODUCT(OFFSET(N$399,0,0,1,-OFFSET(Assumptions!$B$67,0,$C$1)),OFFSET(N$16,0,0,1,-OFFSET(Assumptions!$B$67,0,$C$1)))/OFFSET(Assumptions!$B$67,0,$C$1)-N$399/N$14,(N$399/N$14-M$399/M$14)/N$2),0))*O$14</f>
        <v>1.6063266827152149</v>
      </c>
      <c r="P399" s="8">
        <f ca="1">(O$399/O$14+ IF(P$2&gt;0,P$2*IF(P$6=OFFSET(Assumptions!$B$8,0,$C$1),SUMPRODUCT(OFFSET(O$399,0,0,1,-OFFSET(Assumptions!$B$67,0,$C$1)),OFFSET(O$16,0,0,1,-OFFSET(Assumptions!$B$67,0,$C$1)))/OFFSET(Assumptions!$B$67,0,$C$1)-O$399/O$14,(O$399/O$14-N$399/N$14)/O$2),0))*P$14</f>
        <v>1.6742564731309393</v>
      </c>
      <c r="Q399" s="8">
        <f ca="1">(P$399/P$14+ IF(Q$2&gt;0,Q$2*IF(Q$6=OFFSET(Assumptions!$B$8,0,$C$1),SUMPRODUCT(OFFSET(P$399,0,0,1,-OFFSET(Assumptions!$B$67,0,$C$1)),OFFSET(P$16,0,0,1,-OFFSET(Assumptions!$B$67,0,$C$1)))/OFFSET(Assumptions!$B$67,0,$C$1)-P$399/P$14,(P$399/P$14-O$399/O$14)/P$2),0))*Q$14</f>
        <v>1.7442809905363312</v>
      </c>
      <c r="R399" s="8">
        <f ca="1">(Q$399/Q$14+ IF(R$2&gt;0,R$2*IF(R$6=OFFSET(Assumptions!$B$8,0,$C$1),SUMPRODUCT(OFFSET(Q$399,0,0,1,-OFFSET(Assumptions!$B$67,0,$C$1)),OFFSET(Q$16,0,0,1,-OFFSET(Assumptions!$B$67,0,$C$1)))/OFFSET(Assumptions!$B$67,0,$C$1)-Q$399/Q$14,(Q$399/Q$14-P$399/P$14)/Q$2),0))*R$14</f>
        <v>1.8163482615086879</v>
      </c>
      <c r="S399" s="8">
        <f ca="1">(R$399/R$14+ IF(S$2&gt;0,S$2*IF(S$6=OFFSET(Assumptions!$B$8,0,$C$1),SUMPRODUCT(OFFSET(R$399,0,0,1,-OFFSET(Assumptions!$B$67,0,$C$1)),OFFSET(R$16,0,0,1,-OFFSET(Assumptions!$B$67,0,$C$1)))/OFFSET(Assumptions!$B$67,0,$C$1)-R$399/R$14,(R$399/R$14-Q$399/Q$14)/R$2),0))*S$14</f>
        <v>1.8906873128964619</v>
      </c>
      <c r="T399" s="8">
        <f ca="1">(S$399/S$14+ IF(T$2&gt;0,T$2*IF(T$6=OFFSET(Assumptions!$B$8,0,$C$1),SUMPRODUCT(OFFSET(S$399,0,0,1,-OFFSET(Assumptions!$B$67,0,$C$1)),OFFSET(S$16,0,0,1,-OFFSET(Assumptions!$B$67,0,$C$1)))/OFFSET(Assumptions!$B$67,0,$C$1)-S$399/S$14,(S$399/S$14-R$399/R$14)/S$2),0))*T$14</f>
        <v>1.9673252536348174</v>
      </c>
      <c r="U399" s="8">
        <f ca="1">(T$399/T$14+ IF(U$2&gt;0,U$2*IF(U$6=OFFSET(Assumptions!$B$8,0,$C$1),SUMPRODUCT(OFFSET(T$399,0,0,1,-OFFSET(Assumptions!$B$67,0,$C$1)),OFFSET(T$16,0,0,1,-OFFSET(Assumptions!$B$67,0,$C$1)))/OFFSET(Assumptions!$B$67,0,$C$1)-T$399/T$14,(T$399/T$14-S$399/S$14)/T$2),0))*U$14</f>
        <v>2.0465371352729131</v>
      </c>
      <c r="V399" s="8">
        <f ca="1">(U$399/U$14+ IF(V$2&gt;0,V$2*IF(V$6=OFFSET(Assumptions!$B$8,0,$C$1),SUMPRODUCT(OFFSET(U$399,0,0,1,-OFFSET(Assumptions!$B$67,0,$C$1)),OFFSET(U$16,0,0,1,-OFFSET(Assumptions!$B$67,0,$C$1)))/OFFSET(Assumptions!$B$67,0,$C$1)-U$399/U$14,(U$399/U$14-T$399/T$14)/U$2),0))*V$14</f>
        <v>2.1285184927930128</v>
      </c>
      <c r="W399" s="8">
        <f ca="1">(V$399/V$14+ IF(W$2&gt;0,W$2*IF(W$6=OFFSET(Assumptions!$B$8,0,$C$1),SUMPRODUCT(OFFSET(V$399,0,0,1,-OFFSET(Assumptions!$B$67,0,$C$1)),OFFSET(V$16,0,0,1,-OFFSET(Assumptions!$B$67,0,$C$1)))/OFFSET(Assumptions!$B$67,0,$C$1)-V$399/V$14,(V$399/V$14-U$399/U$14)/V$2),0))*W$14</f>
        <v>2.2135068468666126</v>
      </c>
      <c r="X399" s="8">
        <f ca="1">(W$399/W$14+ IF(X$2&gt;0,X$2*IF(X$6=OFFSET(Assumptions!$B$8,0,$C$1),SUMPRODUCT(OFFSET(W$399,0,0,1,-OFFSET(Assumptions!$B$67,0,$C$1)),OFFSET(W$16,0,0,1,-OFFSET(Assumptions!$B$67,0,$C$1)))/OFFSET(Assumptions!$B$67,0,$C$1)-W$399/W$14,(W$399/W$14-V$399/V$14)/W$2),0))*X$14</f>
        <v>2.3017713944787634</v>
      </c>
      <c r="Y399" s="8">
        <f ca="1">(X$399/X$14+ IF(Y$2&gt;0,Y$2*IF(Y$6=OFFSET(Assumptions!$B$8,0,$C$1),SUMPRODUCT(OFFSET(X$399,0,0,1,-OFFSET(Assumptions!$B$67,0,$C$1)),OFFSET(X$16,0,0,1,-OFFSET(Assumptions!$B$67,0,$C$1)))/OFFSET(Assumptions!$B$67,0,$C$1)-X$399/X$14,(X$399/X$14-W$399/W$14)/X$2),0))*Y$14</f>
        <v>2.3933031120701886</v>
      </c>
      <c r="Z399" s="8">
        <f ca="1">(Y$399/Y$14+ IF(Z$2&gt;0,Z$2*IF(Z$6=OFFSET(Assumptions!$B$8,0,$C$1),SUMPRODUCT(OFFSET(Y$399,0,0,1,-OFFSET(Assumptions!$B$67,0,$C$1)),OFFSET(Y$16,0,0,1,-OFFSET(Assumptions!$B$67,0,$C$1)))/OFFSET(Assumptions!$B$67,0,$C$1)-Y$399/Y$14,(Y$399/Y$14-X$399/X$14)/Y$2),0))*Z$14</f>
        <v>2.4885653004629869</v>
      </c>
      <c r="AA399" s="8">
        <f ca="1">(Z$399/Z$14+ IF(AA$2&gt;0,AA$2*IF(AA$6=OFFSET(Assumptions!$B$8,0,$C$1),SUMPRODUCT(OFFSET(Z$399,0,0,1,-OFFSET(Assumptions!$B$67,0,$C$1)),OFFSET(Z$16,0,0,1,-OFFSET(Assumptions!$B$67,0,$C$1)))/OFFSET(Assumptions!$B$67,0,$C$1)-Z$399/Z$14,(Z$399/Z$14-Y$399/Y$14)/Z$2),0))*AA$14</f>
        <v>2.5877120942064891</v>
      </c>
      <c r="AB399" s="8">
        <f ca="1">(AA$399/AA$14+ IF(AB$2&gt;0,AB$2*IF(AB$6=OFFSET(Assumptions!$B$8,0,$C$1),SUMPRODUCT(OFFSET(AA$399,0,0,1,-OFFSET(Assumptions!$B$67,0,$C$1)),OFFSET(AA$16,0,0,1,-OFFSET(Assumptions!$B$67,0,$C$1)))/OFFSET(Assumptions!$B$67,0,$C$1)-AA$399/AA$14,(AA$399/AA$14-Z$399/Z$14)/AA$2),0))*AB$14</f>
        <v>2.6910412402786381</v>
      </c>
      <c r="AC399" s="8">
        <f ca="1">(AB$399/AB$14+ IF(AC$2&gt;0,AC$2*IF(AC$6=OFFSET(Assumptions!$B$8,0,$C$1),SUMPRODUCT(OFFSET(AB$399,0,0,1,-OFFSET(Assumptions!$B$67,0,$C$1)),OFFSET(AB$16,0,0,1,-OFFSET(Assumptions!$B$67,0,$C$1)))/OFFSET(Assumptions!$B$67,0,$C$1)-AB$399/AB$14,(AB$399/AB$14-AA$399/AA$14)/AB$2),0))*AC$14</f>
        <v>2.798942820227869</v>
      </c>
      <c r="AD399" s="8">
        <f ca="1">(AC$399/AC$14+ IF(AD$2&gt;0,AD$2*IF(AD$6=OFFSET(Assumptions!$B$8,0,$C$1),SUMPRODUCT(OFFSET(AC$399,0,0,1,-OFFSET(Assumptions!$B$67,0,$C$1)),OFFSET(AC$16,0,0,1,-OFFSET(Assumptions!$B$67,0,$C$1)))/OFFSET(Assumptions!$B$67,0,$C$1)-AC$399/AC$14,(AC$399/AC$14-AB$399/AB$14)/AC$2),0))*AD$14</f>
        <v>2.9115305636504893</v>
      </c>
      <c r="AE399" s="8">
        <f ca="1">(AD$399/AD$14+ IF(AE$2&gt;0,AE$2*IF(AE$6=OFFSET(Assumptions!$B$8,0,$C$1),SUMPRODUCT(OFFSET(AD$399,0,0,1,-OFFSET(Assumptions!$B$67,0,$C$1)),OFFSET(AD$16,0,0,1,-OFFSET(Assumptions!$B$67,0,$C$1)))/OFFSET(Assumptions!$B$67,0,$C$1)-AD$399/AD$14,(AD$399/AD$14-AC$399/AC$14)/AD$2),0))*AE$14</f>
        <v>3.0287010737105788</v>
      </c>
      <c r="AF399" s="8">
        <f ca="1">(AE$399/AE$14+ IF(AF$2&gt;0,AF$2*IF(AF$6=OFFSET(Assumptions!$B$8,0,$C$1),SUMPRODUCT(OFFSET(AE$399,0,0,1,-OFFSET(Assumptions!$B$67,0,$C$1)),OFFSET(AE$16,0,0,1,-OFFSET(Assumptions!$B$67,0,$C$1)))/OFFSET(Assumptions!$B$67,0,$C$1)-AE$399/AE$14,(AE$399/AE$14-AD$399/AD$14)/AE$2),0))*AF$14</f>
        <v>3.1507785142942852</v>
      </c>
      <c r="AG399" s="8">
        <f ca="1">(AF$399/AF$14+ IF(AG$2&gt;0,AG$2*IF(AG$6=OFFSET(Assumptions!$B$8,0,$C$1),SUMPRODUCT(OFFSET(AF$399,0,0,1,-OFFSET(Assumptions!$B$67,0,$C$1)),OFFSET(AF$16,0,0,1,-OFFSET(Assumptions!$B$67,0,$C$1)))/OFFSET(Assumptions!$B$67,0,$C$1)-AF$399/AF$14,(AF$399/AF$14-AE$399/AE$14)/AF$2),0))*AG$14</f>
        <v>3.2778311460016654</v>
      </c>
      <c r="AH399" s="8">
        <f ca="1">(AG$399/AG$14+ IF(AH$2&gt;0,AH$2*IF(AH$6=OFFSET(Assumptions!$B$8,0,$C$1),SUMPRODUCT(OFFSET(AG$399,0,0,1,-OFFSET(Assumptions!$B$67,0,$C$1)),OFFSET(AG$16,0,0,1,-OFFSET(Assumptions!$B$67,0,$C$1)))/OFFSET(Assumptions!$B$67,0,$C$1)-AG$399/AG$14,(AG$399/AG$14-AF$399/AF$14)/AG$2),0))*AH$14</f>
        <v>3.4100627065433735</v>
      </c>
      <c r="AI399" s="8">
        <f ca="1">(AH$399/AH$14+ IF(AI$2&gt;0,AI$2*IF(AI$6=OFFSET(Assumptions!$B$8,0,$C$1),SUMPRODUCT(OFFSET(AH$399,0,0,1,-OFFSET(Assumptions!$B$67,0,$C$1)),OFFSET(AH$16,0,0,1,-OFFSET(Assumptions!$B$67,0,$C$1)))/OFFSET(Assumptions!$B$67,0,$C$1)-AH$399/AH$14,(AH$399/AH$14-AG$399/AG$14)/AH$2),0))*AI$14</f>
        <v>3.547242143610057</v>
      </c>
      <c r="AJ399" s="8">
        <f ca="1">(AI$399/AI$14+ IF(AJ$2&gt;0,AJ$2*IF(AJ$6=OFFSET(Assumptions!$B$8,0,$C$1),SUMPRODUCT(OFFSET(AI$399,0,0,1,-OFFSET(Assumptions!$B$67,0,$C$1)),OFFSET(AI$16,0,0,1,-OFFSET(Assumptions!$B$67,0,$C$1)))/OFFSET(Assumptions!$B$67,0,$C$1)-AI$399/AI$14,(AI$399/AI$14-AH$399/AH$14)/AI$2),0))*AJ$14</f>
        <v>3.6898089112860299</v>
      </c>
      <c r="AK399" s="8">
        <f ca="1">(AJ$399/AJ$14+ IF(AK$2&gt;0,AK$2*IF(AK$6=OFFSET(Assumptions!$B$8,0,$C$1),SUMPRODUCT(OFFSET(AJ$399,0,0,1,-OFFSET(Assumptions!$B$67,0,$C$1)),OFFSET(AJ$16,0,0,1,-OFFSET(Assumptions!$B$67,0,$C$1)))/OFFSET(Assumptions!$B$67,0,$C$1)-AJ$399/AJ$14,(AJ$399/AJ$14-AI$399/AI$14)/AJ$2),0))*AK$14</f>
        <v>3.8376457297566366</v>
      </c>
      <c r="AL399" s="8">
        <f ca="1">(AK$399/AK$14+ IF(AL$2&gt;0,AL$2*IF(AL$6=OFFSET(Assumptions!$B$8,0,$C$1),SUMPRODUCT(OFFSET(AK$399,0,0,1,-OFFSET(Assumptions!$B$67,0,$C$1)),OFFSET(AK$16,0,0,1,-OFFSET(Assumptions!$B$67,0,$C$1)))/OFFSET(Assumptions!$B$67,0,$C$1)-AK$399/AK$14,(AK$399/AK$14-AJ$399/AJ$14)/AK$2),0))*AL$14</f>
        <v>3.9906361438814191</v>
      </c>
      <c r="AM399" s="8">
        <f ca="1">(AL$399/AL$14+ IF(AM$2&gt;0,AM$2*IF(AM$6=OFFSET(Assumptions!$B$8,0,$C$1),SUMPRODUCT(OFFSET(AL$399,0,0,1,-OFFSET(Assumptions!$B$67,0,$C$1)),OFFSET(AL$16,0,0,1,-OFFSET(Assumptions!$B$67,0,$C$1)))/OFFSET(Assumptions!$B$67,0,$C$1)-AL$399/AL$14,(AL$399/AL$14-AK$399/AK$14)/AL$2),0))*AM$14</f>
        <v>4.1489891584885275</v>
      </c>
      <c r="AN399" s="8">
        <f ca="1">(AM$399/AM$14+ IF(AN$2&gt;0,AN$2*IF(AN$6=OFFSET(Assumptions!$B$8,0,$C$1),SUMPRODUCT(OFFSET(AM$399,0,0,1,-OFFSET(Assumptions!$B$67,0,$C$1)),OFFSET(AM$16,0,0,1,-OFFSET(Assumptions!$B$67,0,$C$1)))/OFFSET(Assumptions!$B$67,0,$C$1)-AM$399/AM$14,(AM$399/AM$14-AL$399/AL$14)/AM$2),0))*AN$14</f>
        <v>4.3129250410877749</v>
      </c>
      <c r="AO399" s="8">
        <f ca="1">(AN$399/AN$14+ IF(AO$2&gt;0,AO$2*IF(AO$6=OFFSET(Assumptions!$B$8,0,$C$1),SUMPRODUCT(OFFSET(AN$399,0,0,1,-OFFSET(Assumptions!$B$67,0,$C$1)),OFFSET(AN$16,0,0,1,-OFFSET(Assumptions!$B$67,0,$C$1)))/OFFSET(Assumptions!$B$67,0,$C$1)-AN$399/AN$14,(AN$399/AN$14-AM$399/AM$14)/AN$2),0))*AO$14</f>
        <v>4.4818000721598503</v>
      </c>
      <c r="AP399" s="8">
        <f ca="1">(AO$399/AO$14+ IF(AP$2&gt;0,AP$2*IF(AP$6=OFFSET(Assumptions!$B$8,0,$C$1),SUMPRODUCT(OFFSET(AO$399,0,0,1,-OFFSET(Assumptions!$B$67,0,$C$1)),OFFSET(AO$16,0,0,1,-OFFSET(Assumptions!$B$67,0,$C$1)))/OFFSET(Assumptions!$B$67,0,$C$1)-AO$399/AO$14,(AO$399/AO$14-AN$399/AN$14)/AO$2),0))*AP$14</f>
        <v>4.6563313786998144</v>
      </c>
      <c r="AQ399" s="8">
        <f ca="1">(AP$399/AP$14+ IF(AQ$2&gt;0,AQ$2*IF(AQ$6=OFFSET(Assumptions!$B$8,0,$C$1),SUMPRODUCT(OFFSET(AP$399,0,0,1,-OFFSET(Assumptions!$B$67,0,$C$1)),OFFSET(AP$16,0,0,1,-OFFSET(Assumptions!$B$67,0,$C$1)))/OFFSET(Assumptions!$B$67,0,$C$1)-AP$399/AP$14,(AP$399/AP$14-AO$399/AO$14)/AP$2),0))*AQ$14</f>
        <v>4.836029924537514</v>
      </c>
      <c r="AR399" s="8">
        <f ca="1">(AQ$399/AQ$14+ IF(AR$2&gt;0,AR$2*IF(AR$6=OFFSET(Assumptions!$B$8,0,$C$1),SUMPRODUCT(OFFSET(AQ$399,0,0,1,-OFFSET(Assumptions!$B$67,0,$C$1)),OFFSET(AQ$16,0,0,1,-OFFSET(Assumptions!$B$67,0,$C$1)))/OFFSET(Assumptions!$B$67,0,$C$1)-AQ$399/AQ$14,(AQ$399/AQ$14-AP$399/AP$14)/AQ$2),0))*AR$14</f>
        <v>5.0210991605743462</v>
      </c>
      <c r="AS399" s="8">
        <f ca="1">(AR$399/AR$14+ IF(AS$2&gt;0,AS$2*IF(AS$6=OFFSET(Assumptions!$B$8,0,$C$1),SUMPRODUCT(OFFSET(AR$399,0,0,1,-OFFSET(Assumptions!$B$67,0,$C$1)),OFFSET(AR$16,0,0,1,-OFFSET(Assumptions!$B$67,0,$C$1)))/OFFSET(Assumptions!$B$67,0,$C$1)-AR$399/AR$14,(AR$399/AR$14-AQ$399/AQ$14)/AR$2),0))*AS$14</f>
        <v>5.2119708479998685</v>
      </c>
      <c r="AT399" s="8">
        <f ca="1">(AS$399/AS$14+ IF(AT$2&gt;0,AT$2*IF(AT$6=OFFSET(Assumptions!$B$8,0,$C$1),SUMPRODUCT(OFFSET(AS$399,0,0,1,-OFFSET(Assumptions!$B$67,0,$C$1)),OFFSET(AS$16,0,0,1,-OFFSET(Assumptions!$B$67,0,$C$1)))/OFFSET(Assumptions!$B$67,0,$C$1)-AS$399/AS$14,(AS$399/AS$14-AR$399/AR$14)/AS$2),0))*AT$14</f>
        <v>5.4087974297818606</v>
      </c>
      <c r="AU399" s="8">
        <f ca="1">(AT$399/AT$14+ IF(AU$2&gt;0,AU$2*IF(AU$6=OFFSET(Assumptions!$B$8,0,$C$1),SUMPRODUCT(OFFSET(AT$399,0,0,1,-OFFSET(Assumptions!$B$67,0,$C$1)),OFFSET(AT$16,0,0,1,-OFFSET(Assumptions!$B$67,0,$C$1)))/OFFSET(Assumptions!$B$67,0,$C$1)-AT$399/AT$14,(AT$399/AT$14-AS$399/AS$14)/AT$2),0))*AU$14</f>
        <v>5.6118406413336199</v>
      </c>
      <c r="AV399" s="8">
        <f ca="1">(AU$399/AU$14+ IF(AV$2&gt;0,AV$2*IF(AV$6=OFFSET(Assumptions!$B$8,0,$C$1),SUMPRODUCT(OFFSET(AU$399,0,0,1,-OFFSET(Assumptions!$B$67,0,$C$1)),OFFSET(AU$16,0,0,1,-OFFSET(Assumptions!$B$67,0,$C$1)))/OFFSET(Assumptions!$B$67,0,$C$1)-AU$399/AU$14,(AU$399/AU$14-AT$399/AT$14)/AU$2),0))*AV$14</f>
        <v>5.8217282715679826</v>
      </c>
      <c r="AW399" s="8">
        <f ca="1">(AV$399/AV$14+ IF(AW$2&gt;0,AW$2*IF(AW$6=OFFSET(Assumptions!$B$8,0,$C$1),SUMPRODUCT(OFFSET(AV$399,0,0,1,-OFFSET(Assumptions!$B$67,0,$C$1)),OFFSET(AV$16,0,0,1,-OFFSET(Assumptions!$B$67,0,$C$1)))/OFFSET(Assumptions!$B$67,0,$C$1)-AV$399/AV$14,(AV$399/AV$14-AU$399/AU$14)/AV$2),0))*AW$14</f>
        <v>6.0383418271266143</v>
      </c>
    </row>
    <row r="400" spans="1:49" ht="15" x14ac:dyDescent="0.25">
      <c r="A400" s="2" t="s">
        <v>644</v>
      </c>
      <c r="B400" s="4" t="str">
        <f t="shared" si="241"/>
        <v>From Fiscal</v>
      </c>
      <c r="D400" s="47">
        <f>Fiscal!D$120</f>
        <v>2.3889999999999998</v>
      </c>
      <c r="E400" s="44">
        <f>Fiscal!E$120</f>
        <v>2.3460000000000001</v>
      </c>
      <c r="F400" s="44">
        <f>Fiscal!F$120</f>
        <v>2.3010000000000002</v>
      </c>
      <c r="G400" s="44">
        <f>Fiscal!G$120</f>
        <v>2.302</v>
      </c>
      <c r="H400" s="44">
        <f>Fiscal!H$120</f>
        <v>2.302</v>
      </c>
      <c r="I400" s="44">
        <f>Fiscal!I$120</f>
        <v>2.3149999999999999</v>
      </c>
      <c r="J400" s="8">
        <f ca="1">((I$400-I$399)/I$14+ IF(J$2&gt;0,J$2*IF(J$6=OFFSET(Assumptions!$B$8,0,$C$1),(SUMPRODUCT(OFFSET(I$400,0,0,1,-OFFSET(Assumptions!$B$67,0,$C$1)),OFFSET(I$16,0,0,1,-OFFSET(Assumptions!$B$67,0,$C$1)))-SUMPRODUCT(OFFSET(I$399,0,0,1,-OFFSET(Assumptions!$B$67,0,$C$1)),OFFSET(I$16,0,0,1,-OFFSET(Assumptions!$B$67,0,$C$1))))/OFFSET(Assumptions!$B$67,0,$C$1)-(I$400-I$399)/I$14,((I$400-I$399)/I$14-(H$400-H$399)/H$14)/I$2),0))*J$14 +J$399</f>
        <v>2.4453364128327926</v>
      </c>
      <c r="K400" s="8">
        <f ca="1">((J$400-J$399)/J$14+ IF(K$2&gt;0,K$2*IF(K$6=OFFSET(Assumptions!$B$8,0,$C$1),(SUMPRODUCT(OFFSET(J$400,0,0,1,-OFFSET(Assumptions!$B$67,0,$C$1)),OFFSET(J$16,0,0,1,-OFFSET(Assumptions!$B$67,0,$C$1)))-SUMPRODUCT(OFFSET(J$399,0,0,1,-OFFSET(Assumptions!$B$67,0,$C$1)),OFFSET(J$16,0,0,1,-OFFSET(Assumptions!$B$67,0,$C$1))))/OFFSET(Assumptions!$B$67,0,$C$1)-(J$400-J$399)/J$14,((J$400-J$399)/J$14-(I$400-I$399)/I$14)/J$2),0))*K$14 +K$399</f>
        <v>2.5748548498699995</v>
      </c>
      <c r="L400" s="8">
        <f ca="1">((K$400-K$399)/K$14+ IF(L$2&gt;0,L$2*IF(L$6=OFFSET(Assumptions!$B$8,0,$C$1),(SUMPRODUCT(OFFSET(K$400,0,0,1,-OFFSET(Assumptions!$B$67,0,$C$1)),OFFSET(K$16,0,0,1,-OFFSET(Assumptions!$B$67,0,$C$1)))-SUMPRODUCT(OFFSET(K$399,0,0,1,-OFFSET(Assumptions!$B$67,0,$C$1)),OFFSET(K$16,0,0,1,-OFFSET(Assumptions!$B$67,0,$C$1))))/OFFSET(Assumptions!$B$67,0,$C$1)-(K$400-K$399)/K$14,((K$400-K$399)/K$14-(J$400-J$399)/J$14)/K$2),0))*L$14 +L$399</f>
        <v>2.7078465740014375</v>
      </c>
      <c r="M400" s="8">
        <f ca="1">((L$400-L$399)/L$14+ IF(M$2&gt;0,M$2*IF(M$6=OFFSET(Assumptions!$B$8,0,$C$1),(SUMPRODUCT(OFFSET(L$400,0,0,1,-OFFSET(Assumptions!$B$67,0,$C$1)),OFFSET(L$16,0,0,1,-OFFSET(Assumptions!$B$67,0,$C$1)))-SUMPRODUCT(OFFSET(L$399,0,0,1,-OFFSET(Assumptions!$B$67,0,$C$1)),OFFSET(L$16,0,0,1,-OFFSET(Assumptions!$B$67,0,$C$1))))/OFFSET(Assumptions!$B$67,0,$C$1)-(L$400-L$399)/L$14,((L$400-L$399)/L$14-(K$400-K$399)/K$14)/L$2),0))*M$14 +M$399</f>
        <v>2.8397148984968976</v>
      </c>
      <c r="N400" s="8">
        <f ca="1">((M$400-M$399)/M$14+ IF(N$2&gt;0,N$2*IF(N$6=OFFSET(Assumptions!$B$8,0,$C$1),(SUMPRODUCT(OFFSET(M$400,0,0,1,-OFFSET(Assumptions!$B$67,0,$C$1)),OFFSET(M$16,0,0,1,-OFFSET(Assumptions!$B$67,0,$C$1)))-SUMPRODUCT(OFFSET(M$399,0,0,1,-OFFSET(Assumptions!$B$67,0,$C$1)),OFFSET(M$16,0,0,1,-OFFSET(Assumptions!$B$67,0,$C$1))))/OFFSET(Assumptions!$B$67,0,$C$1)-(M$400-M$399)/M$14,((M$400-M$399)/M$14-(L$400-L$399)/L$14)/M$2),0))*N$14 +N$399</f>
        <v>2.9699412677956074</v>
      </c>
      <c r="O400" s="8">
        <f ca="1">((N$400-N$399)/N$14+ IF(O$2&gt;0,O$2*IF(O$6=OFFSET(Assumptions!$B$8,0,$C$1),(SUMPRODUCT(OFFSET(N$400,0,0,1,-OFFSET(Assumptions!$B$67,0,$C$1)),OFFSET(N$16,0,0,1,-OFFSET(Assumptions!$B$67,0,$C$1)))-SUMPRODUCT(OFFSET(N$399,0,0,1,-OFFSET(Assumptions!$B$67,0,$C$1)),OFFSET(N$16,0,0,1,-OFFSET(Assumptions!$B$67,0,$C$1))))/OFFSET(Assumptions!$B$67,0,$C$1)-(N$400-N$399)/N$14,((N$400-N$399)/N$14-(M$400-M$399)/M$14)/N$2),0))*O$14 +O$399</f>
        <v>3.0967183579675179</v>
      </c>
      <c r="P400" s="8">
        <f ca="1">((O$400-O$399)/O$14+ IF(P$2&gt;0,P$2*IF(P$6=OFFSET(Assumptions!$B$8,0,$C$1),(SUMPRODUCT(OFFSET(O$400,0,0,1,-OFFSET(Assumptions!$B$67,0,$C$1)),OFFSET(O$16,0,0,1,-OFFSET(Assumptions!$B$67,0,$C$1)))-SUMPRODUCT(OFFSET(O$399,0,0,1,-OFFSET(Assumptions!$B$67,0,$C$1)),OFFSET(O$16,0,0,1,-OFFSET(Assumptions!$B$67,0,$C$1))))/OFFSET(Assumptions!$B$67,0,$C$1)-(O$400-O$399)/O$14,((O$400-O$399)/O$14-(N$400-N$399)/N$14)/O$2),0))*P$14 +P$399</f>
        <v>3.2276751747201873</v>
      </c>
      <c r="Q400" s="8">
        <f ca="1">((P$400-P$399)/P$14+ IF(Q$2&gt;0,Q$2*IF(Q$6=OFFSET(Assumptions!$B$8,0,$C$1),(SUMPRODUCT(OFFSET(P$400,0,0,1,-OFFSET(Assumptions!$B$67,0,$C$1)),OFFSET(P$16,0,0,1,-OFFSET(Assumptions!$B$67,0,$C$1)))-SUMPRODUCT(OFFSET(P$399,0,0,1,-OFFSET(Assumptions!$B$67,0,$C$1)),OFFSET(P$16,0,0,1,-OFFSET(Assumptions!$B$67,0,$C$1))))/OFFSET(Assumptions!$B$67,0,$C$1)-(P$400-P$399)/P$14,((P$400-P$399)/P$14-(O$400-O$399)/O$14)/P$2),0))*Q$14 +Q$399</f>
        <v>3.3626702606453946</v>
      </c>
      <c r="R400" s="8">
        <f ca="1">((Q$400-Q$399)/Q$14+ IF(R$2&gt;0,R$2*IF(R$6=OFFSET(Assumptions!$B$8,0,$C$1),(SUMPRODUCT(OFFSET(Q$400,0,0,1,-OFFSET(Assumptions!$B$67,0,$C$1)),OFFSET(Q$16,0,0,1,-OFFSET(Assumptions!$B$67,0,$C$1)))-SUMPRODUCT(OFFSET(Q$399,0,0,1,-OFFSET(Assumptions!$B$67,0,$C$1)),OFFSET(Q$16,0,0,1,-OFFSET(Assumptions!$B$67,0,$C$1))))/OFFSET(Assumptions!$B$67,0,$C$1)-(Q$400-Q$399)/Q$14,((Q$400-Q$399)/Q$14-(P$400-P$399)/P$14)/Q$2),0))*R$14 +R$399</f>
        <v>3.5016034200270738</v>
      </c>
      <c r="S400" s="8">
        <f ca="1">((R$400-R$399)/R$14+ IF(S$2&gt;0,S$2*IF(S$6=OFFSET(Assumptions!$B$8,0,$C$1),(SUMPRODUCT(OFFSET(R$400,0,0,1,-OFFSET(Assumptions!$B$67,0,$C$1)),OFFSET(R$16,0,0,1,-OFFSET(Assumptions!$B$67,0,$C$1)))-SUMPRODUCT(OFFSET(R$399,0,0,1,-OFFSET(Assumptions!$B$67,0,$C$1)),OFFSET(R$16,0,0,1,-OFFSET(Assumptions!$B$67,0,$C$1))))/OFFSET(Assumptions!$B$67,0,$C$1)-(R$400-R$399)/R$14,((R$400-R$399)/R$14-(Q$400-Q$399)/Q$14)/R$2),0))*S$14 +S$399</f>
        <v>3.6449161767804421</v>
      </c>
      <c r="T400" s="8">
        <f ca="1">((S$400-S$399)/S$14+ IF(T$2&gt;0,T$2*IF(T$6=OFFSET(Assumptions!$B$8,0,$C$1),(SUMPRODUCT(OFFSET(S$400,0,0,1,-OFFSET(Assumptions!$B$67,0,$C$1)),OFFSET(S$16,0,0,1,-OFFSET(Assumptions!$B$67,0,$C$1)))-SUMPRODUCT(OFFSET(S$399,0,0,1,-OFFSET(Assumptions!$B$67,0,$C$1)),OFFSET(S$16,0,0,1,-OFFSET(Assumptions!$B$67,0,$C$1))))/OFFSET(Assumptions!$B$67,0,$C$1)-(S$400-S$399)/S$14,((S$400-S$399)/S$14-(R$400-R$399)/R$14)/S$2),0))*T$14 +T$399</f>
        <v>3.7926607922157869</v>
      </c>
      <c r="U400" s="8">
        <f ca="1">((T$400-T$399)/T$14+ IF(U$2&gt;0,U$2*IF(U$6=OFFSET(Assumptions!$B$8,0,$C$1),(SUMPRODUCT(OFFSET(T$400,0,0,1,-OFFSET(Assumptions!$B$67,0,$C$1)),OFFSET(T$16,0,0,1,-OFFSET(Assumptions!$B$67,0,$C$1)))-SUMPRODUCT(OFFSET(T$399,0,0,1,-OFFSET(Assumptions!$B$67,0,$C$1)),OFFSET(T$16,0,0,1,-OFFSET(Assumptions!$B$67,0,$C$1))))/OFFSET(Assumptions!$B$67,0,$C$1)-(T$400-T$399)/T$14,((T$400-T$399)/T$14-(S$400-S$399)/S$14)/T$2),0))*U$14 +U$399</f>
        <v>3.9453675178634056</v>
      </c>
      <c r="V400" s="8">
        <f ca="1">((U$400-U$399)/U$14+ IF(V$2&gt;0,V$2*IF(V$6=OFFSET(Assumptions!$B$8,0,$C$1),(SUMPRODUCT(OFFSET(U$400,0,0,1,-OFFSET(Assumptions!$B$67,0,$C$1)),OFFSET(U$16,0,0,1,-OFFSET(Assumptions!$B$67,0,$C$1)))-SUMPRODUCT(OFFSET(U$399,0,0,1,-OFFSET(Assumptions!$B$67,0,$C$1)),OFFSET(U$16,0,0,1,-OFFSET(Assumptions!$B$67,0,$C$1))))/OFFSET(Assumptions!$B$67,0,$C$1)-(U$400-U$399)/U$14,((U$400-U$399)/U$14-(T$400-T$399)/T$14)/U$2),0))*V$14 +V$399</f>
        <v>4.1034133111477846</v>
      </c>
      <c r="W400" s="8">
        <f ca="1">((V$400-V$399)/V$14+ IF(W$2&gt;0,W$2*IF(W$6=OFFSET(Assumptions!$B$8,0,$C$1),(SUMPRODUCT(OFFSET(V$400,0,0,1,-OFFSET(Assumptions!$B$67,0,$C$1)),OFFSET(V$16,0,0,1,-OFFSET(Assumptions!$B$67,0,$C$1)))-SUMPRODUCT(OFFSET(V$399,0,0,1,-OFFSET(Assumptions!$B$67,0,$C$1)),OFFSET(V$16,0,0,1,-OFFSET(Assumptions!$B$67,0,$C$1))))/OFFSET(Assumptions!$B$67,0,$C$1)-(V$400-V$399)/V$14,((V$400-V$399)/V$14-(U$400-U$399)/U$14)/V$2),0))*W$14 +W$399</f>
        <v>4.2672560705971216</v>
      </c>
      <c r="X400" s="8">
        <f ca="1">((W$400-W$399)/W$14+ IF(X$2&gt;0,X$2*IF(X$6=OFFSET(Assumptions!$B$8,0,$C$1),(SUMPRODUCT(OFFSET(W$400,0,0,1,-OFFSET(Assumptions!$B$67,0,$C$1)),OFFSET(W$16,0,0,1,-OFFSET(Assumptions!$B$67,0,$C$1)))-SUMPRODUCT(OFFSET(W$399,0,0,1,-OFFSET(Assumptions!$B$67,0,$C$1)),OFFSET(W$16,0,0,1,-OFFSET(Assumptions!$B$67,0,$C$1))))/OFFSET(Assumptions!$B$67,0,$C$1)-(W$400-W$399)/W$14,((W$400-W$399)/W$14-(V$400-V$399)/V$14)/W$2),0))*X$14 +X$399</f>
        <v>4.4374147611607544</v>
      </c>
      <c r="Y400" s="8">
        <f ca="1">((X$400-X$399)/X$14+ IF(Y$2&gt;0,Y$2*IF(Y$6=OFFSET(Assumptions!$B$8,0,$C$1),(SUMPRODUCT(OFFSET(X$400,0,0,1,-OFFSET(Assumptions!$B$67,0,$C$1)),OFFSET(X$16,0,0,1,-OFFSET(Assumptions!$B$67,0,$C$1)))-SUMPRODUCT(OFFSET(X$399,0,0,1,-OFFSET(Assumptions!$B$67,0,$C$1)),OFFSET(X$16,0,0,1,-OFFSET(Assumptions!$B$67,0,$C$1))))/OFFSET(Assumptions!$B$67,0,$C$1)-(X$400-X$399)/X$14,((X$400-X$399)/X$14-(W$400-W$399)/W$14)/X$2),0))*Y$14 +Y$399</f>
        <v>4.6138719869864158</v>
      </c>
      <c r="Z400" s="8">
        <f ca="1">((Y$400-Y$399)/Y$14+ IF(Z$2&gt;0,Z$2*IF(Z$6=OFFSET(Assumptions!$B$8,0,$C$1),(SUMPRODUCT(OFFSET(Y$400,0,0,1,-OFFSET(Assumptions!$B$67,0,$C$1)),OFFSET(Y$16,0,0,1,-OFFSET(Assumptions!$B$67,0,$C$1)))-SUMPRODUCT(OFFSET(Y$399,0,0,1,-OFFSET(Assumptions!$B$67,0,$C$1)),OFFSET(Y$16,0,0,1,-OFFSET(Assumptions!$B$67,0,$C$1))))/OFFSET(Assumptions!$B$67,0,$C$1)-(Y$400-Y$399)/Y$14,((Y$400-Y$399)/Y$14-(X$400-X$399)/X$14)/Y$2),0))*Z$14 +Z$399</f>
        <v>4.7975209114489612</v>
      </c>
      <c r="AA400" s="8">
        <f ca="1">((Z$400-Z$399)/Z$14+ IF(AA$2&gt;0,AA$2*IF(AA$6=OFFSET(Assumptions!$B$8,0,$C$1),(SUMPRODUCT(OFFSET(Z$400,0,0,1,-OFFSET(Assumptions!$B$67,0,$C$1)),OFFSET(Z$16,0,0,1,-OFFSET(Assumptions!$B$67,0,$C$1)))-SUMPRODUCT(OFFSET(Z$399,0,0,1,-OFFSET(Assumptions!$B$67,0,$C$1)),OFFSET(Z$16,0,0,1,-OFFSET(Assumptions!$B$67,0,$C$1))))/OFFSET(Assumptions!$B$67,0,$C$1)-(Z$400-Z$399)/Z$14,((Z$400-Z$399)/Z$14-(Y$400-Y$399)/Y$14)/Z$2),0))*AA$14 +AA$399</f>
        <v>4.9886586791414844</v>
      </c>
      <c r="AB400" s="8">
        <f ca="1">((AA$400-AA$399)/AA$14+ IF(AB$2&gt;0,AB$2*IF(AB$6=OFFSET(Assumptions!$B$8,0,$C$1),(SUMPRODUCT(OFFSET(AA$400,0,0,1,-OFFSET(Assumptions!$B$67,0,$C$1)),OFFSET(AA$16,0,0,1,-OFFSET(Assumptions!$B$67,0,$C$1)))-SUMPRODUCT(OFFSET(AA$399,0,0,1,-OFFSET(Assumptions!$B$67,0,$C$1)),OFFSET(AA$16,0,0,1,-OFFSET(Assumptions!$B$67,0,$C$1))))/OFFSET(Assumptions!$B$67,0,$C$1)-(AA$400-AA$399)/AA$14,((AA$400-AA$399)/AA$14-(Z$400-Z$399)/Z$14)/AA$2),0))*AB$14 +AB$399</f>
        <v>5.1878592944321795</v>
      </c>
      <c r="AC400" s="8">
        <f ca="1">((AB$400-AB$399)/AB$14+ IF(AC$2&gt;0,AC$2*IF(AC$6=OFFSET(Assumptions!$B$8,0,$C$1),(SUMPRODUCT(OFFSET(AB$400,0,0,1,-OFFSET(Assumptions!$B$67,0,$C$1)),OFFSET(AB$16,0,0,1,-OFFSET(Assumptions!$B$67,0,$C$1)))-SUMPRODUCT(OFFSET(AB$399,0,0,1,-OFFSET(Assumptions!$B$67,0,$C$1)),OFFSET(AB$16,0,0,1,-OFFSET(Assumptions!$B$67,0,$C$1))))/OFFSET(Assumptions!$B$67,0,$C$1)-(AB$400-AB$399)/AB$14,((AB$400-AB$399)/AB$14-(AA$400-AA$399)/AA$14)/AB$2),0))*AC$14 +AC$399</f>
        <v>5.3958747666757692</v>
      </c>
      <c r="AD400" s="8">
        <f ca="1">((AC$400-AC$399)/AC$14+ IF(AD$2&gt;0,AD$2*IF(AD$6=OFFSET(Assumptions!$B$8,0,$C$1),(SUMPRODUCT(OFFSET(AC$400,0,0,1,-OFFSET(Assumptions!$B$67,0,$C$1)),OFFSET(AC$16,0,0,1,-OFFSET(Assumptions!$B$67,0,$C$1)))-SUMPRODUCT(OFFSET(AC$399,0,0,1,-OFFSET(Assumptions!$B$67,0,$C$1)),OFFSET(AC$16,0,0,1,-OFFSET(Assumptions!$B$67,0,$C$1))))/OFFSET(Assumptions!$B$67,0,$C$1)-(AC$400-AC$399)/AC$14,((AC$400-AC$399)/AC$14-(AB$400-AB$399)/AB$14)/AC$2),0))*AD$14 +AD$399</f>
        <v>5.6129243467460128</v>
      </c>
      <c r="AE400" s="8">
        <f ca="1">((AD$400-AD$399)/AD$14+ IF(AE$2&gt;0,AE$2*IF(AE$6=OFFSET(Assumptions!$B$8,0,$C$1),(SUMPRODUCT(OFFSET(AD$400,0,0,1,-OFFSET(Assumptions!$B$67,0,$C$1)),OFFSET(AD$16,0,0,1,-OFFSET(Assumptions!$B$67,0,$C$1)))-SUMPRODUCT(OFFSET(AD$399,0,0,1,-OFFSET(Assumptions!$B$67,0,$C$1)),OFFSET(AD$16,0,0,1,-OFFSET(Assumptions!$B$67,0,$C$1))))/OFFSET(Assumptions!$B$67,0,$C$1)-(AD$400-AD$399)/AD$14,((AD$400-AD$399)/AD$14-(AC$400-AC$399)/AC$14)/AD$2),0))*AE$14 +AE$399</f>
        <v>5.8388087035333704</v>
      </c>
      <c r="AF400" s="8">
        <f ca="1">((AE$400-AE$399)/AE$14+ IF(AF$2&gt;0,AF$2*IF(AF$6=OFFSET(Assumptions!$B$8,0,$C$1),(SUMPRODUCT(OFFSET(AE$400,0,0,1,-OFFSET(Assumptions!$B$67,0,$C$1)),OFFSET(AE$16,0,0,1,-OFFSET(Assumptions!$B$67,0,$C$1)))-SUMPRODUCT(OFFSET(AE$399,0,0,1,-OFFSET(Assumptions!$B$67,0,$C$1)),OFFSET(AE$16,0,0,1,-OFFSET(Assumptions!$B$67,0,$C$1))))/OFFSET(Assumptions!$B$67,0,$C$1)-(AE$400-AE$399)/AE$14,((AE$400-AE$399)/AE$14-(AD$400-AD$399)/AD$14)/AE$2),0))*AF$14 +AF$399</f>
        <v>6.0741527686087533</v>
      </c>
      <c r="AG400" s="8">
        <f ca="1">((AF$400-AF$399)/AF$14+ IF(AG$2&gt;0,AG$2*IF(AG$6=OFFSET(Assumptions!$B$8,0,$C$1),(SUMPRODUCT(OFFSET(AF$400,0,0,1,-OFFSET(Assumptions!$B$67,0,$C$1)),OFFSET(AF$16,0,0,1,-OFFSET(Assumptions!$B$67,0,$C$1)))-SUMPRODUCT(OFFSET(AF$399,0,0,1,-OFFSET(Assumptions!$B$67,0,$C$1)),OFFSET(AF$16,0,0,1,-OFFSET(Assumptions!$B$67,0,$C$1))))/OFFSET(Assumptions!$B$67,0,$C$1)-(AF$400-AF$399)/AF$14,((AF$400-AF$399)/AF$14-(AE$400-AE$399)/AE$14)/AF$2),0))*AG$14 +AG$399</f>
        <v>6.3190881365323417</v>
      </c>
      <c r="AH400" s="8">
        <f ca="1">((AG$400-AG$399)/AG$14+ IF(AH$2&gt;0,AH$2*IF(AH$6=OFFSET(Assumptions!$B$8,0,$C$1),(SUMPRODUCT(OFFSET(AG$400,0,0,1,-OFFSET(Assumptions!$B$67,0,$C$1)),OFFSET(AG$16,0,0,1,-OFFSET(Assumptions!$B$67,0,$C$1)))-SUMPRODUCT(OFFSET(AG$399,0,0,1,-OFFSET(Assumptions!$B$67,0,$C$1)),OFFSET(AG$16,0,0,1,-OFFSET(Assumptions!$B$67,0,$C$1))))/OFFSET(Assumptions!$B$67,0,$C$1)-(AG$400-AG$399)/AG$14,((AG$400-AG$399)/AG$14-(AF$400-AF$399)/AF$14)/AG$2),0))*AH$14 +AH$399</f>
        <v>6.574007578161762</v>
      </c>
      <c r="AI400" s="8">
        <f ca="1">((AH$400-AH$399)/AH$14+ IF(AI$2&gt;0,AI$2*IF(AI$6=OFFSET(Assumptions!$B$8,0,$C$1),(SUMPRODUCT(OFFSET(AH$400,0,0,1,-OFFSET(Assumptions!$B$67,0,$C$1)),OFFSET(AH$16,0,0,1,-OFFSET(Assumptions!$B$67,0,$C$1)))-SUMPRODUCT(OFFSET(AH$399,0,0,1,-OFFSET(Assumptions!$B$67,0,$C$1)),OFFSET(AH$16,0,0,1,-OFFSET(Assumptions!$B$67,0,$C$1))))/OFFSET(Assumptions!$B$67,0,$C$1)-(AH$400-AH$399)/AH$14,((AH$400-AH$399)/AH$14-(AG$400-AG$399)/AG$14)/AH$2),0))*AI$14 +AI$399</f>
        <v>6.8384656648455913</v>
      </c>
      <c r="AJ400" s="8">
        <f ca="1">((AI$400-AI$399)/AI$14+ IF(AJ$2&gt;0,AJ$2*IF(AJ$6=OFFSET(Assumptions!$B$8,0,$C$1),(SUMPRODUCT(OFFSET(AI$400,0,0,1,-OFFSET(Assumptions!$B$67,0,$C$1)),OFFSET(AI$16,0,0,1,-OFFSET(Assumptions!$B$67,0,$C$1)))-SUMPRODUCT(OFFSET(AI$399,0,0,1,-OFFSET(Assumptions!$B$67,0,$C$1)),OFFSET(AI$16,0,0,1,-OFFSET(Assumptions!$B$67,0,$C$1))))/OFFSET(Assumptions!$B$67,0,$C$1)-(AI$400-AI$399)/AI$14,((AI$400-AI$399)/AI$14-(AH$400-AH$399)/AH$14)/AI$2),0))*AJ$14 +AJ$399</f>
        <v>7.113309587597354</v>
      </c>
      <c r="AK400" s="8">
        <f ca="1">((AJ$400-AJ$399)/AJ$14+ IF(AK$2&gt;0,AK$2*IF(AK$6=OFFSET(Assumptions!$B$8,0,$C$1),(SUMPRODUCT(OFFSET(AJ$400,0,0,1,-OFFSET(Assumptions!$B$67,0,$C$1)),OFFSET(AJ$16,0,0,1,-OFFSET(Assumptions!$B$67,0,$C$1)))-SUMPRODUCT(OFFSET(AJ$399,0,0,1,-OFFSET(Assumptions!$B$67,0,$C$1)),OFFSET(AJ$16,0,0,1,-OFFSET(Assumptions!$B$67,0,$C$1))))/OFFSET(Assumptions!$B$67,0,$C$1)-(AJ$400-AJ$399)/AJ$14,((AJ$400-AJ$399)/AJ$14-(AI$400-AI$399)/AI$14)/AJ$2),0))*AK$14 +AK$399</f>
        <v>7.3983132513400198</v>
      </c>
      <c r="AL400" s="8">
        <f ca="1">((AK$400-AK$399)/AK$14+ IF(AL$2&gt;0,AL$2*IF(AL$6=OFFSET(Assumptions!$B$8,0,$C$1),(SUMPRODUCT(OFFSET(AK$400,0,0,1,-OFFSET(Assumptions!$B$67,0,$C$1)),OFFSET(AK$16,0,0,1,-OFFSET(Assumptions!$B$67,0,$C$1)))-SUMPRODUCT(OFFSET(AK$399,0,0,1,-OFFSET(Assumptions!$B$67,0,$C$1)),OFFSET(AK$16,0,0,1,-OFFSET(Assumptions!$B$67,0,$C$1))))/OFFSET(Assumptions!$B$67,0,$C$1)-(AK$400-AK$399)/AK$14,((AK$400-AK$399)/AK$14-(AJ$400-AJ$399)/AJ$14)/AK$2),0))*AL$14 +AL$399</f>
        <v>7.693252150824927</v>
      </c>
      <c r="AM400" s="8">
        <f ca="1">((AL$400-AL$399)/AL$14+ IF(AM$2&gt;0,AM$2*IF(AM$6=OFFSET(Assumptions!$B$8,0,$C$1),(SUMPRODUCT(OFFSET(AL$400,0,0,1,-OFFSET(Assumptions!$B$67,0,$C$1)),OFFSET(AL$16,0,0,1,-OFFSET(Assumptions!$B$67,0,$C$1)))-SUMPRODUCT(OFFSET(AL$399,0,0,1,-OFFSET(Assumptions!$B$67,0,$C$1)),OFFSET(AL$16,0,0,1,-OFFSET(Assumptions!$B$67,0,$C$1))))/OFFSET(Assumptions!$B$67,0,$C$1)-(AL$400-AL$399)/AL$14,((AL$400-AL$399)/AL$14-(AK$400-AK$399)/AK$14)/AL$2),0))*AM$14 +AM$399</f>
        <v>7.9985292109957999</v>
      </c>
      <c r="AN400" s="8">
        <f ca="1">((AM$400-AM$399)/AM$14+ IF(AN$2&gt;0,AN$2*IF(AN$6=OFFSET(Assumptions!$B$8,0,$C$1),(SUMPRODUCT(OFFSET(AM$400,0,0,1,-OFFSET(Assumptions!$B$67,0,$C$1)),OFFSET(AM$16,0,0,1,-OFFSET(Assumptions!$B$67,0,$C$1)))-SUMPRODUCT(OFFSET(AM$399,0,0,1,-OFFSET(Assumptions!$B$67,0,$C$1)),OFFSET(AM$16,0,0,1,-OFFSET(Assumptions!$B$67,0,$C$1))))/OFFSET(Assumptions!$B$67,0,$C$1)-(AM$400-AM$399)/AM$14,((AM$400-AM$399)/AM$14-(AL$400-AL$399)/AL$14)/AM$2),0))*AN$14 +AN$399</f>
        <v>8.3145690692870033</v>
      </c>
      <c r="AO400" s="8">
        <f ca="1">((AN$400-AN$399)/AN$14+ IF(AO$2&gt;0,AO$2*IF(AO$6=OFFSET(Assumptions!$B$8,0,$C$1),(SUMPRODUCT(OFFSET(AN$400,0,0,1,-OFFSET(Assumptions!$B$67,0,$C$1)),OFFSET(AN$16,0,0,1,-OFFSET(Assumptions!$B$67,0,$C$1)))-SUMPRODUCT(OFFSET(AN$399,0,0,1,-OFFSET(Assumptions!$B$67,0,$C$1)),OFFSET(AN$16,0,0,1,-OFFSET(Assumptions!$B$67,0,$C$1))))/OFFSET(Assumptions!$B$67,0,$C$1)-(AN$400-AN$399)/AN$14,((AN$400-AN$399)/AN$14-(AM$400-AM$399)/AM$14)/AN$2),0))*AO$14 +AO$399</f>
        <v>8.6401307464666797</v>
      </c>
      <c r="AP400" s="8">
        <f ca="1">((AO$400-AO$399)/AO$14+ IF(AP$2&gt;0,AP$2*IF(AP$6=OFFSET(Assumptions!$B$8,0,$C$1),(SUMPRODUCT(OFFSET(AO$400,0,0,1,-OFFSET(Assumptions!$B$67,0,$C$1)),OFFSET(AO$16,0,0,1,-OFFSET(Assumptions!$B$67,0,$C$1)))-SUMPRODUCT(OFFSET(AO$399,0,0,1,-OFFSET(Assumptions!$B$67,0,$C$1)),OFFSET(AO$16,0,0,1,-OFFSET(Assumptions!$B$67,0,$C$1))))/OFFSET(Assumptions!$B$67,0,$C$1)-(AO$400-AO$399)/AO$14,((AO$400-AO$399)/AO$14-(AN$400-AN$399)/AN$14)/AO$2),0))*AP$14 +AP$399</f>
        <v>8.9765967386076966</v>
      </c>
      <c r="AQ400" s="8">
        <f ca="1">((AP$400-AP$399)/AP$14+ IF(AQ$2&gt;0,AQ$2*IF(AQ$6=OFFSET(Assumptions!$B$8,0,$C$1),(SUMPRODUCT(OFFSET(AP$400,0,0,1,-OFFSET(Assumptions!$B$67,0,$C$1)),OFFSET(AP$16,0,0,1,-OFFSET(Assumptions!$B$67,0,$C$1)))-SUMPRODUCT(OFFSET(AP$399,0,0,1,-OFFSET(Assumptions!$B$67,0,$C$1)),OFFSET(AP$16,0,0,1,-OFFSET(Assumptions!$B$67,0,$C$1))))/OFFSET(Assumptions!$B$67,0,$C$1)-(AP$400-AP$399)/AP$14,((AP$400-AP$399)/AP$14-(AO$400-AO$399)/AO$14)/AP$2),0))*AQ$14 +AQ$399</f>
        <v>9.3230242690618681</v>
      </c>
      <c r="AR400" s="8">
        <f ca="1">((AQ$400-AQ$399)/AQ$14+ IF(AR$2&gt;0,AR$2*IF(AR$6=OFFSET(Assumptions!$B$8,0,$C$1),(SUMPRODUCT(OFFSET(AQ$400,0,0,1,-OFFSET(Assumptions!$B$67,0,$C$1)),OFFSET(AQ$16,0,0,1,-OFFSET(Assumptions!$B$67,0,$C$1)))-SUMPRODUCT(OFFSET(AQ$399,0,0,1,-OFFSET(Assumptions!$B$67,0,$C$1)),OFFSET(AQ$16,0,0,1,-OFFSET(Assumptions!$B$67,0,$C$1))))/OFFSET(Assumptions!$B$67,0,$C$1)-(AQ$400-AQ$399)/AQ$14,((AQ$400-AQ$399)/AQ$14-(AP$400-AP$399)/AP$14)/AQ$2),0))*AR$14 +AR$399</f>
        <v>9.6798055557684695</v>
      </c>
      <c r="AS400" s="8">
        <f ca="1">((AR$400-AR$399)/AR$14+ IF(AS$2&gt;0,AS$2*IF(AS$6=OFFSET(Assumptions!$B$8,0,$C$1),(SUMPRODUCT(OFFSET(AR$400,0,0,1,-OFFSET(Assumptions!$B$67,0,$C$1)),OFFSET(AR$16,0,0,1,-OFFSET(Assumptions!$B$67,0,$C$1)))-SUMPRODUCT(OFFSET(AR$399,0,0,1,-OFFSET(Assumptions!$B$67,0,$C$1)),OFFSET(AR$16,0,0,1,-OFFSET(Assumptions!$B$67,0,$C$1))))/OFFSET(Assumptions!$B$67,0,$C$1)-(AR$400-AR$399)/AR$14,((AR$400-AR$399)/AR$14-(AQ$400-AQ$399)/AQ$14)/AR$2),0))*AS$14 +AS$399</f>
        <v>10.047772959178431</v>
      </c>
      <c r="AT400" s="8">
        <f ca="1">((AS$400-AS$399)/AS$14+ IF(AT$2&gt;0,AT$2*IF(AT$6=OFFSET(Assumptions!$B$8,0,$C$1),(SUMPRODUCT(OFFSET(AS$400,0,0,1,-OFFSET(Assumptions!$B$67,0,$C$1)),OFFSET(AS$16,0,0,1,-OFFSET(Assumptions!$B$67,0,$C$1)))-SUMPRODUCT(OFFSET(AS$399,0,0,1,-OFFSET(Assumptions!$B$67,0,$C$1)),OFFSET(AS$16,0,0,1,-OFFSET(Assumptions!$B$67,0,$C$1))))/OFFSET(Assumptions!$B$67,0,$C$1)-(AS$400-AS$399)/AS$14,((AS$400-AS$399)/AS$14-(AR$400-AR$399)/AR$14)/AS$2),0))*AT$14 +AT$399</f>
        <v>10.427220362809932</v>
      </c>
      <c r="AU400" s="8">
        <f ca="1">((AT$400-AT$399)/AT$14+ IF(AU$2&gt;0,AU$2*IF(AU$6=OFFSET(Assumptions!$B$8,0,$C$1),(SUMPRODUCT(OFFSET(AT$400,0,0,1,-OFFSET(Assumptions!$B$67,0,$C$1)),OFFSET(AT$16,0,0,1,-OFFSET(Assumptions!$B$67,0,$C$1)))-SUMPRODUCT(OFFSET(AT$399,0,0,1,-OFFSET(Assumptions!$B$67,0,$C$1)),OFFSET(AT$16,0,0,1,-OFFSET(Assumptions!$B$67,0,$C$1))))/OFFSET(Assumptions!$B$67,0,$C$1)-(AT$400-AT$399)/AT$14,((AT$400-AT$399)/AT$14-(AS$400-AS$399)/AS$14)/AT$2),0))*AU$14 +AU$399</f>
        <v>10.818652347000217</v>
      </c>
      <c r="AV400" s="8">
        <f ca="1">((AU$400-AU$399)/AU$14+ IF(AV$2&gt;0,AV$2*IF(AV$6=OFFSET(Assumptions!$B$8,0,$C$1),(SUMPRODUCT(OFFSET(AU$400,0,0,1,-OFFSET(Assumptions!$B$67,0,$C$1)),OFFSET(AU$16,0,0,1,-OFFSET(Assumptions!$B$67,0,$C$1)))-SUMPRODUCT(OFFSET(AU$399,0,0,1,-OFFSET(Assumptions!$B$67,0,$C$1)),OFFSET(AU$16,0,0,1,-OFFSET(Assumptions!$B$67,0,$C$1))))/OFFSET(Assumptions!$B$67,0,$C$1)-(AU$400-AU$399)/AU$14,((AU$400-AU$399)/AU$14-(AT$400-AT$399)/AT$14)/AU$2),0))*AV$14 +AV$399</f>
        <v>11.223279179543646</v>
      </c>
      <c r="AW400" s="8">
        <f ca="1">((AV$400-AV$399)/AV$14+ IF(AW$2&gt;0,AW$2*IF(AW$6=OFFSET(Assumptions!$B$8,0,$C$1),(SUMPRODUCT(OFFSET(AV$400,0,0,1,-OFFSET(Assumptions!$B$67,0,$C$1)),OFFSET(AV$16,0,0,1,-OFFSET(Assumptions!$B$67,0,$C$1)))-SUMPRODUCT(OFFSET(AV$399,0,0,1,-OFFSET(Assumptions!$B$67,0,$C$1)),OFFSET(AV$16,0,0,1,-OFFSET(Assumptions!$B$67,0,$C$1))))/OFFSET(Assumptions!$B$67,0,$C$1)-(AV$400-AV$399)/AV$14,((AV$400-AV$399)/AV$14-(AU$400-AU$399)/AU$14)/AV$2),0))*AW$14 +AW$399</f>
        <v>11.640872425862121</v>
      </c>
    </row>
    <row r="401" spans="1:49" ht="15" x14ac:dyDescent="0.25">
      <c r="A401" s="2"/>
      <c r="B401" s="4"/>
      <c r="D401" s="47"/>
      <c r="E401" s="44"/>
      <c r="F401" s="44"/>
      <c r="G401" s="44"/>
      <c r="H401" s="44"/>
      <c r="I401" s="44"/>
      <c r="J401" s="8"/>
      <c r="K401" s="8"/>
      <c r="L401" s="8"/>
      <c r="M401" s="8"/>
      <c r="N401" s="8"/>
      <c r="O401" s="8"/>
      <c r="P401" s="8"/>
      <c r="Q401" s="8"/>
      <c r="R401" s="8"/>
      <c r="S401" s="8"/>
    </row>
    <row r="402" spans="1:49" ht="15" x14ac:dyDescent="0.25">
      <c r="A402" s="22" t="s">
        <v>645</v>
      </c>
      <c r="B402" s="4"/>
      <c r="D402" s="47"/>
      <c r="E402" s="44"/>
      <c r="F402" s="44"/>
      <c r="G402" s="44"/>
      <c r="H402" s="44"/>
      <c r="I402" s="44"/>
    </row>
    <row r="403" spans="1:49" x14ac:dyDescent="0.2">
      <c r="A403" s="1" t="s">
        <v>652</v>
      </c>
      <c r="B403" s="4"/>
      <c r="D403" s="18">
        <f ca="1">ROUND(D$374*OFFSET(Assumptions!$B$62,0,$C$1),3)</f>
        <v>0.46</v>
      </c>
      <c r="E403" s="19">
        <f ca="1">ROUND(E$374*OFFSET(Assumptions!$B$62,0,$C$1),3)</f>
        <v>0.33200000000000002</v>
      </c>
      <c r="F403" s="19">
        <f ca="1">ROUND(F$374*OFFSET(Assumptions!$B$62,0,$C$1),3)</f>
        <v>0.35399999999999998</v>
      </c>
      <c r="G403" s="19">
        <f ca="1">ROUND(G$374*OFFSET(Assumptions!$B$62,0,$C$1),3)</f>
        <v>0.374</v>
      </c>
      <c r="H403" s="19">
        <f ca="1">ROUND(H$374*OFFSET(Assumptions!$B$62,0,$C$1),3)</f>
        <v>0.39500000000000002</v>
      </c>
      <c r="I403" s="19">
        <f ca="1">ROUND(I$374*OFFSET(Assumptions!$B$62,0,$C$1),3)</f>
        <v>0.41599999999999998</v>
      </c>
      <c r="J403" s="7">
        <f ca="1">ROUND(J$374*OFFSET(Assumptions!$B$62,0,$C$1),3)</f>
        <v>0.47799999999999998</v>
      </c>
      <c r="K403" s="7">
        <f ca="1">ROUND(K$374*OFFSET(Assumptions!$B$62,0,$C$1),3)</f>
        <v>0.53700000000000003</v>
      </c>
      <c r="L403" s="7">
        <f ca="1">ROUND(L$374*OFFSET(Assumptions!$B$62,0,$C$1),3)</f>
        <v>0.59899999999999998</v>
      </c>
      <c r="M403" s="7">
        <f ca="1">ROUND(M$374*OFFSET(Assumptions!$B$62,0,$C$1),3)</f>
        <v>0.66200000000000003</v>
      </c>
      <c r="N403" s="7">
        <f ca="1">ROUND(N$374*OFFSET(Assumptions!$B$62,0,$C$1),3)</f>
        <v>0.72799999999999998</v>
      </c>
      <c r="O403" s="7">
        <f ca="1">ROUND(O$374*OFFSET(Assumptions!$B$62,0,$C$1),3)</f>
        <v>0.79400000000000004</v>
      </c>
      <c r="P403" s="7">
        <f ca="1">ROUND(P$374*OFFSET(Assumptions!$B$62,0,$C$1),3)</f>
        <v>0.86099999999999999</v>
      </c>
      <c r="Q403" s="7">
        <f ca="1">ROUND(Q$374*OFFSET(Assumptions!$B$62,0,$C$1),3)</f>
        <v>0.92800000000000005</v>
      </c>
      <c r="R403" s="7">
        <f ca="1">ROUND(R$374*OFFSET(Assumptions!$B$62,0,$C$1),3)</f>
        <v>0.995</v>
      </c>
      <c r="S403" s="7">
        <f ca="1">ROUND(S$374*OFFSET(Assumptions!$B$62,0,$C$1),3)</f>
        <v>1.0629999999999999</v>
      </c>
      <c r="T403" s="7">
        <f ca="1">ROUND(T$374*OFFSET(Assumptions!$B$62,0,$C$1),3)</f>
        <v>1.1319999999999999</v>
      </c>
      <c r="U403" s="7">
        <f ca="1">ROUND(U$374*OFFSET(Assumptions!$B$62,0,$C$1),3)</f>
        <v>1.2010000000000001</v>
      </c>
      <c r="V403" s="7">
        <f ca="1">ROUND(V$374*OFFSET(Assumptions!$B$62,0,$C$1),3)</f>
        <v>1.272</v>
      </c>
      <c r="W403" s="7">
        <f ca="1">ROUND(W$374*OFFSET(Assumptions!$B$62,0,$C$1),3)</f>
        <v>1.3420000000000001</v>
      </c>
      <c r="X403" s="7">
        <f ca="1">ROUND(X$374*OFFSET(Assumptions!$B$62,0,$C$1),3)</f>
        <v>1.4139999999999999</v>
      </c>
      <c r="Y403" s="7">
        <f ca="1">ROUND(Y$374*OFFSET(Assumptions!$B$62,0,$C$1),3)</f>
        <v>1.4850000000000001</v>
      </c>
      <c r="Z403" s="7">
        <f ca="1">ROUND(Z$374*OFFSET(Assumptions!$B$62,0,$C$1),3)</f>
        <v>1.5580000000000001</v>
      </c>
      <c r="AA403" s="7">
        <f ca="1">ROUND(AA$374*OFFSET(Assumptions!$B$62,0,$C$1),3)</f>
        <v>1.6319999999999999</v>
      </c>
      <c r="AB403" s="7">
        <f ca="1">ROUND(AB$374*OFFSET(Assumptions!$B$62,0,$C$1),3)</f>
        <v>1.708</v>
      </c>
      <c r="AC403" s="7">
        <f ca="1">ROUND(AC$374*OFFSET(Assumptions!$B$62,0,$C$1),3)</f>
        <v>1.788</v>
      </c>
      <c r="AD403" s="7">
        <f ca="1">ROUND(AD$374*OFFSET(Assumptions!$B$62,0,$C$1),3)</f>
        <v>1.8740000000000001</v>
      </c>
      <c r="AE403" s="7">
        <f ca="1">ROUND(AE$374*OFFSET(Assumptions!$B$62,0,$C$1),3)</f>
        <v>1.9650000000000001</v>
      </c>
      <c r="AF403" s="7">
        <f ca="1">ROUND(AF$374*OFFSET(Assumptions!$B$62,0,$C$1),3)</f>
        <v>2.0640000000000001</v>
      </c>
      <c r="AG403" s="7">
        <f ca="1">ROUND(AG$374*OFFSET(Assumptions!$B$62,0,$C$1),3)</f>
        <v>2.17</v>
      </c>
      <c r="AH403" s="7">
        <f ca="1">ROUND(AH$374*OFFSET(Assumptions!$B$62,0,$C$1),3)</f>
        <v>2.2839999999999998</v>
      </c>
      <c r="AI403" s="7">
        <f ca="1">ROUND(AI$374*OFFSET(Assumptions!$B$62,0,$C$1),3)</f>
        <v>2.407</v>
      </c>
      <c r="AJ403" s="7">
        <f ca="1">ROUND(AJ$374*OFFSET(Assumptions!$B$62,0,$C$1),3)</f>
        <v>2.54</v>
      </c>
      <c r="AK403" s="7">
        <f ca="1">ROUND(AK$374*OFFSET(Assumptions!$B$62,0,$C$1),3)</f>
        <v>2.6819999999999999</v>
      </c>
      <c r="AL403" s="7">
        <f ca="1">ROUND(AL$374*OFFSET(Assumptions!$B$62,0,$C$1),3)</f>
        <v>2.8340000000000001</v>
      </c>
      <c r="AM403" s="7">
        <f ca="1">ROUND(AM$374*OFFSET(Assumptions!$B$62,0,$C$1),3)</f>
        <v>2.9980000000000002</v>
      </c>
      <c r="AN403" s="7">
        <f ca="1">ROUND(AN$374*OFFSET(Assumptions!$B$62,0,$C$1),3)</f>
        <v>3.1720000000000002</v>
      </c>
      <c r="AO403" s="7">
        <f ca="1">ROUND(AO$374*OFFSET(Assumptions!$B$62,0,$C$1),3)</f>
        <v>3.3570000000000002</v>
      </c>
      <c r="AP403" s="7">
        <f ca="1">ROUND(AP$374*OFFSET(Assumptions!$B$62,0,$C$1),3)</f>
        <v>3.552</v>
      </c>
      <c r="AQ403" s="7">
        <f ca="1">ROUND(AQ$374*OFFSET(Assumptions!$B$62,0,$C$1),3)</f>
        <v>3.7559999999999998</v>
      </c>
      <c r="AR403" s="7">
        <f ca="1">ROUND(AR$374*OFFSET(Assumptions!$B$62,0,$C$1),3)</f>
        <v>3.968</v>
      </c>
      <c r="AS403" s="7">
        <f ca="1">ROUND(AS$374*OFFSET(Assumptions!$B$62,0,$C$1),3)</f>
        <v>4.1859999999999999</v>
      </c>
      <c r="AT403" s="7">
        <f ca="1">ROUND(AT$374*OFFSET(Assumptions!$B$62,0,$C$1),3)</f>
        <v>4.41</v>
      </c>
      <c r="AU403" s="7">
        <f ca="1">ROUND(AU$374*OFFSET(Assumptions!$B$62,0,$C$1),3)</f>
        <v>4.6399999999999997</v>
      </c>
      <c r="AV403" s="7">
        <f ca="1">ROUND(AV$374*OFFSET(Assumptions!$B$62,0,$C$1),3)</f>
        <v>4.8769999999999998</v>
      </c>
      <c r="AW403" s="7">
        <f ca="1">ROUND(AW$374*OFFSET(Assumptions!$B$62,0,$C$1),3)</f>
        <v>5.12</v>
      </c>
    </row>
    <row r="404" spans="1:49" x14ac:dyDescent="0.2">
      <c r="A404" s="1" t="s">
        <v>653</v>
      </c>
      <c r="B404" s="4" t="str">
        <f t="shared" ref="B404:B407" si="242">$B$43</f>
        <v>From Fiscal</v>
      </c>
      <c r="D404" s="18">
        <f ca="1">Fiscal!D$172-D$403</f>
        <v>31.829000000000001</v>
      </c>
      <c r="E404" s="19">
        <f ca="1">Fiscal!E$172-E$403 +IF(OFFSET(Assumptions!$B$109,0,$C$1)="BU",Allocate!C$37,0)</f>
        <v>32.593999999999994</v>
      </c>
      <c r="F404" s="19">
        <f ca="1">Fiscal!F$172-F$403 +IF(OFFSET(Assumptions!$B$109,0,$C$1)="BU",Allocate!D$37,0)</f>
        <v>34.273000000000003</v>
      </c>
      <c r="G404" s="19">
        <f ca="1">Fiscal!G$172-G$403 +IF(OFFSET(Assumptions!$B$109,0,$C$1)="BU",Allocate!E$37,0)</f>
        <v>35.664999999999999</v>
      </c>
      <c r="H404" s="19">
        <f ca="1">Fiscal!H$172-H$403 +IF(OFFSET(Assumptions!$B$109,0,$C$1)="BU",Allocate!F$37,0)</f>
        <v>36.595999999999997</v>
      </c>
      <c r="I404" s="19">
        <f ca="1">Fiscal!I$172-I$403 +IF(OFFSET(Assumptions!$B$109,0,$C$1)="BU",Allocate!G$37,0)</f>
        <v>37.392000000000003</v>
      </c>
      <c r="J404" s="7">
        <f t="shared" ref="J404:AW404" ca="1" si="243">SUM(I$404,J$409)-SUM(J$411-J$410,J$403-I$403)</f>
        <v>38.967592055478171</v>
      </c>
      <c r="K404" s="7">
        <f t="shared" ca="1" si="243"/>
        <v>40.609028413884253</v>
      </c>
      <c r="L404" s="7">
        <f t="shared" ca="1" si="243"/>
        <v>42.321613307784361</v>
      </c>
      <c r="M404" s="7">
        <f t="shared" ca="1" si="243"/>
        <v>44.108192921601074</v>
      </c>
      <c r="N404" s="7">
        <f t="shared" ca="1" si="243"/>
        <v>45.971823205756266</v>
      </c>
      <c r="O404" s="7">
        <f t="shared" ca="1" si="243"/>
        <v>47.915005778417431</v>
      </c>
      <c r="P404" s="7">
        <f t="shared" ca="1" si="243"/>
        <v>49.940363406950318</v>
      </c>
      <c r="Q404" s="7">
        <f t="shared" ca="1" si="243"/>
        <v>52.05043009457146</v>
      </c>
      <c r="R404" s="7">
        <f t="shared" ca="1" si="243"/>
        <v>54.247676971950774</v>
      </c>
      <c r="S404" s="7">
        <f t="shared" ca="1" si="243"/>
        <v>56.534852224846276</v>
      </c>
      <c r="T404" s="7">
        <f t="shared" ca="1" si="243"/>
        <v>58.91473683284984</v>
      </c>
      <c r="U404" s="7">
        <f t="shared" ca="1" si="243"/>
        <v>61.390444506985055</v>
      </c>
      <c r="V404" s="7">
        <f t="shared" ca="1" si="243"/>
        <v>63.96532549806156</v>
      </c>
      <c r="W404" s="7">
        <f t="shared" ca="1" si="243"/>
        <v>66.643017387003383</v>
      </c>
      <c r="X404" s="7">
        <f t="shared" ca="1" si="243"/>
        <v>69.427483403866589</v>
      </c>
      <c r="Y404" s="7">
        <f t="shared" ca="1" si="243"/>
        <v>72.322675862855959</v>
      </c>
      <c r="Z404" s="7">
        <f t="shared" ca="1" si="243"/>
        <v>75.333107535829839</v>
      </c>
      <c r="AA404" s="7">
        <f t="shared" ca="1" si="243"/>
        <v>78.463477652092209</v>
      </c>
      <c r="AB404" s="7">
        <f t="shared" ca="1" si="243"/>
        <v>81.718845627168676</v>
      </c>
      <c r="AC404" s="7">
        <f t="shared" ca="1" si="243"/>
        <v>85.104742760464404</v>
      </c>
      <c r="AD404" s="7">
        <f t="shared" ca="1" si="243"/>
        <v>88.626837930727476</v>
      </c>
      <c r="AE404" s="7">
        <f t="shared" ca="1" si="243"/>
        <v>92.290674936962361</v>
      </c>
      <c r="AF404" s="7">
        <f t="shared" ca="1" si="243"/>
        <v>96.102189721080123</v>
      </c>
      <c r="AG404" s="7">
        <f t="shared" ca="1" si="243"/>
        <v>100.06740080022998</v>
      </c>
      <c r="AH404" s="7">
        <f t="shared" ca="1" si="243"/>
        <v>104.19257315423465</v>
      </c>
      <c r="AI404" s="7">
        <f t="shared" ca="1" si="243"/>
        <v>108.48369225761714</v>
      </c>
      <c r="AJ404" s="7">
        <f t="shared" ca="1" si="243"/>
        <v>112.94727519501893</v>
      </c>
      <c r="AK404" s="7">
        <f t="shared" ca="1" si="243"/>
        <v>117.58969717701916</v>
      </c>
      <c r="AL404" s="7">
        <f t="shared" ca="1" si="243"/>
        <v>122.41719253774767</v>
      </c>
      <c r="AM404" s="7">
        <f t="shared" ca="1" si="243"/>
        <v>127.43624844566996</v>
      </c>
      <c r="AN404" s="7">
        <f t="shared" ca="1" si="243"/>
        <v>132.65361852811759</v>
      </c>
      <c r="AO404" s="7">
        <f t="shared" ca="1" si="243"/>
        <v>138.07527770123897</v>
      </c>
      <c r="AP404" s="7">
        <f t="shared" ca="1" si="243"/>
        <v>143.70806839380876</v>
      </c>
      <c r="AQ404" s="7">
        <f t="shared" ca="1" si="243"/>
        <v>149.55824144475048</v>
      </c>
      <c r="AR404" s="7">
        <f t="shared" ca="1" si="243"/>
        <v>155.63229380870629</v>
      </c>
      <c r="AS404" s="7">
        <f t="shared" ca="1" si="243"/>
        <v>161.93724474429811</v>
      </c>
      <c r="AT404" s="7">
        <f t="shared" ca="1" si="243"/>
        <v>168.48029792127753</v>
      </c>
      <c r="AU404" s="7">
        <f t="shared" ca="1" si="243"/>
        <v>175.26897363222221</v>
      </c>
      <c r="AV404" s="7">
        <f t="shared" ca="1" si="243"/>
        <v>182.31155160954722</v>
      </c>
      <c r="AW404" s="7">
        <f t="shared" ca="1" si="243"/>
        <v>189.61616824357446</v>
      </c>
    </row>
    <row r="405" spans="1:49" ht="15" x14ac:dyDescent="0.25">
      <c r="A405" s="2" t="s">
        <v>651</v>
      </c>
      <c r="B405" s="4"/>
      <c r="C405" s="69">
        <f>Fiscal!C$172</f>
        <v>30.963000000000001</v>
      </c>
      <c r="D405" s="40">
        <f t="shared" ref="D405:AW405" ca="1" si="244">SUM(D$403:D$404)</f>
        <v>32.289000000000001</v>
      </c>
      <c r="E405" s="39">
        <f t="shared" ca="1" si="244"/>
        <v>32.925999999999995</v>
      </c>
      <c r="F405" s="39">
        <f t="shared" ca="1" si="244"/>
        <v>34.627000000000002</v>
      </c>
      <c r="G405" s="39">
        <f t="shared" ca="1" si="244"/>
        <v>36.039000000000001</v>
      </c>
      <c r="H405" s="39">
        <f t="shared" ca="1" si="244"/>
        <v>36.991</v>
      </c>
      <c r="I405" s="39">
        <f t="shared" ca="1" si="244"/>
        <v>37.808</v>
      </c>
      <c r="J405" s="43">
        <f t="shared" ca="1" si="244"/>
        <v>39.445592055478173</v>
      </c>
      <c r="K405" s="43">
        <f t="shared" ca="1" si="244"/>
        <v>41.146028413884252</v>
      </c>
      <c r="L405" s="43">
        <f t="shared" ca="1" si="244"/>
        <v>42.920613307784357</v>
      </c>
      <c r="M405" s="43">
        <f t="shared" ca="1" si="244"/>
        <v>44.770192921601073</v>
      </c>
      <c r="N405" s="43">
        <f t="shared" ca="1" si="244"/>
        <v>46.699823205756267</v>
      </c>
      <c r="O405" s="43">
        <f t="shared" ca="1" si="244"/>
        <v>48.709005778417428</v>
      </c>
      <c r="P405" s="43">
        <f t="shared" ca="1" si="244"/>
        <v>50.801363406950315</v>
      </c>
      <c r="Q405" s="43">
        <f t="shared" ca="1" si="244"/>
        <v>52.978430094571458</v>
      </c>
      <c r="R405" s="43">
        <f t="shared" ca="1" si="244"/>
        <v>55.242676971950772</v>
      </c>
      <c r="S405" s="43">
        <f t="shared" ca="1" si="244"/>
        <v>57.597852224846278</v>
      </c>
      <c r="T405" s="43">
        <f t="shared" ca="1" si="244"/>
        <v>60.046736832849838</v>
      </c>
      <c r="U405" s="43">
        <f t="shared" ca="1" si="244"/>
        <v>62.591444506985056</v>
      </c>
      <c r="V405" s="43">
        <f t="shared" ca="1" si="244"/>
        <v>65.237325498061566</v>
      </c>
      <c r="W405" s="43">
        <f t="shared" ca="1" si="244"/>
        <v>67.985017387003381</v>
      </c>
      <c r="X405" s="43">
        <f t="shared" ca="1" si="244"/>
        <v>70.84148340386659</v>
      </c>
      <c r="Y405" s="43">
        <f t="shared" ca="1" si="244"/>
        <v>73.807675862855959</v>
      </c>
      <c r="Z405" s="43">
        <f t="shared" ca="1" si="244"/>
        <v>76.891107535829846</v>
      </c>
      <c r="AA405" s="43">
        <f t="shared" ca="1" si="244"/>
        <v>80.095477652092214</v>
      </c>
      <c r="AB405" s="43">
        <f t="shared" ca="1" si="244"/>
        <v>83.426845627168674</v>
      </c>
      <c r="AC405" s="43">
        <f t="shared" ca="1" si="244"/>
        <v>86.892742760464401</v>
      </c>
      <c r="AD405" s="43">
        <f t="shared" ca="1" si="244"/>
        <v>90.500837930727471</v>
      </c>
      <c r="AE405" s="43">
        <f t="shared" ca="1" si="244"/>
        <v>94.255674936962365</v>
      </c>
      <c r="AF405" s="43">
        <f t="shared" ca="1" si="244"/>
        <v>98.166189721080116</v>
      </c>
      <c r="AG405" s="43">
        <f t="shared" ca="1" si="244"/>
        <v>102.23740080022998</v>
      </c>
      <c r="AH405" s="43">
        <f t="shared" ca="1" si="244"/>
        <v>106.47657315423466</v>
      </c>
      <c r="AI405" s="43">
        <f t="shared" ca="1" si="244"/>
        <v>110.89069225761713</v>
      </c>
      <c r="AJ405" s="43">
        <f t="shared" ca="1" si="244"/>
        <v>115.48727519501894</v>
      </c>
      <c r="AK405" s="43">
        <f t="shared" ca="1" si="244"/>
        <v>120.27169717701916</v>
      </c>
      <c r="AL405" s="43">
        <f t="shared" ca="1" si="244"/>
        <v>125.25119253774767</v>
      </c>
      <c r="AM405" s="43">
        <f t="shared" ca="1" si="244"/>
        <v>130.43424844566997</v>
      </c>
      <c r="AN405" s="43">
        <f t="shared" ca="1" si="244"/>
        <v>135.82561852811759</v>
      </c>
      <c r="AO405" s="43">
        <f t="shared" ca="1" si="244"/>
        <v>141.43227770123897</v>
      </c>
      <c r="AP405" s="43">
        <f t="shared" ca="1" si="244"/>
        <v>147.26006839380875</v>
      </c>
      <c r="AQ405" s="43">
        <f t="shared" ca="1" si="244"/>
        <v>153.31424144475048</v>
      </c>
      <c r="AR405" s="43">
        <f t="shared" ca="1" si="244"/>
        <v>159.60029380870628</v>
      </c>
      <c r="AS405" s="43">
        <f t="shared" ca="1" si="244"/>
        <v>166.12324474429812</v>
      </c>
      <c r="AT405" s="43">
        <f t="shared" ca="1" si="244"/>
        <v>172.89029792127752</v>
      </c>
      <c r="AU405" s="43">
        <f t="shared" ca="1" si="244"/>
        <v>179.9089736322222</v>
      </c>
      <c r="AV405" s="43">
        <f t="shared" ca="1" si="244"/>
        <v>187.18855160954723</v>
      </c>
      <c r="AW405" s="43">
        <f t="shared" ca="1" si="244"/>
        <v>194.73616824357447</v>
      </c>
    </row>
    <row r="406" spans="1:49" x14ac:dyDescent="0.2">
      <c r="A406" s="1" t="s">
        <v>295</v>
      </c>
      <c r="B406" s="4" t="str">
        <f t="shared" si="242"/>
        <v>From Fiscal</v>
      </c>
      <c r="D406" s="18">
        <f>Fiscal!D$313</f>
        <v>61.417000000000002</v>
      </c>
      <c r="E406" s="19">
        <f>Fiscal!E$313</f>
        <v>62.966999999999999</v>
      </c>
      <c r="F406" s="19">
        <f>Fiscal!F$313</f>
        <v>64.897999999999996</v>
      </c>
      <c r="G406" s="19">
        <f>Fiscal!G$313</f>
        <v>66.445999999999998</v>
      </c>
      <c r="H406" s="19">
        <f>Fiscal!H$313</f>
        <v>67.825999999999993</v>
      </c>
      <c r="I406" s="19">
        <f>Fiscal!I$313</f>
        <v>69.218000000000004</v>
      </c>
      <c r="J406" s="7">
        <f ca="1">IF(J$6=OFFSET(Assumptions!$B$8,0,$C$1),AVERAGE(G$406/SUM(G$406:G$407),H$406/SUM(H$406:H$407),I$406/SUM(I$406:I$407)),I$406/SUM(I$406:I$407))*(SUM(I$406:I$407)+J$412-J$409+J$413-J$410-(J$414-J$411))</f>
        <v>69.466496874691032</v>
      </c>
      <c r="K406" s="7">
        <f ca="1">IF(K$6=OFFSET(Assumptions!$B$8,0,$C$1),AVERAGE(H$406/SUM(H$406:H$407),I$406/SUM(I$406:I$407),J$406/SUM(J$406:J$407)),J$406/SUM(J$406:J$407))*(SUM(J$406:J$407)+K$412-K$409+K$413-K$410-(K$414-K$411))</f>
        <v>70.195374137749084</v>
      </c>
      <c r="L406" s="7">
        <f ca="1">IF(L$6=OFFSET(Assumptions!$B$8,0,$C$1),AVERAGE(I$406/SUM(I$406:I$407),J$406/SUM(J$406:J$407),K$406/SUM(K$406:K$407)),K$406/SUM(K$406:K$407))*(SUM(K$406:K$407)+L$412-L$409+L$413-L$410-(L$414-L$411))</f>
        <v>71.036754791475573</v>
      </c>
      <c r="M406" s="7">
        <f ca="1">IF(M$6=OFFSET(Assumptions!$B$8,0,$C$1),AVERAGE(J$406/SUM(J$406:J$407),K$406/SUM(K$406:K$407),L$406/SUM(L$406:L$407)),L$406/SUM(L$406:L$407))*(SUM(L$406:L$407)+M$412-M$409+M$413-M$410-(M$414-M$411))</f>
        <v>71.9920568611942</v>
      </c>
      <c r="N406" s="7">
        <f ca="1">IF(N$6=OFFSET(Assumptions!$B$8,0,$C$1),AVERAGE(K$406/SUM(K$406:K$407),L$406/SUM(L$406:L$407),M$406/SUM(M$406:M$407)),M$406/SUM(M$406:M$407))*(SUM(M$406:M$407)+N$412-N$409+N$413-N$410-(N$414-N$411))</f>
        <v>73.063035298131041</v>
      </c>
      <c r="O406" s="7">
        <f ca="1">IF(O$6=OFFSET(Assumptions!$B$8,0,$C$1),AVERAGE(L$406/SUM(L$406:L$407),M$406/SUM(M$406:M$407),N$406/SUM(N$406:N$407)),N$406/SUM(N$406:N$407))*(SUM(N$406:N$407)+O$412-O$409+O$413-O$410-(O$414-O$411))</f>
        <v>74.250289156023655</v>
      </c>
      <c r="P406" s="7">
        <f ca="1">IF(P$6=OFFSET(Assumptions!$B$8,0,$C$1),AVERAGE(M$406/SUM(M$406:M$407),N$406/SUM(N$406:N$407),O$406/SUM(O$406:O$407)),O$406/SUM(O$406:O$407))*(SUM(O$406:O$407)+P$412-P$409+P$413-P$410-(P$414-P$411))</f>
        <v>75.554798523968486</v>
      </c>
      <c r="Q406" s="7">
        <f ca="1">IF(Q$6=OFFSET(Assumptions!$B$8,0,$C$1),AVERAGE(N$406/SUM(N$406:N$407),O$406/SUM(O$406:O$407),P$406/SUM(P$406:P$407)),P$406/SUM(P$406:P$407))*(SUM(P$406:P$407)+Q$412-Q$409+Q$413-Q$410-(Q$414-Q$411))</f>
        <v>76.977337097236273</v>
      </c>
      <c r="R406" s="7">
        <f ca="1">IF(R$6=OFFSET(Assumptions!$B$8,0,$C$1),AVERAGE(O$406/SUM(O$406:O$407),P$406/SUM(P$406:P$407),Q$406/SUM(Q$406:Q$407)),Q$406/SUM(Q$406:Q$407))*(SUM(Q$406:Q$407)+R$412-R$409+R$413-R$410-(R$414-R$411))</f>
        <v>78.518529578939621</v>
      </c>
      <c r="S406" s="7">
        <f ca="1">IF(S$6=OFFSET(Assumptions!$B$8,0,$C$1),AVERAGE(P$406/SUM(P$406:P$407),Q$406/SUM(Q$406:Q$407),R$406/SUM(R$406:R$407)),R$406/SUM(R$406:R$407))*(SUM(R$406:R$407)+S$412-S$409+S$413-S$410-(S$414-S$411))</f>
        <v>80.179515054416086</v>
      </c>
      <c r="T406" s="7">
        <f ca="1">IF(T$6=OFFSET(Assumptions!$B$8,0,$C$1),AVERAGE(Q$406/SUM(Q$406:Q$407),R$406/SUM(R$406:R$407),S$406/SUM(S$406:S$407)),S$406/SUM(S$406:S$407))*(SUM(S$406:S$407)+T$412-T$409+T$413-T$410-(T$414-T$411))</f>
        <v>81.961455956575307</v>
      </c>
      <c r="U406" s="7">
        <f ca="1">IF(U$6=OFFSET(Assumptions!$B$8,0,$C$1),AVERAGE(R$406/SUM(R$406:R$407),S$406/SUM(S$406:S$407),T$406/SUM(T$406:T$407)),T$406/SUM(T$406:T$407))*(SUM(T$406:T$407)+U$412-U$409+U$413-U$410-(U$414-U$411))</f>
        <v>83.866117943194965</v>
      </c>
      <c r="V406" s="7">
        <f ca="1">IF(V$6=OFFSET(Assumptions!$B$8,0,$C$1),AVERAGE(S$406/SUM(S$406:S$407),T$406/SUM(T$406:T$407),U$406/SUM(U$406:U$407)),U$406/SUM(U$406:U$407))*(SUM(U$406:U$407)+V$412-V$409+V$413-V$410-(V$414-V$411))</f>
        <v>85.895662404370782</v>
      </c>
      <c r="W406" s="7">
        <f ca="1">IF(W$6=OFFSET(Assumptions!$B$8,0,$C$1),AVERAGE(T$406/SUM(T$406:T$407),U$406/SUM(U$406:U$407),V$406/SUM(V$406:V$407)),V$406/SUM(V$406:V$407))*(SUM(V$406:V$407)+W$412-W$409+W$413-W$410-(W$414-W$411))</f>
        <v>88.052730849759854</v>
      </c>
      <c r="X406" s="7">
        <f ca="1">IF(X$6=OFFSET(Assumptions!$B$8,0,$C$1),AVERAGE(U$406/SUM(U$406:U$407),V$406/SUM(V$406:V$407),W$406/SUM(W$406:W$407)),W$406/SUM(W$406:W$407))*(SUM(W$406:W$407)+X$412-X$409+X$413-X$410-(X$414-X$411))</f>
        <v>90.34050217652657</v>
      </c>
      <c r="Y406" s="7">
        <f ca="1">IF(Y$6=OFFSET(Assumptions!$B$8,0,$C$1),AVERAGE(V$406/SUM(V$406:V$407),W$406/SUM(W$406:W$407),X$406/SUM(X$406:X$407)),X$406/SUM(X$406:X$407))*(SUM(X$406:X$407)+Y$412-Y$409+Y$413-Y$410-(Y$414-Y$411))</f>
        <v>92.762022117481436</v>
      </c>
      <c r="Z406" s="7">
        <f ca="1">IF(Z$6=OFFSET(Assumptions!$B$8,0,$C$1),AVERAGE(W$406/SUM(W$406:W$407),X$406/SUM(X$406:X$407),Y$406/SUM(Y$406:Y$407)),Y$406/SUM(Y$406:Y$407))*(SUM(Y$406:Y$407)+Z$412-Z$409+Z$413-Z$410-(Z$414-Z$411))</f>
        <v>95.32131415300924</v>
      </c>
      <c r="AA406" s="7">
        <f ca="1">IF(AA$6=OFFSET(Assumptions!$B$8,0,$C$1),AVERAGE(X$406/SUM(X$406:X$407),Y$406/SUM(Y$406:Y$407),Z$406/SUM(Z$406:Z$407)),Z$406/SUM(Z$406:Z$407))*(SUM(Z$406:Z$407)+AA$412-AA$409+AA$413-AA$410-(AA$414-AA$411))</f>
        <v>98.022620962858667</v>
      </c>
      <c r="AB406" s="7">
        <f ca="1">IF(AB$6=OFFSET(Assumptions!$B$8,0,$C$1),AVERAGE(Y$406/SUM(Y$406:Y$407),Z$406/SUM(Z$406:Z$407),AA$406/SUM(AA$406:AA$407)),AA$406/SUM(AA$406:AA$407))*(SUM(AA$406:AA$407)+AB$412-AB$409+AB$413-AB$410-(AB$414-AB$411))</f>
        <v>100.87073305215907</v>
      </c>
      <c r="AC406" s="7">
        <f ca="1">IF(AC$6=OFFSET(Assumptions!$B$8,0,$C$1),AVERAGE(Z$406/SUM(Z$406:Z$407),AA$406/SUM(AA$406:AA$407),AB$406/SUM(AB$406:AB$407)),AB$406/SUM(AB$406:AB$407))*(SUM(AB$406:AB$407)+AC$412-AC$409+AC$413-AC$410-(AC$414-AC$411))</f>
        <v>103.87118569944769</v>
      </c>
      <c r="AD406" s="7">
        <f ca="1">IF(AD$6=OFFSET(Assumptions!$B$8,0,$C$1),AVERAGE(AA$406/SUM(AA$406:AA$407),AB$406/SUM(AB$406:AB$407),AC$406/SUM(AC$406:AC$407)),AC$406/SUM(AC$406:AC$407))*(SUM(AC$406:AC$407)+AD$412-AD$409+AD$413-AD$410-(AD$414-AD$411))</f>
        <v>107.02958547250918</v>
      </c>
      <c r="AE406" s="7">
        <f ca="1">IF(AE$6=OFFSET(Assumptions!$B$8,0,$C$1),AVERAGE(AB$406/SUM(AB$406:AB$407),AC$406/SUM(AC$406:AC$407),AD$406/SUM(AD$406:AD$407)),AD$406/SUM(AD$406:AD$407))*(SUM(AD$406:AD$407)+AE$412-AE$409+AE$413-AE$410-(AE$414-AE$411))</f>
        <v>110.35109918969246</v>
      </c>
      <c r="AF406" s="7">
        <f ca="1">IF(AF$6=OFFSET(Assumptions!$B$8,0,$C$1),AVERAGE(AC$406/SUM(AC$406:AC$407),AD$406/SUM(AD$406:AD$407),AE$406/SUM(AE$406:AE$407)),AE$406/SUM(AE$406:AE$407))*(SUM(AE$406:AE$407)+AF$412-AF$409+AF$413-AF$410-(AF$414-AF$411))</f>
        <v>113.84147079666064</v>
      </c>
      <c r="AG406" s="7">
        <f ca="1">IF(AG$6=OFFSET(Assumptions!$B$8,0,$C$1),AVERAGE(AD$406/SUM(AD$406:AD$407),AE$406/SUM(AE$406:AE$407),AF$406/SUM(AF$406:AF$407)),AF$406/SUM(AF$406:AF$407))*(SUM(AF$406:AF$407)+AG$412-AG$409+AG$413-AG$410-(AG$414-AG$411))</f>
        <v>117.50640168270664</v>
      </c>
      <c r="AH406" s="7">
        <f ca="1">IF(AH$6=OFFSET(Assumptions!$B$8,0,$C$1),AVERAGE(AE$406/SUM(AE$406:AE$407),AF$406/SUM(AF$406:AF$407),AG$406/SUM(AG$406:AG$407)),AG$406/SUM(AG$406:AG$407))*(SUM(AG$406:AG$407)+AH$412-AH$409+AH$413-AH$410-(AH$414-AH$411))</f>
        <v>121.35186947802792</v>
      </c>
      <c r="AI406" s="7">
        <f ca="1">IF(AI$6=OFFSET(Assumptions!$B$8,0,$C$1),AVERAGE(AF$406/SUM(AF$406:AF$407),AG$406/SUM(AG$406:AG$407),AH$406/SUM(AH$406:AH$407)),AH$406/SUM(AH$406:AH$407))*(SUM(AH$406:AH$407)+AI$412-AI$409+AI$413-AI$410-(AI$414-AI$411))</f>
        <v>125.38310000777913</v>
      </c>
      <c r="AJ406" s="7">
        <f ca="1">IF(AJ$6=OFFSET(Assumptions!$B$8,0,$C$1),AVERAGE(AG$406/SUM(AG$406:AG$407),AH$406/SUM(AH$406:AH$407),AI$406/SUM(AI$406:AI$407)),AI$406/SUM(AI$406:AI$407))*(SUM(AI$406:AI$407)+AJ$412-AJ$409+AJ$413-AJ$410-(AJ$414-AJ$411))</f>
        <v>129.60616416316478</v>
      </c>
      <c r="AK406" s="7">
        <f ca="1">IF(AK$6=OFFSET(Assumptions!$B$8,0,$C$1),AVERAGE(AH$406/SUM(AH$406:AH$407),AI$406/SUM(AI$406:AI$407),AJ$406/SUM(AJ$406:AJ$407)),AJ$406/SUM(AJ$406:AJ$407))*(SUM(AJ$406:AJ$407)+AK$412-AK$409+AK$413-AK$410-(AK$414-AK$411))</f>
        <v>134.02664420732282</v>
      </c>
      <c r="AL406" s="7">
        <f ca="1">IF(AL$6=OFFSET(Assumptions!$B$8,0,$C$1),AVERAGE(AI$406/SUM(AI$406:AI$407),AJ$406/SUM(AJ$406:AJ$407),AK$406/SUM(AK$406:AK$407)),AK$406/SUM(AK$406:AK$407))*(SUM(AK$406:AK$407)+AL$412-AL$409+AL$413-AL$410-(AL$414-AL$411))</f>
        <v>138.64965292697451</v>
      </c>
      <c r="AM406" s="7">
        <f ca="1">IF(AM$6=OFFSET(Assumptions!$B$8,0,$C$1),AVERAGE(AJ$406/SUM(AJ$406:AJ$407),AK$406/SUM(AK$406:AK$407),AL$406/SUM(AL$406:AL$407)),AL$406/SUM(AL$406:AL$407))*(SUM(AL$406:AL$407)+AM$412-AM$409+AM$413-AM$410-(AM$414-AM$411))</f>
        <v>143.48061242922478</v>
      </c>
      <c r="AN406" s="7">
        <f ca="1">IF(AN$6=OFFSET(Assumptions!$B$8,0,$C$1),AVERAGE(AK$406/SUM(AK$406:AK$407),AL$406/SUM(AL$406:AL$407),AM$406/SUM(AM$406:AM$407)),AM$406/SUM(AM$406:AM$407))*(SUM(AM$406:AM$407)+AN$412-AN$409+AN$413-AN$410-(AN$414-AN$411))</f>
        <v>148.52526961855281</v>
      </c>
      <c r="AO406" s="7">
        <f ca="1">IF(AO$6=OFFSET(Assumptions!$B$8,0,$C$1),AVERAGE(AL$406/SUM(AL$406:AL$407),AM$406/SUM(AM$406:AM$407),AN$406/SUM(AN$406:AN$407)),AN$406/SUM(AN$406:AN$407))*(SUM(AN$406:AN$407)+AO$412-AO$409+AO$413-AO$410-(AO$414-AO$411))</f>
        <v>153.78766122820775</v>
      </c>
      <c r="AP406" s="7">
        <f ca="1">IF(AP$6=OFFSET(Assumptions!$B$8,0,$C$1),AVERAGE(AM$406/SUM(AM$406:AM$407),AN$406/SUM(AN$406:AN$407),AO$406/SUM(AO$406:AO$407)),AO$406/SUM(AO$406:AO$407))*(SUM(AO$406:AO$407)+AP$412-AP$409+AP$413-AP$410-(AP$414-AP$411))</f>
        <v>159.27336129407851</v>
      </c>
      <c r="AQ406" s="7">
        <f ca="1">IF(AQ$6=OFFSET(Assumptions!$B$8,0,$C$1),AVERAGE(AN$406/SUM(AN$406:AN$407),AO$406/SUM(AO$406:AO$407),AP$406/SUM(AP$406:AP$407)),AP$406/SUM(AP$406:AP$407))*(SUM(AP$406:AP$407)+AQ$412-AQ$409+AQ$413-AQ$410-(AQ$414-AQ$411))</f>
        <v>164.98660205299851</v>
      </c>
      <c r="AR406" s="7">
        <f ca="1">IF(AR$6=OFFSET(Assumptions!$B$8,0,$C$1),AVERAGE(AO$406/SUM(AO$406:AO$407),AP$406/SUM(AP$406:AP$407),AQ$406/SUM(AQ$406:AQ$407)),AQ$406/SUM(AQ$406:AQ$407))*(SUM(AQ$406:AQ$407)+AR$412-AR$409+AR$413-AR$410-(AR$414-AR$411))</f>
        <v>170.93194308676061</v>
      </c>
      <c r="AS406" s="7">
        <f ca="1">IF(AS$6=OFFSET(Assumptions!$B$8,0,$C$1),AVERAGE(AP$406/SUM(AP$406:AP$407),AQ$406/SUM(AQ$406:AQ$407),AR$406/SUM(AR$406:AR$407)),AR$406/SUM(AR$406:AR$407))*(SUM(AR$406:AR$407)+AS$412-AS$409+AS$413-AS$410-(AS$414-AS$411))</f>
        <v>177.11479450558261</v>
      </c>
      <c r="AT406" s="7">
        <f ca="1">IF(AT$6=OFFSET(Assumptions!$B$8,0,$C$1),AVERAGE(AQ$406/SUM(AQ$406:AQ$407),AR$406/SUM(AR$406:AR$407),AS$406/SUM(AS$406:AS$407)),AS$406/SUM(AS$406:AS$407))*(SUM(AS$406:AS$407)+AT$412-AT$409+AT$413-AT$410-(AT$414-AT$411))</f>
        <v>183.54073278970972</v>
      </c>
      <c r="AU406" s="7">
        <f ca="1">IF(AU$6=OFFSET(Assumptions!$B$8,0,$C$1),AVERAGE(AR$406/SUM(AR$406:AR$407),AS$406/SUM(AS$406:AS$407),AT$406/SUM(AT$406:AT$407)),AT$406/SUM(AT$406:AT$407))*(SUM(AT$406:AT$407)+AU$412-AU$409+AU$413-AU$410-(AU$414-AU$411))</f>
        <v>190.21575089727807</v>
      </c>
      <c r="AV406" s="7">
        <f ca="1">IF(AV$6=OFFSET(Assumptions!$B$8,0,$C$1),AVERAGE(AS$406/SUM(AS$406:AS$407),AT$406/SUM(AT$406:AT$407),AU$406/SUM(AU$406:AU$407)),AU$406/SUM(AU$406:AU$407))*(SUM(AU$406:AU$407)+AV$412-AV$409+AV$413-AV$410-(AV$414-AV$411))</f>
        <v>197.14710091144531</v>
      </c>
      <c r="AW406" s="7">
        <f ca="1">IF(AW$6=OFFSET(Assumptions!$B$8,0,$C$1),AVERAGE(AT$406/SUM(AT$406:AT$407),AU$406/SUM(AU$406:AU$407),AV$406/SUM(AV$406:AV$407)),AV$406/SUM(AV$406:AV$407))*(SUM(AV$406:AV$407)+AW$412-AW$409+AW$413-AW$410-(AW$414-AW$411))</f>
        <v>204.34150181759628</v>
      </c>
    </row>
    <row r="407" spans="1:49" x14ac:dyDescent="0.2">
      <c r="A407" s="1" t="s">
        <v>529</v>
      </c>
      <c r="B407" s="4" t="str">
        <f t="shared" si="242"/>
        <v>From Fiscal</v>
      </c>
      <c r="D407" s="18">
        <f>SUM(Fiscal!D$314:D$315)</f>
        <v>30.852</v>
      </c>
      <c r="E407" s="19">
        <f>SUM(Fiscal!E$314:E$315)</f>
        <v>31.039000000000001</v>
      </c>
      <c r="F407" s="19">
        <f>SUM(Fiscal!F$314:F$315)</f>
        <v>31.468</v>
      </c>
      <c r="G407" s="19">
        <f>SUM(Fiscal!G$314:G$315)</f>
        <v>31.613</v>
      </c>
      <c r="H407" s="19">
        <f>SUM(Fiscal!H$314:H$315)</f>
        <v>31.735000000000003</v>
      </c>
      <c r="I407" s="19">
        <f>SUM(Fiscal!I$314:I$315)</f>
        <v>31.896000000000001</v>
      </c>
      <c r="J407" s="7">
        <f t="shared" ref="J407:AW407" ca="1" si="245">SUM(I$406:I$407)+J$412-J$409+J$413-J$410-(J$414-J$411) -J$406</f>
        <v>32.519279201732132</v>
      </c>
      <c r="K407" s="7">
        <f t="shared" ca="1" si="245"/>
        <v>32.860487759635021</v>
      </c>
      <c r="L407" s="7">
        <f t="shared" ca="1" si="245"/>
        <v>33.254362413237075</v>
      </c>
      <c r="M407" s="7">
        <f t="shared" ca="1" si="245"/>
        <v>33.701566981263767</v>
      </c>
      <c r="N407" s="7">
        <f t="shared" ca="1" si="245"/>
        <v>34.202923007214068</v>
      </c>
      <c r="O407" s="7">
        <f t="shared" ca="1" si="245"/>
        <v>34.758710925493418</v>
      </c>
      <c r="P407" s="7">
        <f t="shared" ca="1" si="245"/>
        <v>35.369389544194988</v>
      </c>
      <c r="Q407" s="7">
        <f t="shared" ca="1" si="245"/>
        <v>36.035321052484178</v>
      </c>
      <c r="R407" s="7">
        <f t="shared" ca="1" si="245"/>
        <v>36.756797891981776</v>
      </c>
      <c r="S407" s="7">
        <f t="shared" ca="1" si="245"/>
        <v>37.534353301526536</v>
      </c>
      <c r="T407" s="7">
        <f t="shared" ca="1" si="245"/>
        <v>38.368531449631988</v>
      </c>
      <c r="U407" s="7">
        <f t="shared" ca="1" si="245"/>
        <v>39.260158891844014</v>
      </c>
      <c r="V407" s="7">
        <f t="shared" ca="1" si="245"/>
        <v>40.210247437468524</v>
      </c>
      <c r="W407" s="7">
        <f t="shared" ca="1" si="245"/>
        <v>41.220033653684226</v>
      </c>
      <c r="X407" s="7">
        <f t="shared" ca="1" si="245"/>
        <v>42.291005674326726</v>
      </c>
      <c r="Y407" s="7">
        <f t="shared" ca="1" si="245"/>
        <v>43.424589295140677</v>
      </c>
      <c r="Z407" s="7">
        <f t="shared" ca="1" si="245"/>
        <v>44.622668023829533</v>
      </c>
      <c r="AA407" s="7">
        <f t="shared" ca="1" si="245"/>
        <v>45.88722798166782</v>
      </c>
      <c r="AB407" s="7">
        <f t="shared" ca="1" si="245"/>
        <v>47.220511742857923</v>
      </c>
      <c r="AC407" s="7">
        <f t="shared" ca="1" si="245"/>
        <v>48.625110531605884</v>
      </c>
      <c r="AD407" s="7">
        <f t="shared" ca="1" si="245"/>
        <v>50.103648944679293</v>
      </c>
      <c r="AE407" s="7">
        <f t="shared" ca="1" si="245"/>
        <v>51.658545719398035</v>
      </c>
      <c r="AF407" s="7">
        <f t="shared" ca="1" si="245"/>
        <v>53.292489763093585</v>
      </c>
      <c r="AG407" s="7">
        <f t="shared" ca="1" si="245"/>
        <v>55.008150061227923</v>
      </c>
      <c r="AH407" s="7">
        <f t="shared" ca="1" si="245"/>
        <v>56.808324915631474</v>
      </c>
      <c r="AI407" s="7">
        <f t="shared" ca="1" si="245"/>
        <v>58.695460686418969</v>
      </c>
      <c r="AJ407" s="7">
        <f t="shared" ca="1" si="245"/>
        <v>60.672399333599344</v>
      </c>
      <c r="AK407" s="7">
        <f t="shared" ca="1" si="245"/>
        <v>62.74175407623116</v>
      </c>
      <c r="AL407" s="7">
        <f t="shared" ca="1" si="245"/>
        <v>64.905918357864437</v>
      </c>
      <c r="AM407" s="7">
        <f t="shared" ca="1" si="245"/>
        <v>67.167430423879864</v>
      </c>
      <c r="AN407" s="7">
        <f t="shared" ca="1" si="245"/>
        <v>69.528980566716456</v>
      </c>
      <c r="AO407" s="7">
        <f t="shared" ca="1" si="245"/>
        <v>71.992458498127291</v>
      </c>
      <c r="AP407" s="7">
        <f t="shared" ca="1" si="245"/>
        <v>74.560473585757308</v>
      </c>
      <c r="AQ407" s="7">
        <f t="shared" ca="1" si="245"/>
        <v>77.23500706225002</v>
      </c>
      <c r="AR407" s="7">
        <f t="shared" ca="1" si="245"/>
        <v>80.018193399905471</v>
      </c>
      <c r="AS407" s="7">
        <f t="shared" ca="1" si="245"/>
        <v>82.912565228014046</v>
      </c>
      <c r="AT407" s="7">
        <f t="shared" ca="1" si="245"/>
        <v>85.920733058494676</v>
      </c>
      <c r="AU407" s="7">
        <f t="shared" ca="1" si="245"/>
        <v>89.045502368629826</v>
      </c>
      <c r="AV407" s="7">
        <f t="shared" ca="1" si="245"/>
        <v>92.290268068593548</v>
      </c>
      <c r="AW407" s="7">
        <f t="shared" ca="1" si="245"/>
        <v>95.658175510051933</v>
      </c>
    </row>
    <row r="408" spans="1:49" ht="15" x14ac:dyDescent="0.25">
      <c r="A408" s="2" t="s">
        <v>646</v>
      </c>
      <c r="B408" s="4"/>
      <c r="D408" s="40">
        <f t="shared" ref="D408:AW408" ca="1" si="246">SUM(D$405:D$407)</f>
        <v>124.55800000000001</v>
      </c>
      <c r="E408" s="39">
        <f t="shared" ca="1" si="246"/>
        <v>126.932</v>
      </c>
      <c r="F408" s="39">
        <f t="shared" ca="1" si="246"/>
        <v>130.99299999999999</v>
      </c>
      <c r="G408" s="39">
        <f t="shared" ca="1" si="246"/>
        <v>134.09800000000001</v>
      </c>
      <c r="H408" s="39">
        <f t="shared" ca="1" si="246"/>
        <v>136.55199999999999</v>
      </c>
      <c r="I408" s="39">
        <f t="shared" ca="1" si="246"/>
        <v>138.92200000000003</v>
      </c>
      <c r="J408" s="43">
        <f t="shared" ca="1" si="246"/>
        <v>141.43136813190134</v>
      </c>
      <c r="K408" s="43">
        <f t="shared" ca="1" si="246"/>
        <v>144.20189031126836</v>
      </c>
      <c r="L408" s="43">
        <f t="shared" ca="1" si="246"/>
        <v>147.21173051249701</v>
      </c>
      <c r="M408" s="43">
        <f t="shared" ca="1" si="246"/>
        <v>150.46381676405903</v>
      </c>
      <c r="N408" s="43">
        <f t="shared" ca="1" si="246"/>
        <v>153.9657815111014</v>
      </c>
      <c r="O408" s="43">
        <f t="shared" ca="1" si="246"/>
        <v>157.71800585993452</v>
      </c>
      <c r="P408" s="43">
        <f t="shared" ca="1" si="246"/>
        <v>161.72555147511378</v>
      </c>
      <c r="Q408" s="43">
        <f t="shared" ca="1" si="246"/>
        <v>165.99108824429192</v>
      </c>
      <c r="R408" s="43">
        <f t="shared" ca="1" si="246"/>
        <v>170.51800444287215</v>
      </c>
      <c r="S408" s="43">
        <f t="shared" ca="1" si="246"/>
        <v>175.31172058078891</v>
      </c>
      <c r="T408" s="43">
        <f t="shared" ca="1" si="246"/>
        <v>180.37672423905713</v>
      </c>
      <c r="U408" s="43">
        <f t="shared" ca="1" si="246"/>
        <v>185.71772134202405</v>
      </c>
      <c r="V408" s="43">
        <f t="shared" ca="1" si="246"/>
        <v>191.34323533990087</v>
      </c>
      <c r="W408" s="43">
        <f t="shared" ca="1" si="246"/>
        <v>197.25778189044746</v>
      </c>
      <c r="X408" s="43">
        <f t="shared" ca="1" si="246"/>
        <v>203.47299125471989</v>
      </c>
      <c r="Y408" s="43">
        <f t="shared" ca="1" si="246"/>
        <v>209.99428727547809</v>
      </c>
      <c r="Z408" s="43">
        <f t="shared" ca="1" si="246"/>
        <v>216.8350897126686</v>
      </c>
      <c r="AA408" s="43">
        <f t="shared" ca="1" si="246"/>
        <v>224.00532659661872</v>
      </c>
      <c r="AB408" s="43">
        <f t="shared" ca="1" si="246"/>
        <v>231.51809042218565</v>
      </c>
      <c r="AC408" s="43">
        <f t="shared" ca="1" si="246"/>
        <v>239.38903899151799</v>
      </c>
      <c r="AD408" s="43">
        <f t="shared" ca="1" si="246"/>
        <v>247.63407234791595</v>
      </c>
      <c r="AE408" s="43">
        <f t="shared" ca="1" si="246"/>
        <v>256.26531984605288</v>
      </c>
      <c r="AF408" s="43">
        <f t="shared" ca="1" si="246"/>
        <v>265.30015028083437</v>
      </c>
      <c r="AG408" s="43">
        <f t="shared" ca="1" si="246"/>
        <v>274.75195254416451</v>
      </c>
      <c r="AH408" s="43">
        <f t="shared" ca="1" si="246"/>
        <v>284.63676754789407</v>
      </c>
      <c r="AI408" s="43">
        <f t="shared" ca="1" si="246"/>
        <v>294.96925295181524</v>
      </c>
      <c r="AJ408" s="43">
        <f t="shared" ca="1" si="246"/>
        <v>305.76583869178307</v>
      </c>
      <c r="AK408" s="43">
        <f t="shared" ca="1" si="246"/>
        <v>317.04009546057318</v>
      </c>
      <c r="AL408" s="43">
        <f t="shared" ca="1" si="246"/>
        <v>328.80676382258662</v>
      </c>
      <c r="AM408" s="43">
        <f t="shared" ca="1" si="246"/>
        <v>341.08229129877463</v>
      </c>
      <c r="AN408" s="43">
        <f t="shared" ca="1" si="246"/>
        <v>353.87986871338683</v>
      </c>
      <c r="AO408" s="43">
        <f t="shared" ca="1" si="246"/>
        <v>367.21239742757399</v>
      </c>
      <c r="AP408" s="43">
        <f t="shared" ca="1" si="246"/>
        <v>381.09390327364463</v>
      </c>
      <c r="AQ408" s="43">
        <f t="shared" ca="1" si="246"/>
        <v>395.53585055999901</v>
      </c>
      <c r="AR408" s="43">
        <f t="shared" ca="1" si="246"/>
        <v>410.55043029537239</v>
      </c>
      <c r="AS408" s="43">
        <f t="shared" ca="1" si="246"/>
        <v>426.15060447789477</v>
      </c>
      <c r="AT408" s="43">
        <f t="shared" ca="1" si="246"/>
        <v>442.35176376948186</v>
      </c>
      <c r="AU408" s="43">
        <f t="shared" ca="1" si="246"/>
        <v>459.17022689813007</v>
      </c>
      <c r="AV408" s="43">
        <f t="shared" ca="1" si="246"/>
        <v>476.62592058958609</v>
      </c>
      <c r="AW408" s="43">
        <f t="shared" ca="1" si="246"/>
        <v>494.73584557122268</v>
      </c>
    </row>
    <row r="409" spans="1:49" x14ac:dyDescent="0.2">
      <c r="A409" s="1" t="s">
        <v>647</v>
      </c>
      <c r="B409" s="4"/>
      <c r="D409" s="18">
        <f t="shared" ref="D409:I409" ca="1" si="247">D$405-C$405-D$410+D$411</f>
        <v>1.5800000000000005</v>
      </c>
      <c r="E409" s="19">
        <f t="shared" ca="1" si="247"/>
        <v>1.6959999999999935</v>
      </c>
      <c r="F409" s="19">
        <f t="shared" ca="1" si="247"/>
        <v>2.6250000000000075</v>
      </c>
      <c r="G409" s="19">
        <f t="shared" ca="1" si="247"/>
        <v>2.6279999999999992</v>
      </c>
      <c r="H409" s="19">
        <f t="shared" ca="1" si="247"/>
        <v>2.203999999999998</v>
      </c>
      <c r="I409" s="19">
        <f t="shared" ca="1" si="247"/>
        <v>2.1</v>
      </c>
      <c r="J409" s="7">
        <f t="shared" ref="J409:AW409" ca="1" si="248">J$403-I$403-J$410+J$411+J$415</f>
        <v>2.954947499642691</v>
      </c>
      <c r="K409" s="7">
        <f t="shared" ca="1" si="248"/>
        <v>3.0745244008060402</v>
      </c>
      <c r="L409" s="7">
        <f t="shared" ca="1" si="248"/>
        <v>3.207604957647185</v>
      </c>
      <c r="M409" s="7">
        <f t="shared" ca="1" si="248"/>
        <v>3.3441966660582212</v>
      </c>
      <c r="N409" s="7">
        <f t="shared" ca="1" si="248"/>
        <v>3.488546774689234</v>
      </c>
      <c r="O409" s="7">
        <f t="shared" ca="1" si="248"/>
        <v>3.6353060668366757</v>
      </c>
      <c r="P409" s="7">
        <f t="shared" ca="1" si="248"/>
        <v>3.788472883647831</v>
      </c>
      <c r="Q409" s="7">
        <f t="shared" ca="1" si="248"/>
        <v>3.9460897253734584</v>
      </c>
      <c r="R409" s="7">
        <f t="shared" ca="1" si="248"/>
        <v>4.109149841519292</v>
      </c>
      <c r="S409" s="7">
        <f t="shared" ca="1" si="248"/>
        <v>4.2790126115317069</v>
      </c>
      <c r="T409" s="7">
        <f t="shared" ca="1" si="248"/>
        <v>4.4548439753201912</v>
      </c>
      <c r="U409" s="7">
        <f t="shared" ca="1" si="248"/>
        <v>4.6360688638181475</v>
      </c>
      <c r="V409" s="7">
        <f t="shared" ca="1" si="248"/>
        <v>4.8259942433864529</v>
      </c>
      <c r="W409" s="7">
        <f t="shared" ca="1" si="248"/>
        <v>5.0200923615728446</v>
      </c>
      <c r="X409" s="7">
        <f t="shared" ca="1" si="248"/>
        <v>5.2247046781385196</v>
      </c>
      <c r="Y409" s="7">
        <f t="shared" ca="1" si="248"/>
        <v>5.4340691654791602</v>
      </c>
      <c r="Z409" s="7">
        <f t="shared" ca="1" si="248"/>
        <v>5.654768314436498</v>
      </c>
      <c r="AA409" s="7">
        <f t="shared" ca="1" si="248"/>
        <v>5.8832528779812296</v>
      </c>
      <c r="AB409" s="7">
        <f t="shared" ca="1" si="248"/>
        <v>6.1220074457348241</v>
      </c>
      <c r="AC409" s="7">
        <f t="shared" ca="1" si="248"/>
        <v>6.3727102002570168</v>
      </c>
      <c r="AD409" s="7">
        <f t="shared" ca="1" si="248"/>
        <v>6.6357647222676786</v>
      </c>
      <c r="AE409" s="7">
        <f t="shared" ca="1" si="248"/>
        <v>6.9083224578042497</v>
      </c>
      <c r="AF409" s="7">
        <f t="shared" ca="1" si="248"/>
        <v>7.1949294297990827</v>
      </c>
      <c r="AG409" s="7">
        <f t="shared" ca="1" si="248"/>
        <v>7.4919855493816536</v>
      </c>
      <c r="AH409" s="7">
        <f t="shared" ca="1" si="248"/>
        <v>7.8019112236380099</v>
      </c>
      <c r="AI409" s="7">
        <f t="shared" ca="1" si="248"/>
        <v>8.1246923490974012</v>
      </c>
      <c r="AJ409" s="7">
        <f t="shared" ca="1" si="248"/>
        <v>8.4610986278725555</v>
      </c>
      <c r="AK409" s="7">
        <f t="shared" ca="1" si="248"/>
        <v>8.8092596499522138</v>
      </c>
      <c r="AL409" s="7">
        <f t="shared" ca="1" si="248"/>
        <v>9.1712294958885927</v>
      </c>
      <c r="AM409" s="7">
        <f t="shared" ca="1" si="248"/>
        <v>9.5485139345226955</v>
      </c>
      <c r="AN409" s="7">
        <f t="shared" ca="1" si="248"/>
        <v>9.9376768065208463</v>
      </c>
      <c r="AO409" s="7">
        <f t="shared" ca="1" si="248"/>
        <v>10.341125787919324</v>
      </c>
      <c r="AP409" s="7">
        <f t="shared" ca="1" si="248"/>
        <v>10.757958930036418</v>
      </c>
      <c r="AQ409" s="7">
        <f t="shared" ca="1" si="248"/>
        <v>11.187805913356957</v>
      </c>
      <c r="AR409" s="7">
        <f t="shared" ca="1" si="248"/>
        <v>11.631095101571539</v>
      </c>
      <c r="AS409" s="7">
        <f t="shared" ca="1" si="248"/>
        <v>12.087533934834212</v>
      </c>
      <c r="AT409" s="7">
        <f t="shared" ca="1" si="248"/>
        <v>12.559482120842443</v>
      </c>
      <c r="AU409" s="7">
        <f t="shared" ca="1" si="248"/>
        <v>13.047506759125291</v>
      </c>
      <c r="AV409" s="7">
        <f t="shared" ca="1" si="248"/>
        <v>13.553619612336515</v>
      </c>
      <c r="AW409" s="7">
        <f t="shared" ca="1" si="248"/>
        <v>14.076011777466832</v>
      </c>
    </row>
    <row r="410" spans="1:49" x14ac:dyDescent="0.2">
      <c r="A410" s="1" t="s">
        <v>757</v>
      </c>
      <c r="B410" s="4"/>
      <c r="D410" s="18">
        <f t="shared" ref="D410:I410" ca="1" si="249">ROUND(D$413*D$405/SUM(D$405:D$407),3)</f>
        <v>0.75</v>
      </c>
      <c r="E410" s="19">
        <f t="shared" ca="1" si="249"/>
        <v>3.9E-2</v>
      </c>
      <c r="F410" s="19">
        <f t="shared" ca="1" si="249"/>
        <v>0.254</v>
      </c>
      <c r="G410" s="19">
        <f t="shared" ca="1" si="249"/>
        <v>2.5999999999999999E-2</v>
      </c>
      <c r="H410" s="19">
        <f t="shared" ca="1" si="249"/>
        <v>3.5999999999999997E-2</v>
      </c>
      <c r="I410" s="19">
        <f t="shared" ca="1" si="249"/>
        <v>3.1E-2</v>
      </c>
      <c r="J410" s="7">
        <f ca="1">(I$410/I$14+ IF(J$2&gt;0,J$2*IF(J$6=OFFSET(Assumptions!$B$8,0,$C$1),SUMPRODUCT(OFFSET(I$410,0,0,1,-OFFSET(Assumptions!$B$67,0,$C$1)),OFFSET(I$16,0,0,1,-OFFSET(Assumptions!$B$67,0,$C$1)))/OFFSET(Assumptions!$B$67,0,$C$1)-I$410/I$14,(I$410/I$14-H$410/H$14)/I$2),0))*J$14</f>
        <v>3.2757886589335913E-2</v>
      </c>
      <c r="K410" s="7">
        <f ca="1">(J$410/J$14+ IF(K$2&gt;0,K$2*IF(K$6=OFFSET(Assumptions!$B$8,0,$C$1),SUMPRODUCT(OFFSET(J$410,0,0,1,-OFFSET(Assumptions!$B$67,0,$C$1)),OFFSET(J$16,0,0,1,-OFFSET(Assumptions!$B$67,0,$C$1)))/OFFSET(Assumptions!$B$67,0,$C$1)-J$410/J$14,(J$410/J$14-I$410/I$14)/J$2),0))*K$14</f>
        <v>3.4503252394250977E-2</v>
      </c>
      <c r="L410" s="7">
        <f ca="1">(K$410/K$14+ IF(L$2&gt;0,L$2*IF(L$6=OFFSET(Assumptions!$B$8,0,$C$1),SUMPRODUCT(OFFSET(K$410,0,0,1,-OFFSET(Assumptions!$B$67,0,$C$1)),OFFSET(K$16,0,0,1,-OFFSET(Assumptions!$B$67,0,$C$1)))/OFFSET(Assumptions!$B$67,0,$C$1)-K$410/K$14,(K$410/K$14-J$410/J$14)/K$2),0))*L$14</f>
        <v>3.6293347942566341E-2</v>
      </c>
      <c r="M410" s="7">
        <f ca="1">(L$410/L$14+ IF(M$2&gt;0,M$2*IF(M$6=OFFSET(Assumptions!$B$8,0,$C$1),SUMPRODUCT(OFFSET(L$410,0,0,1,-OFFSET(Assumptions!$B$67,0,$C$1)),OFFSET(L$16,0,0,1,-OFFSET(Assumptions!$B$67,0,$C$1)))/OFFSET(Assumptions!$B$67,0,$C$1)-L$410/L$14,(L$410/L$14-K$410/K$14)/L$2),0))*M$14</f>
        <v>3.8066300249262226E-2</v>
      </c>
      <c r="N410" s="7">
        <f ca="1">(M$410/M$14+ IF(N$2&gt;0,N$2*IF(N$6=OFFSET(Assumptions!$B$8,0,$C$1),SUMPRODUCT(OFFSET(M$410,0,0,1,-OFFSET(Assumptions!$B$67,0,$C$1)),OFFSET(M$16,0,0,1,-OFFSET(Assumptions!$B$67,0,$C$1)))/OFFSET(Assumptions!$B$67,0,$C$1)-M$410/M$14,(M$410/M$14-L$410/L$14)/M$2),0))*N$14</f>
        <v>3.9814843677653713E-2</v>
      </c>
      <c r="O410" s="7">
        <f ca="1">(N$410/N$14+ IF(O$2&gt;0,O$2*IF(O$6=OFFSET(Assumptions!$B$8,0,$C$1),SUMPRODUCT(OFFSET(N$410,0,0,1,-OFFSET(Assumptions!$B$67,0,$C$1)),OFFSET(N$16,0,0,1,-OFFSET(Assumptions!$B$67,0,$C$1)))/OFFSET(Assumptions!$B$67,0,$C$1)-N$410/N$14,(N$410/N$14-M$410/M$14)/N$2),0))*O$14</f>
        <v>4.151440928248095E-2</v>
      </c>
      <c r="P410" s="7">
        <f ca="1">(O$410/O$14+ IF(P$2&gt;0,P$2*IF(P$6=OFFSET(Assumptions!$B$8,0,$C$1),SUMPRODUCT(OFFSET(O$410,0,0,1,-OFFSET(Assumptions!$B$67,0,$C$1)),OFFSET(O$16,0,0,1,-OFFSET(Assumptions!$B$67,0,$C$1)))/OFFSET(Assumptions!$B$67,0,$C$1)-O$410/O$14,(O$410/O$14-N$410/N$14)/O$2),0))*P$14</f>
        <v>4.3270008035920508E-2</v>
      </c>
      <c r="Q410" s="7">
        <f ca="1">(P$410/P$14+ IF(Q$2&gt;0,Q$2*IF(Q$6=OFFSET(Assumptions!$B$8,0,$C$1),SUMPRODUCT(OFFSET(P$410,0,0,1,-OFFSET(Assumptions!$B$67,0,$C$1)),OFFSET(P$16,0,0,1,-OFFSET(Assumptions!$B$67,0,$C$1)))/OFFSET(Assumptions!$B$67,0,$C$1)-P$410/P$14,(P$410/P$14-O$410/O$14)/P$2),0))*Q$14</f>
        <v>4.507974356895781E-2</v>
      </c>
      <c r="R410" s="7">
        <f ca="1">(Q$410/Q$14+ IF(R$2&gt;0,R$2*IF(R$6=OFFSET(Assumptions!$B$8,0,$C$1),SUMPRODUCT(OFFSET(Q$410,0,0,1,-OFFSET(Assumptions!$B$67,0,$C$1)),OFFSET(Q$16,0,0,1,-OFFSET(Assumptions!$B$67,0,$C$1)))/OFFSET(Assumptions!$B$67,0,$C$1)-Q$410/Q$14,(Q$410/Q$14-P$410/P$14)/Q$2),0))*R$14</f>
        <v>4.6942272664198079E-2</v>
      </c>
      <c r="S410" s="7">
        <f ca="1">(R$410/R$14+ IF(S$2&gt;0,S$2*IF(S$6=OFFSET(Assumptions!$B$8,0,$C$1),SUMPRODUCT(OFFSET(R$410,0,0,1,-OFFSET(Assumptions!$B$67,0,$C$1)),OFFSET(R$16,0,0,1,-OFFSET(Assumptions!$B$67,0,$C$1)))/OFFSET(Assumptions!$B$67,0,$C$1)-R$410/R$14,(R$410/R$14-Q$410/Q$14)/R$2),0))*S$14</f>
        <v>4.8863514363157376E-2</v>
      </c>
      <c r="T410" s="7">
        <f ca="1">(S$410/S$14+ IF(T$2&gt;0,T$2*IF(T$6=OFFSET(Assumptions!$B$8,0,$C$1),SUMPRODUCT(OFFSET(S$410,0,0,1,-OFFSET(Assumptions!$B$67,0,$C$1)),OFFSET(S$16,0,0,1,-OFFSET(Assumptions!$B$67,0,$C$1)))/OFFSET(Assumptions!$B$67,0,$C$1)-S$410/S$14,(S$410/S$14-R$410/R$14)/S$2),0))*T$14</f>
        <v>5.0844169277636353E-2</v>
      </c>
      <c r="U410" s="7">
        <f ca="1">(T$410/T$14+ IF(U$2&gt;0,U$2*IF(U$6=OFFSET(Assumptions!$B$8,0,$C$1),SUMPRODUCT(OFFSET(T$410,0,0,1,-OFFSET(Assumptions!$B$67,0,$C$1)),OFFSET(T$16,0,0,1,-OFFSET(Assumptions!$B$67,0,$C$1)))/OFFSET(Assumptions!$B$67,0,$C$1)-T$410/T$14,(T$410/T$14-S$410/S$14)/T$2),0))*U$14</f>
        <v>5.2891345925913665E-2</v>
      </c>
      <c r="V410" s="7">
        <f ca="1">(U$410/U$14+ IF(V$2&gt;0,V$2*IF(V$6=OFFSET(Assumptions!$B$8,0,$C$1),SUMPRODUCT(OFFSET(U$410,0,0,1,-OFFSET(Assumptions!$B$67,0,$C$1)),OFFSET(U$16,0,0,1,-OFFSET(Assumptions!$B$67,0,$C$1)))/OFFSET(Assumptions!$B$67,0,$C$1)-U$410/U$14,(U$410/U$14-T$410/T$14)/U$2),0))*V$14</f>
        <v>5.5010097775238576E-2</v>
      </c>
      <c r="W410" s="7">
        <f ca="1">(V$410/V$14+ IF(W$2&gt;0,W$2*IF(W$6=OFFSET(Assumptions!$B$8,0,$C$1),SUMPRODUCT(OFFSET(V$410,0,0,1,-OFFSET(Assumptions!$B$67,0,$C$1)),OFFSET(V$16,0,0,1,-OFFSET(Assumptions!$B$67,0,$C$1)))/OFFSET(Assumptions!$B$67,0,$C$1)-V$410/V$14,(V$410/V$14-U$410/U$14)/V$2),0))*W$14</f>
        <v>5.7206563384146945E-2</v>
      </c>
      <c r="X410" s="7">
        <f ca="1">(W$410/W$14+ IF(X$2&gt;0,X$2*IF(X$6=OFFSET(Assumptions!$B$8,0,$C$1),SUMPRODUCT(OFFSET(W$410,0,0,1,-OFFSET(Assumptions!$B$67,0,$C$1)),OFFSET(W$16,0,0,1,-OFFSET(Assumptions!$B$67,0,$C$1)))/OFFSET(Assumptions!$B$67,0,$C$1)-W$410/W$14,(W$410/W$14-V$410/V$14)/W$2),0))*X$14</f>
        <v>5.9487699963731169E-2</v>
      </c>
      <c r="Y410" s="7">
        <f ca="1">(X$410/X$14+ IF(Y$2&gt;0,Y$2*IF(Y$6=OFFSET(Assumptions!$B$8,0,$C$1),SUMPRODUCT(OFFSET(X$410,0,0,1,-OFFSET(Assumptions!$B$67,0,$C$1)),OFFSET(X$16,0,0,1,-OFFSET(Assumptions!$B$67,0,$C$1)))/OFFSET(Assumptions!$B$67,0,$C$1)-X$410/X$14,(X$410/X$14-W$410/W$14)/X$2),0))*Y$14</f>
        <v>6.1853274306302525E-2</v>
      </c>
      <c r="Z410" s="7">
        <f ca="1">(Y$410/Y$14+ IF(Z$2&gt;0,Z$2*IF(Z$6=OFFSET(Assumptions!$B$8,0,$C$1),SUMPRODUCT(OFFSET(Y$410,0,0,1,-OFFSET(Assumptions!$B$67,0,$C$1)),OFFSET(Y$16,0,0,1,-OFFSET(Assumptions!$B$67,0,$C$1)))/OFFSET(Assumptions!$B$67,0,$C$1)-Y$410/Y$14,(Y$410/Y$14-X$410/X$14)/Y$2),0))*Z$14</f>
        <v>6.4315260103238056E-2</v>
      </c>
      <c r="AA410" s="7">
        <f ca="1">(Z$410/Z$14+ IF(AA$2&gt;0,AA$2*IF(AA$6=OFFSET(Assumptions!$B$8,0,$C$1),SUMPRODUCT(OFFSET(Z$410,0,0,1,-OFFSET(Assumptions!$B$67,0,$C$1)),OFFSET(Z$16,0,0,1,-OFFSET(Assumptions!$B$67,0,$C$1)))/OFFSET(Assumptions!$B$67,0,$C$1)-Z$410/Z$14,(Z$410/Z$14-Y$410/Y$14)/Z$2),0))*AA$14</f>
        <v>6.6877640856047346E-2</v>
      </c>
      <c r="AB410" s="7">
        <f ca="1">(AA$410/AA$14+ IF(AB$2&gt;0,AB$2*IF(AB$6=OFFSET(Assumptions!$B$8,0,$C$1),SUMPRODUCT(OFFSET(AA$410,0,0,1,-OFFSET(Assumptions!$B$67,0,$C$1)),OFFSET(AA$16,0,0,1,-OFFSET(Assumptions!$B$67,0,$C$1)))/OFFSET(Assumptions!$B$67,0,$C$1)-AA$410/AA$14,(AA$410/AA$14-Z$410/Z$14)/AA$2),0))*AB$14</f>
        <v>6.9548111630770182E-2</v>
      </c>
      <c r="AC410" s="7">
        <f ca="1">(AB$410/AB$14+ IF(AC$2&gt;0,AC$2*IF(AC$6=OFFSET(Assumptions!$B$8,0,$C$1),SUMPRODUCT(OFFSET(AB$410,0,0,1,-OFFSET(Assumptions!$B$67,0,$C$1)),OFFSET(AB$16,0,0,1,-OFFSET(Assumptions!$B$67,0,$C$1)))/OFFSET(Assumptions!$B$67,0,$C$1)-AB$410/AB$14,(AB$410/AB$14-AA$410/AA$14)/AB$2),0))*AC$14</f>
        <v>7.2336753816970398E-2</v>
      </c>
      <c r="AD410" s="7">
        <f ca="1">(AC$410/AC$14+ IF(AD$2&gt;0,AD$2*IF(AD$6=OFFSET(Assumptions!$B$8,0,$C$1),SUMPRODUCT(OFFSET(AC$410,0,0,1,-OFFSET(Assumptions!$B$67,0,$C$1)),OFFSET(AC$16,0,0,1,-OFFSET(Assumptions!$B$67,0,$C$1)))/OFFSET(Assumptions!$B$67,0,$C$1)-AC$410/AC$14,(AC$410/AC$14-AB$410/AB$14)/AC$2),0))*AD$14</f>
        <v>7.5246506677912106E-2</v>
      </c>
      <c r="AE410" s="7">
        <f ca="1">(AD$410/AD$14+ IF(AE$2&gt;0,AE$2*IF(AE$6=OFFSET(Assumptions!$B$8,0,$C$1),SUMPRODUCT(OFFSET(AD$410,0,0,1,-OFFSET(Assumptions!$B$67,0,$C$1)),OFFSET(AD$16,0,0,1,-OFFSET(Assumptions!$B$67,0,$C$1)))/OFFSET(Assumptions!$B$67,0,$C$1)-AD$410/AD$14,(AD$410/AD$14-AC$410/AC$14)/AD$2),0))*AE$14</f>
        <v>7.8274697993422973E-2</v>
      </c>
      <c r="AF410" s="7">
        <f ca="1">(AE$410/AE$14+ IF(AF$2&gt;0,AF$2*IF(AF$6=OFFSET(Assumptions!$B$8,0,$C$1),SUMPRODUCT(OFFSET(AE$410,0,0,1,-OFFSET(Assumptions!$B$67,0,$C$1)),OFFSET(AE$16,0,0,1,-OFFSET(Assumptions!$B$67,0,$C$1)))/OFFSET(Assumptions!$B$67,0,$C$1)-AE$410/AE$14,(AE$410/AE$14-AD$410/AD$14)/AE$2),0))*AF$14</f>
        <v>8.1429705556382209E-2</v>
      </c>
      <c r="AG410" s="7">
        <f ca="1">(AF$410/AF$14+ IF(AG$2&gt;0,AG$2*IF(AG$6=OFFSET(Assumptions!$B$8,0,$C$1),SUMPRODUCT(OFFSET(AF$410,0,0,1,-OFFSET(Assumptions!$B$67,0,$C$1)),OFFSET(AF$16,0,0,1,-OFFSET(Assumptions!$B$67,0,$C$1)))/OFFSET(Assumptions!$B$67,0,$C$1)-AF$410/AF$14,(AF$410/AF$14-AE$410/AE$14)/AF$2),0))*AG$14</f>
        <v>8.4713293515091104E-2</v>
      </c>
      <c r="AH410" s="7">
        <f ca="1">(AG$410/AG$14+ IF(AH$2&gt;0,AH$2*IF(AH$6=OFFSET(Assumptions!$B$8,0,$C$1),SUMPRODUCT(OFFSET(AG$410,0,0,1,-OFFSET(Assumptions!$B$67,0,$C$1)),OFFSET(AG$16,0,0,1,-OFFSET(Assumptions!$B$67,0,$C$1)))/OFFSET(Assumptions!$B$67,0,$C$1)-AG$410/AG$14,(AG$410/AG$14-AF$410/AF$14)/AG$2),0))*AH$14</f>
        <v>8.8130727330677464E-2</v>
      </c>
      <c r="AI410" s="7">
        <f ca="1">(AH$410/AH$14+ IF(AI$2&gt;0,AI$2*IF(AI$6=OFFSET(Assumptions!$B$8,0,$C$1),SUMPRODUCT(OFFSET(AH$410,0,0,1,-OFFSET(Assumptions!$B$67,0,$C$1)),OFFSET(AH$16,0,0,1,-OFFSET(Assumptions!$B$67,0,$C$1)))/OFFSET(Assumptions!$B$67,0,$C$1)-AH$410/AH$14,(AH$410/AH$14-AG$410/AG$14)/AH$2),0))*AI$14</f>
        <v>9.1676035614980098E-2</v>
      </c>
      <c r="AJ410" s="7">
        <f ca="1">(AI$410/AI$14+ IF(AJ$2&gt;0,AJ$2*IF(AJ$6=OFFSET(Assumptions!$B$8,0,$C$1),SUMPRODUCT(OFFSET(AI$410,0,0,1,-OFFSET(Assumptions!$B$67,0,$C$1)),OFFSET(AI$16,0,0,1,-OFFSET(Assumptions!$B$67,0,$C$1)))/OFFSET(Assumptions!$B$67,0,$C$1)-AI$410/AI$14,(AI$410/AI$14-AH$410/AH$14)/AI$2),0))*AJ$14</f>
        <v>9.5360575756824967E-2</v>
      </c>
      <c r="AK410" s="7">
        <f ca="1">(AJ$410/AJ$14+ IF(AK$2&gt;0,AK$2*IF(AK$6=OFFSET(Assumptions!$B$8,0,$C$1),SUMPRODUCT(OFFSET(AJ$410,0,0,1,-OFFSET(Assumptions!$B$67,0,$C$1)),OFFSET(AJ$16,0,0,1,-OFFSET(Assumptions!$B$67,0,$C$1)))/OFFSET(Assumptions!$B$67,0,$C$1)-AJ$410/AJ$14,(AJ$410/AJ$14-AI$410/AI$14)/AJ$2),0))*AK$14</f>
        <v>9.9181316739994377E-2</v>
      </c>
      <c r="AL410" s="7">
        <f ca="1">(AK$410/AK$14+ IF(AL$2&gt;0,AL$2*IF(AL$6=OFFSET(Assumptions!$B$8,0,$C$1),SUMPRODUCT(OFFSET(AK$410,0,0,1,-OFFSET(Assumptions!$B$67,0,$C$1)),OFFSET(AK$16,0,0,1,-OFFSET(Assumptions!$B$67,0,$C$1)))/OFFSET(Assumptions!$B$67,0,$C$1)-AK$410/AK$14,(AK$410/AK$14-AJ$410/AJ$14)/AK$2),0))*AL$14</f>
        <v>0.10313524886140862</v>
      </c>
      <c r="AM410" s="7">
        <f ca="1">(AL$410/AL$14+ IF(AM$2&gt;0,AM$2*IF(AM$6=OFFSET(Assumptions!$B$8,0,$C$1),SUMPRODUCT(OFFSET(AL$410,0,0,1,-OFFSET(Assumptions!$B$67,0,$C$1)),OFFSET(AL$16,0,0,1,-OFFSET(Assumptions!$B$67,0,$C$1)))/OFFSET(Assumptions!$B$67,0,$C$1)-AL$410/AL$14,(AL$410/AL$14-AK$410/AK$14)/AL$2),0))*AM$14</f>
        <v>0.10722777370722771</v>
      </c>
      <c r="AN410" s="7">
        <f ca="1">(AM$410/AM$14+ IF(AN$2&gt;0,AN$2*IF(AN$6=OFFSET(Assumptions!$B$8,0,$C$1),SUMPRODUCT(OFFSET(AM$410,0,0,1,-OFFSET(Assumptions!$B$67,0,$C$1)),OFFSET(AM$16,0,0,1,-OFFSET(Assumptions!$B$67,0,$C$1)))/OFFSET(Assumptions!$B$67,0,$C$1)-AM$410/AM$14,(AM$410/AM$14-AL$410/AL$14)/AM$2),0))*AN$14</f>
        <v>0.1114645839398798</v>
      </c>
      <c r="AO410" s="7">
        <f ca="1">(AN$410/AN$14+ IF(AO$2&gt;0,AO$2*IF(AO$6=OFFSET(Assumptions!$B$8,0,$C$1),SUMPRODUCT(OFFSET(AN$410,0,0,1,-OFFSET(Assumptions!$B$67,0,$C$1)),OFFSET(AN$16,0,0,1,-OFFSET(Assumptions!$B$67,0,$C$1)))/OFFSET(Assumptions!$B$67,0,$C$1)-AN$410/AN$14,(AN$410/AN$14-AM$410/AM$14)/AN$2),0))*AO$14</f>
        <v>0.11582904307073816</v>
      </c>
      <c r="AP410" s="7">
        <f ca="1">(AO$410/AO$14+ IF(AP$2&gt;0,AP$2*IF(AP$6=OFFSET(Assumptions!$B$8,0,$C$1),SUMPRODUCT(OFFSET(AO$410,0,0,1,-OFFSET(Assumptions!$B$67,0,$C$1)),OFFSET(AO$16,0,0,1,-OFFSET(Assumptions!$B$67,0,$C$1)))/OFFSET(Assumptions!$B$67,0,$C$1)-AO$410/AO$14,(AO$410/AO$14-AN$410/AN$14)/AO$2),0))*AP$14</f>
        <v>0.12033968475419624</v>
      </c>
      <c r="AQ410" s="7">
        <f ca="1">(AP$410/AP$14+ IF(AQ$2&gt;0,AQ$2*IF(AQ$6=OFFSET(Assumptions!$B$8,0,$C$1),SUMPRODUCT(OFFSET(AP$410,0,0,1,-OFFSET(Assumptions!$B$67,0,$C$1)),OFFSET(AP$16,0,0,1,-OFFSET(Assumptions!$B$67,0,$C$1)))/OFFSET(Assumptions!$B$67,0,$C$1)-AP$410/AP$14,(AP$410/AP$14-AO$410/AO$14)/AP$2),0))*AQ$14</f>
        <v>0.12498387018649135</v>
      </c>
      <c r="AR410" s="7">
        <f ca="1">(AQ$410/AQ$14+ IF(AR$2&gt;0,AR$2*IF(AR$6=OFFSET(Assumptions!$B$8,0,$C$1),SUMPRODUCT(OFFSET(AQ$410,0,0,1,-OFFSET(Assumptions!$B$67,0,$C$1)),OFFSET(AQ$16,0,0,1,-OFFSET(Assumptions!$B$67,0,$C$1)))/OFFSET(Assumptions!$B$67,0,$C$1)-AQ$410/AQ$14,(AQ$410/AQ$14-AP$410/AP$14)/AQ$2),0))*AR$14</f>
        <v>0.1297668574163631</v>
      </c>
      <c r="AS410" s="7">
        <f ca="1">(AR$410/AR$14+ IF(AS$2&gt;0,AS$2*IF(AS$6=OFFSET(Assumptions!$B$8,0,$C$1),SUMPRODUCT(OFFSET(AR$410,0,0,1,-OFFSET(Assumptions!$B$67,0,$C$1)),OFFSET(AR$16,0,0,1,-OFFSET(Assumptions!$B$67,0,$C$1)))/OFFSET(Assumptions!$B$67,0,$C$1)-AR$410/AR$14,(AR$410/AR$14-AQ$410/AQ$14)/AR$2),0))*AS$14</f>
        <v>0.13469980501505885</v>
      </c>
      <c r="AT410" s="7">
        <f ca="1">(AS$410/AS$14+ IF(AT$2&gt;0,AT$2*IF(AT$6=OFFSET(Assumptions!$B$8,0,$C$1),SUMPRODUCT(OFFSET(AS$410,0,0,1,-OFFSET(Assumptions!$B$67,0,$C$1)),OFFSET(AS$16,0,0,1,-OFFSET(Assumptions!$B$67,0,$C$1)))/OFFSET(Assumptions!$B$67,0,$C$1)-AS$410/AS$14,(AS$410/AS$14-AR$410/AR$14)/AS$2),0))*AT$14</f>
        <v>0.13978665276632538</v>
      </c>
      <c r="AU410" s="7">
        <f ca="1">(AT$410/AT$14+ IF(AU$2&gt;0,AU$2*IF(AU$6=OFFSET(Assumptions!$B$8,0,$C$1),SUMPRODUCT(OFFSET(AT$410,0,0,1,-OFFSET(Assumptions!$B$67,0,$C$1)),OFFSET(AT$16,0,0,1,-OFFSET(Assumptions!$B$67,0,$C$1)))/OFFSET(Assumptions!$B$67,0,$C$1)-AT$410/AT$14,(AT$410/AT$14-AS$410/AS$14)/AT$2),0))*AU$14</f>
        <v>0.14503416504206057</v>
      </c>
      <c r="AV410" s="7">
        <f ca="1">(AU$410/AU$14+ IF(AV$2&gt;0,AV$2*IF(AV$6=OFFSET(Assumptions!$B$8,0,$C$1),SUMPRODUCT(OFFSET(AU$410,0,0,1,-OFFSET(Assumptions!$B$67,0,$C$1)),OFFSET(AU$16,0,0,1,-OFFSET(Assumptions!$B$67,0,$C$1)))/OFFSET(Assumptions!$B$67,0,$C$1)-AU$410/AU$14,(AU$410/AU$14-AT$410/AT$14)/AU$2),0))*AV$14</f>
        <v>0.15045856661531395</v>
      </c>
      <c r="AW410" s="7">
        <f ca="1">(AV$410/AV$14+ IF(AW$2&gt;0,AW$2*IF(AW$6=OFFSET(Assumptions!$B$8,0,$C$1),SUMPRODUCT(OFFSET(AV$410,0,0,1,-OFFSET(Assumptions!$B$67,0,$C$1)),OFFSET(AV$16,0,0,1,-OFFSET(Assumptions!$B$67,0,$C$1)))/OFFSET(Assumptions!$B$67,0,$C$1)-AV$410/AV$14,(AV$410/AV$14-AU$410/AU$14)/AV$2),0))*AW$14</f>
        <v>0.15605679510666545</v>
      </c>
    </row>
    <row r="411" spans="1:49" x14ac:dyDescent="0.2">
      <c r="A411" s="1" t="s">
        <v>648</v>
      </c>
      <c r="B411" s="4"/>
      <c r="D411" s="18">
        <f t="shared" ref="D411:I411" ca="1" si="250">ROUND(D$414*D$405/SUM(D$405:D$407),3)</f>
        <v>1.004</v>
      </c>
      <c r="E411" s="19">
        <f t="shared" ca="1" si="250"/>
        <v>1.0980000000000001</v>
      </c>
      <c r="F411" s="19">
        <f t="shared" ca="1" si="250"/>
        <v>1.1779999999999999</v>
      </c>
      <c r="G411" s="19">
        <f t="shared" ca="1" si="250"/>
        <v>1.242</v>
      </c>
      <c r="H411" s="19">
        <f t="shared" ca="1" si="250"/>
        <v>1.288</v>
      </c>
      <c r="I411" s="19">
        <f t="shared" ca="1" si="250"/>
        <v>1.3140000000000001</v>
      </c>
      <c r="J411" s="7">
        <f ca="1">IF(J$6=OFFSET(Assumptions!$B$8,0,$C$1),AVERAGE(G$411/SUM(F$405,F$439:F$440),H$411/SUM(G$405,G$439:G$440),I$411/SUM(H$405,H$439:H$440)),I$411/SUM(H$405,H$439:H$440))*SUM(I$405,I$439:I$440)</f>
        <v>1.3501133307538578</v>
      </c>
      <c r="K411" s="7">
        <f ca="1">IF(K$6=OFFSET(Assumptions!$B$8,0,$C$1),AVERAGE(H$411/SUM(G$405,G$439:G$440),I$411/SUM(H$405,H$439:H$440),J$411/SUM(I$405,I$439:I$440)),J$411/SUM(I$405,I$439:I$440))*SUM(J$405,J$439:J$440)</f>
        <v>1.4085912947942114</v>
      </c>
      <c r="L411" s="7">
        <f ca="1">IF(L$6=OFFSET(Assumptions!$B$8,0,$C$1),AVERAGE(I$411/SUM(H$405,H$439:H$440),J$411/SUM(I$405,I$439:I$440),K$411/SUM(J$405,J$439:J$440)),K$411/SUM(J$405,J$439:J$440))*SUM(K$405,K$439:K$440)</f>
        <v>1.4693134116896462</v>
      </c>
      <c r="M411" s="7">
        <f ca="1">IF(M$6=OFFSET(Assumptions!$B$8,0,$C$1),AVERAGE(J$411/SUM(I$405,I$439:I$440),K$411/SUM(J$405,J$439:J$440),L$411/SUM(K$405,K$439:K$440)),L$411/SUM(K$405,K$439:K$440))*SUM(L$405,L$439:L$440)</f>
        <v>1.5326833524907717</v>
      </c>
      <c r="N411" s="7">
        <f ca="1">IF(N$6=OFFSET(Assumptions!$B$8,0,$C$1),AVERAGE(K$411/SUM(J$405,J$439:J$440),L$411/SUM(K$405,K$439:K$440),M$411/SUM(L$405,L$439:L$440)),M$411/SUM(L$405,L$439:L$440))*SUM(M$405,M$439:M$440)</f>
        <v>1.5987313342116911</v>
      </c>
      <c r="O411" s="7">
        <f ca="1">IF(O$6=OFFSET(Assumptions!$B$8,0,$C$1),AVERAGE(L$411/SUM(K$405,K$439:K$440),M$411/SUM(L$405,L$439:L$440),N$411/SUM(M$405,M$439:M$440)),N$411/SUM(M$405,M$439:M$440))*SUM(N$405,N$439:N$440)</f>
        <v>1.6676379034579956</v>
      </c>
      <c r="P411" s="7">
        <f ca="1">IF(P$6=OFFSET(Assumptions!$B$8,0,$C$1),AVERAGE(M$411/SUM(L$405,L$439:L$440),N$411/SUM(M$405,M$439:M$440),O$411/SUM(N$405,N$439:N$440)),O$411/SUM(N$405,N$439:N$440))*SUM(O$405,O$439:O$440)</f>
        <v>1.7393852631508691</v>
      </c>
      <c r="Q411" s="7">
        <f ca="1">IF(Q$6=OFFSET(Assumptions!$B$8,0,$C$1),AVERAGE(N$411/SUM(M$405,M$439:M$440),O$411/SUM(N$405,N$439:N$440),P$411/SUM(O$405,O$439:O$440)),P$411/SUM(O$405,O$439:O$440))*SUM(P$405,P$439:P$440)</f>
        <v>1.8141027813212771</v>
      </c>
      <c r="R411" s="7">
        <f ca="1">IF(R$6=OFFSET(Assumptions!$B$8,0,$C$1),AVERAGE(O$411/SUM(N$405,N$439:N$440),P$411/SUM(O$405,O$439:O$440),Q$411/SUM(P$405,P$439:P$440)),Q$411/SUM(P$405,P$439:P$440))*SUM(Q$405,Q$439:Q$440)</f>
        <v>1.891845236804176</v>
      </c>
      <c r="S411" s="7">
        <f ca="1">IF(S$6=OFFSET(Assumptions!$B$8,0,$C$1),AVERAGE(P$411/SUM(O$405,O$439:O$440),Q$411/SUM(P$405,P$439:P$440),R$411/SUM(Q$405,Q$439:Q$440)),R$411/SUM(Q$405,Q$439:Q$440))*SUM(R$405,R$439:R$440)</f>
        <v>1.9727008729993625</v>
      </c>
      <c r="T411" s="7">
        <f ca="1">IF(T$6=OFFSET(Assumptions!$B$8,0,$C$1),AVERAGE(Q$411/SUM(P$405,P$439:P$440),R$411/SUM(Q$405,Q$439:Q$440),S$411/SUM(R$405,R$439:R$440)),S$411/SUM(R$405,R$439:R$440))*SUM(S$405,S$439:S$440)</f>
        <v>2.0568035365942579</v>
      </c>
      <c r="U411" s="7">
        <f ca="1">IF(U$6=OFFSET(Assumptions!$B$8,0,$C$1),AVERAGE(R$411/SUM(Q$405,Q$439:Q$440),S$411/SUM(R$405,R$439:R$440),T$411/SUM(S$405,S$439:S$440)),T$411/SUM(S$405,S$439:S$440))*SUM(T$405,T$439:T$440)</f>
        <v>2.1442525356088455</v>
      </c>
      <c r="V411" s="7">
        <f ca="1">IF(V$6=OFFSET(Assumptions!$B$8,0,$C$1),AVERAGE(S$411/SUM(R$405,R$439:R$440),T$411/SUM(S$405,S$439:S$440),U$411/SUM(T$405,T$439:T$440)),U$411/SUM(T$405,T$439:T$440))*SUM(U$405,U$439:U$440)</f>
        <v>2.2351233500851895</v>
      </c>
      <c r="W411" s="7">
        <f ca="1">IF(W$6=OFFSET(Assumptions!$B$8,0,$C$1),AVERAGE(T$411/SUM(S$405,S$439:S$440),U$411/SUM(T$405,T$439:T$440),V$411/SUM(U$405,U$439:U$440)),V$411/SUM(U$405,U$439:U$440))*SUM(V$405,V$439:V$440)</f>
        <v>2.3296070360151675</v>
      </c>
      <c r="X411" s="7">
        <f ca="1">IF(X$6=OFFSET(Assumptions!$B$8,0,$C$1),AVERAGE(U$411/SUM(T$405,T$439:T$440),V$411/SUM(U$405,U$439:U$440),W$411/SUM(V$405,V$439:V$440)),W$411/SUM(V$405,V$439:V$440))*SUM(W$405,W$439:W$440)</f>
        <v>2.4277263612390514</v>
      </c>
      <c r="Y411" s="7">
        <f ca="1">IF(Y$6=OFFSET(Assumptions!$B$8,0,$C$1),AVERAGE(V$411/SUM(U$405,U$439:U$440),W$411/SUM(V$405,V$439:V$440),X$411/SUM(W$405,W$439:W$440)),X$411/SUM(W$405,W$439:W$440))*SUM(X$405,X$439:X$440)</f>
        <v>2.5297299807960867</v>
      </c>
      <c r="Z411" s="7">
        <f ca="1">IF(Z$6=OFFSET(Assumptions!$B$8,0,$C$1),AVERAGE(W$411/SUM(V$405,V$439:V$440),X$411/SUM(W$405,W$439:W$440),Y$411/SUM(X$405,X$439:X$440)),Y$411/SUM(X$405,X$439:X$440))*SUM(Y$405,Y$439:Y$440)</f>
        <v>2.6356519015658475</v>
      </c>
      <c r="AA411" s="7">
        <f ca="1">IF(AA$6=OFFSET(Assumptions!$B$8,0,$C$1),AVERAGE(X$411/SUM(W$405,W$439:W$440),Y$411/SUM(X$405,X$439:X$440),Z$411/SUM(Y$405,Y$439:Y$440)),Z$411/SUM(Y$405,Y$439:Y$440))*SUM(Z$405,Z$439:Z$440)</f>
        <v>2.7457604025749118</v>
      </c>
      <c r="AB411" s="7">
        <f ca="1">IF(AB$6=OFFSET(Assumptions!$B$8,0,$C$1),AVERAGE(Y$411/SUM(X$405,X$439:X$440),Z$411/SUM(Y$405,Y$439:Y$440),AA$411/SUM(Z$405,Z$439:Z$440)),AA$411/SUM(Z$405,Z$439:Z$440))*SUM(AA$405,AA$439:AA$440)</f>
        <v>2.8601875822891287</v>
      </c>
      <c r="AC411" s="7">
        <f ca="1">IF(AC$6=OFFSET(Assumptions!$B$8,0,$C$1),AVERAGE(Z$411/SUM(Y$405,Y$439:Y$440),AA$411/SUM(Z$405,Z$439:Z$440),AB$411/SUM(AA$405,AA$439:AA$440)),AB$411/SUM(AA$405,AA$439:AA$440))*SUM(AB$405,AB$439:AB$440)</f>
        <v>2.9791498207782636</v>
      </c>
      <c r="AD411" s="7">
        <f ca="1">IF(AD$6=OFFSET(Assumptions!$B$8,0,$C$1),AVERAGE(AA$411/SUM(Z$405,Z$439:Z$440),AB$411/SUM(AA$405,AA$439:AA$440),AC$411/SUM(AB$405,AB$439:AB$440)),AC$411/SUM(AB$405,AB$439:AB$440))*SUM(AC$405,AC$439:AC$440)</f>
        <v>3.1029160586825206</v>
      </c>
      <c r="AE411" s="7">
        <f ca="1">IF(AE$6=OFFSET(Assumptions!$B$8,0,$C$1),AVERAGE(AB$411/SUM(AA$405,AA$439:AA$440),AC$411/SUM(AB$405,AB$439:AB$440),AD$411/SUM(AC$405,AC$439:AC$440)),AD$411/SUM(AC$405,AC$439:AC$440))*SUM(AD$405,AD$439:AD$440)</f>
        <v>3.2317601495627781</v>
      </c>
      <c r="AF411" s="7">
        <f ca="1">IF(AF$6=OFFSET(Assumptions!$B$8,0,$C$1),AVERAGE(AC$411/SUM(AB$405,AB$439:AB$440),AD$411/SUM(AC$405,AC$439:AC$440),AE$411/SUM(AD$405,AD$439:AD$440)),AE$411/SUM(AD$405,AD$439:AD$440))*SUM(AE$405,AE$439:AE$440)</f>
        <v>3.3658443512377052</v>
      </c>
      <c r="AG411" s="7">
        <f ca="1">IF(AG$6=OFFSET(Assumptions!$B$8,0,$C$1),AVERAGE(AD$411/SUM(AC$405,AC$439:AC$440),AE$411/SUM(AD$405,AD$439:AD$440),AF$411/SUM(AE$405,AE$439:AE$440)),AF$411/SUM(AE$405,AE$439:AE$440))*SUM(AF$405,AF$439:AF$440)</f>
        <v>3.5054877637468942</v>
      </c>
      <c r="AH411" s="7">
        <f ca="1">IF(AH$6=OFFSET(Assumptions!$B$8,0,$C$1),AVERAGE(AE$411/SUM(AD$405,AD$439:AD$440),AF$411/SUM(AE$405,AE$439:AE$440),AG$411/SUM(AF$405,AF$439:AF$440)),AG$411/SUM(AF$405,AF$439:AF$440))*SUM(AG$405,AG$439:AG$440)</f>
        <v>3.6508695969640184</v>
      </c>
      <c r="AI411" s="7">
        <f ca="1">IF(AI$6=OFFSET(Assumptions!$B$8,0,$C$1),AVERAGE(AF$411/SUM(AE$405,AE$439:AE$440),AG$411/SUM(AF$405,AF$439:AF$440),AH$411/SUM(AG$405,AG$439:AG$440)),AH$411/SUM(AG$405,AG$439:AG$440))*SUM(AH$405,AH$439:AH$440)</f>
        <v>3.8022492813298912</v>
      </c>
      <c r="AJ411" s="7">
        <f ca="1">IF(AJ$6=OFFSET(Assumptions!$B$8,0,$C$1),AVERAGE(AG$411/SUM(AF$405,AF$439:AF$440),AH$411/SUM(AG$405,AG$439:AG$440),AI$411/SUM(AH$405,AH$439:AH$440)),AI$411/SUM(AH$405,AH$439:AH$440))*SUM(AI$405,AI$439:AI$440)</f>
        <v>3.9598762662275835</v>
      </c>
      <c r="AK411" s="7">
        <f ca="1">IF(AK$6=OFFSET(Assumptions!$B$8,0,$C$1),AVERAGE(AH$411/SUM(AG$405,AG$439:AG$440),AI$411/SUM(AH$405,AH$439:AH$440),AJ$411/SUM(AI$405,AI$439:AI$440)),AJ$411/SUM(AI$405,AI$439:AI$440))*SUM(AJ$405,AJ$439:AJ$440)</f>
        <v>4.1240189846919799</v>
      </c>
      <c r="AL411" s="7">
        <f ca="1">IF(AL$6=OFFSET(Assumptions!$B$8,0,$C$1),AVERAGE(AI$411/SUM(AH$405,AH$439:AH$440),AJ$411/SUM(AI$405,AI$439:AI$440),AK$411/SUM(AJ$405,AJ$439:AJ$440)),AK$411/SUM(AJ$405,AJ$439:AJ$440))*SUM(AK$405,AK$439:AK$440)</f>
        <v>4.2948693840214949</v>
      </c>
      <c r="AM411" s="7">
        <f ca="1">IF(AM$6=OFFSET(Assumptions!$B$8,0,$C$1),AVERAGE(AJ$411/SUM(AI$405,AI$439:AI$440),AK$411/SUM(AJ$405,AJ$439:AJ$440),AL$411/SUM(AK$405,AK$439:AK$440)),AL$411/SUM(AK$405,AK$439:AK$440))*SUM(AL$405,AL$439:AL$440)</f>
        <v>4.4726858003076391</v>
      </c>
      <c r="AN411" s="7">
        <f ca="1">IF(AN$6=OFFSET(Assumptions!$B$8,0,$C$1),AVERAGE(AK$411/SUM(AJ$405,AJ$439:AJ$440),AL$411/SUM(AK$405,AK$439:AK$440),AM$411/SUM(AL$405,AL$439:AL$440)),AM$411/SUM(AL$405,AL$439:AL$440))*SUM(AM$405,AM$439:AM$440)</f>
        <v>4.6577713080131096</v>
      </c>
      <c r="AO411" s="7">
        <f ca="1">IF(AO$6=OFFSET(Assumptions!$B$8,0,$C$1),AVERAGE(AL$411/SUM(AK$405,AK$439:AK$440),AM$411/SUM(AL$405,AL$439:AL$440),AN$411/SUM(AM$405,AM$439:AM$440)),AN$411/SUM(AM$405,AM$439:AM$440))*SUM(AN$405,AN$439:AN$440)</f>
        <v>4.8502956578686973</v>
      </c>
      <c r="AP411" s="7">
        <f ca="1">IF(AP$6=OFFSET(Assumptions!$B$8,0,$C$1),AVERAGE(AM$411/SUM(AL$405,AL$439:AL$440),AN$411/SUM(AM$405,AM$439:AM$440),AO$411/SUM(AN$405,AN$439:AN$440)),AO$411/SUM(AN$405,AN$439:AN$440))*SUM(AO$405,AO$439:AO$440)</f>
        <v>5.0505079222208078</v>
      </c>
      <c r="AQ411" s="7">
        <f ca="1">IF(AQ$6=OFFSET(Assumptions!$B$8,0,$C$1),AVERAGE(AN$411/SUM(AM$405,AM$439:AM$440),AO$411/SUM(AN$405,AN$439:AN$440),AP$411/SUM(AO$405,AO$439:AO$440)),AP$411/SUM(AO$405,AO$439:AO$440))*SUM(AP$405,AP$439:AP$440)</f>
        <v>5.2586167326017241</v>
      </c>
      <c r="AR411" s="7">
        <f ca="1">IF(AR$6=OFFSET(Assumptions!$B$8,0,$C$1),AVERAGE(AO$411/SUM(AN$405,AN$439:AN$440),AP$411/SUM(AO$405,AO$439:AO$440),AQ$411/SUM(AP$405,AP$439:AP$440)),AQ$411/SUM(AP$405,AP$439:AP$440))*SUM(AQ$405,AQ$439:AQ$440)</f>
        <v>5.4748095950320881</v>
      </c>
      <c r="AS411" s="7">
        <f ca="1">IF(AS$6=OFFSET(Assumptions!$B$8,0,$C$1),AVERAGE(AP$411/SUM(AO$405,AO$439:AO$440),AQ$411/SUM(AP$405,AP$439:AP$440),AR$411/SUM(AQ$405,AQ$439:AQ$440)),AR$411/SUM(AQ$405,AQ$439:AQ$440))*SUM(AR$405,AR$439:AR$440)</f>
        <v>5.6992828042574777</v>
      </c>
      <c r="AT411" s="7">
        <f ca="1">IF(AT$6=OFFSET(Assumptions!$B$8,0,$C$1),AVERAGE(AQ$411/SUM(AP$405,AP$439:AP$440),AR$411/SUM(AQ$405,AQ$439:AQ$440),AS$411/SUM(AR$405,AR$439:AR$440)),AS$411/SUM(AR$405,AR$439:AR$440))*SUM(AS$405,AS$439:AS$440)</f>
        <v>5.9322155966293533</v>
      </c>
      <c r="AU411" s="7">
        <f ca="1">IF(AU$6=OFFSET(Assumptions!$B$8,0,$C$1),AVERAGE(AR$411/SUM(AQ$405,AQ$439:AQ$440),AS$411/SUM(AR$405,AR$439:AR$440),AT$411/SUM(AS$405,AS$439:AS$440)),AT$411/SUM(AS$405,AS$439:AS$440))*SUM(AT$405,AT$439:AT$440)</f>
        <v>6.1738652132226708</v>
      </c>
      <c r="AV411" s="7">
        <f ca="1">IF(AV$6=OFFSET(Assumptions!$B$8,0,$C$1),AVERAGE(AS$411/SUM(AR$405,AR$439:AR$440),AT$411/SUM(AS$405,AS$439:AS$440),AU$411/SUM(AT$405,AT$439:AT$440)),AU$411/SUM(AT$405,AT$439:AT$440))*SUM(AU$405,AU$439:AU$440)</f>
        <v>6.4245002016268371</v>
      </c>
      <c r="AW411" s="7">
        <f ca="1">IF(AW$6=OFFSET(Assumptions!$B$8,0,$C$1),AVERAGE(AT$411/SUM(AS$405,AS$439:AS$440),AU$411/SUM(AT$405,AT$439:AT$440),AV$411/SUM(AU$405,AU$439:AU$440)),AV$411/SUM(AU$405,AU$439:AU$440))*SUM(AV$405,AV$439:AV$440)</f>
        <v>6.6844519385462382</v>
      </c>
    </row>
    <row r="412" spans="1:49" x14ac:dyDescent="0.2">
      <c r="A412" s="1" t="s">
        <v>650</v>
      </c>
      <c r="B412" s="4" t="str">
        <f t="shared" ref="B412:B414" si="251">$B$43</f>
        <v>From Fiscal</v>
      </c>
      <c r="D412" s="18">
        <f>SUM(Fiscal!D$318:D$321)</f>
        <v>9.2320000000000011</v>
      </c>
      <c r="E412" s="19">
        <f>SUM(Fiscal!E$318:E$321)</f>
        <v>6.5279999999999996</v>
      </c>
      <c r="F412" s="19">
        <f>SUM(Fiscal!F$318:F$321)</f>
        <v>7.593</v>
      </c>
      <c r="G412" s="19">
        <f>SUM(Fiscal!G$318:G$321)</f>
        <v>6.8950000000000005</v>
      </c>
      <c r="H412" s="19">
        <f>SUM(Fiscal!H$318:H$321)</f>
        <v>6.4370000000000003</v>
      </c>
      <c r="I412" s="19">
        <f>SUM(Fiscal!I$318:I$321)</f>
        <v>6.226</v>
      </c>
      <c r="J412" s="7">
        <f t="shared" ref="J412:AW412" ca="1" si="252">(I$412-I$409-(I$135-I$283))*(1+J$15) +J$409+J$135-J$283</f>
        <v>7.3025947977546721</v>
      </c>
      <c r="K412" s="7">
        <f t="shared" ca="1" si="252"/>
        <v>7.6466401999751454</v>
      </c>
      <c r="L412" s="7">
        <f t="shared" ca="1" si="252"/>
        <v>7.9779004434998839</v>
      </c>
      <c r="M412" s="7">
        <f t="shared" ca="1" si="252"/>
        <v>8.3205997029306413</v>
      </c>
      <c r="N412" s="7">
        <f t="shared" ca="1" si="252"/>
        <v>8.6795695166675184</v>
      </c>
      <c r="O412" s="7">
        <f t="shared" ca="1" si="252"/>
        <v>9.0479166110318996</v>
      </c>
      <c r="P412" s="7">
        <f t="shared" ca="1" si="252"/>
        <v>9.4299767805000805</v>
      </c>
      <c r="Q412" s="7">
        <f t="shared" ca="1" si="252"/>
        <v>9.8235452784728352</v>
      </c>
      <c r="R412" s="7">
        <f t="shared" ca="1" si="252"/>
        <v>10.229440227005941</v>
      </c>
      <c r="S412" s="7">
        <f t="shared" ca="1" si="252"/>
        <v>10.64979272474099</v>
      </c>
      <c r="T412" s="7">
        <f t="shared" ca="1" si="252"/>
        <v>11.083860056710408</v>
      </c>
      <c r="U412" s="7">
        <f t="shared" ca="1" si="252"/>
        <v>11.531993955930385</v>
      </c>
      <c r="V412" s="7">
        <f t="shared" ca="1" si="252"/>
        <v>11.998160255179284</v>
      </c>
      <c r="W412" s="7">
        <f t="shared" ca="1" si="252"/>
        <v>12.47863154162744</v>
      </c>
      <c r="X412" s="7">
        <f t="shared" ca="1" si="252"/>
        <v>12.980656349826891</v>
      </c>
      <c r="Y412" s="7">
        <f t="shared" ca="1" si="252"/>
        <v>13.498442246769109</v>
      </c>
      <c r="Z412" s="7">
        <f t="shared" ca="1" si="252"/>
        <v>14.040132842177684</v>
      </c>
      <c r="AA412" s="7">
        <f t="shared" ca="1" si="252"/>
        <v>14.602698254290608</v>
      </c>
      <c r="AB412" s="7">
        <f t="shared" ca="1" si="252"/>
        <v>15.189626348370393</v>
      </c>
      <c r="AC412" s="7">
        <f t="shared" ca="1" si="252"/>
        <v>15.803909709286632</v>
      </c>
      <c r="AD412" s="7">
        <f t="shared" ca="1" si="252"/>
        <v>16.446335136203356</v>
      </c>
      <c r="AE412" s="7">
        <f t="shared" ca="1" si="252"/>
        <v>17.113705673546825</v>
      </c>
      <c r="AF412" s="7">
        <f t="shared" ca="1" si="252"/>
        <v>17.811659633188555</v>
      </c>
      <c r="AG412" s="7">
        <f t="shared" ca="1" si="252"/>
        <v>18.536826934292872</v>
      </c>
      <c r="AH412" s="7">
        <f t="shared" ca="1" si="252"/>
        <v>19.292314489930448</v>
      </c>
      <c r="AI412" s="7">
        <f t="shared" ca="1" si="252"/>
        <v>20.077329652527812</v>
      </c>
      <c r="AJ412" s="7">
        <f t="shared" ca="1" si="252"/>
        <v>20.894122890119124</v>
      </c>
      <c r="AK412" s="7">
        <f t="shared" ca="1" si="252"/>
        <v>21.740428611583162</v>
      </c>
      <c r="AL412" s="7">
        <f t="shared" ca="1" si="252"/>
        <v>22.617908495149546</v>
      </c>
      <c r="AM412" s="7">
        <f t="shared" ca="1" si="252"/>
        <v>23.528772563500528</v>
      </c>
      <c r="AN412" s="7">
        <f t="shared" ca="1" si="252"/>
        <v>24.470326861400149</v>
      </c>
      <c r="AO412" s="7">
        <f t="shared" ca="1" si="252"/>
        <v>25.442810014780981</v>
      </c>
      <c r="AP412" s="7">
        <f t="shared" ca="1" si="252"/>
        <v>26.447736475794809</v>
      </c>
      <c r="AQ412" s="7">
        <f t="shared" ca="1" si="252"/>
        <v>27.483088089302782</v>
      </c>
      <c r="AR412" s="7">
        <f t="shared" ca="1" si="252"/>
        <v>28.549978758559753</v>
      </c>
      <c r="AS412" s="7">
        <f t="shared" ca="1" si="252"/>
        <v>29.649570767987946</v>
      </c>
      <c r="AT412" s="7">
        <f t="shared" ca="1" si="252"/>
        <v>30.784737490670381</v>
      </c>
      <c r="AU412" s="7">
        <f t="shared" ca="1" si="252"/>
        <v>31.956927958729935</v>
      </c>
      <c r="AV412" s="7">
        <f t="shared" ca="1" si="252"/>
        <v>33.170269305825336</v>
      </c>
      <c r="AW412" s="7">
        <f t="shared" ca="1" si="252"/>
        <v>34.42255335873184</v>
      </c>
    </row>
    <row r="413" spans="1:49" x14ac:dyDescent="0.2">
      <c r="A413" s="1" t="s">
        <v>758</v>
      </c>
      <c r="B413" s="4" t="str">
        <f t="shared" si="251"/>
        <v>From Fiscal</v>
      </c>
      <c r="D413" s="18">
        <f>-SUM(Fiscal!D$323:D$325,Fiscal!D$327)</f>
        <v>2.8930000000000002</v>
      </c>
      <c r="E413" s="19">
        <f>-SUM(Fiscal!E$323:E$325,Fiscal!E$327)</f>
        <v>0.14899999999999999</v>
      </c>
      <c r="F413" s="19">
        <f>-SUM(Fiscal!F$323:F$325,Fiscal!F$327)</f>
        <v>0.96199999999999997</v>
      </c>
      <c r="G413" s="19">
        <f>-SUM(Fiscal!G$323:G$325,Fiscal!G$327)</f>
        <v>9.5000000000000001E-2</v>
      </c>
      <c r="H413" s="19">
        <f>-SUM(Fiscal!H$323:H$325,Fiscal!H$327)</f>
        <v>0.13200000000000001</v>
      </c>
      <c r="I413" s="19">
        <f>-SUM(Fiscal!I$323:I$325,Fiscal!I$327)</f>
        <v>0.114</v>
      </c>
      <c r="J413" s="7">
        <f ca="1">((I$413-I$410)/I$14+ IF(J$2&gt;0,J$2*IF(J$6=OFFSET(Assumptions!$B$8,0,$C$1),(SUMPRODUCT(OFFSET(I$413,0,0,1,-OFFSET(Assumptions!$B$67,0,$C$1)),OFFSET(I$16,0,0,1,-OFFSET(Assumptions!$B$67,0,$C$1)))-SUMPRODUCT(OFFSET(I$410,0,0,1,-OFFSET(Assumptions!$B$67,0,$C$1)),OFFSET(I$16,0,0,1,-OFFSET(Assumptions!$B$67,0,$C$1))))/OFFSET(Assumptions!$B$67,0,$C$1)-(I$413-I$410)/I$14,((I$413-I$410)/I$14-(H$413-H$410)/H$14)/I$2),0))*J$14 +J$410</f>
        <v>0.12034022956866618</v>
      </c>
      <c r="K413" s="7">
        <f ca="1">((J$413-J$410)/J$14+ IF(K$2&gt;0,K$2*IF(K$6=OFFSET(Assumptions!$B$8,0,$C$1),(SUMPRODUCT(OFFSET(J$413,0,0,1,-OFFSET(Assumptions!$B$67,0,$C$1)),OFFSET(J$16,0,0,1,-OFFSET(Assumptions!$B$67,0,$C$1)))-SUMPRODUCT(OFFSET(J$410,0,0,1,-OFFSET(Assumptions!$B$67,0,$C$1)),OFFSET(J$16,0,0,1,-OFFSET(Assumptions!$B$67,0,$C$1))))/OFFSET(Assumptions!$B$67,0,$C$1)-(J$413-J$410)/J$14,((J$413-J$410)/J$14-(I$413-I$410)/I$14)/J$2),0))*K$14 +K$410</f>
        <v>0.1266499194080839</v>
      </c>
      <c r="L413" s="7">
        <f ca="1">((K$413-K$410)/K$14+ IF(L$2&gt;0,L$2*IF(L$6=OFFSET(Assumptions!$B$8,0,$C$1),(SUMPRODUCT(OFFSET(K$413,0,0,1,-OFFSET(Assumptions!$B$67,0,$C$1)),OFFSET(K$16,0,0,1,-OFFSET(Assumptions!$B$67,0,$C$1)))-SUMPRODUCT(OFFSET(K$410,0,0,1,-OFFSET(Assumptions!$B$67,0,$C$1)),OFFSET(K$16,0,0,1,-OFFSET(Assumptions!$B$67,0,$C$1))))/OFFSET(Assumptions!$B$67,0,$C$1)-(K$413-K$410)/K$14,((K$413-K$410)/K$14-(J$413-J$410)/J$14)/K$2),0))*L$14 +L$410</f>
        <v>0.13314171539802691</v>
      </c>
      <c r="M413" s="7">
        <f ca="1">((L$413-L$410)/L$14+ IF(M$2&gt;0,M$2*IF(M$6=OFFSET(Assumptions!$B$8,0,$C$1),(SUMPRODUCT(OFFSET(L$413,0,0,1,-OFFSET(Assumptions!$B$67,0,$C$1)),OFFSET(L$16,0,0,1,-OFFSET(Assumptions!$B$67,0,$C$1)))-SUMPRODUCT(OFFSET(L$410,0,0,1,-OFFSET(Assumptions!$B$67,0,$C$1)),OFFSET(L$16,0,0,1,-OFFSET(Assumptions!$B$67,0,$C$1))))/OFFSET(Assumptions!$B$67,0,$C$1)-(L$413-L$410)/L$14,((L$413-L$410)/L$14-(K$413-K$410)/K$14)/L$2),0))*M$14 +M$410</f>
        <v>0.13959124105884166</v>
      </c>
      <c r="N413" s="7">
        <f ca="1">((M$413-M$410)/M$14+ IF(N$2&gt;0,N$2*IF(N$6=OFFSET(Assumptions!$B$8,0,$C$1),(SUMPRODUCT(OFFSET(M$413,0,0,1,-OFFSET(Assumptions!$B$67,0,$C$1)),OFFSET(M$16,0,0,1,-OFFSET(Assumptions!$B$67,0,$C$1)))-SUMPRODUCT(OFFSET(M$410,0,0,1,-OFFSET(Assumptions!$B$67,0,$C$1)),OFFSET(M$16,0,0,1,-OFFSET(Assumptions!$B$67,0,$C$1))))/OFFSET(Assumptions!$B$67,0,$C$1)-(M$413-M$410)/M$14,((M$413-M$410)/M$14-(L$413-L$410)/L$14)/M$2),0))*N$14 +N$410</f>
        <v>0.14597495990369147</v>
      </c>
      <c r="O413" s="7">
        <f ca="1">((N$413-N$410)/N$14+ IF(O$2&gt;0,O$2*IF(O$6=OFFSET(Assumptions!$B$8,0,$C$1),(SUMPRODUCT(OFFSET(N$413,0,0,1,-OFFSET(Assumptions!$B$67,0,$C$1)),OFFSET(N$16,0,0,1,-OFFSET(Assumptions!$B$67,0,$C$1)))-SUMPRODUCT(OFFSET(N$410,0,0,1,-OFFSET(Assumptions!$B$67,0,$C$1)),OFFSET(N$16,0,0,1,-OFFSET(Assumptions!$B$67,0,$C$1))))/OFFSET(Assumptions!$B$67,0,$C$1)-(N$413-N$410)/N$14,((N$413-N$410)/N$14-(M$413-M$410)/M$14)/N$2),0))*O$14 +O$410</f>
        <v>0.15220615405396745</v>
      </c>
      <c r="P413" s="7">
        <f ca="1">((O$413-O$410)/O$14+ IF(P$2&gt;0,P$2*IF(P$6=OFFSET(Assumptions!$B$8,0,$C$1),(SUMPRODUCT(OFFSET(O$413,0,0,1,-OFFSET(Assumptions!$B$67,0,$C$1)),OFFSET(O$16,0,0,1,-OFFSET(Assumptions!$B$67,0,$C$1)))-SUMPRODUCT(OFFSET(O$410,0,0,1,-OFFSET(Assumptions!$B$67,0,$C$1)),OFFSET(O$16,0,0,1,-OFFSET(Assumptions!$B$67,0,$C$1))))/OFFSET(Assumptions!$B$67,0,$C$1)-(O$413-O$410)/O$14,((O$413-O$410)/O$14-(N$413-N$410)/N$14)/O$2),0))*P$14 +P$410</f>
        <v>0.15864278506814733</v>
      </c>
      <c r="Q413" s="7">
        <f ca="1">((P$413-P$410)/P$14+ IF(Q$2&gt;0,Q$2*IF(Q$6=OFFSET(Assumptions!$B$8,0,$C$1),(SUMPRODUCT(OFFSET(P$413,0,0,1,-OFFSET(Assumptions!$B$67,0,$C$1)),OFFSET(P$16,0,0,1,-OFFSET(Assumptions!$B$67,0,$C$1)))-SUMPRODUCT(OFFSET(P$410,0,0,1,-OFFSET(Assumptions!$B$67,0,$C$1)),OFFSET(P$16,0,0,1,-OFFSET(Assumptions!$B$67,0,$C$1))))/OFFSET(Assumptions!$B$67,0,$C$1)-(P$413-P$410)/P$14,((P$413-P$410)/P$14-(O$413-O$410)/O$14)/P$2),0))*Q$14 +Q$410</f>
        <v>0.16527790020284958</v>
      </c>
      <c r="R413" s="7">
        <f ca="1">((Q$413-Q$410)/Q$14+ IF(R$2&gt;0,R$2*IF(R$6=OFFSET(Assumptions!$B$8,0,$C$1),(SUMPRODUCT(OFFSET(Q$413,0,0,1,-OFFSET(Assumptions!$B$67,0,$C$1)),OFFSET(Q$16,0,0,1,-OFFSET(Assumptions!$B$67,0,$C$1)))-SUMPRODUCT(OFFSET(Q$410,0,0,1,-OFFSET(Assumptions!$B$67,0,$C$1)),OFFSET(Q$16,0,0,1,-OFFSET(Assumptions!$B$67,0,$C$1))))/OFFSET(Assumptions!$B$67,0,$C$1)-(Q$413-Q$410)/Q$14,((Q$413-Q$410)/Q$14-(P$413-P$410)/P$14)/Q$2),0))*R$14 +R$410</f>
        <v>0.17210657475946356</v>
      </c>
      <c r="S413" s="7">
        <f ca="1">((R$413-R$410)/R$14+ IF(S$2&gt;0,S$2*IF(S$6=OFFSET(Assumptions!$B$8,0,$C$1),(SUMPRODUCT(OFFSET(R$413,0,0,1,-OFFSET(Assumptions!$B$67,0,$C$1)),OFFSET(R$16,0,0,1,-OFFSET(Assumptions!$B$67,0,$C$1)))-SUMPRODUCT(OFFSET(R$410,0,0,1,-OFFSET(Assumptions!$B$67,0,$C$1)),OFFSET(R$16,0,0,1,-OFFSET(Assumptions!$B$67,0,$C$1))))/OFFSET(Assumptions!$B$67,0,$C$1)-(R$413-R$410)/R$14,((R$413-R$410)/R$14-(Q$413-Q$410)/Q$14)/R$2),0))*S$14 +S$410</f>
        <v>0.17915050998727633</v>
      </c>
      <c r="T413" s="7">
        <f ca="1">((S$413-S$410)/S$14+ IF(T$2&gt;0,T$2*IF(T$6=OFFSET(Assumptions!$B$8,0,$C$1),(SUMPRODUCT(OFFSET(S$413,0,0,1,-OFFSET(Assumptions!$B$67,0,$C$1)),OFFSET(S$16,0,0,1,-OFFSET(Assumptions!$B$67,0,$C$1)))-SUMPRODUCT(OFFSET(S$410,0,0,1,-OFFSET(Assumptions!$B$67,0,$C$1)),OFFSET(S$16,0,0,1,-OFFSET(Assumptions!$B$67,0,$C$1))))/OFFSET(Assumptions!$B$67,0,$C$1)-(S$413-S$410)/S$14,((S$413-S$410)/S$14-(R$413-R$410)/R$14)/S$2),0))*T$14 +T$410</f>
        <v>0.18641227457098086</v>
      </c>
      <c r="U413" s="7">
        <f ca="1">((T$413-T$410)/T$14+ IF(U$2&gt;0,U$2*IF(U$6=OFFSET(Assumptions!$B$8,0,$C$1),(SUMPRODUCT(OFFSET(T$413,0,0,1,-OFFSET(Assumptions!$B$67,0,$C$1)),OFFSET(T$16,0,0,1,-OFFSET(Assumptions!$B$67,0,$C$1)))-SUMPRODUCT(OFFSET(T$410,0,0,1,-OFFSET(Assumptions!$B$67,0,$C$1)),OFFSET(T$16,0,0,1,-OFFSET(Assumptions!$B$67,0,$C$1))))/OFFSET(Assumptions!$B$67,0,$C$1)-(T$413-T$410)/T$14,((T$413-T$410)/T$14-(S$413-S$410)/S$14)/T$2),0))*U$14 +U$410</f>
        <v>0.19391793079225034</v>
      </c>
      <c r="V413" s="7">
        <f ca="1">((U$413-U$410)/U$14+ IF(V$2&gt;0,V$2*IF(V$6=OFFSET(Assumptions!$B$8,0,$C$1),(SUMPRODUCT(OFFSET(U$413,0,0,1,-OFFSET(Assumptions!$B$67,0,$C$1)),OFFSET(U$16,0,0,1,-OFFSET(Assumptions!$B$67,0,$C$1)))-SUMPRODUCT(OFFSET(U$410,0,0,1,-OFFSET(Assumptions!$B$67,0,$C$1)),OFFSET(U$16,0,0,1,-OFFSET(Assumptions!$B$67,0,$C$1))))/OFFSET(Assumptions!$B$67,0,$C$1)-(U$413-U$410)/U$14,((U$413-U$410)/U$14-(T$413-T$410)/T$14)/U$2),0))*V$14 +V$410</f>
        <v>0.20168600640633755</v>
      </c>
      <c r="W413" s="7">
        <f ca="1">((V$413-V$410)/V$14+ IF(W$2&gt;0,W$2*IF(W$6=OFFSET(Assumptions!$B$8,0,$C$1),(SUMPRODUCT(OFFSET(V$413,0,0,1,-OFFSET(Assumptions!$B$67,0,$C$1)),OFFSET(V$16,0,0,1,-OFFSET(Assumptions!$B$67,0,$C$1)))-SUMPRODUCT(OFFSET(V$410,0,0,1,-OFFSET(Assumptions!$B$67,0,$C$1)),OFFSET(V$16,0,0,1,-OFFSET(Assumptions!$B$67,0,$C$1))))/OFFSET(Assumptions!$B$67,0,$C$1)-(V$413-V$410)/V$14,((V$413-V$410)/V$14-(U$413-U$410)/U$14)/V$2),0))*W$14 +W$410</f>
        <v>0.20973900748769533</v>
      </c>
      <c r="X413" s="7">
        <f ca="1">((W$413-W$410)/W$14+ IF(X$2&gt;0,X$2*IF(X$6=OFFSET(Assumptions!$B$8,0,$C$1),(SUMPRODUCT(OFFSET(W$413,0,0,1,-OFFSET(Assumptions!$B$67,0,$C$1)),OFFSET(W$16,0,0,1,-OFFSET(Assumptions!$B$67,0,$C$1)))-SUMPRODUCT(OFFSET(W$410,0,0,1,-OFFSET(Assumptions!$B$67,0,$C$1)),OFFSET(W$16,0,0,1,-OFFSET(Assumptions!$B$67,0,$C$1))))/OFFSET(Assumptions!$B$67,0,$C$1)-(W$413-W$410)/W$14,((W$413-W$410)/W$14-(V$413-V$410)/V$14)/W$2),0))*X$14 +X$410</f>
        <v>0.21810244157362502</v>
      </c>
      <c r="Y413" s="7">
        <f ca="1">((X$413-X$410)/X$14+ IF(Y$2&gt;0,Y$2*IF(Y$6=OFFSET(Assumptions!$B$8,0,$C$1),(SUMPRODUCT(OFFSET(X$413,0,0,1,-OFFSET(Assumptions!$B$67,0,$C$1)),OFFSET(X$16,0,0,1,-OFFSET(Assumptions!$B$67,0,$C$1)))-SUMPRODUCT(OFFSET(X$410,0,0,1,-OFFSET(Assumptions!$B$67,0,$C$1)),OFFSET(X$16,0,0,1,-OFFSET(Assumptions!$B$67,0,$C$1))))/OFFSET(Assumptions!$B$67,0,$C$1)-(X$413-X$410)/X$14,((X$413-X$410)/X$14-(W$413-W$410)/W$14)/X$2),0))*Y$14 +Y$410</f>
        <v>0.22677545364424292</v>
      </c>
      <c r="Z413" s="7">
        <f ca="1">((Y$413-Y$410)/Y$14+ IF(Z$2&gt;0,Z$2*IF(Z$6=OFFSET(Assumptions!$B$8,0,$C$1),(SUMPRODUCT(OFFSET(Y$413,0,0,1,-OFFSET(Assumptions!$B$67,0,$C$1)),OFFSET(Y$16,0,0,1,-OFFSET(Assumptions!$B$67,0,$C$1)))-SUMPRODUCT(OFFSET(Y$410,0,0,1,-OFFSET(Assumptions!$B$67,0,$C$1)),OFFSET(Y$16,0,0,1,-OFFSET(Assumptions!$B$67,0,$C$1))))/OFFSET(Assumptions!$B$67,0,$C$1)-(Y$413-Y$410)/Y$14,((Y$413-Y$410)/Y$14-(X$413-X$410)/X$14)/Y$2),0))*Z$14 +Z$410</f>
        <v>0.23580194338512395</v>
      </c>
      <c r="AA413" s="7">
        <f ca="1">((Z$413-Z$410)/Z$14+ IF(AA$2&gt;0,AA$2*IF(AA$6=OFFSET(Assumptions!$B$8,0,$C$1),(SUMPRODUCT(OFFSET(Z$413,0,0,1,-OFFSET(Assumptions!$B$67,0,$C$1)),OFFSET(Z$16,0,0,1,-OFFSET(Assumptions!$B$67,0,$C$1)))-SUMPRODUCT(OFFSET(Z$410,0,0,1,-OFFSET(Assumptions!$B$67,0,$C$1)),OFFSET(Z$16,0,0,1,-OFFSET(Assumptions!$B$67,0,$C$1))))/OFFSET(Assumptions!$B$67,0,$C$1)-(Z$413-Z$410)/Z$14,((Z$413-Z$410)/Z$14-(Y$413-Y$410)/Y$14)/Z$2),0))*AA$14 +AA$410</f>
        <v>0.2451965156877966</v>
      </c>
      <c r="AB413" s="7">
        <f ca="1">((AA$413-AA$410)/AA$14+ IF(AB$2&gt;0,AB$2*IF(AB$6=OFFSET(Assumptions!$B$8,0,$C$1),(SUMPRODUCT(OFFSET(AA$413,0,0,1,-OFFSET(Assumptions!$B$67,0,$C$1)),OFFSET(AA$16,0,0,1,-OFFSET(Assumptions!$B$67,0,$C$1)))-SUMPRODUCT(OFFSET(AA$410,0,0,1,-OFFSET(Assumptions!$B$67,0,$C$1)),OFFSET(AA$16,0,0,1,-OFFSET(Assumptions!$B$67,0,$C$1))))/OFFSET(Assumptions!$B$67,0,$C$1)-(AA$413-AA$410)/AA$14,((AA$413-AA$410)/AA$14-(Z$413-Z$410)/Z$14)/AA$2),0))*AB$14 +AB$410</f>
        <v>0.25498738332048643</v>
      </c>
      <c r="AC413" s="7">
        <f ca="1">((AB$413-AB$410)/AB$14+ IF(AC$2&gt;0,AC$2*IF(AC$6=OFFSET(Assumptions!$B$8,0,$C$1),(SUMPRODUCT(OFFSET(AB$413,0,0,1,-OFFSET(Assumptions!$B$67,0,$C$1)),OFFSET(AB$16,0,0,1,-OFFSET(Assumptions!$B$67,0,$C$1)))-SUMPRODUCT(OFFSET(AB$410,0,0,1,-OFFSET(Assumptions!$B$67,0,$C$1)),OFFSET(AB$16,0,0,1,-OFFSET(Assumptions!$B$67,0,$C$1))))/OFFSET(Assumptions!$B$67,0,$C$1)-(AB$413-AB$410)/AB$14,((AB$413-AB$410)/AB$14-(AA$413-AA$410)/AA$14)/AB$2),0))*AC$14 +AC$410</f>
        <v>0.265211508137151</v>
      </c>
      <c r="AD413" s="7">
        <f ca="1">((AC$413-AC$410)/AC$14+ IF(AD$2&gt;0,AD$2*IF(AD$6=OFFSET(Assumptions!$B$8,0,$C$1),(SUMPRODUCT(OFFSET(AC$413,0,0,1,-OFFSET(Assumptions!$B$67,0,$C$1)),OFFSET(AC$16,0,0,1,-OFFSET(Assumptions!$B$67,0,$C$1)))-SUMPRODUCT(OFFSET(AC$410,0,0,1,-OFFSET(Assumptions!$B$67,0,$C$1)),OFFSET(AC$16,0,0,1,-OFFSET(Assumptions!$B$67,0,$C$1))))/OFFSET(Assumptions!$B$67,0,$C$1)-(AC$413-AC$410)/AC$14,((AC$413-AC$410)/AC$14-(AB$413-AB$410)/AB$14)/AC$2),0))*AD$14 +AD$410</f>
        <v>0.27587966649146878</v>
      </c>
      <c r="AE413" s="7">
        <f ca="1">((AD$413-AD$410)/AD$14+ IF(AE$2&gt;0,AE$2*IF(AE$6=OFFSET(Assumptions!$B$8,0,$C$1),(SUMPRODUCT(OFFSET(AD$413,0,0,1,-OFFSET(Assumptions!$B$67,0,$C$1)),OFFSET(AD$16,0,0,1,-OFFSET(Assumptions!$B$67,0,$C$1)))-SUMPRODUCT(OFFSET(AD$410,0,0,1,-OFFSET(Assumptions!$B$67,0,$C$1)),OFFSET(AD$16,0,0,1,-OFFSET(Assumptions!$B$67,0,$C$1))))/OFFSET(Assumptions!$B$67,0,$C$1)-(AD$413-AD$410)/AD$14,((AD$413-AD$410)/AD$14-(AC$413-AC$410)/AC$14)/AD$2),0))*AE$14 +AE$410</f>
        <v>0.2869820611019116</v>
      </c>
      <c r="AF413" s="7">
        <f ca="1">((AE$413-AE$410)/AE$14+ IF(AF$2&gt;0,AF$2*IF(AF$6=OFFSET(Assumptions!$B$8,0,$C$1),(SUMPRODUCT(OFFSET(AE$413,0,0,1,-OFFSET(Assumptions!$B$67,0,$C$1)),OFFSET(AE$16,0,0,1,-OFFSET(Assumptions!$B$67,0,$C$1)))-SUMPRODUCT(OFFSET(AE$410,0,0,1,-OFFSET(Assumptions!$B$67,0,$C$1)),OFFSET(AE$16,0,0,1,-OFFSET(Assumptions!$B$67,0,$C$1))))/OFFSET(Assumptions!$B$67,0,$C$1)-(AE$413-AE$410)/AE$14,((AE$413-AE$410)/AE$14-(AD$413-AD$410)/AD$14)/AE$2),0))*AF$14 +AF$410</f>
        <v>0.29854940784895678</v>
      </c>
      <c r="AG413" s="7">
        <f ca="1">((AF$413-AF$410)/AF$14+ IF(AG$2&gt;0,AG$2*IF(AG$6=OFFSET(Assumptions!$B$8,0,$C$1),(SUMPRODUCT(OFFSET(AF$413,0,0,1,-OFFSET(Assumptions!$B$67,0,$C$1)),OFFSET(AF$16,0,0,1,-OFFSET(Assumptions!$B$67,0,$C$1)))-SUMPRODUCT(OFFSET(AF$410,0,0,1,-OFFSET(Assumptions!$B$67,0,$C$1)),OFFSET(AF$16,0,0,1,-OFFSET(Assumptions!$B$67,0,$C$1))))/OFFSET(Assumptions!$B$67,0,$C$1)-(AF$413-AF$410)/AF$14,((AF$413-AF$410)/AF$14-(AE$413-AE$410)/AE$14)/AF$2),0))*AG$14 +AG$410</f>
        <v>0.31058817470921191</v>
      </c>
      <c r="AH413" s="7">
        <f ca="1">((AG$413-AG$410)/AG$14+ IF(AH$2&gt;0,AH$2*IF(AH$6=OFFSET(Assumptions!$B$8,0,$C$1),(SUMPRODUCT(OFFSET(AG$413,0,0,1,-OFFSET(Assumptions!$B$67,0,$C$1)),OFFSET(AG$16,0,0,1,-OFFSET(Assumptions!$B$67,0,$C$1)))-SUMPRODUCT(OFFSET(AG$410,0,0,1,-OFFSET(Assumptions!$B$67,0,$C$1)),OFFSET(AG$16,0,0,1,-OFFSET(Assumptions!$B$67,0,$C$1))))/OFFSET(Assumptions!$B$67,0,$C$1)-(AG$413-AG$410)/AG$14,((AG$413-AG$410)/AG$14-(AF$413-AF$410)/AF$14)/AG$2),0))*AH$14 +AH$410</f>
        <v>0.32311766668066288</v>
      </c>
      <c r="AI413" s="7">
        <f ca="1">((AH$413-AH$410)/AH$14+ IF(AI$2&gt;0,AI$2*IF(AI$6=OFFSET(Assumptions!$B$8,0,$C$1),(SUMPRODUCT(OFFSET(AH$413,0,0,1,-OFFSET(Assumptions!$B$67,0,$C$1)),OFFSET(AH$16,0,0,1,-OFFSET(Assumptions!$B$67,0,$C$1)))-SUMPRODUCT(OFFSET(AH$410,0,0,1,-OFFSET(Assumptions!$B$67,0,$C$1)),OFFSET(AH$16,0,0,1,-OFFSET(Assumptions!$B$67,0,$C$1))))/OFFSET(Assumptions!$B$67,0,$C$1)-(AH$413-AH$410)/AH$14,((AH$413-AH$410)/AH$14-(AG$413-AG$410)/AG$14)/AH$2),0))*AI$14 +AI$410</f>
        <v>0.336115990593153</v>
      </c>
      <c r="AJ413" s="7">
        <f ca="1">((AI$413-AI$410)/AI$14+ IF(AJ$2&gt;0,AJ$2*IF(AJ$6=OFFSET(Assumptions!$B$8,0,$C$1),(SUMPRODUCT(OFFSET(AI$413,0,0,1,-OFFSET(Assumptions!$B$67,0,$C$1)),OFFSET(AI$16,0,0,1,-OFFSET(Assumptions!$B$67,0,$C$1)))-SUMPRODUCT(OFFSET(AI$410,0,0,1,-OFFSET(Assumptions!$B$67,0,$C$1)),OFFSET(AI$16,0,0,1,-OFFSET(Assumptions!$B$67,0,$C$1))))/OFFSET(Assumptions!$B$67,0,$C$1)-(AI$413-AI$410)/AI$14,((AI$413-AI$410)/AI$14-(AH$413-AH$410)/AH$14)/AI$2),0))*AJ$14 +AJ$410</f>
        <v>0.34962478655437434</v>
      </c>
      <c r="AK413" s="7">
        <f ca="1">((AJ$413-AJ$410)/AJ$14+ IF(AK$2&gt;0,AK$2*IF(AK$6=OFFSET(Assumptions!$B$8,0,$C$1),(SUMPRODUCT(OFFSET(AJ$413,0,0,1,-OFFSET(Assumptions!$B$67,0,$C$1)),OFFSET(AJ$16,0,0,1,-OFFSET(Assumptions!$B$67,0,$C$1)))-SUMPRODUCT(OFFSET(AJ$410,0,0,1,-OFFSET(Assumptions!$B$67,0,$C$1)),OFFSET(AJ$16,0,0,1,-OFFSET(Assumptions!$B$67,0,$C$1))))/OFFSET(Assumptions!$B$67,0,$C$1)-(AJ$413-AJ$410)/AJ$14,((AJ$413-AJ$410)/AJ$14-(AI$413-AI$410)/AI$14)/AJ$2),0))*AK$14 +AK$410</f>
        <v>0.36363294181264993</v>
      </c>
      <c r="AL413" s="7">
        <f ca="1">((AK$413-AK$410)/AK$14+ IF(AL$2&gt;0,AL$2*IF(AL$6=OFFSET(Assumptions!$B$8,0,$C$1),(SUMPRODUCT(OFFSET(AK$413,0,0,1,-OFFSET(Assumptions!$B$67,0,$C$1)),OFFSET(AK$16,0,0,1,-OFFSET(Assumptions!$B$67,0,$C$1)))-SUMPRODUCT(OFFSET(AK$410,0,0,1,-OFFSET(Assumptions!$B$67,0,$C$1)),OFFSET(AK$16,0,0,1,-OFFSET(Assumptions!$B$67,0,$C$1))))/OFFSET(Assumptions!$B$67,0,$C$1)-(AK$413-AK$410)/AK$14,((AK$413-AK$410)/AK$14-(AJ$413-AJ$410)/AJ$14)/AK$2),0))*AL$14 +AL$410</f>
        <v>0.37812942175762343</v>
      </c>
      <c r="AM413" s="7">
        <f ca="1">((AL$413-AL$410)/AL$14+ IF(AM$2&gt;0,AM$2*IF(AM$6=OFFSET(Assumptions!$B$8,0,$C$1),(SUMPRODUCT(OFFSET(AL$413,0,0,1,-OFFSET(Assumptions!$B$67,0,$C$1)),OFFSET(AL$16,0,0,1,-OFFSET(Assumptions!$B$67,0,$C$1)))-SUMPRODUCT(OFFSET(AL$410,0,0,1,-OFFSET(Assumptions!$B$67,0,$C$1)),OFFSET(AL$16,0,0,1,-OFFSET(Assumptions!$B$67,0,$C$1))))/OFFSET(Assumptions!$B$67,0,$C$1)-(AL$413-AL$410)/AL$14,((AL$413-AL$410)/AL$14-(AK$413-AK$410)/AK$14)/AL$2),0))*AM$14 +AM$410</f>
        <v>0.39313403046863538</v>
      </c>
      <c r="AN413" s="7">
        <f ca="1">((AM$413-AM$410)/AM$14+ IF(AN$2&gt;0,AN$2*IF(AN$6=OFFSET(Assumptions!$B$8,0,$C$1),(SUMPRODUCT(OFFSET(AM$413,0,0,1,-OFFSET(Assumptions!$B$67,0,$C$1)),OFFSET(AM$16,0,0,1,-OFFSET(Assumptions!$B$67,0,$C$1)))-SUMPRODUCT(OFFSET(AM$410,0,0,1,-OFFSET(Assumptions!$B$67,0,$C$1)),OFFSET(AM$16,0,0,1,-OFFSET(Assumptions!$B$67,0,$C$1))))/OFFSET(Assumptions!$B$67,0,$C$1)-(AM$413-AM$410)/AM$14,((AM$413-AM$410)/AM$14-(AL$413-AL$410)/AL$14)/AM$2),0))*AN$14 +AN$410</f>
        <v>0.40866763921109689</v>
      </c>
      <c r="AO413" s="7">
        <f ca="1">((AN$413-AN$410)/AN$14+ IF(AO$2&gt;0,AO$2*IF(AO$6=OFFSET(Assumptions!$B$8,0,$C$1),(SUMPRODUCT(OFFSET(AN$413,0,0,1,-OFFSET(Assumptions!$B$67,0,$C$1)),OFFSET(AN$16,0,0,1,-OFFSET(Assumptions!$B$67,0,$C$1)))-SUMPRODUCT(OFFSET(AN$410,0,0,1,-OFFSET(Assumptions!$B$67,0,$C$1)),OFFSET(AN$16,0,0,1,-OFFSET(Assumptions!$B$67,0,$C$1))))/OFFSET(Assumptions!$B$67,0,$C$1)-(AN$413-AN$410)/AN$14,((AN$413-AN$410)/AN$14-(AM$413-AM$410)/AM$14)/AN$2),0))*AO$14 +AO$410</f>
        <v>0.42466925287524709</v>
      </c>
      <c r="AP413" s="7">
        <f ca="1">((AO$413-AO$410)/AO$14+ IF(AP$2&gt;0,AP$2*IF(AP$6=OFFSET(Assumptions!$B$8,0,$C$1),(SUMPRODUCT(OFFSET(AO$413,0,0,1,-OFFSET(Assumptions!$B$67,0,$C$1)),OFFSET(AO$16,0,0,1,-OFFSET(Assumptions!$B$67,0,$C$1)))-SUMPRODUCT(OFFSET(AO$410,0,0,1,-OFFSET(Assumptions!$B$67,0,$C$1)),OFFSET(AO$16,0,0,1,-OFFSET(Assumptions!$B$67,0,$C$1))))/OFFSET(Assumptions!$B$67,0,$C$1)-(AO$413-AO$410)/AO$14,((AO$413-AO$410)/AO$14-(AN$413-AN$410)/AN$14)/AO$2),0))*AP$14 +AP$410</f>
        <v>0.44120682223539676</v>
      </c>
      <c r="AQ413" s="7">
        <f ca="1">((AP$413-AP$410)/AP$14+ IF(AQ$2&gt;0,AQ$2*IF(AQ$6=OFFSET(Assumptions!$B$8,0,$C$1),(SUMPRODUCT(OFFSET(AP$413,0,0,1,-OFFSET(Assumptions!$B$67,0,$C$1)),OFFSET(AP$16,0,0,1,-OFFSET(Assumptions!$B$67,0,$C$1)))-SUMPRODUCT(OFFSET(AP$410,0,0,1,-OFFSET(Assumptions!$B$67,0,$C$1)),OFFSET(AP$16,0,0,1,-OFFSET(Assumptions!$B$67,0,$C$1))))/OFFSET(Assumptions!$B$67,0,$C$1)-(AP$413-AP$410)/AP$14,((AP$413-AP$410)/AP$14-(AO$413-AO$410)/AO$14)/AP$2),0))*AQ$14 +AQ$410</f>
        <v>0.45823400907438672</v>
      </c>
      <c r="AR413" s="7">
        <f ca="1">((AQ$413-AQ$410)/AQ$14+ IF(AR$2&gt;0,AR$2*IF(AR$6=OFFSET(Assumptions!$B$8,0,$C$1),(SUMPRODUCT(OFFSET(AQ$413,0,0,1,-OFFSET(Assumptions!$B$67,0,$C$1)),OFFSET(AQ$16,0,0,1,-OFFSET(Assumptions!$B$67,0,$C$1)))-SUMPRODUCT(OFFSET(AQ$410,0,0,1,-OFFSET(Assumptions!$B$67,0,$C$1)),OFFSET(AQ$16,0,0,1,-OFFSET(Assumptions!$B$67,0,$C$1))))/OFFSET(Assumptions!$B$67,0,$C$1)-(AQ$413-AQ$410)/AQ$14,((AQ$413-AQ$410)/AQ$14-(AP$413-AP$410)/AP$14)/AQ$2),0))*AR$14 +AR$410</f>
        <v>0.47577009121382918</v>
      </c>
      <c r="AS413" s="7">
        <f ca="1">((AR$413-AR$410)/AR$14+ IF(AS$2&gt;0,AS$2*IF(AS$6=OFFSET(Assumptions!$B$8,0,$C$1),(SUMPRODUCT(OFFSET(AR$413,0,0,1,-OFFSET(Assumptions!$B$67,0,$C$1)),OFFSET(AR$16,0,0,1,-OFFSET(Assumptions!$B$67,0,$C$1)))-SUMPRODUCT(OFFSET(AR$410,0,0,1,-OFFSET(Assumptions!$B$67,0,$C$1)),OFFSET(AR$16,0,0,1,-OFFSET(Assumptions!$B$67,0,$C$1))))/OFFSET(Assumptions!$B$67,0,$C$1)-(AR$413-AR$410)/AR$14,((AR$413-AR$410)/AR$14-(AQ$413-AQ$410)/AQ$14)/AR$2),0))*AS$14 +AS$410</f>
        <v>0.49385597982754681</v>
      </c>
      <c r="AT413" s="7">
        <f ca="1">((AS$413-AS$410)/AS$14+ IF(AT$2&gt;0,AT$2*IF(AT$6=OFFSET(Assumptions!$B$8,0,$C$1),(SUMPRODUCT(OFFSET(AS$413,0,0,1,-OFFSET(Assumptions!$B$67,0,$C$1)),OFFSET(AS$16,0,0,1,-OFFSET(Assumptions!$B$67,0,$C$1)))-SUMPRODUCT(OFFSET(AS$410,0,0,1,-OFFSET(Assumptions!$B$67,0,$C$1)),OFFSET(AS$16,0,0,1,-OFFSET(Assumptions!$B$67,0,$C$1))))/OFFSET(Assumptions!$B$67,0,$C$1)-(AS$413-AS$410)/AS$14,((AS$413-AS$410)/AS$14-(AR$413-AR$410)/AR$14)/AS$2),0))*AT$14 +AT$410</f>
        <v>0.51250611952265945</v>
      </c>
      <c r="AU413" s="7">
        <f ca="1">((AT$413-AT$410)/AT$14+ IF(AU$2&gt;0,AU$2*IF(AU$6=OFFSET(Assumptions!$B$8,0,$C$1),(SUMPRODUCT(OFFSET(AT$413,0,0,1,-OFFSET(Assumptions!$B$67,0,$C$1)),OFFSET(AT$16,0,0,1,-OFFSET(Assumptions!$B$67,0,$C$1)))-SUMPRODUCT(OFFSET(AT$410,0,0,1,-OFFSET(Assumptions!$B$67,0,$C$1)),OFFSET(AT$16,0,0,1,-OFFSET(Assumptions!$B$67,0,$C$1))))/OFFSET(Assumptions!$B$67,0,$C$1)-(AT$413-AT$410)/AT$14,((AT$413-AT$410)/AT$14-(AS$413-AS$410)/AS$14)/AT$2),0))*AU$14 +AU$410</f>
        <v>0.53174531082141874</v>
      </c>
      <c r="AV413" s="7">
        <f ca="1">((AU$413-AU$410)/AU$14+ IF(AV$2&gt;0,AV$2*IF(AV$6=OFFSET(Assumptions!$B$8,0,$C$1),(SUMPRODUCT(OFFSET(AU$413,0,0,1,-OFFSET(Assumptions!$B$67,0,$C$1)),OFFSET(AU$16,0,0,1,-OFFSET(Assumptions!$B$67,0,$C$1)))-SUMPRODUCT(OFFSET(AU$410,0,0,1,-OFFSET(Assumptions!$B$67,0,$C$1)),OFFSET(AU$16,0,0,1,-OFFSET(Assumptions!$B$67,0,$C$1))))/OFFSET(Assumptions!$B$67,0,$C$1)-(AU$413-AU$410)/AU$14,((AU$413-AU$410)/AU$14-(AT$413-AT$410)/AT$14)/AU$2),0))*AV$14 +AV$410</f>
        <v>0.55163303934216645</v>
      </c>
      <c r="AW413" s="7">
        <f ca="1">((AV$413-AV$410)/AV$14+ IF(AW$2&gt;0,AW$2*IF(AW$6=OFFSET(Assumptions!$B$8,0,$C$1),(SUMPRODUCT(OFFSET(AV$413,0,0,1,-OFFSET(Assumptions!$B$67,0,$C$1)),OFFSET(AV$16,0,0,1,-OFFSET(Assumptions!$B$67,0,$C$1)))-SUMPRODUCT(OFFSET(AV$410,0,0,1,-OFFSET(Assumptions!$B$67,0,$C$1)),OFFSET(AV$16,0,0,1,-OFFSET(Assumptions!$B$67,0,$C$1))))/OFFSET(Assumptions!$B$67,0,$C$1)-(AV$413-AV$410)/AV$14,((AV$413-AV$410)/AV$14-(AU$413-AU$410)/AU$14)/AV$2),0))*AW$14 +AW$410</f>
        <v>0.57215807734489998</v>
      </c>
    </row>
    <row r="414" spans="1:49" x14ac:dyDescent="0.2">
      <c r="A414" s="1" t="s">
        <v>649</v>
      </c>
      <c r="B414" s="4" t="str">
        <f t="shared" si="251"/>
        <v>From Fiscal</v>
      </c>
      <c r="D414" s="18">
        <f>Fiscal!D$326</f>
        <v>3.8730000000000002</v>
      </c>
      <c r="E414" s="19">
        <f>Fiscal!E$326</f>
        <v>4.234</v>
      </c>
      <c r="F414" s="19">
        <f>Fiscal!F$326</f>
        <v>4.4560000000000004</v>
      </c>
      <c r="G414" s="19">
        <f>Fiscal!G$326</f>
        <v>4.6219999999999999</v>
      </c>
      <c r="H414" s="19">
        <f>Fiscal!H$326</f>
        <v>4.7549999999999999</v>
      </c>
      <c r="I414" s="19">
        <f>Fiscal!I$326</f>
        <v>4.8280000000000003</v>
      </c>
      <c r="J414" s="7">
        <f ca="1">IF(J$6=OFFSET(Assumptions!$B$8,0,$C$1),AVERAGE((G$414-G$411)/SUM(F$406:F$407),(H$414-H$411)/SUM(G$406:G$407),(I$414-I$411)/SUM(H$406:H$407)),(I$414-I$411)/SUM(H$406:H$407))*SUM(I$406:I$407)+J$411</f>
        <v>4.913566895422008</v>
      </c>
      <c r="K414" s="7">
        <f ca="1">IF(K$6=OFFSET(Assumptions!$B$8,0,$C$1),AVERAGE((H$414-H$411)/SUM(G$406:G$407),(I$414-I$411)/SUM(H$406:H$407),(J$414-J$411)/SUM(I$406:I$407)),(J$414-J$411)/SUM(I$406:I$407))*SUM(J$406:J$407)+K$411</f>
        <v>5.0027679400162173</v>
      </c>
      <c r="L414" s="7">
        <f ca="1">IF(L$6=OFFSET(Assumptions!$B$8,0,$C$1),AVERAGE((I$414-I$411)/SUM(H$406:H$407),(J$414-J$411)/SUM(I$406:I$407),(K$414-K$411)/SUM(J$406:J$407)),(K$414-K$411)/SUM(J$406:J$407))*SUM(K$406:K$407)+L$411</f>
        <v>5.1012019576692529</v>
      </c>
      <c r="M414" s="7">
        <f ca="1">IF(M$6=OFFSET(Assumptions!$B$8,0,$C$1),AVERAGE((J$414-J$411)/SUM(I$406:I$407),(K$414-K$411)/SUM(J$406:J$407),(L$414-L$411)/SUM(K$406:K$407)),(L$414-L$411)/SUM(K$406:K$407))*SUM(L$406:L$407)+M$411</f>
        <v>5.2081046924274483</v>
      </c>
      <c r="N414" s="7">
        <f ca="1">IF(N$6=OFFSET(Assumptions!$B$8,0,$C$1),AVERAGE((K$414-K$411)/SUM(J$406:J$407),(L$414-L$411)/SUM(K$406:K$407),(M$414-M$411)/SUM(L$406:L$407)),(M$414-M$411)/SUM(L$406:L$407))*SUM(M$406:M$407)+N$411</f>
        <v>5.3235797295288716</v>
      </c>
      <c r="O414" s="7">
        <f ca="1">IF(O$6=OFFSET(Assumptions!$B$8,0,$C$1),AVERAGE((L$414-L$411)/SUM(K$406:K$407),(M$414-M$411)/SUM(L$406:L$407),(N$414-N$411)/SUM(M$406:M$407)),(N$414-N$411)/SUM(M$406:M$407))*SUM(N$406:N$407)+O$411</f>
        <v>5.447898416252734</v>
      </c>
      <c r="P414" s="7">
        <f ca="1">IF(P$6=OFFSET(Assumptions!$B$8,0,$C$1),AVERAGE((M$414-M$411)/SUM(L$406:L$407),(N$414-N$411)/SUM(M$406:M$407),(O$414-O$411)/SUM(N$406:N$407)),(O$414-O$411)/SUM(N$406:N$407))*SUM(O$406:O$407)+P$411</f>
        <v>5.581073950388963</v>
      </c>
      <c r="Q414" s="7">
        <f ca="1">IF(Q$6=OFFSET(Assumptions!$B$8,0,$C$1),AVERAGE((N$414-N$411)/SUM(M$406:M$407),(O$414-O$411)/SUM(N$406:N$407),(P$414-P$411)/SUM(O$406:O$407)),(P$414-P$411)/SUM(O$406:O$407))*SUM(P$406:P$407)+Q$411</f>
        <v>5.7232864094975673</v>
      </c>
      <c r="R414" s="7">
        <f ca="1">IF(R$6=OFFSET(Assumptions!$B$8,0,$C$1),AVERAGE((O$414-O$411)/SUM(N$406:N$407),(P$414-P$411)/SUM(O$406:O$407),(Q$414-Q$411)/SUM(P$406:P$407)),(Q$414-Q$411)/SUM(P$406:P$407))*SUM(Q$406:Q$407)+R$411</f>
        <v>5.8746306031851363</v>
      </c>
      <c r="S414" s="7">
        <f ca="1">IF(S$6=OFFSET(Assumptions!$B$8,0,$C$1),AVERAGE((P$414-P$411)/SUM(O$406:O$407),(Q$414-Q$411)/SUM(P$406:P$407),(R$414-R$411)/SUM(Q$406:Q$407)),(R$414-R$411)/SUM(Q$406:Q$407))*SUM(R$406:R$407)+S$411</f>
        <v>6.0352270968115267</v>
      </c>
      <c r="T414" s="7">
        <f ca="1">IF(T$6=OFFSET(Assumptions!$B$8,0,$C$1),AVERAGE((Q$414-Q$411)/SUM(P$406:P$407),(R$414-R$411)/SUM(Q$406:Q$407),(S$414-S$411)/SUM(R$406:R$407)),(S$414-S$411)/SUM(R$406:R$407))*SUM(S$406:S$407)+T$411</f>
        <v>6.2052686730131619</v>
      </c>
      <c r="U414" s="7">
        <f ca="1">IF(U$6=OFFSET(Assumptions!$B$8,0,$C$1),AVERAGE((R$414-R$411)/SUM(Q$406:Q$407),(S$414-S$411)/SUM(R$406:R$407),(T$414-T$411)/SUM(S$406:S$407)),(T$414-T$411)/SUM(S$406:S$407))*SUM(T$406:T$407)+U$411</f>
        <v>6.3849147837557201</v>
      </c>
      <c r="V414" s="7">
        <f ca="1">IF(V$6=OFFSET(Assumptions!$B$8,0,$C$1),AVERAGE((S$414-S$411)/SUM(R$406:R$407),(T$414-T$411)/SUM(S$406:S$407),(U$414-U$411)/SUM(T$406:T$407)),(U$414-U$411)/SUM(T$406:T$407))*SUM(U$406:U$407)+V$411</f>
        <v>6.5743322637087935</v>
      </c>
      <c r="W414" s="7">
        <f ca="1">IF(W$6=OFFSET(Assumptions!$B$8,0,$C$1),AVERAGE((T$414-T$411)/SUM(S$406:S$407),(U$414-U$411)/SUM(T$406:T$407),(V$414-V$411)/SUM(U$406:U$407)),(V$414-V$411)/SUM(U$406:U$407))*SUM(V$406:V$407)+W$411</f>
        <v>6.7738239985685489</v>
      </c>
      <c r="X414" s="7">
        <f ca="1">IF(X$6=OFFSET(Assumptions!$B$8,0,$C$1),AVERAGE((U$414-U$411)/SUM(T$406:T$407),(V$414-V$411)/SUM(U$406:U$407),(W$414-W$411)/SUM(V$406:V$407)),(W$414-W$411)/SUM(V$406:V$407))*SUM(W$406:W$407)+X$411</f>
        <v>6.9835494271280893</v>
      </c>
      <c r="Y414" s="7">
        <f ca="1">IF(Y$6=OFFSET(Assumptions!$B$8,0,$C$1),AVERAGE((V$414-V$411)/SUM(U$406:U$407),(W$414-W$411)/SUM(V$406:V$407),(X$414-X$411)/SUM(W$406:W$407)),(X$414-X$411)/SUM(W$406:W$407))*SUM(X$406:X$407)+Y$411</f>
        <v>7.2039216796551475</v>
      </c>
      <c r="Z414" s="7">
        <f ca="1">IF(Z$6=OFFSET(Assumptions!$B$8,0,$C$1),AVERAGE((W$414-W$411)/SUM(V$406:V$407),(X$414-X$411)/SUM(W$406:W$407),(Y$414-Y$411)/SUM(X$406:X$407)),(Y$414-Y$411)/SUM(X$406:X$407))*SUM(Y$406:Y$407)+Z$411</f>
        <v>7.4351323483722691</v>
      </c>
      <c r="AA414" s="7">
        <f ca="1">IF(AA$6=OFFSET(Assumptions!$B$8,0,$C$1),AVERAGE((X$414-X$411)/SUM(W$406:W$407),(Y$414-Y$411)/SUM(X$406:X$407),(Z$414-Z$411)/SUM(Y$406:Y$407)),(Z$414-Z$411)/SUM(Y$406:Y$407))*SUM(Z$406:Z$407)+AA$411</f>
        <v>7.6776578860283635</v>
      </c>
      <c r="AB414" s="7">
        <f ca="1">IF(AB$6=OFFSET(Assumptions!$B$8,0,$C$1),AVERAGE((Y$414-Y$411)/SUM(X$406:X$407),(Z$414-Z$411)/SUM(Y$406:Y$407),(AA$414-AA$411)/SUM(Z$406:Z$407)),(AA$414-AA$411)/SUM(Z$406:Z$407))*SUM(AA$406:AA$407)+AB$411</f>
        <v>7.9318499061238903</v>
      </c>
      <c r="AC414" s="7">
        <f ca="1">IF(AC$6=OFFSET(Assumptions!$B$8,0,$C$1),AVERAGE((Z$414-Z$411)/SUM(Y$406:Y$407),(AA$414-AA$411)/SUM(Z$406:Z$407),(AB$414-AB$411)/SUM(AA$406:AA$407)),(AB$414-AB$411)/SUM(AA$406:AA$407))*SUM(AB$406:AB$407)+AC$411</f>
        <v>8.1981726480914645</v>
      </c>
      <c r="AD414" s="7">
        <f ca="1">IF(AD$6=OFFSET(Assumptions!$B$8,0,$C$1),AVERAGE((AA$414-AA$411)/SUM(Z$406:Z$407),(AB$414-AB$411)/SUM(AA$406:AA$407),(AC$414-AC$411)/SUM(AB$406:AB$407)),(AC$414-AC$411)/SUM(AB$406:AB$407))*SUM(AC$406:AC$407)+AD$411</f>
        <v>8.4771814462968784</v>
      </c>
      <c r="AE414" s="7">
        <f ca="1">IF(AE$6=OFFSET(Assumptions!$B$8,0,$C$1),AVERAGE((AB$414-AB$411)/SUM(AA$406:AA$407),(AC$414-AC$411)/SUM(AB$406:AB$407),(AD$414-AD$411)/SUM(AC$406:AC$407)),(AD$414-AD$411)/SUM(AC$406:AC$407))*SUM(AD$406:AD$407)+AE$411</f>
        <v>8.76944023651183</v>
      </c>
      <c r="AF414" s="7">
        <f ca="1">IF(AF$6=OFFSET(Assumptions!$B$8,0,$C$1),AVERAGE((AC$414-AC$411)/SUM(AB$406:AB$407),(AD$414-AD$411)/SUM(AC$406:AC$407),(AE$414-AE$411)/SUM(AD$406:AD$407)),(AE$414-AE$411)/SUM(AD$406:AD$407))*SUM(AE$406:AE$407)+AF$411</f>
        <v>9.0753786062560007</v>
      </c>
      <c r="AG414" s="7">
        <f ca="1">IF(AG$6=OFFSET(Assumptions!$B$8,0,$C$1),AVERAGE((AD$414-AD$411)/SUM(AC$406:AC$407),(AE$414-AE$411)/SUM(AD$406:AD$407),(AF$414-AF$411)/SUM(AE$406:AE$407)),(AF$414-AF$411)/SUM(AE$406:AE$407))*SUM(AF$406:AF$407)+AG$411</f>
        <v>9.3956128456718737</v>
      </c>
      <c r="AH414" s="7">
        <f ca="1">IF(AH$6=OFFSET(Assumptions!$B$8,0,$C$1),AVERAGE((AE$414-AE$411)/SUM(AD$406:AD$407),(AF$414-AF$411)/SUM(AE$406:AE$407),(AG$414-AG$411)/SUM(AF$406:AF$407)),(AG$414-AG$411)/SUM(AF$406:AF$407))*SUM(AG$406:AG$407)+AH$411</f>
        <v>9.7306171528816154</v>
      </c>
      <c r="AI414" s="7">
        <f ca="1">IF(AI$6=OFFSET(Assumptions!$B$8,0,$C$1),AVERAGE((AF$414-AF$411)/SUM(AE$406:AE$407),(AG$414-AG$411)/SUM(AF$406:AF$407),(AH$414-AH$411)/SUM(AG$406:AG$407)),(AH$414-AH$411)/SUM(AG$406:AG$407))*SUM(AH$406:AH$407)+AI$411</f>
        <v>10.080960239199785</v>
      </c>
      <c r="AJ414" s="7">
        <f ca="1">IF(AJ$6=OFFSET(Assumptions!$B$8,0,$C$1),AVERAGE((AG$414-AG$411)/SUM(AF$406:AF$407),(AH$414-AH$411)/SUM(AG$406:AG$407),(AI$414-AI$411)/SUM(AH$406:AH$407)),(AI$414-AI$411)/SUM(AH$406:AH$407))*SUM(AI$406:AI$407)+AJ$411</f>
        <v>10.447161936705687</v>
      </c>
      <c r="AK414" s="7">
        <f ca="1">IF(AK$6=OFFSET(Assumptions!$B$8,0,$C$1),AVERAGE((AH$414-AH$411)/SUM(AG$406:AG$407),(AI$414-AI$411)/SUM(AH$406:AH$407),(AJ$414-AJ$411)/SUM(AI$406:AI$407)),(AJ$414-AJ$411)/SUM(AI$406:AI$407))*SUM(AJ$406:AJ$407)+AK$411</f>
        <v>10.829804784605734</v>
      </c>
      <c r="AL414" s="7">
        <f ca="1">IF(AL$6=OFFSET(Assumptions!$B$8,0,$C$1),AVERAGE((AI$414-AI$411)/SUM(AH$406:AH$407),(AJ$414-AJ$411)/SUM(AI$406:AI$407),(AK$414-AK$411)/SUM(AJ$406:AJ$407)),(AK$414-AK$411)/SUM(AJ$406:AJ$407))*SUM(AK$406:AK$407)+AL$411</f>
        <v>11.22936955489371</v>
      </c>
      <c r="AM414" s="7">
        <f ca="1">IF(AM$6=OFFSET(Assumptions!$B$8,0,$C$1),AVERAGE((AJ$414-AJ$411)/SUM(AI$406:AI$407),(AK$414-AK$411)/SUM(AJ$406:AJ$407),(AL$414-AL$411)/SUM(AK$406:AK$407)),(AL$414-AL$411)/SUM(AK$406:AK$407))*SUM(AL$406:AL$407)+AM$411</f>
        <v>11.646379117781198</v>
      </c>
      <c r="AN414" s="7">
        <f ca="1">IF(AN$6=OFFSET(Assumptions!$B$8,0,$C$1),AVERAGE((AK$414-AK$411)/SUM(AJ$406:AJ$407),(AL$414-AL$411)/SUM(AK$406:AK$407),(AM$414-AM$411)/SUM(AL$406:AL$407)),(AM$414-AM$411)/SUM(AL$406:AL$407))*SUM(AM$406:AM$407)+AN$411</f>
        <v>12.081417085999</v>
      </c>
      <c r="AO414" s="7">
        <f ca="1">IF(AO$6=OFFSET(Assumptions!$B$8,0,$C$1),AVERAGE((AL$414-AL$411)/SUM(AK$406:AK$407),(AM$414-AM$411)/SUM(AL$406:AL$407),(AN$414-AN$411)/SUM(AM$406:AM$407)),(AN$414-AN$411)/SUM(AM$406:AM$407))*SUM(AN$406:AN$407)+AO$411</f>
        <v>12.534950553469097</v>
      </c>
      <c r="AP414" s="7">
        <f ca="1">IF(AP$6=OFFSET(Assumptions!$B$8,0,$C$1),AVERAGE((AM$414-AM$411)/SUM(AL$406:AL$407),(AN$414-AN$411)/SUM(AM$406:AM$407),(AO$414-AO$411)/SUM(AN$406:AN$407)),(AO$414-AO$411)/SUM(AN$406:AN$407))*SUM(AO$406:AO$407)+AP$411</f>
        <v>13.007437451959625</v>
      </c>
      <c r="AQ414" s="7">
        <f ca="1">IF(AQ$6=OFFSET(Assumptions!$B$8,0,$C$1),AVERAGE((AN$414-AN$411)/SUM(AM$406:AM$407),(AO$414-AO$411)/SUM(AN$406:AN$407),(AP$414-AP$411)/SUM(AO$406:AO$407)),(AP$414-AP$411)/SUM(AO$406:AO$407))*SUM(AP$406:AP$407)+AQ$411</f>
        <v>13.499374812022726</v>
      </c>
      <c r="AR414" s="7">
        <f ca="1">IF(AR$6=OFFSET(Assumptions!$B$8,0,$C$1),AVERAGE((AO$414-AO$411)/SUM(AN$406:AN$407),(AP$414-AP$411)/SUM(AO$406:AO$407),(AQ$414-AQ$411)/SUM(AP$406:AP$407)),(AQ$414-AQ$411)/SUM(AP$406:AP$407))*SUM(AQ$406:AQ$407)+AR$411</f>
        <v>14.011169114400211</v>
      </c>
      <c r="AS414" s="7">
        <f ca="1">IF(AS$6=OFFSET(Assumptions!$B$8,0,$C$1),AVERAGE((AP$414-AP$411)/SUM(AO$406:AO$407),(AQ$414-AQ$411)/SUM(AP$406:AP$407),(AR$414-AR$411)/SUM(AQ$406:AQ$407)),(AR$414-AR$411)/SUM(AQ$406:AQ$407))*SUM(AR$406:AR$407)+AS$411</f>
        <v>14.543252565293237</v>
      </c>
      <c r="AT414" s="7">
        <f ca="1">IF(AT$6=OFFSET(Assumptions!$B$8,0,$C$1),AVERAGE((AQ$414-AQ$411)/SUM(AP$406:AP$407),(AR$414-AR$411)/SUM(AQ$406:AQ$407),(AS$414-AS$411)/SUM(AR$406:AR$407)),(AS$414-AS$411)/SUM(AR$406:AR$407))*SUM(AS$406:AS$407)+AT$411</f>
        <v>15.096084318605866</v>
      </c>
      <c r="AU414" s="7">
        <f ca="1">IF(AU$6=OFFSET(Assumptions!$B$8,0,$C$1),AVERAGE((AR$414-AR$411)/SUM(AQ$406:AQ$407),(AS$414-AS$411)/SUM(AR$406:AR$407),(AT$414-AT$411)/SUM(AS$406:AS$407)),(AT$414-AT$411)/SUM(AS$406:AS$407))*SUM(AT$406:AT$407)+AU$411</f>
        <v>15.670210140903206</v>
      </c>
      <c r="AV414" s="7">
        <f ca="1">IF(AV$6=OFFSET(Assumptions!$B$8,0,$C$1),AVERAGE((AS$414-AS$411)/SUM(AR$406:AR$407),(AT$414-AT$411)/SUM(AS$406:AS$407),(AU$414-AU$411)/SUM(AT$406:AT$407)),(AU$414-AU$411)/SUM(AT$406:AT$407))*SUM(AU$406:AU$407)+AV$411</f>
        <v>16.266208653711566</v>
      </c>
      <c r="AW414" s="7">
        <f ca="1">IF(AW$6=OFFSET(Assumptions!$B$8,0,$C$1),AVERAGE((AT$414-AT$411)/SUM(AS$406:AS$407),(AU$414-AU$411)/SUM(AT$406:AT$407),(AV$414-AV$411)/SUM(AU$406:AU$407)),(AV$414-AV$411)/SUM(AU$406:AU$407))*SUM(AV$406:AV$407)+AW$411</f>
        <v>16.884786454440086</v>
      </c>
    </row>
    <row r="415" spans="1:49" x14ac:dyDescent="0.2">
      <c r="A415" s="1" t="s">
        <v>826</v>
      </c>
      <c r="B415" s="4" t="str">
        <f>$B$65</f>
        <v>Projected Years only</v>
      </c>
      <c r="D415" s="18"/>
      <c r="E415" s="19"/>
      <c r="F415" s="19"/>
      <c r="G415" s="19"/>
      <c r="H415" s="19"/>
      <c r="I415" s="19"/>
      <c r="J415" s="7">
        <f ca="1">IF(OFFSET(Assumptions!$B$109,0,$C$1)="BU",IF(J$6=OFFSET(Assumptions!$B$8,0,$C$1),I$404*J$15,I$415*(1+J$15)),0)</f>
        <v>1.5755920554781691</v>
      </c>
      <c r="K415" s="7">
        <f ca="1">IF(OFFSET(Assumptions!$B$109,0,$C$1)="BU",IF(K$6=OFFSET(Assumptions!$B$8,0,$C$1),J$404*K$15,J$415*(1+K$15)),0)</f>
        <v>1.6414363584060796</v>
      </c>
      <c r="L415" s="7">
        <f ca="1">IF(OFFSET(Assumptions!$B$109,0,$C$1)="BU",IF(L$6=OFFSET(Assumptions!$B$8,0,$C$1),K$404*L$15,K$415*(1+L$15)),0)</f>
        <v>1.7125848939001052</v>
      </c>
      <c r="M415" s="7">
        <f ca="1">IF(OFFSET(Assumptions!$B$109,0,$C$1)="BU",IF(M$6=OFFSET(Assumptions!$B$8,0,$C$1),L$404*M$15,L$415*(1+M$15)),0)</f>
        <v>1.7865796138167114</v>
      </c>
      <c r="N415" s="7">
        <f ca="1">IF(OFFSET(Assumptions!$B$109,0,$C$1)="BU",IF(N$6=OFFSET(Assumptions!$B$8,0,$C$1),M$404*N$15,M$415*(1+N$15)),0)</f>
        <v>1.8636302841551964</v>
      </c>
      <c r="O415" s="7">
        <f ca="1">IF(OFFSET(Assumptions!$B$109,0,$C$1)="BU",IF(O$6=OFFSET(Assumptions!$B$8,0,$C$1),N$404*O$15,N$415*(1+O$15)),0)</f>
        <v>1.9431825726611607</v>
      </c>
      <c r="P415" s="7">
        <f ca="1">IF(OFFSET(Assumptions!$B$109,0,$C$1)="BU",IF(P$6=OFFSET(Assumptions!$B$8,0,$C$1),O$404*P$15,O$415*(1+P$15)),0)</f>
        <v>2.0253576285328827</v>
      </c>
      <c r="Q415" s="7">
        <f ca="1">IF(OFFSET(Assumptions!$B$109,0,$C$1)="BU",IF(Q$6=OFFSET(Assumptions!$B$8,0,$C$1),P$404*Q$15,P$415*(1+Q$15)),0)</f>
        <v>2.1100666876211389</v>
      </c>
      <c r="R415" s="7">
        <f ca="1">IF(OFFSET(Assumptions!$B$109,0,$C$1)="BU",IF(R$6=OFFSET(Assumptions!$B$8,0,$C$1),Q$404*R$15,Q$415*(1+R$15)),0)</f>
        <v>2.1972468773793143</v>
      </c>
      <c r="S415" s="7">
        <f ca="1">IF(OFFSET(Assumptions!$B$109,0,$C$1)="BU",IF(S$6=OFFSET(Assumptions!$B$8,0,$C$1),R$404*S$15,R$415*(1+S$15)),0)</f>
        <v>2.2871752528955018</v>
      </c>
      <c r="T415" s="7">
        <f ca="1">IF(OFFSET(Assumptions!$B$109,0,$C$1)="BU",IF(T$6=OFFSET(Assumptions!$B$8,0,$C$1),S$404*T$15,S$415*(1+T$15)),0)</f>
        <v>2.3798846080035703</v>
      </c>
      <c r="U415" s="7">
        <f ca="1">IF(OFFSET(Assumptions!$B$109,0,$C$1)="BU",IF(U$6=OFFSET(Assumptions!$B$8,0,$C$1),T$404*U$15,T$415*(1+U$15)),0)</f>
        <v>2.4757076741352155</v>
      </c>
      <c r="V415" s="7">
        <f ca="1">IF(OFFSET(Assumptions!$B$109,0,$C$1)="BU",IF(V$6=OFFSET(Assumptions!$B$8,0,$C$1),U$404*V$15,U$415*(1+V$15)),0)</f>
        <v>2.574880991076502</v>
      </c>
      <c r="W415" s="7">
        <f ca="1">IF(OFFSET(Assumptions!$B$109,0,$C$1)="BU",IF(W$6=OFFSET(Assumptions!$B$8,0,$C$1),V$404*W$15,V$415*(1+W$15)),0)</f>
        <v>2.677691888941824</v>
      </c>
      <c r="X415" s="7">
        <f ca="1">IF(OFFSET(Assumptions!$B$109,0,$C$1)="BU",IF(X$6=OFFSET(Assumptions!$B$8,0,$C$1),W$404*X$15,W$415*(1+X$15)),0)</f>
        <v>2.7844660168631994</v>
      </c>
      <c r="Y415" s="7">
        <f ca="1">IF(OFFSET(Assumptions!$B$109,0,$C$1)="BU",IF(Y$6=OFFSET(Assumptions!$B$8,0,$C$1),X$404*Y$15,X$415*(1+Y$15)),0)</f>
        <v>2.8951924589893765</v>
      </c>
      <c r="Z415" s="7">
        <f ca="1">IF(OFFSET(Assumptions!$B$109,0,$C$1)="BU",IF(Z$6=OFFSET(Assumptions!$B$8,0,$C$1),Y$404*Z$15,Y$415*(1+Z$15)),0)</f>
        <v>3.0104316729738887</v>
      </c>
      <c r="AA415" s="7">
        <f ca="1">IF(OFFSET(Assumptions!$B$109,0,$C$1)="BU",IF(AA$6=OFFSET(Assumptions!$B$8,0,$C$1),Z$404*AA$15,Z$415*(1+AA$15)),0)</f>
        <v>3.1303701162623647</v>
      </c>
      <c r="AB415" s="7">
        <f ca="1">IF(OFFSET(Assumptions!$B$109,0,$C$1)="BU",IF(AB$6=OFFSET(Assumptions!$B$8,0,$C$1),AA$404*AB$15,AA$415*(1+AB$15)),0)</f>
        <v>3.2553679750764655</v>
      </c>
      <c r="AC415" s="7">
        <f ca="1">IF(OFFSET(Assumptions!$B$109,0,$C$1)="BU",IF(AC$6=OFFSET(Assumptions!$B$8,0,$C$1),AB$404*AC$15,AB$415*(1+AC$15)),0)</f>
        <v>3.3858971332957237</v>
      </c>
      <c r="AD415" s="7">
        <f ca="1">IF(OFFSET(Assumptions!$B$109,0,$C$1)="BU",IF(AD$6=OFFSET(Assumptions!$B$8,0,$C$1),AC$404*AD$15,AC$415*(1+AD$15)),0)</f>
        <v>3.5220951702630701</v>
      </c>
      <c r="AE415" s="7">
        <f ca="1">IF(OFFSET(Assumptions!$B$109,0,$C$1)="BU",IF(AE$6=OFFSET(Assumptions!$B$8,0,$C$1),AD$404*AE$15,AD$415*(1+AE$15)),0)</f>
        <v>3.6638370062348948</v>
      </c>
      <c r="AF415" s="7">
        <f ca="1">IF(OFFSET(Assumptions!$B$109,0,$C$1)="BU",IF(AF$6=OFFSET(Assumptions!$B$8,0,$C$1),AE$404*AF$15,AE$415*(1+AF$15)),0)</f>
        <v>3.8115147841177599</v>
      </c>
      <c r="AG415" s="7">
        <f ca="1">IF(OFFSET(Assumptions!$B$109,0,$C$1)="BU",IF(AG$6=OFFSET(Assumptions!$B$8,0,$C$1),AF$404*AG$15,AF$415*(1+AG$15)),0)</f>
        <v>3.9652110791498507</v>
      </c>
      <c r="AH415" s="7">
        <f ca="1">IF(OFFSET(Assumptions!$B$109,0,$C$1)="BU",IF(AH$6=OFFSET(Assumptions!$B$8,0,$C$1),AG$404*AH$15,AG$415*(1+AH$15)),0)</f>
        <v>4.1251723540046692</v>
      </c>
      <c r="AI415" s="7">
        <f ca="1">IF(OFFSET(Assumptions!$B$109,0,$C$1)="BU",IF(AI$6=OFFSET(Assumptions!$B$8,0,$C$1),AH$404*AI$15,AH$415*(1+AI$15)),0)</f>
        <v>4.2911191033824894</v>
      </c>
      <c r="AJ415" s="7">
        <f ca="1">IF(OFFSET(Assumptions!$B$109,0,$C$1)="BU",IF(AJ$6=OFFSET(Assumptions!$B$8,0,$C$1),AI$404*AJ$15,AI$415*(1+AJ$15)),0)</f>
        <v>4.4635829374017977</v>
      </c>
      <c r="AK415" s="7">
        <f ca="1">IF(OFFSET(Assumptions!$B$109,0,$C$1)="BU",IF(AK$6=OFFSET(Assumptions!$B$8,0,$C$1),AJ$404*AK$15,AJ$415*(1+AK$15)),0)</f>
        <v>4.6424219820002284</v>
      </c>
      <c r="AL415" s="7">
        <f ca="1">IF(OFFSET(Assumptions!$B$109,0,$C$1)="BU",IF(AL$6=OFFSET(Assumptions!$B$8,0,$C$1),AK$404*AL$15,AK$415*(1+AL$15)),0)</f>
        <v>4.8274953607285065</v>
      </c>
      <c r="AM415" s="7">
        <f ca="1">IF(OFFSET(Assumptions!$B$109,0,$C$1)="BU",IF(AM$6=OFFSET(Assumptions!$B$8,0,$C$1),AL$404*AM$15,AL$415*(1+AM$15)),0)</f>
        <v>5.019055907922283</v>
      </c>
      <c r="AN415" s="7">
        <f ca="1">IF(OFFSET(Assumptions!$B$109,0,$C$1)="BU",IF(AN$6=OFFSET(Assumptions!$B$8,0,$C$1),AM$404*AN$15,AM$415*(1+AN$15)),0)</f>
        <v>5.2173700824476166</v>
      </c>
      <c r="AO415" s="7">
        <f ca="1">IF(OFFSET(Assumptions!$B$109,0,$C$1)="BU",IF(AO$6=OFFSET(Assumptions!$B$8,0,$C$1),AN$404*AO$15,AN$415*(1+AO$15)),0)</f>
        <v>5.4216591731213644</v>
      </c>
      <c r="AP415" s="7">
        <f ca="1">IF(OFFSET(Assumptions!$B$109,0,$C$1)="BU",IF(AP$6=OFFSET(Assumptions!$B$8,0,$C$1),AO$404*AP$15,AO$415*(1+AP$15)),0)</f>
        <v>5.6327906925698068</v>
      </c>
      <c r="AQ415" s="7">
        <f ca="1">IF(OFFSET(Assumptions!$B$109,0,$C$1)="BU",IF(AQ$6=OFFSET(Assumptions!$B$8,0,$C$1),AP$404*AQ$15,AP$415*(1+AQ$15)),0)</f>
        <v>5.8501730509417236</v>
      </c>
      <c r="AR415" s="7">
        <f ca="1">IF(OFFSET(Assumptions!$B$109,0,$C$1)="BU",IF(AR$6=OFFSET(Assumptions!$B$8,0,$C$1),AQ$404*AR$15,AQ$415*(1+AR$15)),0)</f>
        <v>6.0740523639558148</v>
      </c>
      <c r="AS415" s="7">
        <f ca="1">IF(OFFSET(Assumptions!$B$109,0,$C$1)="BU",IF(AS$6=OFFSET(Assumptions!$B$8,0,$C$1),AR$404*AS$15,AR$415*(1+AS$15)),0)</f>
        <v>6.3049509355917932</v>
      </c>
      <c r="AT415" s="7">
        <f ca="1">IF(OFFSET(Assumptions!$B$109,0,$C$1)="BU",IF(AT$6=OFFSET(Assumptions!$B$8,0,$C$1),AS$404*AT$15,AS$415*(1+AT$15)),0)</f>
        <v>6.5430531769794138</v>
      </c>
      <c r="AU415" s="7">
        <f ca="1">IF(OFFSET(Assumptions!$B$109,0,$C$1)="BU",IF(AU$6=OFFSET(Assumptions!$B$8,0,$C$1),AT$404*AU$15,AT$415*(1+AU$15)),0)</f>
        <v>6.7886757109446805</v>
      </c>
      <c r="AV415" s="7">
        <f ca="1">IF(OFFSET(Assumptions!$B$109,0,$C$1)="BU",IF(AV$6=OFFSET(Assumptions!$B$8,0,$C$1),AU$404*AV$15,AU$415*(1+AV$15)),0)</f>
        <v>7.042577977324993</v>
      </c>
      <c r="AW415" s="7">
        <f ca="1">IF(OFFSET(Assumptions!$B$109,0,$C$1)="BU",IF(AW$6=OFFSET(Assumptions!$B$8,0,$C$1),AV$404*AW$15,AV$415*(1+AW$15)),0)</f>
        <v>7.3046166340272594</v>
      </c>
    </row>
    <row r="416" spans="1:49" x14ac:dyDescent="0.2">
      <c r="B416" s="4"/>
      <c r="D416" s="18"/>
      <c r="E416" s="19"/>
      <c r="F416" s="19"/>
      <c r="G416" s="19"/>
      <c r="H416" s="19"/>
      <c r="I416" s="19"/>
      <c r="J416" s="19"/>
      <c r="K416" s="7"/>
      <c r="L416" s="7"/>
      <c r="M416" s="7"/>
      <c r="N416" s="7"/>
      <c r="O416" s="7"/>
      <c r="P416" s="7"/>
      <c r="Q416" s="7"/>
      <c r="R416" s="7"/>
      <c r="S416" s="7"/>
    </row>
    <row r="417" spans="1:49" x14ac:dyDescent="0.2">
      <c r="A417" s="22" t="s">
        <v>240</v>
      </c>
      <c r="B417" s="4"/>
      <c r="D417" s="18"/>
      <c r="E417" s="19"/>
      <c r="F417" s="19"/>
      <c r="G417" s="19"/>
      <c r="H417" s="19"/>
      <c r="I417" s="19"/>
    </row>
    <row r="418" spans="1:49" x14ac:dyDescent="0.2">
      <c r="A418" s="1" t="s">
        <v>654</v>
      </c>
      <c r="B418" s="4"/>
      <c r="D418" s="18">
        <f t="shared" ref="D418:AW418" ca="1" si="253">D$374-D$403</f>
        <v>0.93300000000000005</v>
      </c>
      <c r="E418" s="19">
        <f t="shared" ca="1" si="253"/>
        <v>0.67499999999999982</v>
      </c>
      <c r="F418" s="19">
        <f t="shared" ca="1" si="253"/>
        <v>0.72000000000000008</v>
      </c>
      <c r="G418" s="19">
        <f t="shared" ca="1" si="253"/>
        <v>0.7599999999999999</v>
      </c>
      <c r="H418" s="19">
        <f t="shared" ca="1" si="253"/>
        <v>0.80099999999999993</v>
      </c>
      <c r="I418" s="19">
        <f t="shared" ca="1" si="253"/>
        <v>0.84600000000000009</v>
      </c>
      <c r="J418" s="7">
        <f t="shared" ca="1" si="253"/>
        <v>0.97093609005897785</v>
      </c>
      <c r="K418" s="7">
        <f t="shared" ca="1" si="253"/>
        <v>1.0910869779027408</v>
      </c>
      <c r="L418" s="7">
        <f t="shared" ca="1" si="253"/>
        <v>1.2153514447427687</v>
      </c>
      <c r="M418" s="7">
        <f t="shared" ca="1" si="253"/>
        <v>1.3450176683170927</v>
      </c>
      <c r="N418" s="7">
        <f t="shared" ca="1" si="253"/>
        <v>1.4776531231783923</v>
      </c>
      <c r="O418" s="7">
        <f t="shared" ca="1" si="253"/>
        <v>1.612628176844987</v>
      </c>
      <c r="P418" s="7">
        <f t="shared" ca="1" si="253"/>
        <v>1.7476553367098366</v>
      </c>
      <c r="Q418" s="7">
        <f t="shared" ca="1" si="253"/>
        <v>1.8834143165412764</v>
      </c>
      <c r="R418" s="7">
        <f t="shared" ca="1" si="253"/>
        <v>2.0200875924996304</v>
      </c>
      <c r="S418" s="7">
        <f t="shared" ca="1" si="253"/>
        <v>2.1579814808698057</v>
      </c>
      <c r="T418" s="7">
        <f t="shared" ca="1" si="253"/>
        <v>2.2975057710068576</v>
      </c>
      <c r="U418" s="7">
        <f t="shared" ca="1" si="253"/>
        <v>2.4393640978863647</v>
      </c>
      <c r="V418" s="7">
        <f t="shared" ca="1" si="253"/>
        <v>2.5811381954542547</v>
      </c>
      <c r="W418" s="7">
        <f t="shared" ca="1" si="253"/>
        <v>2.7254545873795633</v>
      </c>
      <c r="X418" s="7">
        <f t="shared" ca="1" si="253"/>
        <v>2.869787231566657</v>
      </c>
      <c r="Y418" s="7">
        <f t="shared" ca="1" si="253"/>
        <v>3.0159686118895674</v>
      </c>
      <c r="Z418" s="7">
        <f t="shared" ca="1" si="253"/>
        <v>3.162301161380296</v>
      </c>
      <c r="AA418" s="7">
        <f t="shared" ca="1" si="253"/>
        <v>3.3122079260604149</v>
      </c>
      <c r="AB418" s="7">
        <f t="shared" ca="1" si="253"/>
        <v>3.4678815542671186</v>
      </c>
      <c r="AC418" s="7">
        <f t="shared" ca="1" si="253"/>
        <v>3.6311211883375272</v>
      </c>
      <c r="AD418" s="7">
        <f t="shared" ca="1" si="253"/>
        <v>3.8042640417731284</v>
      </c>
      <c r="AE418" s="7">
        <f t="shared" ca="1" si="253"/>
        <v>3.9903999088424111</v>
      </c>
      <c r="AF418" s="7">
        <f t="shared" ca="1" si="253"/>
        <v>4.1901336562285252</v>
      </c>
      <c r="AG418" s="7">
        <f t="shared" ca="1" si="253"/>
        <v>4.405431530573491</v>
      </c>
      <c r="AH418" s="7">
        <f t="shared" ca="1" si="253"/>
        <v>4.6376735186605744</v>
      </c>
      <c r="AI418" s="7">
        <f t="shared" ca="1" si="253"/>
        <v>4.8876501517331752</v>
      </c>
      <c r="AJ418" s="7">
        <f t="shared" ca="1" si="253"/>
        <v>5.1562580178772226</v>
      </c>
      <c r="AK418" s="7">
        <f t="shared" ca="1" si="253"/>
        <v>5.4450799721369432</v>
      </c>
      <c r="AL418" s="7">
        <f t="shared" ca="1" si="253"/>
        <v>5.7550899006261513</v>
      </c>
      <c r="AM418" s="7">
        <f t="shared" ca="1" si="253"/>
        <v>6.0859612199041164</v>
      </c>
      <c r="AN418" s="7">
        <f t="shared" ca="1" si="253"/>
        <v>6.4402143057816588</v>
      </c>
      <c r="AO418" s="7">
        <f t="shared" ca="1" si="253"/>
        <v>6.8162525430704131</v>
      </c>
      <c r="AP418" s="7">
        <f t="shared" ca="1" si="253"/>
        <v>7.2123570434263193</v>
      </c>
      <c r="AQ418" s="7">
        <f t="shared" ca="1" si="253"/>
        <v>7.6268913488467724</v>
      </c>
      <c r="AR418" s="7">
        <f t="shared" ca="1" si="253"/>
        <v>8.0561150330554856</v>
      </c>
      <c r="AS418" s="7">
        <f t="shared" ca="1" si="253"/>
        <v>8.4974590537158168</v>
      </c>
      <c r="AT418" s="7">
        <f t="shared" ca="1" si="253"/>
        <v>8.9523097557291376</v>
      </c>
      <c r="AU418" s="7">
        <f t="shared" ca="1" si="253"/>
        <v>9.4200486656393885</v>
      </c>
      <c r="AV418" s="7">
        <f t="shared" ca="1" si="253"/>
        <v>9.9006554418277233</v>
      </c>
      <c r="AW418" s="7">
        <f t="shared" ca="1" si="253"/>
        <v>10.393802577518411</v>
      </c>
    </row>
    <row r="419" spans="1:49" x14ac:dyDescent="0.2">
      <c r="A419" s="1" t="s">
        <v>655</v>
      </c>
      <c r="B419" s="4" t="str">
        <f t="shared" ref="B419:B421" si="254">$B$43</f>
        <v>From Fiscal</v>
      </c>
      <c r="D419" s="18">
        <f ca="1">Fiscal!D$173-D$418</f>
        <v>33.950000000000003</v>
      </c>
      <c r="E419" s="19">
        <f ca="1">Fiscal!E$173-E$418</f>
        <v>37.547000000000004</v>
      </c>
      <c r="F419" s="19">
        <f ca="1">Fiscal!F$173-F$418</f>
        <v>39.448999999999998</v>
      </c>
      <c r="G419" s="19">
        <f ca="1">Fiscal!G$173-G$418</f>
        <v>40.744</v>
      </c>
      <c r="H419" s="19">
        <f ca="1">Fiscal!H$173-H$418</f>
        <v>42.055</v>
      </c>
      <c r="I419" s="19">
        <f ca="1">Fiscal!I$173-I$418</f>
        <v>43.238</v>
      </c>
      <c r="J419" s="7">
        <f t="shared" ref="J419:AW419" ca="1" si="255">I$419+J$135-J$283</f>
        <v>44.496752805909445</v>
      </c>
      <c r="K419" s="7">
        <f t="shared" ca="1" si="255"/>
        <v>45.850888602480225</v>
      </c>
      <c r="L419" s="7">
        <f t="shared" ca="1" si="255"/>
        <v>47.263719808283689</v>
      </c>
      <c r="M419" s="7">
        <f t="shared" ca="1" si="255"/>
        <v>48.737594440159185</v>
      </c>
      <c r="N419" s="7">
        <f t="shared" ca="1" si="255"/>
        <v>50.275033565608126</v>
      </c>
      <c r="O419" s="7">
        <f t="shared" ca="1" si="255"/>
        <v>51.878100944637154</v>
      </c>
      <c r="P419" s="7">
        <f t="shared" ca="1" si="255"/>
        <v>53.548960281710265</v>
      </c>
      <c r="Q419" s="7">
        <f t="shared" ca="1" si="255"/>
        <v>55.289702053528906</v>
      </c>
      <c r="R419" s="7">
        <f t="shared" ca="1" si="255"/>
        <v>57.102364868828033</v>
      </c>
      <c r="S419" s="7">
        <f t="shared" ca="1" si="255"/>
        <v>58.989215898486066</v>
      </c>
      <c r="T419" s="7">
        <f t="shared" ca="1" si="255"/>
        <v>60.952549367311413</v>
      </c>
      <c r="U419" s="7">
        <f t="shared" ca="1" si="255"/>
        <v>62.994933993570626</v>
      </c>
      <c r="V419" s="7">
        <f t="shared" ca="1" si="255"/>
        <v>65.119133633763894</v>
      </c>
      <c r="W419" s="7">
        <f t="shared" ca="1" si="255"/>
        <v>67.328149183123585</v>
      </c>
      <c r="X419" s="7">
        <f t="shared" ca="1" si="255"/>
        <v>69.625250187655212</v>
      </c>
      <c r="Y419" s="7">
        <f t="shared" ca="1" si="255"/>
        <v>72.013697188114179</v>
      </c>
      <c r="Z419" s="7">
        <f t="shared" ca="1" si="255"/>
        <v>74.497213086021389</v>
      </c>
      <c r="AA419" s="7">
        <f t="shared" ca="1" si="255"/>
        <v>77.079674604701623</v>
      </c>
      <c r="AB419" s="7">
        <f t="shared" ca="1" si="255"/>
        <v>79.765255610316601</v>
      </c>
      <c r="AC419" s="7">
        <f t="shared" ca="1" si="255"/>
        <v>82.558519259084804</v>
      </c>
      <c r="AD419" s="7">
        <f t="shared" ca="1" si="255"/>
        <v>85.464142206058895</v>
      </c>
      <c r="AE419" s="7">
        <f t="shared" ca="1" si="255"/>
        <v>88.486697919252137</v>
      </c>
      <c r="AF419" s="7">
        <f t="shared" ca="1" si="255"/>
        <v>91.631083372821919</v>
      </c>
      <c r="AG419" s="7">
        <f t="shared" ca="1" si="255"/>
        <v>94.902263663022069</v>
      </c>
      <c r="AH419" s="7">
        <f t="shared" ca="1" si="255"/>
        <v>98.305407210424804</v>
      </c>
      <c r="AI419" s="7">
        <f t="shared" ca="1" si="255"/>
        <v>101.84545185210773</v>
      </c>
      <c r="AJ419" s="7">
        <f t="shared" ca="1" si="255"/>
        <v>105.52777398756213</v>
      </c>
      <c r="AK419" s="7">
        <f t="shared" ca="1" si="255"/>
        <v>109.35763297443025</v>
      </c>
      <c r="AL419" s="7">
        <f t="shared" ca="1" si="255"/>
        <v>113.34017195150622</v>
      </c>
      <c r="AM419" s="7">
        <f t="shared" ca="1" si="255"/>
        <v>117.48074263833284</v>
      </c>
      <c r="AN419" s="7">
        <f t="shared" ca="1" si="255"/>
        <v>121.78491657503075</v>
      </c>
      <c r="AO419" s="7">
        <f t="shared" ca="1" si="255"/>
        <v>126.25762288833499</v>
      </c>
      <c r="AP419" s="7">
        <f t="shared" ca="1" si="255"/>
        <v>130.90450637689514</v>
      </c>
      <c r="AQ419" s="7">
        <f t="shared" ca="1" si="255"/>
        <v>135.73072379546539</v>
      </c>
      <c r="AR419" s="7">
        <f t="shared" ca="1" si="255"/>
        <v>140.74163493689093</v>
      </c>
      <c r="AS419" s="7">
        <f t="shared" ca="1" si="255"/>
        <v>145.94303047914511</v>
      </c>
      <c r="AT419" s="7">
        <f t="shared" ca="1" si="255"/>
        <v>151.34085323385594</v>
      </c>
      <c r="AU419" s="7">
        <f t="shared" ca="1" si="255"/>
        <v>156.9413072169927</v>
      </c>
      <c r="AV419" s="7">
        <f t="shared" ca="1" si="255"/>
        <v>162.75122295962765</v>
      </c>
      <c r="AW419" s="7">
        <f t="shared" ca="1" si="255"/>
        <v>168.77731273990267</v>
      </c>
    </row>
    <row r="420" spans="1:49" ht="15" x14ac:dyDescent="0.25">
      <c r="A420" s="2" t="s">
        <v>656</v>
      </c>
      <c r="B420" s="4"/>
      <c r="D420" s="40">
        <f t="shared" ref="D420:AW420" ca="1" si="256">SUM(D$418:D$419)</f>
        <v>34.883000000000003</v>
      </c>
      <c r="E420" s="39">
        <f t="shared" ca="1" si="256"/>
        <v>38.222000000000001</v>
      </c>
      <c r="F420" s="39">
        <f t="shared" ca="1" si="256"/>
        <v>40.168999999999997</v>
      </c>
      <c r="G420" s="39">
        <f t="shared" ca="1" si="256"/>
        <v>41.503999999999998</v>
      </c>
      <c r="H420" s="39">
        <f t="shared" ca="1" si="256"/>
        <v>42.856000000000002</v>
      </c>
      <c r="I420" s="39">
        <f t="shared" ca="1" si="256"/>
        <v>44.084000000000003</v>
      </c>
      <c r="J420" s="43">
        <f t="shared" ca="1" si="256"/>
        <v>45.467688895968422</v>
      </c>
      <c r="K420" s="43">
        <f t="shared" ca="1" si="256"/>
        <v>46.941975580382966</v>
      </c>
      <c r="L420" s="43">
        <f t="shared" ca="1" si="256"/>
        <v>48.479071253026454</v>
      </c>
      <c r="M420" s="43">
        <f t="shared" ca="1" si="256"/>
        <v>50.082612108476276</v>
      </c>
      <c r="N420" s="43">
        <f t="shared" ca="1" si="256"/>
        <v>51.752686688786518</v>
      </c>
      <c r="O420" s="43">
        <f t="shared" ca="1" si="256"/>
        <v>53.49072912148214</v>
      </c>
      <c r="P420" s="43">
        <f t="shared" ca="1" si="256"/>
        <v>55.296615618420098</v>
      </c>
      <c r="Q420" s="43">
        <f t="shared" ca="1" si="256"/>
        <v>57.173116370070183</v>
      </c>
      <c r="R420" s="43">
        <f t="shared" ca="1" si="256"/>
        <v>59.122452461327661</v>
      </c>
      <c r="S420" s="43">
        <f t="shared" ca="1" si="256"/>
        <v>61.147197379355873</v>
      </c>
      <c r="T420" s="43">
        <f t="shared" ca="1" si="256"/>
        <v>63.250055138318274</v>
      </c>
      <c r="U420" s="43">
        <f t="shared" ca="1" si="256"/>
        <v>65.434298091456995</v>
      </c>
      <c r="V420" s="43">
        <f t="shared" ca="1" si="256"/>
        <v>67.700271829218153</v>
      </c>
      <c r="W420" s="43">
        <f t="shared" ca="1" si="256"/>
        <v>70.053603770503145</v>
      </c>
      <c r="X420" s="43">
        <f t="shared" ca="1" si="256"/>
        <v>72.495037419221873</v>
      </c>
      <c r="Y420" s="43">
        <f t="shared" ca="1" si="256"/>
        <v>75.029665800003741</v>
      </c>
      <c r="Z420" s="43">
        <f t="shared" ca="1" si="256"/>
        <v>77.659514247401688</v>
      </c>
      <c r="AA420" s="43">
        <f t="shared" ca="1" si="256"/>
        <v>80.391882530762032</v>
      </c>
      <c r="AB420" s="43">
        <f t="shared" ca="1" si="256"/>
        <v>83.233137164583724</v>
      </c>
      <c r="AC420" s="43">
        <f t="shared" ca="1" si="256"/>
        <v>86.189640447422335</v>
      </c>
      <c r="AD420" s="43">
        <f t="shared" ca="1" si="256"/>
        <v>89.268406247832019</v>
      </c>
      <c r="AE420" s="43">
        <f t="shared" ca="1" si="256"/>
        <v>92.477097828094543</v>
      </c>
      <c r="AF420" s="43">
        <f t="shared" ca="1" si="256"/>
        <v>95.821217029050445</v>
      </c>
      <c r="AG420" s="43">
        <f t="shared" ca="1" si="256"/>
        <v>99.307695193595563</v>
      </c>
      <c r="AH420" s="43">
        <f t="shared" ca="1" si="256"/>
        <v>102.94308072908538</v>
      </c>
      <c r="AI420" s="43">
        <f t="shared" ca="1" si="256"/>
        <v>106.7331020038409</v>
      </c>
      <c r="AJ420" s="43">
        <f t="shared" ca="1" si="256"/>
        <v>110.68403200543935</v>
      </c>
      <c r="AK420" s="43">
        <f t="shared" ca="1" si="256"/>
        <v>114.80271294656718</v>
      </c>
      <c r="AL420" s="43">
        <f t="shared" ca="1" si="256"/>
        <v>119.09526185213237</v>
      </c>
      <c r="AM420" s="43">
        <f t="shared" ca="1" si="256"/>
        <v>123.56670385823696</v>
      </c>
      <c r="AN420" s="43">
        <f t="shared" ca="1" si="256"/>
        <v>128.2251308808124</v>
      </c>
      <c r="AO420" s="43">
        <f t="shared" ca="1" si="256"/>
        <v>133.07387543140541</v>
      </c>
      <c r="AP420" s="43">
        <f t="shared" ca="1" si="256"/>
        <v>138.11686342032147</v>
      </c>
      <c r="AQ420" s="43">
        <f t="shared" ca="1" si="256"/>
        <v>143.35761514431218</v>
      </c>
      <c r="AR420" s="43">
        <f t="shared" ca="1" si="256"/>
        <v>148.79774996994641</v>
      </c>
      <c r="AS420" s="43">
        <f t="shared" ca="1" si="256"/>
        <v>154.44048953286094</v>
      </c>
      <c r="AT420" s="43">
        <f t="shared" ca="1" si="256"/>
        <v>160.29316298958508</v>
      </c>
      <c r="AU420" s="43">
        <f t="shared" ca="1" si="256"/>
        <v>166.3613558826321</v>
      </c>
      <c r="AV420" s="43">
        <f t="shared" ca="1" si="256"/>
        <v>172.65187840145538</v>
      </c>
      <c r="AW420" s="43">
        <f t="shared" ca="1" si="256"/>
        <v>179.17111531742108</v>
      </c>
    </row>
    <row r="421" spans="1:49" ht="15" x14ac:dyDescent="0.25">
      <c r="A421" s="2" t="s">
        <v>657</v>
      </c>
      <c r="B421" s="4" t="str">
        <f t="shared" si="254"/>
        <v>From Fiscal</v>
      </c>
      <c r="D421" s="47">
        <f>Fiscal!D$122</f>
        <v>11.917999999999999</v>
      </c>
      <c r="E421" s="44">
        <f>Fiscal!E$122</f>
        <v>12.172000000000001</v>
      </c>
      <c r="F421" s="44">
        <f>Fiscal!F$122</f>
        <v>12.451000000000001</v>
      </c>
      <c r="G421" s="44">
        <f>Fiscal!G$122</f>
        <v>12.731</v>
      </c>
      <c r="H421" s="44">
        <f>Fiscal!H$122</f>
        <v>13.005000000000001</v>
      </c>
      <c r="I421" s="44">
        <f>Fiscal!I$122</f>
        <v>13.275</v>
      </c>
      <c r="J421" s="8">
        <f ca="1">((I$421-I$420)/I$14+ IF(J$2&gt;0,J$2*IF(J$6=OFFSET(Assumptions!$B$8,0,$C$1),(SUMPRODUCT(OFFSET(I$421,0,0,1,-OFFSET(Assumptions!$B$67,0,$C$1)),OFFSET(I$16,0,0,1,-OFFSET(Assumptions!$B$67,0,$C$1)))-SUMPRODUCT(OFFSET(I$420,0,0,1,-OFFSET(Assumptions!$B$67,0,$C$1)),OFFSET(I$16,0,0,1,-OFFSET(Assumptions!$B$67,0,$C$1))))/OFFSET(Assumptions!$B$67,0,$C$1)-(I$421-I$420)/I$14,((I$421-I$420)/I$14-(H$421-H$420)/H$14)/I$2),0))*J$14 +J$420</f>
        <v>13.254608199561666</v>
      </c>
      <c r="K421" s="8">
        <f ca="1">((J$421-J$420)/J$14+ IF(K$2&gt;0,K$2*IF(K$6=OFFSET(Assumptions!$B$8,0,$C$1),(SUMPRODUCT(OFFSET(J$421,0,0,1,-OFFSET(Assumptions!$B$67,0,$C$1)),OFFSET(J$16,0,0,1,-OFFSET(Assumptions!$B$67,0,$C$1)))-SUMPRODUCT(OFFSET(J$420,0,0,1,-OFFSET(Assumptions!$B$67,0,$C$1)),OFFSET(J$16,0,0,1,-OFFSET(Assumptions!$B$67,0,$C$1))))/OFFSET(Assumptions!$B$67,0,$C$1)-(J$421-J$420)/J$14,((J$421-J$420)/J$14-(I$421-I$420)/I$14)/J$2),0))*K$14 +K$420</f>
        <v>13.294462209679466</v>
      </c>
      <c r="L421" s="8">
        <f ca="1">((K$421-K$420)/K$14+ IF(L$2&gt;0,L$2*IF(L$6=OFFSET(Assumptions!$B$8,0,$C$1),(SUMPRODUCT(OFFSET(K$421,0,0,1,-OFFSET(Assumptions!$B$67,0,$C$1)),OFFSET(K$16,0,0,1,-OFFSET(Assumptions!$B$67,0,$C$1)))-SUMPRODUCT(OFFSET(K$420,0,0,1,-OFFSET(Assumptions!$B$67,0,$C$1)),OFFSET(K$16,0,0,1,-OFFSET(Assumptions!$B$67,0,$C$1))))/OFFSET(Assumptions!$B$67,0,$C$1)-(K$421-K$420)/K$14,((K$421-K$420)/K$14-(J$421-J$420)/J$14)/K$2),0))*L$14 +L$420</f>
        <v>13.30404674475092</v>
      </c>
      <c r="M421" s="8">
        <f ca="1">((L$421-L$420)/L$14+ IF(M$2&gt;0,M$2*IF(M$6=OFFSET(Assumptions!$B$8,0,$C$1),(SUMPRODUCT(OFFSET(L$421,0,0,1,-OFFSET(Assumptions!$B$67,0,$C$1)),OFFSET(L$16,0,0,1,-OFFSET(Assumptions!$B$67,0,$C$1)))-SUMPRODUCT(OFFSET(L$420,0,0,1,-OFFSET(Assumptions!$B$67,0,$C$1)),OFFSET(L$16,0,0,1,-OFFSET(Assumptions!$B$67,0,$C$1))))/OFFSET(Assumptions!$B$67,0,$C$1)-(L$421-L$420)/L$14,((L$421-L$420)/L$14-(K$421-K$420)/K$14)/L$2),0))*M$14 +M$420</f>
        <v>13.339777330288058</v>
      </c>
      <c r="N421" s="8">
        <f ca="1">((M$421-M$420)/M$14+ IF(N$2&gt;0,N$2*IF(N$6=OFFSET(Assumptions!$B$8,0,$C$1),(SUMPRODUCT(OFFSET(M$421,0,0,1,-OFFSET(Assumptions!$B$67,0,$C$1)),OFFSET(M$16,0,0,1,-OFFSET(Assumptions!$B$67,0,$C$1)))-SUMPRODUCT(OFFSET(M$420,0,0,1,-OFFSET(Assumptions!$B$67,0,$C$1)),OFFSET(M$16,0,0,1,-OFFSET(Assumptions!$B$67,0,$C$1))))/OFFSET(Assumptions!$B$67,0,$C$1)-(M$421-M$420)/M$14,((M$421-M$420)/M$14-(L$421-L$420)/L$14)/M$2),0))*N$14 +N$420</f>
        <v>13.40017952723521</v>
      </c>
      <c r="O421" s="8">
        <f ca="1">((N$421-N$420)/N$14+ IF(O$2&gt;0,O$2*IF(O$6=OFFSET(Assumptions!$B$8,0,$C$1),(SUMPRODUCT(OFFSET(N$421,0,0,1,-OFFSET(Assumptions!$B$67,0,$C$1)),OFFSET(N$16,0,0,1,-OFFSET(Assumptions!$B$67,0,$C$1)))-SUMPRODUCT(OFFSET(N$420,0,0,1,-OFFSET(Assumptions!$B$67,0,$C$1)),OFFSET(N$16,0,0,1,-OFFSET(Assumptions!$B$67,0,$C$1))))/OFFSET(Assumptions!$B$67,0,$C$1)-(N$421-N$420)/N$14,((N$421-N$420)/N$14-(M$421-M$420)/M$14)/N$2),0))*O$14 +O$420</f>
        <v>13.501078723644639</v>
      </c>
      <c r="P421" s="8">
        <f ca="1">((O$421-O$420)/O$14+ IF(P$2&gt;0,P$2*IF(P$6=OFFSET(Assumptions!$B$8,0,$C$1),(SUMPRODUCT(OFFSET(O$421,0,0,1,-OFFSET(Assumptions!$B$67,0,$C$1)),OFFSET(O$16,0,0,1,-OFFSET(Assumptions!$B$67,0,$C$1)))-SUMPRODUCT(OFFSET(O$420,0,0,1,-OFFSET(Assumptions!$B$67,0,$C$1)),OFFSET(O$16,0,0,1,-OFFSET(Assumptions!$B$67,0,$C$1))))/OFFSET(Assumptions!$B$67,0,$C$1)-(O$421-O$420)/O$14,((O$421-O$420)/O$14-(N$421-N$420)/N$14)/O$2),0))*P$14 +P$420</f>
        <v>13.615846845003205</v>
      </c>
      <c r="Q421" s="8">
        <f ca="1">((P$421-P$420)/P$14+ IF(Q$2&gt;0,Q$2*IF(Q$6=OFFSET(Assumptions!$B$8,0,$C$1),(SUMPRODUCT(OFFSET(P$421,0,0,1,-OFFSET(Assumptions!$B$67,0,$C$1)),OFFSET(P$16,0,0,1,-OFFSET(Assumptions!$B$67,0,$C$1)))-SUMPRODUCT(OFFSET(P$420,0,0,1,-OFFSET(Assumptions!$B$67,0,$C$1)),OFFSET(P$16,0,0,1,-OFFSET(Assumptions!$B$67,0,$C$1))))/OFFSET(Assumptions!$B$67,0,$C$1)-(P$421-P$420)/P$14,((P$421-P$420)/P$14-(O$421-O$420)/O$14)/P$2),0))*Q$14 +Q$420</f>
        <v>13.749080800147382</v>
      </c>
      <c r="R421" s="8">
        <f ca="1">((Q$421-Q$420)/Q$14+ IF(R$2&gt;0,R$2*IF(R$6=OFFSET(Assumptions!$B$8,0,$C$1),(SUMPRODUCT(OFFSET(Q$421,0,0,1,-OFFSET(Assumptions!$B$67,0,$C$1)),OFFSET(Q$16,0,0,1,-OFFSET(Assumptions!$B$67,0,$C$1)))-SUMPRODUCT(OFFSET(Q$420,0,0,1,-OFFSET(Assumptions!$B$67,0,$C$1)),OFFSET(Q$16,0,0,1,-OFFSET(Assumptions!$B$67,0,$C$1))))/OFFSET(Assumptions!$B$67,0,$C$1)-(Q$421-Q$420)/Q$14,((Q$421-Q$420)/Q$14-(P$421-P$420)/P$14)/Q$2),0))*R$14 +R$420</f>
        <v>13.904295557107318</v>
      </c>
      <c r="S421" s="8">
        <f ca="1">((R$421-R$420)/R$14+ IF(S$2&gt;0,S$2*IF(S$6=OFFSET(Assumptions!$B$8,0,$C$1),(SUMPRODUCT(OFFSET(R$421,0,0,1,-OFFSET(Assumptions!$B$67,0,$C$1)),OFFSET(R$16,0,0,1,-OFFSET(Assumptions!$B$67,0,$C$1)))-SUMPRODUCT(OFFSET(R$420,0,0,1,-OFFSET(Assumptions!$B$67,0,$C$1)),OFFSET(R$16,0,0,1,-OFFSET(Assumptions!$B$67,0,$C$1))))/OFFSET(Assumptions!$B$67,0,$C$1)-(R$421-R$420)/R$14,((R$421-R$420)/R$14-(Q$421-Q$420)/Q$14)/R$2),0))*S$14 +S$420</f>
        <v>14.078362958605098</v>
      </c>
      <c r="T421" s="8">
        <f ca="1">((S$421-S$420)/S$14+ IF(T$2&gt;0,T$2*IF(T$6=OFFSET(Assumptions!$B$8,0,$C$1),(SUMPRODUCT(OFFSET(S$421,0,0,1,-OFFSET(Assumptions!$B$67,0,$C$1)),OFFSET(S$16,0,0,1,-OFFSET(Assumptions!$B$67,0,$C$1)))-SUMPRODUCT(OFFSET(S$420,0,0,1,-OFFSET(Assumptions!$B$67,0,$C$1)),OFFSET(S$16,0,0,1,-OFFSET(Assumptions!$B$67,0,$C$1))))/OFFSET(Assumptions!$B$67,0,$C$1)-(S$421-S$420)/S$14,((S$421-S$420)/S$14-(R$421-R$420)/R$14)/S$2),0))*T$14 +T$420</f>
        <v>14.273312139371782</v>
      </c>
      <c r="U421" s="8">
        <f ca="1">((T$421-T$420)/T$14+ IF(U$2&gt;0,U$2*IF(U$6=OFFSET(Assumptions!$B$8,0,$C$1),(SUMPRODUCT(OFFSET(T$421,0,0,1,-OFFSET(Assumptions!$B$67,0,$C$1)),OFFSET(T$16,0,0,1,-OFFSET(Assumptions!$B$67,0,$C$1)))-SUMPRODUCT(OFFSET(T$420,0,0,1,-OFFSET(Assumptions!$B$67,0,$C$1)),OFFSET(T$16,0,0,1,-OFFSET(Assumptions!$B$67,0,$C$1))))/OFFSET(Assumptions!$B$67,0,$C$1)-(T$421-T$420)/T$14,((T$421-T$420)/T$14-(S$421-S$420)/S$14)/T$2),0))*U$14 +U$420</f>
        <v>14.485568019054213</v>
      </c>
      <c r="V421" s="8">
        <f ca="1">((U$421-U$420)/U$14+ IF(V$2&gt;0,V$2*IF(V$6=OFFSET(Assumptions!$B$8,0,$C$1),(SUMPRODUCT(OFFSET(U$421,0,0,1,-OFFSET(Assumptions!$B$67,0,$C$1)),OFFSET(U$16,0,0,1,-OFFSET(Assumptions!$B$67,0,$C$1)))-SUMPRODUCT(OFFSET(U$420,0,0,1,-OFFSET(Assumptions!$B$67,0,$C$1)),OFFSET(U$16,0,0,1,-OFFSET(Assumptions!$B$67,0,$C$1))))/OFFSET(Assumptions!$B$67,0,$C$1)-(U$421-U$420)/U$14,((U$421-U$420)/U$14-(T$421-T$420)/T$14)/U$2),0))*V$14 +V$420</f>
        <v>14.710608326744136</v>
      </c>
      <c r="W421" s="8">
        <f ca="1">((V$421-V$420)/V$14+ IF(W$2&gt;0,W$2*IF(W$6=OFFSET(Assumptions!$B$8,0,$C$1),(SUMPRODUCT(OFFSET(V$421,0,0,1,-OFFSET(Assumptions!$B$67,0,$C$1)),OFFSET(V$16,0,0,1,-OFFSET(Assumptions!$B$67,0,$C$1)))-SUMPRODUCT(OFFSET(V$420,0,0,1,-OFFSET(Assumptions!$B$67,0,$C$1)),OFFSET(V$16,0,0,1,-OFFSET(Assumptions!$B$67,0,$C$1))))/OFFSET(Assumptions!$B$67,0,$C$1)-(V$421-V$420)/V$14,((V$421-V$420)/V$14-(U$421-U$420)/U$14)/V$2),0))*W$14 +W$420</f>
        <v>14.948147382396392</v>
      </c>
      <c r="X421" s="8">
        <f ca="1">((W$421-W$420)/W$14+ IF(X$2&gt;0,X$2*IF(X$6=OFFSET(Assumptions!$B$8,0,$C$1),(SUMPRODUCT(OFFSET(W$421,0,0,1,-OFFSET(Assumptions!$B$67,0,$C$1)),OFFSET(W$16,0,0,1,-OFFSET(Assumptions!$B$67,0,$C$1)))-SUMPRODUCT(OFFSET(W$420,0,0,1,-OFFSET(Assumptions!$B$67,0,$C$1)),OFFSET(W$16,0,0,1,-OFFSET(Assumptions!$B$67,0,$C$1))))/OFFSET(Assumptions!$B$67,0,$C$1)-(W$421-W$420)/W$14,((W$421-W$420)/W$14-(V$421-V$420)/V$14)/W$2),0))*X$14 +X$420</f>
        <v>15.192227006237118</v>
      </c>
      <c r="Y421" s="8">
        <f ca="1">((X$421-X$420)/X$14+ IF(Y$2&gt;0,Y$2*IF(Y$6=OFFSET(Assumptions!$B$8,0,$C$1),(SUMPRODUCT(OFFSET(X$421,0,0,1,-OFFSET(Assumptions!$B$67,0,$C$1)),OFFSET(X$16,0,0,1,-OFFSET(Assumptions!$B$67,0,$C$1)))-SUMPRODUCT(OFFSET(X$420,0,0,1,-OFFSET(Assumptions!$B$67,0,$C$1)),OFFSET(X$16,0,0,1,-OFFSET(Assumptions!$B$67,0,$C$1))))/OFFSET(Assumptions!$B$67,0,$C$1)-(X$421-X$420)/X$14,((X$421-X$420)/X$14-(W$421-W$420)/W$14)/X$2),0))*Y$14 +Y$420</f>
        <v>15.448164865233259</v>
      </c>
      <c r="Z421" s="8">
        <f ca="1">((Y$421-Y$420)/Y$14+ IF(Z$2&gt;0,Z$2*IF(Z$6=OFFSET(Assumptions!$B$8,0,$C$1),(SUMPRODUCT(OFFSET(Y$421,0,0,1,-OFFSET(Assumptions!$B$67,0,$C$1)),OFFSET(Y$16,0,0,1,-OFFSET(Assumptions!$B$67,0,$C$1)))-SUMPRODUCT(OFFSET(Y$420,0,0,1,-OFFSET(Assumptions!$B$67,0,$C$1)),OFFSET(Y$16,0,0,1,-OFFSET(Assumptions!$B$67,0,$C$1))))/OFFSET(Assumptions!$B$67,0,$C$1)-(Y$421-Y$420)/Y$14,((Y$421-Y$420)/Y$14-(X$421-X$420)/X$14)/Y$2),0))*Z$14 +Z$420</f>
        <v>15.70645237739128</v>
      </c>
      <c r="AA421" s="8">
        <f ca="1">((Z$421-Z$420)/Z$14+ IF(AA$2&gt;0,AA$2*IF(AA$6=OFFSET(Assumptions!$B$8,0,$C$1),(SUMPRODUCT(OFFSET(Z$421,0,0,1,-OFFSET(Assumptions!$B$67,0,$C$1)),OFFSET(Z$16,0,0,1,-OFFSET(Assumptions!$B$67,0,$C$1)))-SUMPRODUCT(OFFSET(Z$420,0,0,1,-OFFSET(Assumptions!$B$67,0,$C$1)),OFFSET(Z$16,0,0,1,-OFFSET(Assumptions!$B$67,0,$C$1))))/OFFSET(Assumptions!$B$67,0,$C$1)-(Z$421-Z$420)/Z$14,((Z$421-Z$420)/Z$14-(Y$421-Y$420)/Y$14)/Z$2),0))*AA$14 +AA$420</f>
        <v>15.97055211828598</v>
      </c>
      <c r="AB421" s="8">
        <f ca="1">((AA$421-AA$420)/AA$14+ IF(AB$2&gt;0,AB$2*IF(AB$6=OFFSET(Assumptions!$B$8,0,$C$1),(SUMPRODUCT(OFFSET(AA$421,0,0,1,-OFFSET(Assumptions!$B$67,0,$C$1)),OFFSET(AA$16,0,0,1,-OFFSET(Assumptions!$B$67,0,$C$1)))-SUMPRODUCT(OFFSET(AA$420,0,0,1,-OFFSET(Assumptions!$B$67,0,$C$1)),OFFSET(AA$16,0,0,1,-OFFSET(Assumptions!$B$67,0,$C$1))))/OFFSET(Assumptions!$B$67,0,$C$1)-(AA$421-AA$420)/AA$14,((AA$421-AA$420)/AA$14-(Z$421-Z$420)/Z$14)/AA$2),0))*AB$14 +AB$420</f>
        <v>16.23941816403557</v>
      </c>
      <c r="AC421" s="8">
        <f ca="1">((AB$421-AB$420)/AB$14+ IF(AC$2&gt;0,AC$2*IF(AC$6=OFFSET(Assumptions!$B$8,0,$C$1),(SUMPRODUCT(OFFSET(AB$421,0,0,1,-OFFSET(Assumptions!$B$67,0,$C$1)),OFFSET(AB$16,0,0,1,-OFFSET(Assumptions!$B$67,0,$C$1)))-SUMPRODUCT(OFFSET(AB$420,0,0,1,-OFFSET(Assumptions!$B$67,0,$C$1)),OFFSET(AB$16,0,0,1,-OFFSET(Assumptions!$B$67,0,$C$1))))/OFFSET(Assumptions!$B$67,0,$C$1)-(AB$421-AB$420)/AB$14,((AB$421-AB$420)/AB$14-(AA$421-AA$420)/AA$14)/AB$2),0))*AC$14 +AC$420</f>
        <v>16.509701697196377</v>
      </c>
      <c r="AD421" s="8">
        <f ca="1">((AC$421-AC$420)/AC$14+ IF(AD$2&gt;0,AD$2*IF(AD$6=OFFSET(Assumptions!$B$8,0,$C$1),(SUMPRODUCT(OFFSET(AC$421,0,0,1,-OFFSET(Assumptions!$B$67,0,$C$1)),OFFSET(AC$16,0,0,1,-OFFSET(Assumptions!$B$67,0,$C$1)))-SUMPRODUCT(OFFSET(AC$420,0,0,1,-OFFSET(Assumptions!$B$67,0,$C$1)),OFFSET(AC$16,0,0,1,-OFFSET(Assumptions!$B$67,0,$C$1))))/OFFSET(Assumptions!$B$67,0,$C$1)-(AC$421-AC$420)/AC$14,((AC$421-AC$420)/AC$14-(AB$421-AB$420)/AB$14)/AC$2),0))*AD$14 +AD$420</f>
        <v>16.785585277569979</v>
      </c>
      <c r="AE421" s="8">
        <f ca="1">((AD$421-AD$420)/AD$14+ IF(AE$2&gt;0,AE$2*IF(AE$6=OFFSET(Assumptions!$B$8,0,$C$1),(SUMPRODUCT(OFFSET(AD$421,0,0,1,-OFFSET(Assumptions!$B$67,0,$C$1)),OFFSET(AD$16,0,0,1,-OFFSET(Assumptions!$B$67,0,$C$1)))-SUMPRODUCT(OFFSET(AD$420,0,0,1,-OFFSET(Assumptions!$B$67,0,$C$1)),OFFSET(AD$16,0,0,1,-OFFSET(Assumptions!$B$67,0,$C$1))))/OFFSET(Assumptions!$B$67,0,$C$1)-(AD$421-AD$420)/AD$14,((AD$421-AD$420)/AD$14-(AC$421-AC$420)/AC$14)/AD$2),0))*AE$14 +AE$420</f>
        <v>17.077306241171215</v>
      </c>
      <c r="AF421" s="8">
        <f ca="1">((AE$421-AE$420)/AE$14+ IF(AF$2&gt;0,AF$2*IF(AF$6=OFFSET(Assumptions!$B$8,0,$C$1),(SUMPRODUCT(OFFSET(AE$421,0,0,1,-OFFSET(Assumptions!$B$67,0,$C$1)),OFFSET(AE$16,0,0,1,-OFFSET(Assumptions!$B$67,0,$C$1)))-SUMPRODUCT(OFFSET(AE$420,0,0,1,-OFFSET(Assumptions!$B$67,0,$C$1)),OFFSET(AE$16,0,0,1,-OFFSET(Assumptions!$B$67,0,$C$1))))/OFFSET(Assumptions!$B$67,0,$C$1)-(AE$421-AE$420)/AE$14,((AE$421-AE$420)/AE$14-(AD$421-AD$420)/AD$14)/AE$2),0))*AF$14 +AF$420</f>
        <v>17.38229633910224</v>
      </c>
      <c r="AG421" s="8">
        <f ca="1">((AF$421-AF$420)/AF$14+ IF(AG$2&gt;0,AG$2*IF(AG$6=OFFSET(Assumptions!$B$8,0,$C$1),(SUMPRODUCT(OFFSET(AF$421,0,0,1,-OFFSET(Assumptions!$B$67,0,$C$1)),OFFSET(AF$16,0,0,1,-OFFSET(Assumptions!$B$67,0,$C$1)))-SUMPRODUCT(OFFSET(AF$420,0,0,1,-OFFSET(Assumptions!$B$67,0,$C$1)),OFFSET(AF$16,0,0,1,-OFFSET(Assumptions!$B$67,0,$C$1))))/OFFSET(Assumptions!$B$67,0,$C$1)-(AF$421-AF$420)/AF$14,((AF$421-AF$420)/AF$14-(AE$421-AE$420)/AE$14)/AF$2),0))*AG$14 +AG$420</f>
        <v>17.70578756034692</v>
      </c>
      <c r="AH421" s="8">
        <f ca="1">((AG$421-AG$420)/AG$14+ IF(AH$2&gt;0,AH$2*IF(AH$6=OFFSET(Assumptions!$B$8,0,$C$1),(SUMPRODUCT(OFFSET(AG$421,0,0,1,-OFFSET(Assumptions!$B$67,0,$C$1)),OFFSET(AG$16,0,0,1,-OFFSET(Assumptions!$B$67,0,$C$1)))-SUMPRODUCT(OFFSET(AG$420,0,0,1,-OFFSET(Assumptions!$B$67,0,$C$1)),OFFSET(AG$16,0,0,1,-OFFSET(Assumptions!$B$67,0,$C$1))))/OFFSET(Assumptions!$B$67,0,$C$1)-(AG$421-AG$420)/AG$14,((AG$421-AG$420)/AG$14-(AF$421-AF$420)/AF$14)/AG$2),0))*AH$14 +AH$420</f>
        <v>18.049256243229181</v>
      </c>
      <c r="AI421" s="8">
        <f ca="1">((AH$421-AH$420)/AH$14+ IF(AI$2&gt;0,AI$2*IF(AI$6=OFFSET(Assumptions!$B$8,0,$C$1),(SUMPRODUCT(OFFSET(AH$421,0,0,1,-OFFSET(Assumptions!$B$67,0,$C$1)),OFFSET(AH$16,0,0,1,-OFFSET(Assumptions!$B$67,0,$C$1)))-SUMPRODUCT(OFFSET(AH$420,0,0,1,-OFFSET(Assumptions!$B$67,0,$C$1)),OFFSET(AH$16,0,0,1,-OFFSET(Assumptions!$B$67,0,$C$1))))/OFFSET(Assumptions!$B$67,0,$C$1)-(AH$421-AH$420)/AH$14,((AH$421-AH$420)/AH$14-(AG$421-AG$420)/AG$14)/AH$2),0))*AI$14 +AI$420</f>
        <v>18.424182824546563</v>
      </c>
      <c r="AJ421" s="8">
        <f ca="1">((AI$421-AI$420)/AI$14+ IF(AJ$2&gt;0,AJ$2*IF(AJ$6=OFFSET(Assumptions!$B$8,0,$C$1),(SUMPRODUCT(OFFSET(AI$421,0,0,1,-OFFSET(Assumptions!$B$67,0,$C$1)),OFFSET(AI$16,0,0,1,-OFFSET(Assumptions!$B$67,0,$C$1)))-SUMPRODUCT(OFFSET(AI$420,0,0,1,-OFFSET(Assumptions!$B$67,0,$C$1)),OFFSET(AI$16,0,0,1,-OFFSET(Assumptions!$B$67,0,$C$1))))/OFFSET(Assumptions!$B$67,0,$C$1)-(AI$421-AI$420)/AI$14,((AI$421-AI$420)/AI$14-(AH$421-AH$420)/AH$14)/AI$2),0))*AJ$14 +AJ$420</f>
        <v>18.825900042058649</v>
      </c>
      <c r="AK421" s="8">
        <f ca="1">((AJ$421-AJ$420)/AJ$14+ IF(AK$2&gt;0,AK$2*IF(AK$6=OFFSET(Assumptions!$B$8,0,$C$1),(SUMPRODUCT(OFFSET(AJ$421,0,0,1,-OFFSET(Assumptions!$B$67,0,$C$1)),OFFSET(AJ$16,0,0,1,-OFFSET(Assumptions!$B$67,0,$C$1)))-SUMPRODUCT(OFFSET(AJ$420,0,0,1,-OFFSET(Assumptions!$B$67,0,$C$1)),OFFSET(AJ$16,0,0,1,-OFFSET(Assumptions!$B$67,0,$C$1))))/OFFSET(Assumptions!$B$67,0,$C$1)-(AJ$421-AJ$420)/AJ$14,((AJ$421-AJ$420)/AJ$14-(AI$421-AI$420)/AI$14)/AJ$2),0))*AK$14 +AK$420</f>
        <v>19.264169800216521</v>
      </c>
      <c r="AL421" s="8">
        <f ca="1">((AK$421-AK$420)/AK$14+ IF(AL$2&gt;0,AL$2*IF(AL$6=OFFSET(Assumptions!$B$8,0,$C$1),(SUMPRODUCT(OFFSET(AK$421,0,0,1,-OFFSET(Assumptions!$B$67,0,$C$1)),OFFSET(AK$16,0,0,1,-OFFSET(Assumptions!$B$67,0,$C$1)))-SUMPRODUCT(OFFSET(AK$420,0,0,1,-OFFSET(Assumptions!$B$67,0,$C$1)),OFFSET(AK$16,0,0,1,-OFFSET(Assumptions!$B$67,0,$C$1))))/OFFSET(Assumptions!$B$67,0,$C$1)-(AK$421-AK$420)/AK$14,((AK$421-AK$420)/AK$14-(AJ$421-AJ$420)/AJ$14)/AK$2),0))*AL$14 +AL$420</f>
        <v>19.748008285352796</v>
      </c>
      <c r="AM421" s="8">
        <f ca="1">((AL$421-AL$420)/AL$14+ IF(AM$2&gt;0,AM$2*IF(AM$6=OFFSET(Assumptions!$B$8,0,$C$1),(SUMPRODUCT(OFFSET(AL$421,0,0,1,-OFFSET(Assumptions!$B$67,0,$C$1)),OFFSET(AL$16,0,0,1,-OFFSET(Assumptions!$B$67,0,$C$1)))-SUMPRODUCT(OFFSET(AL$420,0,0,1,-OFFSET(Assumptions!$B$67,0,$C$1)),OFFSET(AL$16,0,0,1,-OFFSET(Assumptions!$B$67,0,$C$1))))/OFFSET(Assumptions!$B$67,0,$C$1)-(AL$421-AL$420)/AL$14,((AL$421-AL$420)/AL$14-(AK$421-AK$420)/AK$14)/AL$2),0))*AM$14 +AM$420</f>
        <v>20.277237439163883</v>
      </c>
      <c r="AN421" s="8">
        <f ca="1">((AM$421-AM$420)/AM$14+ IF(AN$2&gt;0,AN$2*IF(AN$6=OFFSET(Assumptions!$B$8,0,$C$1),(SUMPRODUCT(OFFSET(AM$421,0,0,1,-OFFSET(Assumptions!$B$67,0,$C$1)),OFFSET(AM$16,0,0,1,-OFFSET(Assumptions!$B$67,0,$C$1)))-SUMPRODUCT(OFFSET(AM$420,0,0,1,-OFFSET(Assumptions!$B$67,0,$C$1)),OFFSET(AM$16,0,0,1,-OFFSET(Assumptions!$B$67,0,$C$1))))/OFFSET(Assumptions!$B$67,0,$C$1)-(AM$421-AM$420)/AM$14,((AM$421-AM$420)/AM$14-(AL$421-AL$420)/AL$14)/AM$2),0))*AN$14 +AN$420</f>
        <v>20.854465597680417</v>
      </c>
      <c r="AO421" s="8">
        <f ca="1">((AN$421-AN$420)/AN$14+ IF(AO$2&gt;0,AO$2*IF(AO$6=OFFSET(Assumptions!$B$8,0,$C$1),(SUMPRODUCT(OFFSET(AN$421,0,0,1,-OFFSET(Assumptions!$B$67,0,$C$1)),OFFSET(AN$16,0,0,1,-OFFSET(Assumptions!$B$67,0,$C$1)))-SUMPRODUCT(OFFSET(AN$420,0,0,1,-OFFSET(Assumptions!$B$67,0,$C$1)),OFFSET(AN$16,0,0,1,-OFFSET(Assumptions!$B$67,0,$C$1))))/OFFSET(Assumptions!$B$67,0,$C$1)-(AN$421-AN$420)/AN$14,((AN$421-AN$420)/AN$14-(AM$421-AM$420)/AM$14)/AN$2),0))*AO$14 +AO$420</f>
        <v>21.499050729044299</v>
      </c>
      <c r="AP421" s="8">
        <f ca="1">((AO$421-AO$420)/AO$14+ IF(AP$2&gt;0,AP$2*IF(AP$6=OFFSET(Assumptions!$B$8,0,$C$1),(SUMPRODUCT(OFFSET(AO$421,0,0,1,-OFFSET(Assumptions!$B$67,0,$C$1)),OFFSET(AO$16,0,0,1,-OFFSET(Assumptions!$B$67,0,$C$1)))-SUMPRODUCT(OFFSET(AO$420,0,0,1,-OFFSET(Assumptions!$B$67,0,$C$1)),OFFSET(AO$16,0,0,1,-OFFSET(Assumptions!$B$67,0,$C$1))))/OFFSET(Assumptions!$B$67,0,$C$1)-(AO$421-AO$420)/AO$14,((AO$421-AO$420)/AO$14-(AN$421-AN$420)/AN$14)/AO$2),0))*AP$14 +AP$420</f>
        <v>22.197065801110455</v>
      </c>
      <c r="AQ421" s="8">
        <f ca="1">((AP$421-AP$420)/AP$14+ IF(AQ$2&gt;0,AQ$2*IF(AQ$6=OFFSET(Assumptions!$B$8,0,$C$1),(SUMPRODUCT(OFFSET(AP$421,0,0,1,-OFFSET(Assumptions!$B$67,0,$C$1)),OFFSET(AP$16,0,0,1,-OFFSET(Assumptions!$B$67,0,$C$1)))-SUMPRODUCT(OFFSET(AP$420,0,0,1,-OFFSET(Assumptions!$B$67,0,$C$1)),OFFSET(AP$16,0,0,1,-OFFSET(Assumptions!$B$67,0,$C$1))))/OFFSET(Assumptions!$B$67,0,$C$1)-(AP$421-AP$420)/AP$14,((AP$421-AP$420)/AP$14-(AO$421-AO$420)/AO$14)/AP$2),0))*AQ$14 +AQ$420</f>
        <v>22.964205711031951</v>
      </c>
      <c r="AR421" s="8">
        <f ca="1">((AQ$421-AQ$420)/AQ$14+ IF(AR$2&gt;0,AR$2*IF(AR$6=OFFSET(Assumptions!$B$8,0,$C$1),(SUMPRODUCT(OFFSET(AQ$421,0,0,1,-OFFSET(Assumptions!$B$67,0,$C$1)),OFFSET(AQ$16,0,0,1,-OFFSET(Assumptions!$B$67,0,$C$1)))-SUMPRODUCT(OFFSET(AQ$420,0,0,1,-OFFSET(Assumptions!$B$67,0,$C$1)),OFFSET(AQ$16,0,0,1,-OFFSET(Assumptions!$B$67,0,$C$1))))/OFFSET(Assumptions!$B$67,0,$C$1)-(AQ$421-AQ$420)/AQ$14,((AQ$421-AQ$420)/AQ$14-(AP$421-AP$420)/AP$14)/AQ$2),0))*AR$14 +AR$420</f>
        <v>23.797024896488963</v>
      </c>
      <c r="AS421" s="8">
        <f ca="1">((AR$421-AR$420)/AR$14+ IF(AS$2&gt;0,AS$2*IF(AS$6=OFFSET(Assumptions!$B$8,0,$C$1),(SUMPRODUCT(OFFSET(AR$421,0,0,1,-OFFSET(Assumptions!$B$67,0,$C$1)),OFFSET(AR$16,0,0,1,-OFFSET(Assumptions!$B$67,0,$C$1)))-SUMPRODUCT(OFFSET(AR$420,0,0,1,-OFFSET(Assumptions!$B$67,0,$C$1)),OFFSET(AR$16,0,0,1,-OFFSET(Assumptions!$B$67,0,$C$1))))/OFFSET(Assumptions!$B$67,0,$C$1)-(AR$421-AR$420)/AR$14,((AR$421-AR$420)/AR$14-(AQ$421-AQ$420)/AQ$14)/AR$2),0))*AS$14 +AS$420</f>
        <v>24.687996258622633</v>
      </c>
      <c r="AT421" s="8">
        <f ca="1">((AS$421-AS$420)/AS$14+ IF(AT$2&gt;0,AT$2*IF(AT$6=OFFSET(Assumptions!$B$8,0,$C$1),(SUMPRODUCT(OFFSET(AS$421,0,0,1,-OFFSET(Assumptions!$B$67,0,$C$1)),OFFSET(AS$16,0,0,1,-OFFSET(Assumptions!$B$67,0,$C$1)))-SUMPRODUCT(OFFSET(AS$420,0,0,1,-OFFSET(Assumptions!$B$67,0,$C$1)),OFFSET(AS$16,0,0,1,-OFFSET(Assumptions!$B$67,0,$C$1))))/OFFSET(Assumptions!$B$67,0,$C$1)-(AS$421-AS$420)/AS$14,((AS$421-AS$420)/AS$14-(AR$421-AR$420)/AR$14)/AS$2),0))*AT$14 +AT$420</f>
        <v>25.640653872268928</v>
      </c>
      <c r="AU421" s="8">
        <f ca="1">((AT$421-AT$420)/AT$14+ IF(AU$2&gt;0,AU$2*IF(AU$6=OFFSET(Assumptions!$B$8,0,$C$1),(SUMPRODUCT(OFFSET(AT$421,0,0,1,-OFFSET(Assumptions!$B$67,0,$C$1)),OFFSET(AT$16,0,0,1,-OFFSET(Assumptions!$B$67,0,$C$1)))-SUMPRODUCT(OFFSET(AT$420,0,0,1,-OFFSET(Assumptions!$B$67,0,$C$1)),OFFSET(AT$16,0,0,1,-OFFSET(Assumptions!$B$67,0,$C$1))))/OFFSET(Assumptions!$B$67,0,$C$1)-(AT$421-AT$420)/AT$14,((AT$421-AT$420)/AT$14-(AS$421-AS$420)/AS$14)/AT$2),0))*AU$14 +AU$420</f>
        <v>26.654067352771904</v>
      </c>
      <c r="AV421" s="8">
        <f ca="1">((AU$421-AU$420)/AU$14+ IF(AV$2&gt;0,AV$2*IF(AV$6=OFFSET(Assumptions!$B$8,0,$C$1),(SUMPRODUCT(OFFSET(AU$421,0,0,1,-OFFSET(Assumptions!$B$67,0,$C$1)),OFFSET(AU$16,0,0,1,-OFFSET(Assumptions!$B$67,0,$C$1)))-SUMPRODUCT(OFFSET(AU$420,0,0,1,-OFFSET(Assumptions!$B$67,0,$C$1)),OFFSET(AU$16,0,0,1,-OFFSET(Assumptions!$B$67,0,$C$1))))/OFFSET(Assumptions!$B$67,0,$C$1)-(AU$421-AU$420)/AU$14,((AU$421-AU$420)/AU$14-(AT$421-AT$420)/AT$14)/AU$2),0))*AV$14 +AV$420</f>
        <v>27.719418026902133</v>
      </c>
      <c r="AW421" s="8">
        <f ca="1">((AV$421-AV$420)/AV$14+ IF(AW$2&gt;0,AW$2*IF(AW$6=OFFSET(Assumptions!$B$8,0,$C$1),(SUMPRODUCT(OFFSET(AV$421,0,0,1,-OFFSET(Assumptions!$B$67,0,$C$1)),OFFSET(AV$16,0,0,1,-OFFSET(Assumptions!$B$67,0,$C$1)))-SUMPRODUCT(OFFSET(AV$420,0,0,1,-OFFSET(Assumptions!$B$67,0,$C$1)),OFFSET(AV$16,0,0,1,-OFFSET(Assumptions!$B$67,0,$C$1))))/OFFSET(Assumptions!$B$67,0,$C$1)-(AV$421-AV$420)/AV$14,((AV$421-AV$420)/AV$14-(AU$421-AU$420)/AU$14)/AV$2),0))*AW$14 +AW$420</f>
        <v>28.846040569071761</v>
      </c>
    </row>
    <row r="422" spans="1:49" ht="15" x14ac:dyDescent="0.25">
      <c r="A422" s="2"/>
      <c r="B422" s="4"/>
      <c r="D422" s="47"/>
      <c r="E422" s="44"/>
      <c r="F422" s="44"/>
      <c r="G422" s="44"/>
      <c r="H422" s="44"/>
      <c r="I422" s="44"/>
      <c r="J422" s="8"/>
      <c r="K422" s="8"/>
      <c r="L422" s="8"/>
      <c r="M422" s="8"/>
      <c r="N422" s="8"/>
      <c r="O422" s="8"/>
      <c r="P422" s="8"/>
      <c r="Q422" s="8"/>
      <c r="R422" s="8"/>
      <c r="S422" s="8"/>
    </row>
    <row r="423" spans="1:49" ht="15" x14ac:dyDescent="0.25">
      <c r="A423" s="22" t="s">
        <v>241</v>
      </c>
      <c r="B423" s="4"/>
      <c r="D423" s="47"/>
      <c r="E423" s="44"/>
      <c r="F423" s="44"/>
      <c r="G423" s="44"/>
      <c r="H423" s="44"/>
      <c r="I423" s="44"/>
      <c r="J423" s="44"/>
      <c r="K423" s="44"/>
      <c r="L423" s="44"/>
      <c r="M423" s="44"/>
      <c r="N423" s="44"/>
      <c r="O423" s="44"/>
      <c r="P423" s="44"/>
      <c r="Q423" s="44"/>
      <c r="R423" s="44"/>
    </row>
    <row r="424" spans="1:49" x14ac:dyDescent="0.2">
      <c r="A424" s="1" t="s">
        <v>324</v>
      </c>
      <c r="B424" s="4" t="str">
        <f t="shared" ref="B424:B426" si="257">$B$43</f>
        <v>From Fiscal</v>
      </c>
      <c r="D424" s="18">
        <f>Fiscal!D$174</f>
        <v>1.2390000000000001</v>
      </c>
      <c r="E424" s="19">
        <f>Fiscal!E$174</f>
        <v>1.3879999999999999</v>
      </c>
      <c r="F424" s="19">
        <f>Fiscal!F$174</f>
        <v>1.601</v>
      </c>
      <c r="G424" s="19">
        <f>Fiscal!G$174</f>
        <v>1.6879999999999999</v>
      </c>
      <c r="H424" s="19">
        <f>Fiscal!H$174</f>
        <v>1.7350000000000001</v>
      </c>
      <c r="I424" s="19">
        <f>Fiscal!I$174</f>
        <v>1.73</v>
      </c>
      <c r="J424" s="7">
        <f ca="1">(I$424/I$14+ IF(J$2&gt;0,J$2*IF(J$6=OFFSET(Assumptions!$B$8,0,$C$1),SUMPRODUCT(OFFSET(I$424,0,0,1,-OFFSET(Assumptions!$B$67,0,$C$1)),OFFSET(I$16,0,0,1,-OFFSET(Assumptions!$B$67,0,$C$1)))/OFFSET(Assumptions!$B$67,0,$C$1)-I$424/I$14,(I$424/I$14-H$424/H$14)/I$2),0))*J$14</f>
        <v>1.8250861344329021</v>
      </c>
      <c r="K424" s="7">
        <f ca="1">(J$424/J$14+ IF(K$2&gt;0,K$2*IF(K$6=OFFSET(Assumptions!$B$8,0,$C$1),SUMPRODUCT(OFFSET(J$424,0,0,1,-OFFSET(Assumptions!$B$67,0,$C$1)),OFFSET(J$16,0,0,1,-OFFSET(Assumptions!$B$67,0,$C$1)))/OFFSET(Assumptions!$B$67,0,$C$1)-J$424/J$14,(J$424/J$14-I$424/I$14)/J$2),0))*K$14</f>
        <v>1.9198497676599593</v>
      </c>
      <c r="L424" s="7">
        <f ca="1">(K$424/K$14+ IF(L$2&gt;0,L$2*IF(L$6=OFFSET(Assumptions!$B$8,0,$C$1),SUMPRODUCT(OFFSET(K$424,0,0,1,-OFFSET(Assumptions!$B$67,0,$C$1)),OFFSET(K$16,0,0,1,-OFFSET(Assumptions!$B$67,0,$C$1)))/OFFSET(Assumptions!$B$67,0,$C$1)-K$424/K$14,(K$424/K$14-J$424/J$14)/K$2),0))*L$14</f>
        <v>2.0175370916882707</v>
      </c>
      <c r="M424" s="7">
        <f ca="1">(L$424/L$14+ IF(M$2&gt;0,M$2*IF(M$6=OFFSET(Assumptions!$B$8,0,$C$1),SUMPRODUCT(OFFSET(L$424,0,0,1,-OFFSET(Assumptions!$B$67,0,$C$1)),OFFSET(L$16,0,0,1,-OFFSET(Assumptions!$B$67,0,$C$1)))/OFFSET(Assumptions!$B$67,0,$C$1)-L$424/L$14,(L$424/L$14-K$424/K$14)/L$2),0))*M$14</f>
        <v>2.114771790499538</v>
      </c>
      <c r="N424" s="7">
        <f ca="1">(M$424/M$14+ IF(N$2&gt;0,N$2*IF(N$6=OFFSET(Assumptions!$B$8,0,$C$1),SUMPRODUCT(OFFSET(M$424,0,0,1,-OFFSET(Assumptions!$B$67,0,$C$1)),OFFSET(M$16,0,0,1,-OFFSET(Assumptions!$B$67,0,$C$1)))/OFFSET(Assumptions!$B$67,0,$C$1)-M$424/M$14,(M$424/M$14-L$424/L$14)/M$2),0))*N$14</f>
        <v>2.2112256182696122</v>
      </c>
      <c r="O424" s="7">
        <f ca="1">(N$424/N$14+ IF(O$2&gt;0,O$2*IF(O$6=OFFSET(Assumptions!$B$8,0,$C$1),SUMPRODUCT(OFFSET(N$424,0,0,1,-OFFSET(Assumptions!$B$67,0,$C$1)),OFFSET(N$16,0,0,1,-OFFSET(Assumptions!$B$67,0,$C$1)))/OFFSET(Assumptions!$B$67,0,$C$1)-N$424/N$14,(N$424/N$14-M$424/M$14)/N$2),0))*O$14</f>
        <v>2.3056156160239709</v>
      </c>
      <c r="P424" s="7">
        <f ca="1">(O$424/O$14+ IF(P$2&gt;0,P$2*IF(P$6=OFFSET(Assumptions!$B$8,0,$C$1),SUMPRODUCT(OFFSET(O$424,0,0,1,-OFFSET(Assumptions!$B$67,0,$C$1)),OFFSET(O$16,0,0,1,-OFFSET(Assumptions!$B$67,0,$C$1)))/OFFSET(Assumptions!$B$67,0,$C$1)-O$424/O$14,(O$424/O$14-N$424/N$14)/O$2),0))*P$14</f>
        <v>2.403117567066078</v>
      </c>
      <c r="Q424" s="7">
        <f ca="1">(P$424/P$14+ IF(Q$2&gt;0,Q$2*IF(Q$6=OFFSET(Assumptions!$B$8,0,$C$1),SUMPRODUCT(OFFSET(P$424,0,0,1,-OFFSET(Assumptions!$B$67,0,$C$1)),OFFSET(P$16,0,0,1,-OFFSET(Assumptions!$B$67,0,$C$1)))/OFFSET(Assumptions!$B$67,0,$C$1)-P$424/P$14,(P$424/P$14-O$424/O$14)/P$2),0))*Q$14</f>
        <v>2.5036261513856211</v>
      </c>
      <c r="R424" s="7">
        <f ca="1">(Q$424/Q$14+ IF(R$2&gt;0,R$2*IF(R$6=OFFSET(Assumptions!$B$8,0,$C$1),SUMPRODUCT(OFFSET(Q$424,0,0,1,-OFFSET(Assumptions!$B$67,0,$C$1)),OFFSET(Q$16,0,0,1,-OFFSET(Assumptions!$B$67,0,$C$1)))/OFFSET(Assumptions!$B$67,0,$C$1)-Q$424/Q$14,(Q$424/Q$14-P$424/P$14)/Q$2),0))*R$14</f>
        <v>2.6070667697517638</v>
      </c>
      <c r="S424" s="7">
        <f ca="1">(R$424/R$14+ IF(S$2&gt;0,S$2*IF(S$6=OFFSET(Assumptions!$B$8,0,$C$1),SUMPRODUCT(OFFSET(R$424,0,0,1,-OFFSET(Assumptions!$B$67,0,$C$1)),OFFSET(R$16,0,0,1,-OFFSET(Assumptions!$B$67,0,$C$1)))/OFFSET(Assumptions!$B$67,0,$C$1)-R$424/R$14,(R$424/R$14-Q$424/Q$14)/R$2),0))*S$14</f>
        <v>2.7137681522316606</v>
      </c>
      <c r="T424" s="7">
        <f ca="1">(S$424/S$14+ IF(T$2&gt;0,T$2*IF(T$6=OFFSET(Assumptions!$B$8,0,$C$1),SUMPRODUCT(OFFSET(S$424,0,0,1,-OFFSET(Assumptions!$B$67,0,$C$1)),OFFSET(S$16,0,0,1,-OFFSET(Assumptions!$B$67,0,$C$1)))/OFFSET(Assumptions!$B$67,0,$C$1)-S$424/S$14,(S$424/S$14-R$424/R$14)/S$2),0))*T$14</f>
        <v>2.8237692092069424</v>
      </c>
      <c r="U424" s="7">
        <f ca="1">(T$424/T$14+ IF(U$2&gt;0,U$2*IF(U$6=OFFSET(Assumptions!$B$8,0,$C$1),SUMPRODUCT(OFFSET(T$424,0,0,1,-OFFSET(Assumptions!$B$67,0,$C$1)),OFFSET(T$16,0,0,1,-OFFSET(Assumptions!$B$67,0,$C$1)))/OFFSET(Assumptions!$B$67,0,$C$1)-T$424/T$14,(T$424/T$14-S$424/S$14)/T$2),0))*U$14</f>
        <v>2.9374647315715019</v>
      </c>
      <c r="V424" s="7">
        <f ca="1">(U$424/U$14+ IF(V$2&gt;0,V$2*IF(V$6=OFFSET(Assumptions!$B$8,0,$C$1),SUMPRODUCT(OFFSET(U$424,0,0,1,-OFFSET(Assumptions!$B$67,0,$C$1)),OFFSET(U$16,0,0,1,-OFFSET(Assumptions!$B$67,0,$C$1)))/OFFSET(Assumptions!$B$67,0,$C$1)-U$424/U$14,(U$424/U$14-T$424/T$14)/U$2),0))*V$14</f>
        <v>3.0551353773716974</v>
      </c>
      <c r="W424" s="7">
        <f ca="1">(V$424/V$14+ IF(W$2&gt;0,W$2*IF(W$6=OFFSET(Assumptions!$B$8,0,$C$1),SUMPRODUCT(OFFSET(V$424,0,0,1,-OFFSET(Assumptions!$B$67,0,$C$1)),OFFSET(V$16,0,0,1,-OFFSET(Assumptions!$B$67,0,$C$1)))/OFFSET(Assumptions!$B$67,0,$C$1)-V$424/V$14,(V$424/V$14-U$424/U$14)/V$2),0))*W$14</f>
        <v>3.1771220681493459</v>
      </c>
      <c r="X424" s="7">
        <f ca="1">(W$424/W$14+ IF(X$2&gt;0,X$2*IF(X$6=OFFSET(Assumptions!$B$8,0,$C$1),SUMPRODUCT(OFFSET(W$424,0,0,1,-OFFSET(Assumptions!$B$67,0,$C$1)),OFFSET(W$16,0,0,1,-OFFSET(Assumptions!$B$67,0,$C$1)))/OFFSET(Assumptions!$B$67,0,$C$1)-W$424/W$14,(W$424/W$14-V$424/V$14)/W$2),0))*X$14</f>
        <v>3.3038111915422776</v>
      </c>
      <c r="Y424" s="7">
        <f ca="1">(X$424/X$14+ IF(Y$2&gt;0,Y$2*IF(Y$6=OFFSET(Assumptions!$B$8,0,$C$1),SUMPRODUCT(OFFSET(X$424,0,0,1,-OFFSET(Assumptions!$B$67,0,$C$1)),OFFSET(X$16,0,0,1,-OFFSET(Assumptions!$B$67,0,$C$1)))/OFFSET(Assumptions!$B$67,0,$C$1)-X$424/X$14,(X$424/X$14-W$424/W$14)/X$2),0))*Y$14</f>
        <v>3.4351897957273021</v>
      </c>
      <c r="Z424" s="7">
        <f ca="1">(Y$424/Y$14+ IF(Z$2&gt;0,Z$2*IF(Z$6=OFFSET(Assumptions!$B$8,0,$C$1),SUMPRODUCT(OFFSET(Y$424,0,0,1,-OFFSET(Assumptions!$B$67,0,$C$1)),OFFSET(Y$16,0,0,1,-OFFSET(Assumptions!$B$67,0,$C$1)))/OFFSET(Assumptions!$B$67,0,$C$1)-Y$424/Y$14,(Y$424/Y$14-X$424/X$14)/Y$2),0))*Z$14</f>
        <v>3.5719228722169443</v>
      </c>
      <c r="AA424" s="7">
        <f ca="1">(Z$424/Z$14+ IF(AA$2&gt;0,AA$2*IF(AA$6=OFFSET(Assumptions!$B$8,0,$C$1),SUMPRODUCT(OFFSET(Z$424,0,0,1,-OFFSET(Assumptions!$B$67,0,$C$1)),OFFSET(Z$16,0,0,1,-OFFSET(Assumptions!$B$67,0,$C$1)))/OFFSET(Assumptions!$B$67,0,$C$1)-Z$424/Z$14,(Z$424/Z$14-Y$424/Y$14)/Z$2),0))*AA$14</f>
        <v>3.7142316556004884</v>
      </c>
      <c r="AB424" s="7">
        <f ca="1">(AA$424/AA$14+ IF(AB$2&gt;0,AB$2*IF(AB$6=OFFSET(Assumptions!$B$8,0,$C$1),SUMPRODUCT(OFFSET(AA$424,0,0,1,-OFFSET(Assumptions!$B$67,0,$C$1)),OFFSET(AA$16,0,0,1,-OFFSET(Assumptions!$B$67,0,$C$1)))/OFFSET(Assumptions!$B$67,0,$C$1)-AA$424/AA$14,(AA$424/AA$14-Z$424/Z$14)/AA$2),0))*AB$14</f>
        <v>3.8625435122968304</v>
      </c>
      <c r="AC424" s="7">
        <f ca="1">(AB$424/AB$14+ IF(AC$2&gt;0,AC$2*IF(AC$6=OFFSET(Assumptions!$B$8,0,$C$1),SUMPRODUCT(OFFSET(AB$424,0,0,1,-OFFSET(Assumptions!$B$67,0,$C$1)),OFFSET(AB$16,0,0,1,-OFFSET(Assumptions!$B$67,0,$C$1)))/OFFSET(Assumptions!$B$67,0,$C$1)-AB$424/AB$14,(AB$424/AB$14-AA$424/AA$14)/AB$2),0))*AC$14</f>
        <v>4.0174183396912726</v>
      </c>
      <c r="AD424" s="7">
        <f ca="1">(AC$424/AC$14+ IF(AD$2&gt;0,AD$2*IF(AD$6=OFFSET(Assumptions!$B$8,0,$C$1),SUMPRODUCT(OFFSET(AC$424,0,0,1,-OFFSET(Assumptions!$B$67,0,$C$1)),OFFSET(AC$16,0,0,1,-OFFSET(Assumptions!$B$67,0,$C$1)))/OFFSET(Assumptions!$B$67,0,$C$1)-AC$424/AC$14,(AC$424/AC$14-AB$424/AB$14)/AC$2),0))*AD$14</f>
        <v>4.1790193777623772</v>
      </c>
      <c r="AE424" s="7">
        <f ca="1">(AD$424/AD$14+ IF(AE$2&gt;0,AE$2*IF(AE$6=OFFSET(Assumptions!$B$8,0,$C$1),SUMPRODUCT(OFFSET(AD$424,0,0,1,-OFFSET(Assumptions!$B$67,0,$C$1)),OFFSET(AD$16,0,0,1,-OFFSET(Assumptions!$B$67,0,$C$1)))/OFFSET(Assumptions!$B$67,0,$C$1)-AD$424/AD$14,(AD$424/AD$14-AC$424/AC$14)/AD$2),0))*AE$14</f>
        <v>4.3471982174958956</v>
      </c>
      <c r="AF424" s="7">
        <f ca="1">(AE$424/AE$14+ IF(AF$2&gt;0,AF$2*IF(AF$6=OFFSET(Assumptions!$B$8,0,$C$1),SUMPRODUCT(OFFSET(AE$424,0,0,1,-OFFSET(Assumptions!$B$67,0,$C$1)),OFFSET(AE$16,0,0,1,-OFFSET(Assumptions!$B$67,0,$C$1)))/OFFSET(Assumptions!$B$67,0,$C$1)-AE$424/AE$14,(AE$424/AE$14-AD$424/AD$14)/AE$2),0))*AF$14</f>
        <v>4.5224201424023951</v>
      </c>
      <c r="AG424" s="7">
        <f ca="1">(AF$424/AF$14+ IF(AG$2&gt;0,AG$2*IF(AG$6=OFFSET(Assumptions!$B$8,0,$C$1),SUMPRODUCT(OFFSET(AF$424,0,0,1,-OFFSET(Assumptions!$B$67,0,$C$1)),OFFSET(AF$16,0,0,1,-OFFSET(Assumptions!$B$67,0,$C$1)))/OFFSET(Assumptions!$B$67,0,$C$1)-AF$424/AF$14,(AF$424/AF$14-AE$424/AE$14)/AF$2),0))*AG$14</f>
        <v>4.7047831292553068</v>
      </c>
      <c r="AH424" s="7">
        <f ca="1">(AG$424/AG$14+ IF(AH$2&gt;0,AH$2*IF(AH$6=OFFSET(Assumptions!$B$8,0,$C$1),SUMPRODUCT(OFFSET(AG$424,0,0,1,-OFFSET(Assumptions!$B$67,0,$C$1)),OFFSET(AG$16,0,0,1,-OFFSET(Assumptions!$B$67,0,$C$1)))/OFFSET(Assumptions!$B$67,0,$C$1)-AG$424/AG$14,(AG$424/AG$14-AF$424/AF$14)/AG$2),0))*AH$14</f>
        <v>4.8945796097575434</v>
      </c>
      <c r="AI424" s="7">
        <f ca="1">(AH$424/AH$14+ IF(AI$2&gt;0,AI$2*IF(AI$6=OFFSET(Assumptions!$B$8,0,$C$1),SUMPRODUCT(OFFSET(AH$424,0,0,1,-OFFSET(Assumptions!$B$67,0,$C$1)),OFFSET(AH$16,0,0,1,-OFFSET(Assumptions!$B$67,0,$C$1)))/OFFSET(Assumptions!$B$67,0,$C$1)-AH$424/AH$14,(AH$424/AH$14-AG$424/AG$14)/AH$2),0))*AI$14</f>
        <v>5.0914779466286593</v>
      </c>
      <c r="AJ424" s="7">
        <f ca="1">(AI$424/AI$14+ IF(AJ$2&gt;0,AJ$2*IF(AJ$6=OFFSET(Assumptions!$B$8,0,$C$1),SUMPRODUCT(OFFSET(AI$424,0,0,1,-OFFSET(Assumptions!$B$67,0,$C$1)),OFFSET(AI$16,0,0,1,-OFFSET(Assumptions!$B$67,0,$C$1)))/OFFSET(Assumptions!$B$67,0,$C$1)-AI$424/AI$14,(AI$424/AI$14-AH$424/AH$14)/AI$2),0))*AJ$14</f>
        <v>5.296108903342998</v>
      </c>
      <c r="AK424" s="7">
        <f ca="1">(AJ$424/AJ$14+ IF(AK$2&gt;0,AK$2*IF(AK$6=OFFSET(Assumptions!$B$8,0,$C$1),SUMPRODUCT(OFFSET(AJ$424,0,0,1,-OFFSET(Assumptions!$B$67,0,$C$1)),OFFSET(AJ$16,0,0,1,-OFFSET(Assumptions!$B$67,0,$C$1)))/OFFSET(Assumptions!$B$67,0,$C$1)-AJ$424/AJ$14,(AJ$424/AJ$14-AI$424/AI$14)/AJ$2),0))*AK$14</f>
        <v>5.508304144172202</v>
      </c>
      <c r="AL424" s="7">
        <f ca="1">(AK$424/AK$14+ IF(AL$2&gt;0,AL$2*IF(AL$6=OFFSET(Assumptions!$B$8,0,$C$1),SUMPRODUCT(OFFSET(AK$424,0,0,1,-OFFSET(Assumptions!$B$67,0,$C$1)),OFFSET(AK$16,0,0,1,-OFFSET(Assumptions!$B$67,0,$C$1)))/OFFSET(Assumptions!$B$67,0,$C$1)-AK$424/AK$14,(AK$424/AK$14-AJ$424/AJ$14)/AK$2),0))*AL$14</f>
        <v>5.7278965170709899</v>
      </c>
      <c r="AM424" s="7">
        <f ca="1">(AL$424/AL$14+ IF(AM$2&gt;0,AM$2*IF(AM$6=OFFSET(Assumptions!$B$8,0,$C$1),SUMPRODUCT(OFFSET(AL$424,0,0,1,-OFFSET(Assumptions!$B$67,0,$C$1)),OFFSET(AL$16,0,0,1,-OFFSET(Assumptions!$B$67,0,$C$1)))/OFFSET(Assumptions!$B$67,0,$C$1)-AL$424/AL$14,(AL$424/AL$14-AK$424/AK$14)/AL$2),0))*AM$14</f>
        <v>5.9551860138161237</v>
      </c>
      <c r="AN424" s="7">
        <f ca="1">(AM$424/AM$14+ IF(AN$2&gt;0,AN$2*IF(AN$6=OFFSET(Assumptions!$B$8,0,$C$1),SUMPRODUCT(OFFSET(AM$424,0,0,1,-OFFSET(Assumptions!$B$67,0,$C$1)),OFFSET(AM$16,0,0,1,-OFFSET(Assumptions!$B$67,0,$C$1)))/OFFSET(Assumptions!$B$67,0,$C$1)-AM$424/AM$14,(AM$424/AM$14-AL$424/AL$14)/AM$2),0))*AN$14</f>
        <v>6.1904887918964828</v>
      </c>
      <c r="AO424" s="7">
        <f ca="1">(AN$424/AN$14+ IF(AO$2&gt;0,AO$2*IF(AO$6=OFFSET(Assumptions!$B$8,0,$C$1),SUMPRODUCT(OFFSET(AN$424,0,0,1,-OFFSET(Assumptions!$B$67,0,$C$1)),OFFSET(AN$16,0,0,1,-OFFSET(Assumptions!$B$67,0,$C$1)))/OFFSET(Assumptions!$B$67,0,$C$1)-AN$424/AN$14,(AN$424/AN$14-AM$424/AM$14)/AN$2),0))*AO$14</f>
        <v>6.4328808986740187</v>
      </c>
      <c r="AP424" s="7">
        <f ca="1">(AO$424/AO$14+ IF(AP$2&gt;0,AP$2*IF(AP$6=OFFSET(Assumptions!$B$8,0,$C$1),SUMPRODUCT(OFFSET(AO$424,0,0,1,-OFFSET(Assumptions!$B$67,0,$C$1)),OFFSET(AO$16,0,0,1,-OFFSET(Assumptions!$B$67,0,$C$1)))/OFFSET(Assumptions!$B$67,0,$C$1)-AO$424/AO$14,(AO$424/AO$14-AN$424/AN$14)/AO$2),0))*AP$14</f>
        <v>6.6833916510468896</v>
      </c>
      <c r="AQ424" s="7">
        <f ca="1">(AP$424/AP$14+ IF(AQ$2&gt;0,AQ$2*IF(AQ$6=OFFSET(Assumptions!$B$8,0,$C$1),SUMPRODUCT(OFFSET(AP$424,0,0,1,-OFFSET(Assumptions!$B$67,0,$C$1)),OFFSET(AP$16,0,0,1,-OFFSET(Assumptions!$B$67,0,$C$1)))/OFFSET(Assumptions!$B$67,0,$C$1)-AP$424/AP$14,(AP$424/AP$14-AO$424/AO$14)/AP$2),0))*AQ$14</f>
        <v>6.941319118677491</v>
      </c>
      <c r="AR424" s="7">
        <f ca="1">(AQ$424/AQ$14+ IF(AR$2&gt;0,AR$2*IF(AR$6=OFFSET(Assumptions!$B$8,0,$C$1),SUMPRODUCT(OFFSET(AQ$424,0,0,1,-OFFSET(Assumptions!$B$67,0,$C$1)),OFFSET(AQ$16,0,0,1,-OFFSET(Assumptions!$B$67,0,$C$1)))/OFFSET(Assumptions!$B$67,0,$C$1)-AQ$424/AQ$14,(AQ$424/AQ$14-AP$424/AP$14)/AQ$2),0))*AR$14</f>
        <v>7.2069553216015976</v>
      </c>
      <c r="AS424" s="7">
        <f ca="1">(AR$424/AR$14+ IF(AS$2&gt;0,AS$2*IF(AS$6=OFFSET(Assumptions!$B$8,0,$C$1),SUMPRODUCT(OFFSET(AR$424,0,0,1,-OFFSET(Assumptions!$B$67,0,$C$1)),OFFSET(AR$16,0,0,1,-OFFSET(Assumptions!$B$67,0,$C$1)))/OFFSET(Assumptions!$B$67,0,$C$1)-AR$424/AR$14,(AR$424/AR$14-AQ$424/AQ$14)/AR$2),0))*AS$14</f>
        <v>7.4809199814186522</v>
      </c>
      <c r="AT424" s="7">
        <f ca="1">(AS$424/AS$14+ IF(AT$2&gt;0,AT$2*IF(AT$6=OFFSET(Assumptions!$B$8,0,$C$1),SUMPRODUCT(OFFSET(AS$424,0,0,1,-OFFSET(Assumptions!$B$67,0,$C$1)),OFFSET(AS$16,0,0,1,-OFFSET(Assumptions!$B$67,0,$C$1)))/OFFSET(Assumptions!$B$67,0,$C$1)-AS$424/AS$14,(AS$424/AS$14-AR$424/AR$14)/AS$2),0))*AT$14</f>
        <v>7.7634319047330926</v>
      </c>
      <c r="AU424" s="7">
        <f ca="1">(AT$424/AT$14+ IF(AU$2&gt;0,AU$2*IF(AU$6=OFFSET(Assumptions!$B$8,0,$C$1),SUMPRODUCT(OFFSET(AT$424,0,0,1,-OFFSET(Assumptions!$B$67,0,$C$1)),OFFSET(AT$16,0,0,1,-OFFSET(Assumptions!$B$67,0,$C$1)))/OFFSET(Assumptions!$B$67,0,$C$1)-AT$424/AT$14,(AT$424/AT$14-AS$424/AS$14)/AT$2),0))*AU$14</f>
        <v>8.054866769333664</v>
      </c>
      <c r="AV424" s="7">
        <f ca="1">(AU$424/AU$14+ IF(AV$2&gt;0,AV$2*IF(AV$6=OFFSET(Assumptions!$B$8,0,$C$1),SUMPRODUCT(OFFSET(AU$424,0,0,1,-OFFSET(Assumptions!$B$67,0,$C$1)),OFFSET(AU$16,0,0,1,-OFFSET(Assumptions!$B$67,0,$C$1)))/OFFSET(Assumptions!$B$67,0,$C$1)-AU$424/AU$14,(AU$424/AU$14-AT$424/AT$14)/AU$2),0))*AV$14</f>
        <v>8.3561256621141968</v>
      </c>
      <c r="AW424" s="7">
        <f ca="1">(AV$424/AV$14+ IF(AW$2&gt;0,AW$2*IF(AW$6=OFFSET(Assumptions!$B$8,0,$C$1),SUMPRODUCT(OFFSET(AV$424,0,0,1,-OFFSET(Assumptions!$B$67,0,$C$1)),OFFSET(AV$16,0,0,1,-OFFSET(Assumptions!$B$67,0,$C$1)))/OFFSET(Assumptions!$B$67,0,$C$1)-AV$424/AV$14,(AV$424/AV$14-AU$424/AU$14)/AV$2),0))*AW$14</f>
        <v>8.6670385055055945</v>
      </c>
    </row>
    <row r="425" spans="1:49" x14ac:dyDescent="0.2">
      <c r="A425" s="1" t="s">
        <v>295</v>
      </c>
      <c r="B425" s="4" t="str">
        <f t="shared" si="257"/>
        <v>From Fiscal</v>
      </c>
      <c r="D425" s="18">
        <f>Fiscal!D$331</f>
        <v>0.60699999999999998</v>
      </c>
      <c r="E425" s="19">
        <f>Fiscal!E$331</f>
        <v>0.59599999999999997</v>
      </c>
      <c r="F425" s="19">
        <f>Fiscal!F$331</f>
        <v>0.69</v>
      </c>
      <c r="G425" s="19">
        <f>Fiscal!G$331</f>
        <v>0.72699999999999998</v>
      </c>
      <c r="H425" s="19">
        <f>Fiscal!H$331</f>
        <v>0.72699999999999998</v>
      </c>
      <c r="I425" s="19">
        <f>Fiscal!I$331</f>
        <v>0.71499999999999997</v>
      </c>
      <c r="J425" s="7">
        <f ca="1">(I$425/I$14+ IF(J$2&gt;0,J$2*IF(J$6=OFFSET(Assumptions!$B$8,0,$C$1),SUMPRODUCT(OFFSET(I$425,0,0,1,-OFFSET(Assumptions!$B$67,0,$C$1)),OFFSET(I$16,0,0,1,-OFFSET(Assumptions!$B$67,0,$C$1)))/OFFSET(Assumptions!$B$67,0,$C$1)-I$425/I$14,(I$425/I$14-H$425/H$14)/I$2),0))*J$14</f>
        <v>0.7592130276618011</v>
      </c>
      <c r="K425" s="7">
        <f ca="1">(J$425/J$14+ IF(K$2&gt;0,K$2*IF(K$6=OFFSET(Assumptions!$B$8,0,$C$1),SUMPRODUCT(OFFSET(J$425,0,0,1,-OFFSET(Assumptions!$B$67,0,$C$1)),OFFSET(J$16,0,0,1,-OFFSET(Assumptions!$B$67,0,$C$1)))/OFFSET(Assumptions!$B$67,0,$C$1)-J$425/J$14,(J$425/J$14-I$425/I$14)/J$2),0))*K$14</f>
        <v>0.80267955712949723</v>
      </c>
      <c r="L425" s="7">
        <f ca="1">(K$425/K$14+ IF(L$2&gt;0,L$2*IF(L$6=OFFSET(Assumptions!$B$8,0,$C$1),SUMPRODUCT(OFFSET(K$425,0,0,1,-OFFSET(Assumptions!$B$67,0,$C$1)),OFFSET(K$16,0,0,1,-OFFSET(Assumptions!$B$67,0,$C$1)))/OFFSET(Assumptions!$B$67,0,$C$1)-K$425/K$14,(K$425/K$14-J$425/J$14)/K$2),0))*L$14</f>
        <v>0.84665770443464028</v>
      </c>
      <c r="M425" s="7">
        <f ca="1">(L$425/L$14+ IF(M$2&gt;0,M$2*IF(M$6=OFFSET(Assumptions!$B$8,0,$C$1),SUMPRODUCT(OFFSET(L$425,0,0,1,-OFFSET(Assumptions!$B$67,0,$C$1)),OFFSET(L$16,0,0,1,-OFFSET(Assumptions!$B$67,0,$C$1)))/OFFSET(Assumptions!$B$67,0,$C$1)-L$425/L$14,(L$425/L$14-K$425/K$14)/L$2),0))*M$14</f>
        <v>0.88962721691401125</v>
      </c>
      <c r="N425" s="7">
        <f ca="1">(M$425/M$14+ IF(N$2&gt;0,N$2*IF(N$6=OFFSET(Assumptions!$B$8,0,$C$1),SUMPRODUCT(OFFSET(M$425,0,0,1,-OFFSET(Assumptions!$B$67,0,$C$1)),OFFSET(M$16,0,0,1,-OFFSET(Assumptions!$B$67,0,$C$1)))/OFFSET(Assumptions!$B$67,0,$C$1)-M$425/M$14,(M$425/M$14-L$425/L$14)/M$2),0))*N$14</f>
        <v>0.931326570160665</v>
      </c>
      <c r="O425" s="7">
        <f ca="1">(N$425/N$14+ IF(O$2&gt;0,O$2*IF(O$6=OFFSET(Assumptions!$B$8,0,$C$1),SUMPRODUCT(OFFSET(N$425,0,0,1,-OFFSET(Assumptions!$B$67,0,$C$1)),OFFSET(N$16,0,0,1,-OFFSET(Assumptions!$B$67,0,$C$1)))/OFFSET(Assumptions!$B$67,0,$C$1)-N$425/N$14,(N$425/N$14-M$425/M$14)/N$2),0))*O$14</f>
        <v>0.97108185887463705</v>
      </c>
      <c r="P425" s="7">
        <f ca="1">(O$425/O$14+ IF(P$2&gt;0,P$2*IF(P$6=OFFSET(Assumptions!$B$8,0,$C$1),SUMPRODUCT(OFFSET(O$425,0,0,1,-OFFSET(Assumptions!$B$67,0,$C$1)),OFFSET(O$16,0,0,1,-OFFSET(Assumptions!$B$67,0,$C$1)))/OFFSET(Assumptions!$B$67,0,$C$1)-O$425/O$14,(O$425/O$14-N$425/N$14)/O$2),0))*P$14</f>
        <v>1.0121478436831339</v>
      </c>
      <c r="Q425" s="7">
        <f ca="1">(P$425/P$14+ IF(Q$2&gt;0,Q$2*IF(Q$6=OFFSET(Assumptions!$B$8,0,$C$1),SUMPRODUCT(OFFSET(P$425,0,0,1,-OFFSET(Assumptions!$B$67,0,$C$1)),OFFSET(P$16,0,0,1,-OFFSET(Assumptions!$B$67,0,$C$1)))/OFFSET(Assumptions!$B$67,0,$C$1)-P$425/P$14,(P$425/P$14-O$425/O$14)/P$2),0))*Q$14</f>
        <v>1.0544801657820773</v>
      </c>
      <c r="R425" s="7">
        <f ca="1">(Q$425/Q$14+ IF(R$2&gt;0,R$2*IF(R$6=OFFSET(Assumptions!$B$8,0,$C$1),SUMPRODUCT(OFFSET(Q$425,0,0,1,-OFFSET(Assumptions!$B$67,0,$C$1)),OFFSET(Q$16,0,0,1,-OFFSET(Assumptions!$B$67,0,$C$1)))/OFFSET(Assumptions!$B$67,0,$C$1)-Q$425/Q$14,(Q$425/Q$14-P$425/P$14)/Q$2),0))*R$14</f>
        <v>1.0980474053809139</v>
      </c>
      <c r="S425" s="7">
        <f ca="1">(R$425/R$14+ IF(S$2&gt;0,S$2*IF(S$6=OFFSET(Assumptions!$B$8,0,$C$1),SUMPRODUCT(OFFSET(R$425,0,0,1,-OFFSET(Assumptions!$B$67,0,$C$1)),OFFSET(R$16,0,0,1,-OFFSET(Assumptions!$B$67,0,$C$1)))/OFFSET(Assumptions!$B$67,0,$C$1)-R$425/R$14,(R$425/R$14-Q$425/Q$14)/R$2),0))*S$14</f>
        <v>1.1429880173905416</v>
      </c>
      <c r="T425" s="7">
        <f ca="1">(S$425/S$14+ IF(T$2&gt;0,T$2*IF(T$6=OFFSET(Assumptions!$B$8,0,$C$1),SUMPRODUCT(OFFSET(S$425,0,0,1,-OFFSET(Assumptions!$B$67,0,$C$1)),OFFSET(S$16,0,0,1,-OFFSET(Assumptions!$B$67,0,$C$1)))/OFFSET(Assumptions!$B$67,0,$C$1)-S$425/S$14,(S$425/S$14-R$425/R$14)/S$2),0))*T$14</f>
        <v>1.1893183901306181</v>
      </c>
      <c r="U425" s="7">
        <f ca="1">(T$425/T$14+ IF(U$2&gt;0,U$2*IF(U$6=OFFSET(Assumptions!$B$8,0,$C$1),SUMPRODUCT(OFFSET(T$425,0,0,1,-OFFSET(Assumptions!$B$67,0,$C$1)),OFFSET(T$16,0,0,1,-OFFSET(Assumptions!$B$67,0,$C$1)))/OFFSET(Assumptions!$B$67,0,$C$1)-T$425/T$14,(T$425/T$14-S$425/S$14)/T$2),0))*U$14</f>
        <v>1.237204802087654</v>
      </c>
      <c r="V425" s="7">
        <f ca="1">(U$425/U$14+ IF(V$2&gt;0,V$2*IF(V$6=OFFSET(Assumptions!$B$8,0,$C$1),SUMPRODUCT(OFFSET(U$425,0,0,1,-OFFSET(Assumptions!$B$67,0,$C$1)),OFFSET(U$16,0,0,1,-OFFSET(Assumptions!$B$67,0,$C$1)))/OFFSET(Assumptions!$B$67,0,$C$1)-U$425/U$14,(U$425/U$14-T$425/T$14)/U$2),0))*V$14</f>
        <v>1.2867654611430814</v>
      </c>
      <c r="W425" s="7">
        <f ca="1">(V$425/V$14+ IF(W$2&gt;0,W$2*IF(W$6=OFFSET(Assumptions!$B$8,0,$C$1),SUMPRODUCT(OFFSET(V$425,0,0,1,-OFFSET(Assumptions!$B$67,0,$C$1)),OFFSET(V$16,0,0,1,-OFFSET(Assumptions!$B$67,0,$C$1)))/OFFSET(Assumptions!$B$67,0,$C$1)-V$425/V$14,(V$425/V$14-U$425/U$14)/V$2),0))*W$14</f>
        <v>1.3381439570272335</v>
      </c>
      <c r="X425" s="7">
        <f ca="1">(W$425/W$14+ IF(X$2&gt;0,X$2*IF(X$6=OFFSET(Assumptions!$B$8,0,$C$1),SUMPRODUCT(OFFSET(W$425,0,0,1,-OFFSET(Assumptions!$B$67,0,$C$1)),OFFSET(W$16,0,0,1,-OFFSET(Assumptions!$B$67,0,$C$1)))/OFFSET(Assumptions!$B$67,0,$C$1)-W$425/W$14,(W$425/W$14-V$425/V$14)/W$2),0))*X$14</f>
        <v>1.391503028933488</v>
      </c>
      <c r="Y425" s="7">
        <f ca="1">(X$425/X$14+ IF(Y$2&gt;0,Y$2*IF(Y$6=OFFSET(Assumptions!$B$8,0,$C$1),SUMPRODUCT(OFFSET(X$425,0,0,1,-OFFSET(Assumptions!$B$67,0,$C$1)),OFFSET(X$16,0,0,1,-OFFSET(Assumptions!$B$67,0,$C$1)))/OFFSET(Assumptions!$B$67,0,$C$1)-X$425/X$14,(X$425/X$14-W$425/W$14)/X$2),0))*Y$14</f>
        <v>1.4468372217979339</v>
      </c>
      <c r="Z425" s="7">
        <f ca="1">(Y$425/Y$14+ IF(Z$2&gt;0,Z$2*IF(Z$6=OFFSET(Assumptions!$B$8,0,$C$1),SUMPRODUCT(OFFSET(Y$425,0,0,1,-OFFSET(Assumptions!$B$67,0,$C$1)),OFFSET(Y$16,0,0,1,-OFFSET(Assumptions!$B$67,0,$C$1)))/OFFSET(Assumptions!$B$67,0,$C$1)-Y$425/Y$14,(Y$425/Y$14-X$425/X$14)/Y$2),0))*Z$14</f>
        <v>1.5044266175169771</v>
      </c>
      <c r="AA425" s="7">
        <f ca="1">(Z$425/Z$14+ IF(AA$2&gt;0,AA$2*IF(AA$6=OFFSET(Assumptions!$B$8,0,$C$1),SUMPRODUCT(OFFSET(Z$425,0,0,1,-OFFSET(Assumptions!$B$67,0,$C$1)),OFFSET(Z$16,0,0,1,-OFFSET(Assumptions!$B$67,0,$C$1)))/OFFSET(Assumptions!$B$67,0,$C$1)-Z$425/Z$14,(Z$425/Z$14-Y$425/Y$14)/Z$2),0))*AA$14</f>
        <v>1.5643643959314877</v>
      </c>
      <c r="AB425" s="7">
        <f ca="1">(AA$425/AA$14+ IF(AB$2&gt;0,AB$2*IF(AB$6=OFFSET(Assumptions!$B$8,0,$C$1),SUMPRODUCT(OFFSET(AA$425,0,0,1,-OFFSET(Assumptions!$B$67,0,$C$1)),OFFSET(AA$16,0,0,1,-OFFSET(Assumptions!$B$67,0,$C$1)))/OFFSET(Assumptions!$B$67,0,$C$1)-AA$425/AA$14,(AA$425/AA$14-Z$425/Z$14)/AA$2),0))*AB$14</f>
        <v>1.6268305557253737</v>
      </c>
      <c r="AC425" s="7">
        <f ca="1">(AB$425/AB$14+ IF(AC$2&gt;0,AC$2*IF(AC$6=OFFSET(Assumptions!$B$8,0,$C$1),SUMPRODUCT(OFFSET(AB$425,0,0,1,-OFFSET(Assumptions!$B$67,0,$C$1)),OFFSET(AB$16,0,0,1,-OFFSET(Assumptions!$B$67,0,$C$1)))/OFFSET(Assumptions!$B$67,0,$C$1)-AB$425/AB$14,(AB$425/AB$14-AA$425/AA$14)/AB$2),0))*AC$14</f>
        <v>1.6920609151286645</v>
      </c>
      <c r="AD425" s="7">
        <f ca="1">(AC$425/AC$14+ IF(AD$2&gt;0,AD$2*IF(AD$6=OFFSET(Assumptions!$B$8,0,$C$1),SUMPRODUCT(OFFSET(AC$425,0,0,1,-OFFSET(Assumptions!$B$67,0,$C$1)),OFFSET(AC$16,0,0,1,-OFFSET(Assumptions!$B$67,0,$C$1)))/OFFSET(Assumptions!$B$67,0,$C$1)-AC$425/AC$14,(AC$425/AC$14-AB$425/AB$14)/AC$2),0))*AD$14</f>
        <v>1.7601242277448332</v>
      </c>
      <c r="AE425" s="7">
        <f ca="1">(AD$425/AD$14+ IF(AE$2&gt;0,AE$2*IF(AE$6=OFFSET(Assumptions!$B$8,0,$C$1),SUMPRODUCT(OFFSET(AD$425,0,0,1,-OFFSET(Assumptions!$B$67,0,$C$1)),OFFSET(AD$16,0,0,1,-OFFSET(Assumptions!$B$67,0,$C$1)))/OFFSET(Assumptions!$B$67,0,$C$1)-AD$425/AD$14,(AD$425/AD$14-AC$425/AC$14)/AD$2),0))*AE$14</f>
        <v>1.8309579864931547</v>
      </c>
      <c r="AF425" s="7">
        <f ca="1">(AE$425/AE$14+ IF(AF$2&gt;0,AF$2*IF(AF$6=OFFSET(Assumptions!$B$8,0,$C$1),SUMPRODUCT(OFFSET(AE$425,0,0,1,-OFFSET(Assumptions!$B$67,0,$C$1)),OFFSET(AE$16,0,0,1,-OFFSET(Assumptions!$B$67,0,$C$1)))/OFFSET(Assumptions!$B$67,0,$C$1)-AE$425/AE$14,(AE$425/AE$14-AD$425/AD$14)/AE$2),0))*AF$14</f>
        <v>1.9047581600221783</v>
      </c>
      <c r="AG425" s="7">
        <f ca="1">(AF$425/AF$14+ IF(AG$2&gt;0,AG$2*IF(AG$6=OFFSET(Assumptions!$B$8,0,$C$1),SUMPRODUCT(OFFSET(AF$425,0,0,1,-OFFSET(Assumptions!$B$67,0,$C$1)),OFFSET(AF$16,0,0,1,-OFFSET(Assumptions!$B$67,0,$C$1)))/OFFSET(Assumptions!$B$67,0,$C$1)-AF$425/AF$14,(AF$425/AF$14-AE$425/AE$14)/AF$2),0))*AG$14</f>
        <v>1.9815660143029572</v>
      </c>
      <c r="AH425" s="7">
        <f ca="1">(AG$425/AG$14+ IF(AH$2&gt;0,AH$2*IF(AH$6=OFFSET(Assumptions!$B$8,0,$C$1),SUMPRODUCT(OFFSET(AG$425,0,0,1,-OFFSET(Assumptions!$B$67,0,$C$1)),OFFSET(AG$16,0,0,1,-OFFSET(Assumptions!$B$67,0,$C$1)))/OFFSET(Assumptions!$B$67,0,$C$1)-AG$425/AG$14,(AG$425/AG$14-AF$425/AF$14)/AG$2),0))*AH$14</f>
        <v>2.0615047160592437</v>
      </c>
      <c r="AI425" s="7">
        <f ca="1">(AH$425/AH$14+ IF(AI$2&gt;0,AI$2*IF(AI$6=OFFSET(Assumptions!$B$8,0,$C$1),SUMPRODUCT(OFFSET(AH$425,0,0,1,-OFFSET(Assumptions!$B$67,0,$C$1)),OFFSET(AH$16,0,0,1,-OFFSET(Assumptions!$B$67,0,$C$1)))/OFFSET(Assumptions!$B$67,0,$C$1)-AH$425/AH$14,(AH$425/AH$14-AG$425/AG$14)/AH$2),0))*AI$14</f>
        <v>2.1444345859166747</v>
      </c>
      <c r="AJ425" s="7">
        <f ca="1">(AI$425/AI$14+ IF(AJ$2&gt;0,AJ$2*IF(AJ$6=OFFSET(Assumptions!$B$8,0,$C$1),SUMPRODUCT(OFFSET(AI$425,0,0,1,-OFFSET(Assumptions!$B$67,0,$C$1)),OFFSET(AI$16,0,0,1,-OFFSET(Assumptions!$B$67,0,$C$1)))/OFFSET(Assumptions!$B$67,0,$C$1)-AI$425/AI$14,(AI$425/AI$14-AH$425/AH$14)/AI$2),0))*AJ$14</f>
        <v>2.2306212895668418</v>
      </c>
      <c r="AK425" s="7">
        <f ca="1">(AJ$425/AJ$14+ IF(AK$2&gt;0,AK$2*IF(AK$6=OFFSET(Assumptions!$B$8,0,$C$1),SUMPRODUCT(OFFSET(AJ$425,0,0,1,-OFFSET(Assumptions!$B$67,0,$C$1)),OFFSET(AJ$16,0,0,1,-OFFSET(Assumptions!$B$67,0,$C$1)))/OFFSET(Assumptions!$B$67,0,$C$1)-AJ$425/AJ$14,(AJ$425/AJ$14-AI$425/AI$14)/AJ$2),0))*AK$14</f>
        <v>2.3199939271724648</v>
      </c>
      <c r="AL425" s="7">
        <f ca="1">(AK$425/AK$14+ IF(AL$2&gt;0,AL$2*IF(AL$6=OFFSET(Assumptions!$B$8,0,$C$1),SUMPRODUCT(OFFSET(AK$425,0,0,1,-OFFSET(Assumptions!$B$67,0,$C$1)),OFFSET(AK$16,0,0,1,-OFFSET(Assumptions!$B$67,0,$C$1)))/OFFSET(Assumptions!$B$67,0,$C$1)-AK$425/AK$14,(AK$425/AK$14-AJ$425/AJ$14)/AK$2),0))*AL$14</f>
        <v>2.4124820974412731</v>
      </c>
      <c r="AM425" s="7">
        <f ca="1">(AL$425/AL$14+ IF(AM$2&gt;0,AM$2*IF(AM$6=OFFSET(Assumptions!$B$8,0,$C$1),SUMPRODUCT(OFFSET(AL$425,0,0,1,-OFFSET(Assumptions!$B$67,0,$C$1)),OFFSET(AL$16,0,0,1,-OFFSET(Assumptions!$B$67,0,$C$1)))/OFFSET(Assumptions!$B$67,0,$C$1)-AL$425/AL$14,(AL$425/AL$14-AK$425/AK$14)/AL$2),0))*AM$14</f>
        <v>2.5082121512576894</v>
      </c>
      <c r="AN425" s="7">
        <f ca="1">(AM$425/AM$14+ IF(AN$2&gt;0,AN$2*IF(AN$6=OFFSET(Assumptions!$B$8,0,$C$1),SUMPRODUCT(OFFSET(AM$425,0,0,1,-OFFSET(Assumptions!$B$67,0,$C$1)),OFFSET(AM$16,0,0,1,-OFFSET(Assumptions!$B$67,0,$C$1)))/OFFSET(Assumptions!$B$67,0,$C$1)-AM$425/AM$14,(AM$425/AM$14-AL$425/AL$14)/AM$2),0))*AN$14</f>
        <v>2.6073172481995148</v>
      </c>
      <c r="AO425" s="7">
        <f ca="1">(AN$425/AN$14+ IF(AO$2&gt;0,AO$2*IF(AO$6=OFFSET(Assumptions!$B$8,0,$C$1),SUMPRODUCT(OFFSET(AN$425,0,0,1,-OFFSET(Assumptions!$B$67,0,$C$1)),OFFSET(AN$16,0,0,1,-OFFSET(Assumptions!$B$67,0,$C$1)))/OFFSET(Assumptions!$B$67,0,$C$1)-AN$425/AN$14,(AN$425/AN$14-AM$425/AM$14)/AN$2),0))*AO$14</f>
        <v>2.7094082368231889</v>
      </c>
      <c r="AP425" s="7">
        <f ca="1">(AO$425/AO$14+ IF(AP$2&gt;0,AP$2*IF(AP$6=OFFSET(Assumptions!$B$8,0,$C$1),SUMPRODUCT(OFFSET(AO$425,0,0,1,-OFFSET(Assumptions!$B$67,0,$C$1)),OFFSET(AO$16,0,0,1,-OFFSET(Assumptions!$B$67,0,$C$1)))/OFFSET(Assumptions!$B$67,0,$C$1)-AO$425/AO$14,(AO$425/AO$14-AN$425/AN$14)/AO$2),0))*AP$14</f>
        <v>2.8149186460135307</v>
      </c>
      <c r="AQ425" s="7">
        <f ca="1">(AP$425/AP$14+ IF(AQ$2&gt;0,AQ$2*IF(AQ$6=OFFSET(Assumptions!$B$8,0,$C$1),SUMPRODUCT(OFFSET(AP$425,0,0,1,-OFFSET(Assumptions!$B$67,0,$C$1)),OFFSET(AP$16,0,0,1,-OFFSET(Assumptions!$B$67,0,$C$1)))/OFFSET(Assumptions!$B$67,0,$C$1)-AP$425/AP$14,(AP$425/AP$14-AO$425/AO$14)/AP$2),0))*AQ$14</f>
        <v>2.9235528359369516</v>
      </c>
      <c r="AR425" s="7">
        <f ca="1">(AQ$425/AQ$14+ IF(AR$2&gt;0,AR$2*IF(AR$6=OFFSET(Assumptions!$B$8,0,$C$1),SUMPRODUCT(OFFSET(AQ$425,0,0,1,-OFFSET(Assumptions!$B$67,0,$C$1)),OFFSET(AQ$16,0,0,1,-OFFSET(Assumptions!$B$67,0,$C$1)))/OFFSET(Assumptions!$B$67,0,$C$1)-AQ$425/AQ$14,(AQ$425/AQ$14-AP$425/AP$14)/AQ$2),0))*AR$14</f>
        <v>3.0354337999307606</v>
      </c>
      <c r="AS425" s="7">
        <f ca="1">(AR$425/AR$14+ IF(AS$2&gt;0,AS$2*IF(AS$6=OFFSET(Assumptions!$B$8,0,$C$1),SUMPRODUCT(OFFSET(AR$425,0,0,1,-OFFSET(Assumptions!$B$67,0,$C$1)),OFFSET(AR$16,0,0,1,-OFFSET(Assumptions!$B$67,0,$C$1)))/OFFSET(Assumptions!$B$67,0,$C$1)-AR$425/AR$14,(AR$425/AR$14-AQ$425/AQ$14)/AR$2),0))*AS$14</f>
        <v>3.1508225530568743</v>
      </c>
      <c r="AT425" s="7">
        <f ca="1">(AS$425/AS$14+ IF(AT$2&gt;0,AT$2*IF(AT$6=OFFSET(Assumptions!$B$8,0,$C$1),SUMPRODUCT(OFFSET(AS$425,0,0,1,-OFFSET(Assumptions!$B$67,0,$C$1)),OFFSET(AS$16,0,0,1,-OFFSET(Assumptions!$B$67,0,$C$1)))/OFFSET(Assumptions!$B$67,0,$C$1)-AS$425/AS$14,(AS$425/AS$14-AR$425/AR$14)/AS$2),0))*AT$14</f>
        <v>3.2698112525346903</v>
      </c>
      <c r="AU425" s="7">
        <f ca="1">(AT$425/AT$14+ IF(AU$2&gt;0,AU$2*IF(AU$6=OFFSET(Assumptions!$B$8,0,$C$1),SUMPRODUCT(OFFSET(AT$425,0,0,1,-OFFSET(Assumptions!$B$67,0,$C$1)),OFFSET(AT$16,0,0,1,-OFFSET(Assumptions!$B$67,0,$C$1)))/OFFSET(Assumptions!$B$67,0,$C$1)-AT$425/AT$14,(AT$425/AT$14-AS$425/AS$14)/AT$2),0))*AU$14</f>
        <v>3.3925581267709291</v>
      </c>
      <c r="AV425" s="7">
        <f ca="1">(AU$425/AU$14+ IF(AV$2&gt;0,AV$2*IF(AV$6=OFFSET(Assumptions!$B$8,0,$C$1),SUMPRODUCT(OFFSET(AU$425,0,0,1,-OFFSET(Assumptions!$B$67,0,$C$1)),OFFSET(AU$16,0,0,1,-OFFSET(Assumptions!$B$67,0,$C$1)))/OFFSET(Assumptions!$B$67,0,$C$1)-AU$425/AU$14,(AU$425/AU$14-AT$425/AT$14)/AU$2),0))*AV$14</f>
        <v>3.5194426965884817</v>
      </c>
      <c r="AW425" s="7">
        <f ca="1">(AV$425/AV$14+ IF(AW$2&gt;0,AW$2*IF(AW$6=OFFSET(Assumptions!$B$8,0,$C$1),SUMPRODUCT(OFFSET(AV$425,0,0,1,-OFFSET(Assumptions!$B$67,0,$C$1)),OFFSET(AV$16,0,0,1,-OFFSET(Assumptions!$B$67,0,$C$1)))/OFFSET(Assumptions!$B$67,0,$C$1)-AV$425/AV$14,(AV$425/AV$14-AU$425/AU$14)/AV$2),0))*AW$14</f>
        <v>3.6503933285195669</v>
      </c>
    </row>
    <row r="426" spans="1:49" x14ac:dyDescent="0.2">
      <c r="A426" s="1" t="s">
        <v>529</v>
      </c>
      <c r="B426" s="4" t="str">
        <f t="shared" si="257"/>
        <v>From Fiscal</v>
      </c>
      <c r="D426" s="18">
        <f>SUM(Fiscal!D$332:D$333)</f>
        <v>1.21</v>
      </c>
      <c r="E426" s="19">
        <f>SUM(Fiscal!E$332:E$333)</f>
        <v>1.3220000000000001</v>
      </c>
      <c r="F426" s="19">
        <f>SUM(Fiscal!F$332:F$333)</f>
        <v>1.3520000000000001</v>
      </c>
      <c r="G426" s="19">
        <f>SUM(Fiscal!G$332:G$333)</f>
        <v>1.357</v>
      </c>
      <c r="H426" s="19">
        <f>SUM(Fiscal!H$332:H$333)</f>
        <v>1.3720000000000001</v>
      </c>
      <c r="I426" s="19">
        <f>SUM(Fiscal!I$332:I$333)</f>
        <v>1.3839999999999999</v>
      </c>
      <c r="J426" s="7">
        <f ca="1">(I$426/I$14+ IF(J$2&gt;0,J$2*IF(J$6=OFFSET(Assumptions!$B$8,0,$C$1),SUMPRODUCT(OFFSET(I$426,0,0,1,-OFFSET(Assumptions!$B$67,0,$C$1)),OFFSET(I$16,0,0,1,-OFFSET(Assumptions!$B$67,0,$C$1)))/OFFSET(Assumptions!$B$67,0,$C$1)-I$426/I$14,(I$426/I$14-H$426/H$14)/I$2),0))*J$14</f>
        <v>1.4589762035626079</v>
      </c>
      <c r="K426" s="7">
        <f ca="1">(J$426/J$14+ IF(K$2&gt;0,K$2*IF(K$6=OFFSET(Assumptions!$B$8,0,$C$1),SUMPRODUCT(OFFSET(J$426,0,0,1,-OFFSET(Assumptions!$B$67,0,$C$1)),OFFSET(J$16,0,0,1,-OFFSET(Assumptions!$B$67,0,$C$1)))/OFFSET(Assumptions!$B$67,0,$C$1)-J$426/J$14,(J$426/J$14-I$426/I$14)/J$2),0))*K$14</f>
        <v>1.5338307511900757</v>
      </c>
      <c r="L426" s="7">
        <f ca="1">(K$426/K$14+ IF(L$2&gt;0,L$2*IF(L$6=OFFSET(Assumptions!$B$8,0,$C$1),SUMPRODUCT(OFFSET(K$426,0,0,1,-OFFSET(Assumptions!$B$67,0,$C$1)),OFFSET(K$16,0,0,1,-OFFSET(Assumptions!$B$67,0,$C$1)))/OFFSET(Assumptions!$B$67,0,$C$1)-K$426/K$14,(K$426/K$14-J$426/J$14)/K$2),0))*L$14</f>
        <v>1.611179166462863</v>
      </c>
      <c r="M426" s="7">
        <f ca="1">(L$426/L$14+ IF(M$2&gt;0,M$2*IF(M$6=OFFSET(Assumptions!$B$8,0,$C$1),SUMPRODUCT(OFFSET(L$426,0,0,1,-OFFSET(Assumptions!$B$67,0,$C$1)),OFFSET(L$16,0,0,1,-OFFSET(Assumptions!$B$67,0,$C$1)))/OFFSET(Assumptions!$B$67,0,$C$1)-L$426/L$14,(L$426/L$14-K$426/K$14)/L$2),0))*M$14</f>
        <v>1.6883481540210903</v>
      </c>
      <c r="N426" s="7">
        <f ca="1">(M$426/M$14+ IF(N$2&gt;0,N$2*IF(N$6=OFFSET(Assumptions!$B$8,0,$C$1),SUMPRODUCT(OFFSET(M$426,0,0,1,-OFFSET(Assumptions!$B$67,0,$C$1)),OFFSET(M$16,0,0,1,-OFFSET(Assumptions!$B$67,0,$C$1)))/OFFSET(Assumptions!$B$67,0,$C$1)-M$426/M$14,(M$426/M$14-L$426/L$14)/M$2),0))*N$14</f>
        <v>1.7651031021867569</v>
      </c>
      <c r="O426" s="7">
        <f ca="1">(N$426/N$14+ IF(O$2&gt;0,O$2*IF(O$6=OFFSET(Assumptions!$B$8,0,$C$1),SUMPRODUCT(OFFSET(N$426,0,0,1,-OFFSET(Assumptions!$B$67,0,$C$1)),OFFSET(N$16,0,0,1,-OFFSET(Assumptions!$B$67,0,$C$1)))/OFFSET(Assumptions!$B$67,0,$C$1)-N$426/N$14,(N$426/N$14-M$426/M$14)/N$2),0))*O$14</f>
        <v>1.8404495871745701</v>
      </c>
      <c r="P426" s="7">
        <f ca="1">(O$426/O$14+ IF(P$2&gt;0,P$2*IF(P$6=OFFSET(Assumptions!$B$8,0,$C$1),SUMPRODUCT(OFFSET(O$426,0,0,1,-OFFSET(Assumptions!$B$67,0,$C$1)),OFFSET(O$16,0,0,1,-OFFSET(Assumptions!$B$67,0,$C$1)))/OFFSET(Assumptions!$B$67,0,$C$1)-O$426/O$14,(O$426/O$14-N$426/N$14)/O$2),0))*P$14</f>
        <v>1.9182801779708012</v>
      </c>
      <c r="Q426" s="7">
        <f ca="1">(P$426/P$14+ IF(Q$2&gt;0,Q$2*IF(Q$6=OFFSET(Assumptions!$B$8,0,$C$1),SUMPRODUCT(OFFSET(P$426,0,0,1,-OFFSET(Assumptions!$B$67,0,$C$1)),OFFSET(P$16,0,0,1,-OFFSET(Assumptions!$B$67,0,$C$1)))/OFFSET(Assumptions!$B$67,0,$C$1)-P$426/P$14,(P$426/P$14-O$426/O$14)/P$2),0))*Q$14</f>
        <v>1.9985108032462331</v>
      </c>
      <c r="R426" s="7">
        <f ca="1">(Q$426/Q$14+ IF(R$2&gt;0,R$2*IF(R$6=OFFSET(Assumptions!$B$8,0,$C$1),SUMPRODUCT(OFFSET(Q$426,0,0,1,-OFFSET(Assumptions!$B$67,0,$C$1)),OFFSET(Q$16,0,0,1,-OFFSET(Assumptions!$B$67,0,$C$1)))/OFFSET(Assumptions!$B$67,0,$C$1)-Q$426/Q$14,(Q$426/Q$14-P$426/P$14)/Q$2),0))*R$14</f>
        <v>2.0810819144262287</v>
      </c>
      <c r="S426" s="7">
        <f ca="1">(R$426/R$14+ IF(S$2&gt;0,S$2*IF(S$6=OFFSET(Assumptions!$B$8,0,$C$1),SUMPRODUCT(OFFSET(R$426,0,0,1,-OFFSET(Assumptions!$B$67,0,$C$1)),OFFSET(R$16,0,0,1,-OFFSET(Assumptions!$B$67,0,$C$1)))/OFFSET(Assumptions!$B$67,0,$C$1)-R$426/R$14,(R$426/R$14-Q$426/Q$14)/R$2),0))*S$14</f>
        <v>2.1662559191351041</v>
      </c>
      <c r="T426" s="7">
        <f ca="1">(S$426/S$14+ IF(T$2&gt;0,T$2*IF(T$6=OFFSET(Assumptions!$B$8,0,$C$1),SUMPRODUCT(OFFSET(S$426,0,0,1,-OFFSET(Assumptions!$B$67,0,$C$1)),OFFSET(S$16,0,0,1,-OFFSET(Assumptions!$B$67,0,$C$1)))/OFFSET(Assumptions!$B$67,0,$C$1)-S$426/S$14,(S$426/S$14-R$426/R$14)/S$2),0))*T$14</f>
        <v>2.254063877448663</v>
      </c>
      <c r="U426" s="7">
        <f ca="1">(T$426/T$14+ IF(U$2&gt;0,U$2*IF(U$6=OFFSET(Assumptions!$B$8,0,$C$1),SUMPRODUCT(OFFSET(T$426,0,0,1,-OFFSET(Assumptions!$B$67,0,$C$1)),OFFSET(T$16,0,0,1,-OFFSET(Assumptions!$B$67,0,$C$1)))/OFFSET(Assumptions!$B$67,0,$C$1)-T$426/T$14,(T$426/T$14-S$426/S$14)/T$2),0))*U$14</f>
        <v>2.3448209298147042</v>
      </c>
      <c r="V426" s="7">
        <f ca="1">(U$426/U$14+ IF(V$2&gt;0,V$2*IF(V$6=OFFSET(Assumptions!$B$8,0,$C$1),SUMPRODUCT(OFFSET(U$426,0,0,1,-OFFSET(Assumptions!$B$67,0,$C$1)),OFFSET(U$16,0,0,1,-OFFSET(Assumptions!$B$67,0,$C$1)))/OFFSET(Assumptions!$B$67,0,$C$1)-U$426/U$14,(U$426/U$14-T$426/T$14)/U$2),0))*V$14</f>
        <v>2.4387511105353767</v>
      </c>
      <c r="W426" s="7">
        <f ca="1">(V$426/V$14+ IF(W$2&gt;0,W$2*IF(W$6=OFFSET(Assumptions!$B$8,0,$C$1),SUMPRODUCT(OFFSET(V$426,0,0,1,-OFFSET(Assumptions!$B$67,0,$C$1)),OFFSET(V$16,0,0,1,-OFFSET(Assumptions!$B$67,0,$C$1)))/OFFSET(Assumptions!$B$67,0,$C$1)-V$426/V$14,(V$426/V$14-U$426/U$14)/V$2),0))*W$14</f>
        <v>2.5361265590369282</v>
      </c>
      <c r="X426" s="7">
        <f ca="1">(W$426/W$14+ IF(X$2&gt;0,X$2*IF(X$6=OFFSET(Assumptions!$B$8,0,$C$1),SUMPRODUCT(OFFSET(W$426,0,0,1,-OFFSET(Assumptions!$B$67,0,$C$1)),OFFSET(W$16,0,0,1,-OFFSET(Assumptions!$B$67,0,$C$1)))/OFFSET(Assumptions!$B$67,0,$C$1)-W$426/W$14,(W$426/W$14-V$426/V$14)/W$2),0))*X$14</f>
        <v>2.6372557078974488</v>
      </c>
      <c r="Y426" s="7">
        <f ca="1">(X$426/X$14+ IF(Y$2&gt;0,Y$2*IF(Y$6=OFFSET(Assumptions!$B$8,0,$C$1),SUMPRODUCT(OFFSET(X$426,0,0,1,-OFFSET(Assumptions!$B$67,0,$C$1)),OFFSET(X$16,0,0,1,-OFFSET(Assumptions!$B$67,0,$C$1)))/OFFSET(Assumptions!$B$67,0,$C$1)-X$426/X$14,(X$426/X$14-W$426/W$14)/X$2),0))*Y$14</f>
        <v>2.7421282183694569</v>
      </c>
      <c r="Z426" s="7">
        <f ca="1">(Y$426/Y$14+ IF(Z$2&gt;0,Z$2*IF(Z$6=OFFSET(Assumptions!$B$8,0,$C$1),SUMPRODUCT(OFFSET(Y$426,0,0,1,-OFFSET(Assumptions!$B$67,0,$C$1)),OFFSET(Y$16,0,0,1,-OFFSET(Assumptions!$B$67,0,$C$1)))/OFFSET(Assumptions!$B$67,0,$C$1)-Y$426/Y$14,(Y$426/Y$14-X$426/X$14)/Y$2),0))*Z$14</f>
        <v>2.8512749175978569</v>
      </c>
      <c r="AA426" s="7">
        <f ca="1">(Z$426/Z$14+ IF(AA$2&gt;0,AA$2*IF(AA$6=OFFSET(Assumptions!$B$8,0,$C$1),SUMPRODUCT(OFFSET(Z$426,0,0,1,-OFFSET(Assumptions!$B$67,0,$C$1)),OFFSET(Z$16,0,0,1,-OFFSET(Assumptions!$B$67,0,$C$1)))/OFFSET(Assumptions!$B$67,0,$C$1)-Z$426/Z$14,(Z$426/Z$14-Y$426/Y$14)/Z$2),0))*AA$14</f>
        <v>2.9648724053183932</v>
      </c>
      <c r="AB426" s="7">
        <f ca="1">(AA$426/AA$14+ IF(AB$2&gt;0,AB$2*IF(AB$6=OFFSET(Assumptions!$B$8,0,$C$1),SUMPRODUCT(OFFSET(AA$426,0,0,1,-OFFSET(Assumptions!$B$67,0,$C$1)),OFFSET(AA$16,0,0,1,-OFFSET(Assumptions!$B$67,0,$C$1)))/OFFSET(Assumptions!$B$67,0,$C$1)-AA$426/AA$14,(AA$426/AA$14-Z$426/Z$14)/AA$2),0))*AB$14</f>
        <v>3.0832618252775608</v>
      </c>
      <c r="AC426" s="7">
        <f ca="1">(AB$426/AB$14+ IF(AC$2&gt;0,AC$2*IF(AC$6=OFFSET(Assumptions!$B$8,0,$C$1),SUMPRODUCT(OFFSET(AB$426,0,0,1,-OFFSET(Assumptions!$B$67,0,$C$1)),OFFSET(AB$16,0,0,1,-OFFSET(Assumptions!$B$67,0,$C$1)))/OFFSET(Assumptions!$B$67,0,$C$1)-AB$426/AB$14,(AB$426/AB$14-AA$426/AA$14)/AB$2),0))*AC$14</f>
        <v>3.2068901136014327</v>
      </c>
      <c r="AD426" s="7">
        <f ca="1">(AC$426/AC$14+ IF(AD$2&gt;0,AD$2*IF(AD$6=OFFSET(Assumptions!$B$8,0,$C$1),SUMPRODUCT(OFFSET(AC$426,0,0,1,-OFFSET(Assumptions!$B$67,0,$C$1)),OFFSET(AC$16,0,0,1,-OFFSET(Assumptions!$B$67,0,$C$1)))/OFFSET(Assumptions!$B$67,0,$C$1)-AC$426/AC$14,(AC$426/AC$14-AB$426/AB$14)/AC$2),0))*AD$14</f>
        <v>3.3358875760309443</v>
      </c>
      <c r="AE426" s="7">
        <f ca="1">(AD$426/AD$14+ IF(AE$2&gt;0,AE$2*IF(AE$6=OFFSET(Assumptions!$B$8,0,$C$1),SUMPRODUCT(OFFSET(AD$426,0,0,1,-OFFSET(Assumptions!$B$67,0,$C$1)),OFFSET(AD$16,0,0,1,-OFFSET(Assumptions!$B$67,0,$C$1)))/OFFSET(Assumptions!$B$67,0,$C$1)-AD$426/AD$14,(AD$426/AD$14-AC$426/AC$14)/AD$2),0))*AE$14</f>
        <v>3.4701357455904596</v>
      </c>
      <c r="AF426" s="7">
        <f ca="1">(AE$426/AE$14+ IF(AF$2&gt;0,AF$2*IF(AF$6=OFFSET(Assumptions!$B$8,0,$C$1),SUMPRODUCT(OFFSET(AE$426,0,0,1,-OFFSET(Assumptions!$B$67,0,$C$1)),OFFSET(AE$16,0,0,1,-OFFSET(Assumptions!$B$67,0,$C$1)))/OFFSET(Assumptions!$B$67,0,$C$1)-AE$426/AE$14,(AE$426/AE$14-AD$426/AD$14)/AE$2),0))*AF$14</f>
        <v>3.6100060332120489</v>
      </c>
      <c r="AG426" s="7">
        <f ca="1">(AF$426/AF$14+ IF(AG$2&gt;0,AG$2*IF(AG$6=OFFSET(Assumptions!$B$8,0,$C$1),SUMPRODUCT(OFFSET(AF$426,0,0,1,-OFFSET(Assumptions!$B$67,0,$C$1)),OFFSET(AF$16,0,0,1,-OFFSET(Assumptions!$B$67,0,$C$1)))/OFFSET(Assumptions!$B$67,0,$C$1)-AF$426/AF$14,(AF$426/AF$14-AE$426/AE$14)/AF$2),0))*AG$14</f>
        <v>3.7555766485118172</v>
      </c>
      <c r="AH426" s="7">
        <f ca="1">(AG$426/AG$14+ IF(AH$2&gt;0,AH$2*IF(AH$6=OFFSET(Assumptions!$B$8,0,$C$1),SUMPRODUCT(OFFSET(AG$426,0,0,1,-OFFSET(Assumptions!$B$67,0,$C$1)),OFFSET(AG$16,0,0,1,-OFFSET(Assumptions!$B$67,0,$C$1)))/OFFSET(Assumptions!$B$67,0,$C$1)-AG$426/AG$14,(AG$426/AG$14-AF$426/AF$14)/AG$2),0))*AH$14</f>
        <v>3.9070810240720051</v>
      </c>
      <c r="AI426" s="7">
        <f ca="1">(AH$426/AH$14+ IF(AI$2&gt;0,AI$2*IF(AI$6=OFFSET(Assumptions!$B$8,0,$C$1),SUMPRODUCT(OFFSET(AH$426,0,0,1,-OFFSET(Assumptions!$B$67,0,$C$1)),OFFSET(AH$16,0,0,1,-OFFSET(Assumptions!$B$67,0,$C$1)))/OFFSET(Assumptions!$B$67,0,$C$1)-AH$426/AH$14,(AH$426/AH$14-AG$426/AG$14)/AH$2),0))*AI$14</f>
        <v>4.0642544315954714</v>
      </c>
      <c r="AJ426" s="7">
        <f ca="1">(AI$426/AI$14+ IF(AJ$2&gt;0,AJ$2*IF(AJ$6=OFFSET(Assumptions!$B$8,0,$C$1),SUMPRODUCT(OFFSET(AI$426,0,0,1,-OFFSET(Assumptions!$B$67,0,$C$1)),OFFSET(AI$16,0,0,1,-OFFSET(Assumptions!$B$67,0,$C$1)))/OFFSET(Assumptions!$B$67,0,$C$1)-AI$426/AI$14,(AI$426/AI$14-AH$426/AH$14)/AI$2),0))*AJ$14</f>
        <v>4.2276003758155714</v>
      </c>
      <c r="AK426" s="7">
        <f ca="1">(AJ$426/AJ$14+ IF(AK$2&gt;0,AK$2*IF(AK$6=OFFSET(Assumptions!$B$8,0,$C$1),SUMPRODUCT(OFFSET(AJ$426,0,0,1,-OFFSET(Assumptions!$B$67,0,$C$1)),OFFSET(AJ$16,0,0,1,-OFFSET(Assumptions!$B$67,0,$C$1)))/OFFSET(Assumptions!$B$67,0,$C$1)-AJ$426/AJ$14,(AJ$426/AJ$14-AI$426/AI$14)/AJ$2),0))*AK$14</f>
        <v>4.3969844833269489</v>
      </c>
      <c r="AL426" s="7">
        <f ca="1">(AK$426/AK$14+ IF(AL$2&gt;0,AL$2*IF(AL$6=OFFSET(Assumptions!$B$8,0,$C$1),SUMPRODUCT(OFFSET(AK$426,0,0,1,-OFFSET(Assumptions!$B$67,0,$C$1)),OFFSET(AK$16,0,0,1,-OFFSET(Assumptions!$B$67,0,$C$1)))/OFFSET(Assumptions!$B$67,0,$C$1)-AK$426/AK$14,(AK$426/AK$14-AJ$426/AJ$14)/AK$2),0))*AL$14</f>
        <v>4.5722733255951207</v>
      </c>
      <c r="AM426" s="7">
        <f ca="1">(AL$426/AL$14+ IF(AM$2&gt;0,AM$2*IF(AM$6=OFFSET(Assumptions!$B$8,0,$C$1),SUMPRODUCT(OFFSET(AL$426,0,0,1,-OFFSET(Assumptions!$B$67,0,$C$1)),OFFSET(AL$16,0,0,1,-OFFSET(Assumptions!$B$67,0,$C$1)))/OFFSET(Assumptions!$B$67,0,$C$1)-AL$426/AL$14,(AL$426/AL$14-AK$426/AK$14)/AL$2),0))*AM$14</f>
        <v>4.753706370004787</v>
      </c>
      <c r="AN426" s="7">
        <f ca="1">(AM$426/AM$14+ IF(AN$2&gt;0,AN$2*IF(AN$6=OFFSET(Assumptions!$B$8,0,$C$1),SUMPRODUCT(OFFSET(AM$426,0,0,1,-OFFSET(Assumptions!$B$67,0,$C$1)),OFFSET(AM$16,0,0,1,-OFFSET(Assumptions!$B$67,0,$C$1)))/OFFSET(Assumptions!$B$67,0,$C$1)-AM$426/AM$14,(AM$426/AM$14-AL$426/AL$14)/AM$2),0))*AN$14</f>
        <v>4.9415359881637073</v>
      </c>
      <c r="AO426" s="7">
        <f ca="1">(AN$426/AN$14+ IF(AO$2&gt;0,AO$2*IF(AO$6=OFFSET(Assumptions!$B$8,0,$C$1),SUMPRODUCT(OFFSET(AN$426,0,0,1,-OFFSET(Assumptions!$B$67,0,$C$1)),OFFSET(AN$16,0,0,1,-OFFSET(Assumptions!$B$67,0,$C$1)))/OFFSET(Assumptions!$B$67,0,$C$1)-AN$426/AN$14,(AN$426/AN$14-AM$426/AM$14)/AN$2),0))*AO$14</f>
        <v>5.1350246381158646</v>
      </c>
      <c r="AP426" s="7">
        <f ca="1">(AO$426/AO$14+ IF(AP$2&gt;0,AP$2*IF(AP$6=OFFSET(Assumptions!$B$8,0,$C$1),SUMPRODUCT(OFFSET(AO$426,0,0,1,-OFFSET(Assumptions!$B$67,0,$C$1)),OFFSET(AO$16,0,0,1,-OFFSET(Assumptions!$B$67,0,$C$1)))/OFFSET(Assumptions!$B$67,0,$C$1)-AO$426/AO$14,(AO$426/AO$14-AN$426/AN$14)/AO$2),0))*AP$14</f>
        <v>5.334993968468738</v>
      </c>
      <c r="AQ426" s="7">
        <f ca="1">(AP$426/AP$14+ IF(AQ$2&gt;0,AQ$2*IF(AQ$6=OFFSET(Assumptions!$B$8,0,$C$1),SUMPRODUCT(OFFSET(AP$426,0,0,1,-OFFSET(Assumptions!$B$67,0,$C$1)),OFFSET(AP$16,0,0,1,-OFFSET(Assumptions!$B$67,0,$C$1)))/OFFSET(Assumptions!$B$67,0,$C$1)-AP$426/AP$14,(AP$426/AP$14-AO$426/AO$14)/AP$2),0))*AQ$14</f>
        <v>5.5408836657897274</v>
      </c>
      <c r="AR426" s="7">
        <f ca="1">(AQ$426/AQ$14+ IF(AR$2&gt;0,AR$2*IF(AR$6=OFFSET(Assumptions!$B$8,0,$C$1),SUMPRODUCT(OFFSET(AQ$426,0,0,1,-OFFSET(Assumptions!$B$67,0,$C$1)),OFFSET(AQ$16,0,0,1,-OFFSET(Assumptions!$B$67,0,$C$1)))/OFFSET(Assumptions!$B$67,0,$C$1)-AQ$426/AQ$14,(AQ$426/AQ$14-AP$426/AP$14)/AQ$2),0))*AR$14</f>
        <v>5.7529268340492239</v>
      </c>
      <c r="AS426" s="7">
        <f ca="1">(AR$426/AR$14+ IF(AS$2&gt;0,AS$2*IF(AS$6=OFFSET(Assumptions!$B$8,0,$C$1),SUMPRODUCT(OFFSET(AR$426,0,0,1,-OFFSET(Assumptions!$B$67,0,$C$1)),OFFSET(AR$16,0,0,1,-OFFSET(Assumptions!$B$67,0,$C$1)))/OFFSET(Assumptions!$B$67,0,$C$1)-AR$426/AR$14,(AR$426/AR$14-AQ$426/AQ$14)/AR$2),0))*AS$14</f>
        <v>5.9716181638426269</v>
      </c>
      <c r="AT426" s="7">
        <f ca="1">(AS$426/AS$14+ IF(AT$2&gt;0,AT$2*IF(AT$6=OFFSET(Assumptions!$B$8,0,$C$1),SUMPRODUCT(OFFSET(AS$426,0,0,1,-OFFSET(Assumptions!$B$67,0,$C$1)),OFFSET(AS$16,0,0,1,-OFFSET(Assumptions!$B$67,0,$C$1)))/OFFSET(Assumptions!$B$67,0,$C$1)-AS$426/AS$14,(AS$426/AS$14-AR$426/AR$14)/AS$2),0))*AT$14</f>
        <v>6.1971323167752859</v>
      </c>
      <c r="AU426" s="7">
        <f ca="1">(AT$426/AT$14+ IF(AU$2&gt;0,AU$2*IF(AU$6=OFFSET(Assumptions!$B$8,0,$C$1),SUMPRODUCT(OFFSET(AT$426,0,0,1,-OFFSET(Assumptions!$B$67,0,$C$1)),OFFSET(AT$16,0,0,1,-OFFSET(Assumptions!$B$67,0,$C$1)))/OFFSET(Assumptions!$B$67,0,$C$1)-AT$426/AT$14,(AT$426/AT$14-AS$426/AS$14)/AT$2),0))*AU$14</f>
        <v>6.4297691763257818</v>
      </c>
      <c r="AV426" s="7">
        <f ca="1">(AU$426/AU$14+ IF(AV$2&gt;0,AV$2*IF(AV$6=OFFSET(Assumptions!$B$8,0,$C$1),SUMPRODUCT(OFFSET(AU$426,0,0,1,-OFFSET(Assumptions!$B$67,0,$C$1)),OFFSET(AU$16,0,0,1,-OFFSET(Assumptions!$B$67,0,$C$1)))/OFFSET(Assumptions!$B$67,0,$C$1)-AU$426/AU$14,(AU$426/AU$14-AT$426/AT$14)/AU$2),0))*AV$14</f>
        <v>6.6702480319499244</v>
      </c>
      <c r="AW426" s="7">
        <f ca="1">(AV$426/AV$14+ IF(AW$2&gt;0,AW$2*IF(AW$6=OFFSET(Assumptions!$B$8,0,$C$1),SUMPRODUCT(OFFSET(AV$426,0,0,1,-OFFSET(Assumptions!$B$67,0,$C$1)),OFFSET(AV$16,0,0,1,-OFFSET(Assumptions!$B$67,0,$C$1)))/OFFSET(Assumptions!$B$67,0,$C$1)-AV$426/AV$14,(AV$426/AV$14-AU$426/AU$14)/AV$2),0))*AW$14</f>
        <v>6.9184331198240949</v>
      </c>
    </row>
    <row r="427" spans="1:49" ht="15" x14ac:dyDescent="0.25">
      <c r="A427" s="2" t="s">
        <v>658</v>
      </c>
      <c r="B427" s="4"/>
      <c r="D427" s="40">
        <f t="shared" ref="D427:I427" si="258">SUM(D$424:D$426)</f>
        <v>3.056</v>
      </c>
      <c r="E427" s="39">
        <f t="shared" si="258"/>
        <v>3.306</v>
      </c>
      <c r="F427" s="39">
        <f t="shared" si="258"/>
        <v>3.6429999999999998</v>
      </c>
      <c r="G427" s="39">
        <f t="shared" si="258"/>
        <v>3.7720000000000002</v>
      </c>
      <c r="H427" s="39">
        <f t="shared" si="258"/>
        <v>3.8340000000000005</v>
      </c>
      <c r="I427" s="39">
        <f t="shared" si="258"/>
        <v>3.8289999999999997</v>
      </c>
      <c r="J427" s="43">
        <f t="shared" ref="J427:AW427" ca="1" si="259">SUM(J$424:J$426)</f>
        <v>4.043275365657311</v>
      </c>
      <c r="K427" s="43">
        <f t="shared" ca="1" si="259"/>
        <v>4.2563600759795319</v>
      </c>
      <c r="L427" s="43">
        <f t="shared" ca="1" si="259"/>
        <v>4.475373962585774</v>
      </c>
      <c r="M427" s="43">
        <f t="shared" ca="1" si="259"/>
        <v>4.6927471614346397</v>
      </c>
      <c r="N427" s="43">
        <f t="shared" ca="1" si="259"/>
        <v>4.9076552906170336</v>
      </c>
      <c r="O427" s="43">
        <f t="shared" ca="1" si="259"/>
        <v>5.1171470620731778</v>
      </c>
      <c r="P427" s="43">
        <f t="shared" ca="1" si="259"/>
        <v>5.3335455887200132</v>
      </c>
      <c r="Q427" s="43">
        <f t="shared" ca="1" si="259"/>
        <v>5.5566171204139314</v>
      </c>
      <c r="R427" s="43">
        <f t="shared" ca="1" si="259"/>
        <v>5.7861960895589064</v>
      </c>
      <c r="S427" s="43">
        <f t="shared" ca="1" si="259"/>
        <v>6.0230120887573069</v>
      </c>
      <c r="T427" s="43">
        <f t="shared" ca="1" si="259"/>
        <v>6.2671514767862231</v>
      </c>
      <c r="U427" s="43">
        <f t="shared" ca="1" si="259"/>
        <v>6.5194904634738595</v>
      </c>
      <c r="V427" s="43">
        <f t="shared" ca="1" si="259"/>
        <v>6.7806519490501547</v>
      </c>
      <c r="W427" s="43">
        <f t="shared" ca="1" si="259"/>
        <v>7.0513925842135077</v>
      </c>
      <c r="X427" s="43">
        <f t="shared" ca="1" si="259"/>
        <v>7.3325699283732142</v>
      </c>
      <c r="Y427" s="43">
        <f t="shared" ca="1" si="259"/>
        <v>7.6241552358946931</v>
      </c>
      <c r="Z427" s="43">
        <f t="shared" ca="1" si="259"/>
        <v>7.9276244073317788</v>
      </c>
      <c r="AA427" s="43">
        <f t="shared" ca="1" si="259"/>
        <v>8.2434684568503691</v>
      </c>
      <c r="AB427" s="43">
        <f t="shared" ca="1" si="259"/>
        <v>8.5726358932997648</v>
      </c>
      <c r="AC427" s="43">
        <f t="shared" ca="1" si="259"/>
        <v>8.9163693684213712</v>
      </c>
      <c r="AD427" s="43">
        <f t="shared" ca="1" si="259"/>
        <v>9.2750311815381536</v>
      </c>
      <c r="AE427" s="43">
        <f t="shared" ca="1" si="259"/>
        <v>9.6482919495795088</v>
      </c>
      <c r="AF427" s="43">
        <f t="shared" ca="1" si="259"/>
        <v>10.037184335636622</v>
      </c>
      <c r="AG427" s="43">
        <f t="shared" ca="1" si="259"/>
        <v>10.44192579207008</v>
      </c>
      <c r="AH427" s="43">
        <f t="shared" ca="1" si="259"/>
        <v>10.863165349888792</v>
      </c>
      <c r="AI427" s="43">
        <f t="shared" ca="1" si="259"/>
        <v>11.300166964140805</v>
      </c>
      <c r="AJ427" s="43">
        <f t="shared" ca="1" si="259"/>
        <v>11.754330568725411</v>
      </c>
      <c r="AK427" s="43">
        <f t="shared" ca="1" si="259"/>
        <v>12.225282554671615</v>
      </c>
      <c r="AL427" s="43">
        <f t="shared" ca="1" si="259"/>
        <v>12.712651940107385</v>
      </c>
      <c r="AM427" s="43">
        <f t="shared" ca="1" si="259"/>
        <v>13.217104535078599</v>
      </c>
      <c r="AN427" s="43">
        <f t="shared" ca="1" si="259"/>
        <v>13.739342028259705</v>
      </c>
      <c r="AO427" s="43">
        <f t="shared" ca="1" si="259"/>
        <v>14.277313773613074</v>
      </c>
      <c r="AP427" s="43">
        <f t="shared" ca="1" si="259"/>
        <v>14.833304265529158</v>
      </c>
      <c r="AQ427" s="43">
        <f t="shared" ca="1" si="259"/>
        <v>15.405755620404172</v>
      </c>
      <c r="AR427" s="43">
        <f t="shared" ca="1" si="259"/>
        <v>15.995315955581582</v>
      </c>
      <c r="AS427" s="43">
        <f t="shared" ca="1" si="259"/>
        <v>16.603360698318152</v>
      </c>
      <c r="AT427" s="43">
        <f t="shared" ca="1" si="259"/>
        <v>17.230375474043068</v>
      </c>
      <c r="AU427" s="43">
        <f t="shared" ca="1" si="259"/>
        <v>17.877194072430374</v>
      </c>
      <c r="AV427" s="43">
        <f t="shared" ca="1" si="259"/>
        <v>18.545816390652604</v>
      </c>
      <c r="AW427" s="43">
        <f t="shared" ca="1" si="259"/>
        <v>19.235864953849255</v>
      </c>
    </row>
    <row r="428" spans="1:49" ht="15" x14ac:dyDescent="0.25">
      <c r="A428" s="2"/>
      <c r="B428" s="4"/>
      <c r="D428" s="55"/>
      <c r="E428" s="56"/>
      <c r="F428" s="56"/>
      <c r="G428" s="56"/>
      <c r="H428" s="56"/>
      <c r="I428" s="56"/>
      <c r="J428" s="57"/>
      <c r="K428" s="57"/>
      <c r="L428" s="57"/>
      <c r="M428" s="57"/>
      <c r="N428" s="57"/>
      <c r="O428" s="57"/>
      <c r="P428" s="57"/>
      <c r="Q428" s="57"/>
      <c r="R428" s="57"/>
      <c r="S428" s="57"/>
    </row>
    <row r="429" spans="1:49" ht="15" x14ac:dyDescent="0.25">
      <c r="A429" s="22" t="s">
        <v>358</v>
      </c>
      <c r="B429" s="4"/>
      <c r="D429" s="55"/>
      <c r="E429" s="56"/>
      <c r="F429" s="56"/>
      <c r="G429" s="56"/>
      <c r="H429" s="56"/>
      <c r="I429" s="56"/>
    </row>
    <row r="430" spans="1:49" x14ac:dyDescent="0.2">
      <c r="A430" s="1" t="s">
        <v>353</v>
      </c>
      <c r="B430" s="4" t="str">
        <f t="shared" ref="B430:B435" si="260">$B$43</f>
        <v>From Fiscal</v>
      </c>
      <c r="D430" s="18">
        <f>Fiscal!D$271</f>
        <v>0</v>
      </c>
      <c r="E430" s="19">
        <f ca="1">IF(OFFSET(Assumptions!$B$109,0,$C$1)="BU",0,Fiscal!E$271)</f>
        <v>0</v>
      </c>
      <c r="F430" s="19">
        <f ca="1">IF(OFFSET(Assumptions!$B$109,0,$C$1)="BU",0,Fiscal!F$271)</f>
        <v>0</v>
      </c>
      <c r="G430" s="19">
        <f ca="1">IF(OFFSET(Assumptions!$B$109,0,$C$1)="BU",0,Fiscal!G$271)</f>
        <v>0</v>
      </c>
      <c r="H430" s="19">
        <f ca="1">IF(OFFSET(Assumptions!$B$109,0,$C$1)="BU",0,Fiscal!H$271)</f>
        <v>0</v>
      </c>
      <c r="I430" s="19">
        <f ca="1">IF(OFFSET(Assumptions!$B$109,0,$C$1)="BU",0,Fiscal!I$271)</f>
        <v>0</v>
      </c>
      <c r="J430" s="7">
        <f ca="1">IF(J$6=OFFSET(Assumptions!$B$8,0,$C$1),0,I$430)</f>
        <v>0</v>
      </c>
      <c r="K430" s="7">
        <f ca="1">IF(K$6=OFFSET(Assumptions!$B$8,0,$C$1),0,J$430)</f>
        <v>0</v>
      </c>
      <c r="L430" s="7">
        <f ca="1">IF(L$6=OFFSET(Assumptions!$B$8,0,$C$1),0,K$430)</f>
        <v>0</v>
      </c>
      <c r="M430" s="7">
        <f ca="1">IF(M$6=OFFSET(Assumptions!$B$8,0,$C$1),0,L$430)</f>
        <v>0</v>
      </c>
      <c r="N430" s="7">
        <f ca="1">IF(N$6=OFFSET(Assumptions!$B$8,0,$C$1),0,M$430)</f>
        <v>0</v>
      </c>
      <c r="O430" s="7">
        <f ca="1">IF(O$6=OFFSET(Assumptions!$B$8,0,$C$1),0,N$430)</f>
        <v>0</v>
      </c>
      <c r="P430" s="7">
        <f ca="1">IF(P$6=OFFSET(Assumptions!$B$8,0,$C$1),0,O$430)</f>
        <v>0</v>
      </c>
      <c r="Q430" s="7">
        <f ca="1">IF(Q$6=OFFSET(Assumptions!$B$8,0,$C$1),0,P$430)</f>
        <v>0</v>
      </c>
      <c r="R430" s="7">
        <f ca="1">IF(R$6=OFFSET(Assumptions!$B$8,0,$C$1),0,Q$430)</f>
        <v>0</v>
      </c>
      <c r="S430" s="7">
        <f ca="1">IF(S$6=OFFSET(Assumptions!$B$8,0,$C$1),0,R$430)</f>
        <v>0</v>
      </c>
      <c r="T430" s="7">
        <f ca="1">IF(T$6=OFFSET(Assumptions!$B$8,0,$C$1),0,S$430)</f>
        <v>0</v>
      </c>
      <c r="U430" s="7">
        <f ca="1">IF(U$6=OFFSET(Assumptions!$B$8,0,$C$1),0,T$430)</f>
        <v>0</v>
      </c>
      <c r="V430" s="7">
        <f ca="1">IF(V$6=OFFSET(Assumptions!$B$8,0,$C$1),0,U$430)</f>
        <v>0</v>
      </c>
      <c r="W430" s="7">
        <f ca="1">IF(W$6=OFFSET(Assumptions!$B$8,0,$C$1),0,V$430)</f>
        <v>0</v>
      </c>
      <c r="X430" s="7">
        <f ca="1">IF(X$6=OFFSET(Assumptions!$B$8,0,$C$1),0,W$430)</f>
        <v>0</v>
      </c>
      <c r="Y430" s="7">
        <f ca="1">IF(Y$6=OFFSET(Assumptions!$B$8,0,$C$1),0,X$430)</f>
        <v>0</v>
      </c>
      <c r="Z430" s="7">
        <f ca="1">IF(Z$6=OFFSET(Assumptions!$B$8,0,$C$1),0,Y$430)</f>
        <v>0</v>
      </c>
      <c r="AA430" s="7">
        <f ca="1">IF(AA$6=OFFSET(Assumptions!$B$8,0,$C$1),0,Z$430)</f>
        <v>0</v>
      </c>
      <c r="AB430" s="7">
        <f ca="1">IF(AB$6=OFFSET(Assumptions!$B$8,0,$C$1),0,AA$430)</f>
        <v>0</v>
      </c>
      <c r="AC430" s="7">
        <f ca="1">IF(AC$6=OFFSET(Assumptions!$B$8,0,$C$1),0,AB$430)</f>
        <v>0</v>
      </c>
      <c r="AD430" s="7">
        <f ca="1">IF(AD$6=OFFSET(Assumptions!$B$8,0,$C$1),0,AC$430)</f>
        <v>0</v>
      </c>
      <c r="AE430" s="7">
        <f ca="1">IF(AE$6=OFFSET(Assumptions!$B$8,0,$C$1),0,AD$430)</f>
        <v>0</v>
      </c>
      <c r="AF430" s="7">
        <f ca="1">IF(AF$6=OFFSET(Assumptions!$B$8,0,$C$1),0,AE$430)</f>
        <v>0</v>
      </c>
      <c r="AG430" s="7">
        <f ca="1">IF(AG$6=OFFSET(Assumptions!$B$8,0,$C$1),0,AF$430)</f>
        <v>0</v>
      </c>
      <c r="AH430" s="7">
        <f ca="1">IF(AH$6=OFFSET(Assumptions!$B$8,0,$C$1),0,AG$430)</f>
        <v>0</v>
      </c>
      <c r="AI430" s="7">
        <f ca="1">IF(AI$6=OFFSET(Assumptions!$B$8,0,$C$1),0,AH$430)</f>
        <v>0</v>
      </c>
      <c r="AJ430" s="7">
        <f ca="1">IF(AJ$6=OFFSET(Assumptions!$B$8,0,$C$1),0,AI$430)</f>
        <v>0</v>
      </c>
      <c r="AK430" s="7">
        <f ca="1">IF(AK$6=OFFSET(Assumptions!$B$8,0,$C$1),0,AJ$430)</f>
        <v>0</v>
      </c>
      <c r="AL430" s="7">
        <f ca="1">IF(AL$6=OFFSET(Assumptions!$B$8,0,$C$1),0,AK$430)</f>
        <v>0</v>
      </c>
      <c r="AM430" s="7">
        <f ca="1">IF(AM$6=OFFSET(Assumptions!$B$8,0,$C$1),0,AL$430)</f>
        <v>0</v>
      </c>
      <c r="AN430" s="7">
        <f ca="1">IF(AN$6=OFFSET(Assumptions!$B$8,0,$C$1),0,AM$430)</f>
        <v>0</v>
      </c>
      <c r="AO430" s="7">
        <f ca="1">IF(AO$6=OFFSET(Assumptions!$B$8,0,$C$1),0,AN$430)</f>
        <v>0</v>
      </c>
      <c r="AP430" s="7">
        <f ca="1">IF(AP$6=OFFSET(Assumptions!$B$8,0,$C$1),0,AO$430)</f>
        <v>0</v>
      </c>
      <c r="AQ430" s="7">
        <f ca="1">IF(AQ$6=OFFSET(Assumptions!$B$8,0,$C$1),0,AP$430)</f>
        <v>0</v>
      </c>
      <c r="AR430" s="7">
        <f ca="1">IF(AR$6=OFFSET(Assumptions!$B$8,0,$C$1),0,AQ$430)</f>
        <v>0</v>
      </c>
      <c r="AS430" s="7">
        <f ca="1">IF(AS$6=OFFSET(Assumptions!$B$8,0,$C$1),0,AR$430)</f>
        <v>0</v>
      </c>
      <c r="AT430" s="7">
        <f ca="1">IF(AT$6=OFFSET(Assumptions!$B$8,0,$C$1),0,AS$430)</f>
        <v>0</v>
      </c>
      <c r="AU430" s="7">
        <f ca="1">IF(AU$6=OFFSET(Assumptions!$B$8,0,$C$1),0,AT$430)</f>
        <v>0</v>
      </c>
      <c r="AV430" s="7">
        <f ca="1">IF(AV$6=OFFSET(Assumptions!$B$8,0,$C$1),0,AU$430)</f>
        <v>0</v>
      </c>
      <c r="AW430" s="7">
        <f ca="1">IF(AW$6=OFFSET(Assumptions!$B$8,0,$C$1),0,AV$430)</f>
        <v>0</v>
      </c>
    </row>
    <row r="431" spans="1:49" x14ac:dyDescent="0.2">
      <c r="A431" s="1" t="s">
        <v>659</v>
      </c>
      <c r="B431" s="4" t="str">
        <f t="shared" si="260"/>
        <v>From Fiscal</v>
      </c>
      <c r="D431" s="18">
        <f>Fiscal!D$272</f>
        <v>0</v>
      </c>
      <c r="E431" s="19">
        <f ca="1">IF(OFFSET(Assumptions!$B$109,0,$C$1)="BU",0,Fiscal!E$272)</f>
        <v>0</v>
      </c>
      <c r="F431" s="19">
        <f ca="1">IF(OFFSET(Assumptions!$B$109,0,$C$1)="BU",0,Fiscal!F$272)</f>
        <v>0</v>
      </c>
      <c r="G431" s="19">
        <f ca="1">IF(OFFSET(Assumptions!$B$109,0,$C$1)="BU",0,Fiscal!G$272)</f>
        <v>0</v>
      </c>
      <c r="H431" s="19">
        <f ca="1">IF(OFFSET(Assumptions!$B$109,0,$C$1)="BU",0,Fiscal!H$272)</f>
        <v>0</v>
      </c>
      <c r="I431" s="19">
        <f ca="1">IF(OFFSET(Assumptions!$B$109,0,$C$1)="BU",0,Fiscal!I$272)</f>
        <v>0</v>
      </c>
      <c r="J431" s="7">
        <f ca="1">IF(J$6=OFFSET(Assumptions!$B$8,0,$C$1),0,I$431)</f>
        <v>0</v>
      </c>
      <c r="K431" s="7">
        <f ca="1">IF(K$6=OFFSET(Assumptions!$B$8,0,$C$1),0,J$431)</f>
        <v>0</v>
      </c>
      <c r="L431" s="7">
        <f ca="1">IF(L$6=OFFSET(Assumptions!$B$8,0,$C$1),0,K$431)</f>
        <v>0</v>
      </c>
      <c r="M431" s="7">
        <f ca="1">IF(M$6=OFFSET(Assumptions!$B$8,0,$C$1),0,L$431)</f>
        <v>0</v>
      </c>
      <c r="N431" s="7">
        <f ca="1">IF(N$6=OFFSET(Assumptions!$B$8,0,$C$1),0,M$431)</f>
        <v>0</v>
      </c>
      <c r="O431" s="7">
        <f ca="1">IF(O$6=OFFSET(Assumptions!$B$8,0,$C$1),0,N$431)</f>
        <v>0</v>
      </c>
      <c r="P431" s="7">
        <f ca="1">IF(P$6=OFFSET(Assumptions!$B$8,0,$C$1),0,O$431)</f>
        <v>0</v>
      </c>
      <c r="Q431" s="7">
        <f ca="1">IF(Q$6=OFFSET(Assumptions!$B$8,0,$C$1),0,P$431)</f>
        <v>0</v>
      </c>
      <c r="R431" s="7">
        <f ca="1">IF(R$6=OFFSET(Assumptions!$B$8,0,$C$1),0,Q$431)</f>
        <v>0</v>
      </c>
      <c r="S431" s="7">
        <f ca="1">IF(S$6=OFFSET(Assumptions!$B$8,0,$C$1),0,R$431)</f>
        <v>0</v>
      </c>
      <c r="T431" s="7">
        <f ca="1">IF(T$6=OFFSET(Assumptions!$B$8,0,$C$1),0,S$431)</f>
        <v>0</v>
      </c>
      <c r="U431" s="7">
        <f ca="1">IF(U$6=OFFSET(Assumptions!$B$8,0,$C$1),0,T$431)</f>
        <v>0</v>
      </c>
      <c r="V431" s="7">
        <f ca="1">IF(V$6=OFFSET(Assumptions!$B$8,0,$C$1),0,U$431)</f>
        <v>0</v>
      </c>
      <c r="W431" s="7">
        <f ca="1">IF(W$6=OFFSET(Assumptions!$B$8,0,$C$1),0,V$431)</f>
        <v>0</v>
      </c>
      <c r="X431" s="7">
        <f ca="1">IF(X$6=OFFSET(Assumptions!$B$8,0,$C$1),0,W$431)</f>
        <v>0</v>
      </c>
      <c r="Y431" s="7">
        <f ca="1">IF(Y$6=OFFSET(Assumptions!$B$8,0,$C$1),0,X$431)</f>
        <v>0</v>
      </c>
      <c r="Z431" s="7">
        <f ca="1">IF(Z$6=OFFSET(Assumptions!$B$8,0,$C$1),0,Y$431)</f>
        <v>0</v>
      </c>
      <c r="AA431" s="7">
        <f ca="1">IF(AA$6=OFFSET(Assumptions!$B$8,0,$C$1),0,Z$431)</f>
        <v>0</v>
      </c>
      <c r="AB431" s="7">
        <f ca="1">IF(AB$6=OFFSET(Assumptions!$B$8,0,$C$1),0,AA$431)</f>
        <v>0</v>
      </c>
      <c r="AC431" s="7">
        <f ca="1">IF(AC$6=OFFSET(Assumptions!$B$8,0,$C$1),0,AB$431)</f>
        <v>0</v>
      </c>
      <c r="AD431" s="7">
        <f ca="1">IF(AD$6=OFFSET(Assumptions!$B$8,0,$C$1),0,AC$431)</f>
        <v>0</v>
      </c>
      <c r="AE431" s="7">
        <f ca="1">IF(AE$6=OFFSET(Assumptions!$B$8,0,$C$1),0,AD$431)</f>
        <v>0</v>
      </c>
      <c r="AF431" s="7">
        <f ca="1">IF(AF$6=OFFSET(Assumptions!$B$8,0,$C$1),0,AE$431)</f>
        <v>0</v>
      </c>
      <c r="AG431" s="7">
        <f ca="1">IF(AG$6=OFFSET(Assumptions!$B$8,0,$C$1),0,AF$431)</f>
        <v>0</v>
      </c>
      <c r="AH431" s="7">
        <f ca="1">IF(AH$6=OFFSET(Assumptions!$B$8,0,$C$1),0,AG$431)</f>
        <v>0</v>
      </c>
      <c r="AI431" s="7">
        <f ca="1">IF(AI$6=OFFSET(Assumptions!$B$8,0,$C$1),0,AH$431)</f>
        <v>0</v>
      </c>
      <c r="AJ431" s="7">
        <f ca="1">IF(AJ$6=OFFSET(Assumptions!$B$8,0,$C$1),0,AI$431)</f>
        <v>0</v>
      </c>
      <c r="AK431" s="7">
        <f ca="1">IF(AK$6=OFFSET(Assumptions!$B$8,0,$C$1),0,AJ$431)</f>
        <v>0</v>
      </c>
      <c r="AL431" s="7">
        <f ca="1">IF(AL$6=OFFSET(Assumptions!$B$8,0,$C$1),0,AK$431)</f>
        <v>0</v>
      </c>
      <c r="AM431" s="7">
        <f ca="1">IF(AM$6=OFFSET(Assumptions!$B$8,0,$C$1),0,AL$431)</f>
        <v>0</v>
      </c>
      <c r="AN431" s="7">
        <f ca="1">IF(AN$6=OFFSET(Assumptions!$B$8,0,$C$1),0,AM$431)</f>
        <v>0</v>
      </c>
      <c r="AO431" s="7">
        <f ca="1">IF(AO$6=OFFSET(Assumptions!$B$8,0,$C$1),0,AN$431)</f>
        <v>0</v>
      </c>
      <c r="AP431" s="7">
        <f ca="1">IF(AP$6=OFFSET(Assumptions!$B$8,0,$C$1),0,AO$431)</f>
        <v>0</v>
      </c>
      <c r="AQ431" s="7">
        <f ca="1">IF(AQ$6=OFFSET(Assumptions!$B$8,0,$C$1),0,AP$431)</f>
        <v>0</v>
      </c>
      <c r="AR431" s="7">
        <f ca="1">IF(AR$6=OFFSET(Assumptions!$B$8,0,$C$1),0,AQ$431)</f>
        <v>0</v>
      </c>
      <c r="AS431" s="7">
        <f ca="1">IF(AS$6=OFFSET(Assumptions!$B$8,0,$C$1),0,AR$431)</f>
        <v>0</v>
      </c>
      <c r="AT431" s="7">
        <f ca="1">IF(AT$6=OFFSET(Assumptions!$B$8,0,$C$1),0,AS$431)</f>
        <v>0</v>
      </c>
      <c r="AU431" s="7">
        <f ca="1">IF(AU$6=OFFSET(Assumptions!$B$8,0,$C$1),0,AT$431)</f>
        <v>0</v>
      </c>
      <c r="AV431" s="7">
        <f ca="1">IF(AV$6=OFFSET(Assumptions!$B$8,0,$C$1),0,AU$431)</f>
        <v>0</v>
      </c>
      <c r="AW431" s="7">
        <f ca="1">IF(AW$6=OFFSET(Assumptions!$B$8,0,$C$1),0,AV$431)</f>
        <v>0</v>
      </c>
    </row>
    <row r="432" spans="1:49" x14ac:dyDescent="0.2">
      <c r="A432" s="1" t="s">
        <v>660</v>
      </c>
      <c r="B432" s="4" t="str">
        <f t="shared" si="260"/>
        <v>From Fiscal</v>
      </c>
      <c r="D432" s="18">
        <f>Fiscal!D$273</f>
        <v>0</v>
      </c>
      <c r="E432" s="19">
        <f ca="1">IF(OFFSET(Assumptions!$B$109,0,$C$1)="BU",0,Fiscal!E$273)</f>
        <v>0</v>
      </c>
      <c r="F432" s="19">
        <f ca="1">IF(OFFSET(Assumptions!$B$109,0,$C$1)="BU",0,Fiscal!F$273)</f>
        <v>0</v>
      </c>
      <c r="G432" s="19">
        <f ca="1">IF(OFFSET(Assumptions!$B$109,0,$C$1)="BU",0,Fiscal!G$273)</f>
        <v>0</v>
      </c>
      <c r="H432" s="19">
        <f ca="1">IF(OFFSET(Assumptions!$B$109,0,$C$1)="BU",0,Fiscal!H$273)</f>
        <v>0</v>
      </c>
      <c r="I432" s="19">
        <f ca="1">IF(OFFSET(Assumptions!$B$109,0,$C$1)="BU",0,Fiscal!I$273)</f>
        <v>0</v>
      </c>
      <c r="J432" s="7">
        <f ca="1">IF(J$6=OFFSET(Assumptions!$B$8,0,$C$1),0,I$432)</f>
        <v>0</v>
      </c>
      <c r="K432" s="7">
        <f ca="1">IF(K$6=OFFSET(Assumptions!$B$8,0,$C$1),0,J$432)</f>
        <v>0</v>
      </c>
      <c r="L432" s="7">
        <f ca="1">IF(L$6=OFFSET(Assumptions!$B$8,0,$C$1),0,K$432)</f>
        <v>0</v>
      </c>
      <c r="M432" s="7">
        <f ca="1">IF(M$6=OFFSET(Assumptions!$B$8,0,$C$1),0,L$432)</f>
        <v>0</v>
      </c>
      <c r="N432" s="7">
        <f ca="1">IF(N$6=OFFSET(Assumptions!$B$8,0,$C$1),0,M$432)</f>
        <v>0</v>
      </c>
      <c r="O432" s="7">
        <f ca="1">IF(O$6=OFFSET(Assumptions!$B$8,0,$C$1),0,N$432)</f>
        <v>0</v>
      </c>
      <c r="P432" s="7">
        <f ca="1">IF(P$6=OFFSET(Assumptions!$B$8,0,$C$1),0,O$432)</f>
        <v>0</v>
      </c>
      <c r="Q432" s="7">
        <f ca="1">IF(Q$6=OFFSET(Assumptions!$B$8,0,$C$1),0,P$432)</f>
        <v>0</v>
      </c>
      <c r="R432" s="7">
        <f ca="1">IF(R$6=OFFSET(Assumptions!$B$8,0,$C$1),0,Q$432)</f>
        <v>0</v>
      </c>
      <c r="S432" s="7">
        <f ca="1">IF(S$6=OFFSET(Assumptions!$B$8,0,$C$1),0,R$432)</f>
        <v>0</v>
      </c>
      <c r="T432" s="7">
        <f ca="1">IF(T$6=OFFSET(Assumptions!$B$8,0,$C$1),0,S$432)</f>
        <v>0</v>
      </c>
      <c r="U432" s="7">
        <f ca="1">IF(U$6=OFFSET(Assumptions!$B$8,0,$C$1),0,T$432)</f>
        <v>0</v>
      </c>
      <c r="V432" s="7">
        <f ca="1">IF(V$6=OFFSET(Assumptions!$B$8,0,$C$1),0,U$432)</f>
        <v>0</v>
      </c>
      <c r="W432" s="7">
        <f ca="1">IF(W$6=OFFSET(Assumptions!$B$8,0,$C$1),0,V$432)</f>
        <v>0</v>
      </c>
      <c r="X432" s="7">
        <f ca="1">IF(X$6=OFFSET(Assumptions!$B$8,0,$C$1),0,W$432)</f>
        <v>0</v>
      </c>
      <c r="Y432" s="7">
        <f ca="1">IF(Y$6=OFFSET(Assumptions!$B$8,0,$C$1),0,X$432)</f>
        <v>0</v>
      </c>
      <c r="Z432" s="7">
        <f ca="1">IF(Z$6=OFFSET(Assumptions!$B$8,0,$C$1),0,Y$432)</f>
        <v>0</v>
      </c>
      <c r="AA432" s="7">
        <f ca="1">IF(AA$6=OFFSET(Assumptions!$B$8,0,$C$1),0,Z$432)</f>
        <v>0</v>
      </c>
      <c r="AB432" s="7">
        <f ca="1">IF(AB$6=OFFSET(Assumptions!$B$8,0,$C$1),0,AA$432)</f>
        <v>0</v>
      </c>
      <c r="AC432" s="7">
        <f ca="1">IF(AC$6=OFFSET(Assumptions!$B$8,0,$C$1),0,AB$432)</f>
        <v>0</v>
      </c>
      <c r="AD432" s="7">
        <f ca="1">IF(AD$6=OFFSET(Assumptions!$B$8,0,$C$1),0,AC$432)</f>
        <v>0</v>
      </c>
      <c r="AE432" s="7">
        <f ca="1">IF(AE$6=OFFSET(Assumptions!$B$8,0,$C$1),0,AD$432)</f>
        <v>0</v>
      </c>
      <c r="AF432" s="7">
        <f ca="1">IF(AF$6=OFFSET(Assumptions!$B$8,0,$C$1),0,AE$432)</f>
        <v>0</v>
      </c>
      <c r="AG432" s="7">
        <f ca="1">IF(AG$6=OFFSET(Assumptions!$B$8,0,$C$1),0,AF$432)</f>
        <v>0</v>
      </c>
      <c r="AH432" s="7">
        <f ca="1">IF(AH$6=OFFSET(Assumptions!$B$8,0,$C$1),0,AG$432)</f>
        <v>0</v>
      </c>
      <c r="AI432" s="7">
        <f ca="1">IF(AI$6=OFFSET(Assumptions!$B$8,0,$C$1),0,AH$432)</f>
        <v>0</v>
      </c>
      <c r="AJ432" s="7">
        <f ca="1">IF(AJ$6=OFFSET(Assumptions!$B$8,0,$C$1),0,AI$432)</f>
        <v>0</v>
      </c>
      <c r="AK432" s="7">
        <f ca="1">IF(AK$6=OFFSET(Assumptions!$B$8,0,$C$1),0,AJ$432)</f>
        <v>0</v>
      </c>
      <c r="AL432" s="7">
        <f ca="1">IF(AL$6=OFFSET(Assumptions!$B$8,0,$C$1),0,AK$432)</f>
        <v>0</v>
      </c>
      <c r="AM432" s="7">
        <f ca="1">IF(AM$6=OFFSET(Assumptions!$B$8,0,$C$1),0,AL$432)</f>
        <v>0</v>
      </c>
      <c r="AN432" s="7">
        <f ca="1">IF(AN$6=OFFSET(Assumptions!$B$8,0,$C$1),0,AM$432)</f>
        <v>0</v>
      </c>
      <c r="AO432" s="7">
        <f ca="1">IF(AO$6=OFFSET(Assumptions!$B$8,0,$C$1),0,AN$432)</f>
        <v>0</v>
      </c>
      <c r="AP432" s="7">
        <f ca="1">IF(AP$6=OFFSET(Assumptions!$B$8,0,$C$1),0,AO$432)</f>
        <v>0</v>
      </c>
      <c r="AQ432" s="7">
        <f ca="1">IF(AQ$6=OFFSET(Assumptions!$B$8,0,$C$1),0,AP$432)</f>
        <v>0</v>
      </c>
      <c r="AR432" s="7">
        <f ca="1">IF(AR$6=OFFSET(Assumptions!$B$8,0,$C$1),0,AQ$432)</f>
        <v>0</v>
      </c>
      <c r="AS432" s="7">
        <f ca="1">IF(AS$6=OFFSET(Assumptions!$B$8,0,$C$1),0,AR$432)</f>
        <v>0</v>
      </c>
      <c r="AT432" s="7">
        <f ca="1">IF(AT$6=OFFSET(Assumptions!$B$8,0,$C$1),0,AS$432)</f>
        <v>0</v>
      </c>
      <c r="AU432" s="7">
        <f ca="1">IF(AU$6=OFFSET(Assumptions!$B$8,0,$C$1),0,AT$432)</f>
        <v>0</v>
      </c>
      <c r="AV432" s="7">
        <f ca="1">IF(AV$6=OFFSET(Assumptions!$B$8,0,$C$1),0,AU$432)</f>
        <v>0</v>
      </c>
      <c r="AW432" s="7">
        <f ca="1">IF(AW$6=OFFSET(Assumptions!$B$8,0,$C$1),0,AV$432)</f>
        <v>0</v>
      </c>
    </row>
    <row r="433" spans="1:49" x14ac:dyDescent="0.2">
      <c r="A433" s="1" t="s">
        <v>661</v>
      </c>
      <c r="B433" s="4" t="str">
        <f t="shared" si="260"/>
        <v>From Fiscal</v>
      </c>
      <c r="D433" s="18">
        <f>Fiscal!D$274</f>
        <v>0</v>
      </c>
      <c r="E433" s="19">
        <f ca="1">IF(OFFSET(Assumptions!$B$109,0,$C$1)="BU",0,Fiscal!E$274)</f>
        <v>0</v>
      </c>
      <c r="F433" s="19">
        <f ca="1">IF(OFFSET(Assumptions!$B$109,0,$C$1)="BU",0,Fiscal!F$274)</f>
        <v>0</v>
      </c>
      <c r="G433" s="19">
        <f ca="1">IF(OFFSET(Assumptions!$B$109,0,$C$1)="BU",0,Fiscal!G$274)</f>
        <v>0</v>
      </c>
      <c r="H433" s="19">
        <f ca="1">IF(OFFSET(Assumptions!$B$109,0,$C$1)="BU",0,Fiscal!H$274)</f>
        <v>0</v>
      </c>
      <c r="I433" s="19">
        <f ca="1">IF(OFFSET(Assumptions!$B$109,0,$C$1)="BU",0,Fiscal!I$274)</f>
        <v>0</v>
      </c>
      <c r="J433" s="7">
        <f ca="1">IF(J$6=OFFSET(Assumptions!$B$8,0,$C$1),OFFSET(J$438,0,-3)-SUM(OFFSET(J$433,0,-5,1,5)),0)</f>
        <v>0</v>
      </c>
      <c r="K433" s="7">
        <f ca="1">IF(K$6=OFFSET(Assumptions!$B$8,0,$C$1),OFFSET(K$438,0,-3)-SUM(OFFSET(K$433,0,-5,1,5)),0)</f>
        <v>0</v>
      </c>
      <c r="L433" s="7">
        <f ca="1">IF(L$6=OFFSET(Assumptions!$B$8,0,$C$1),OFFSET(L$438,0,-3)-SUM(OFFSET(L$433,0,-5,1,5)),0)</f>
        <v>0</v>
      </c>
      <c r="M433" s="7">
        <f ca="1">IF(M$6=OFFSET(Assumptions!$B$8,0,$C$1),OFFSET(M$438,0,-3)-SUM(OFFSET(M$433,0,-5,1,5)),0)</f>
        <v>0</v>
      </c>
      <c r="N433" s="7">
        <f ca="1">IF(N$6=OFFSET(Assumptions!$B$8,0,$C$1),OFFSET(N$438,0,-3)-SUM(OFFSET(N$433,0,-5,1,5)),0)</f>
        <v>0</v>
      </c>
      <c r="O433" s="7">
        <f ca="1">IF(O$6=OFFSET(Assumptions!$B$8,0,$C$1),OFFSET(O$438,0,-3)-SUM(OFFSET(O$433,0,-5,1,5)),0)</f>
        <v>0</v>
      </c>
      <c r="P433" s="7">
        <f ca="1">IF(P$6=OFFSET(Assumptions!$B$8,0,$C$1),OFFSET(P$438,0,-3)-SUM(OFFSET(P$433,0,-5,1,5)),0)</f>
        <v>0</v>
      </c>
      <c r="Q433" s="7">
        <f ca="1">IF(Q$6=OFFSET(Assumptions!$B$8,0,$C$1),OFFSET(Q$438,0,-3)-SUM(OFFSET(Q$433,0,-5,1,5)),0)</f>
        <v>0</v>
      </c>
      <c r="R433" s="7">
        <f ca="1">IF(R$6=OFFSET(Assumptions!$B$8,0,$C$1),OFFSET(R$438,0,-3)-SUM(OFFSET(R$433,0,-5,1,5)),0)</f>
        <v>0</v>
      </c>
      <c r="S433" s="7">
        <f ca="1">IF(S$6=OFFSET(Assumptions!$B$8,0,$C$1),OFFSET(S$438,0,-3)-SUM(OFFSET(S$433,0,-5,1,5)),0)</f>
        <v>0</v>
      </c>
      <c r="T433" s="7">
        <f ca="1">IF(T$6=OFFSET(Assumptions!$B$8,0,$C$1),OFFSET(T$438,0,-3)-SUM(OFFSET(T$433,0,-5,1,5)),0)</f>
        <v>0</v>
      </c>
      <c r="U433" s="7">
        <f ca="1">IF(U$6=OFFSET(Assumptions!$B$8,0,$C$1),OFFSET(U$438,0,-3)-SUM(OFFSET(U$433,0,-5,1,5)),0)</f>
        <v>0</v>
      </c>
      <c r="V433" s="7">
        <f ca="1">IF(V$6=OFFSET(Assumptions!$B$8,0,$C$1),OFFSET(V$438,0,-3)-SUM(OFFSET(V$433,0,-5,1,5)),0)</f>
        <v>0</v>
      </c>
      <c r="W433" s="7">
        <f ca="1">IF(W$6=OFFSET(Assumptions!$B$8,0,$C$1),OFFSET(W$438,0,-3)-SUM(OFFSET(W$433,0,-5,1,5)),0)</f>
        <v>0</v>
      </c>
      <c r="X433" s="7">
        <f ca="1">IF(X$6=OFFSET(Assumptions!$B$8,0,$C$1),OFFSET(X$438,0,-3)-SUM(OFFSET(X$433,0,-5,1,5)),0)</f>
        <v>0</v>
      </c>
      <c r="Y433" s="7">
        <f ca="1">IF(Y$6=OFFSET(Assumptions!$B$8,0,$C$1),OFFSET(Y$438,0,-3)-SUM(OFFSET(Y$433,0,-5,1,5)),0)</f>
        <v>0</v>
      </c>
      <c r="Z433" s="7">
        <f ca="1">IF(Z$6=OFFSET(Assumptions!$B$8,0,$C$1),OFFSET(Z$438,0,-3)-SUM(OFFSET(Z$433,0,-5,1,5)),0)</f>
        <v>0</v>
      </c>
      <c r="AA433" s="7">
        <f ca="1">IF(AA$6=OFFSET(Assumptions!$B$8,0,$C$1),OFFSET(AA$438,0,-3)-SUM(OFFSET(AA$433,0,-5,1,5)),0)</f>
        <v>0</v>
      </c>
      <c r="AB433" s="7">
        <f ca="1">IF(AB$6=OFFSET(Assumptions!$B$8,0,$C$1),OFFSET(AB$438,0,-3)-SUM(OFFSET(AB$433,0,-5,1,5)),0)</f>
        <v>0</v>
      </c>
      <c r="AC433" s="7">
        <f ca="1">IF(AC$6=OFFSET(Assumptions!$B$8,0,$C$1),OFFSET(AC$438,0,-3)-SUM(OFFSET(AC$433,0,-5,1,5)),0)</f>
        <v>0</v>
      </c>
      <c r="AD433" s="7">
        <f ca="1">IF(AD$6=OFFSET(Assumptions!$B$8,0,$C$1),OFFSET(AD$438,0,-3)-SUM(OFFSET(AD$433,0,-5,1,5)),0)</f>
        <v>0</v>
      </c>
      <c r="AE433" s="7">
        <f ca="1">IF(AE$6=OFFSET(Assumptions!$B$8,0,$C$1),OFFSET(AE$438,0,-3)-SUM(OFFSET(AE$433,0,-5,1,5)),0)</f>
        <v>0</v>
      </c>
      <c r="AF433" s="7">
        <f ca="1">IF(AF$6=OFFSET(Assumptions!$B$8,0,$C$1),OFFSET(AF$438,0,-3)-SUM(OFFSET(AF$433,0,-5,1,5)),0)</f>
        <v>0</v>
      </c>
      <c r="AG433" s="7">
        <f ca="1">IF(AG$6=OFFSET(Assumptions!$B$8,0,$C$1),OFFSET(AG$438,0,-3)-SUM(OFFSET(AG$433,0,-5,1,5)),0)</f>
        <v>0</v>
      </c>
      <c r="AH433" s="7">
        <f ca="1">IF(AH$6=OFFSET(Assumptions!$B$8,0,$C$1),OFFSET(AH$438,0,-3)-SUM(OFFSET(AH$433,0,-5,1,5)),0)</f>
        <v>0</v>
      </c>
      <c r="AI433" s="7">
        <f ca="1">IF(AI$6=OFFSET(Assumptions!$B$8,0,$C$1),OFFSET(AI$438,0,-3)-SUM(OFFSET(AI$433,0,-5,1,5)),0)</f>
        <v>0</v>
      </c>
      <c r="AJ433" s="7">
        <f ca="1">IF(AJ$6=OFFSET(Assumptions!$B$8,0,$C$1),OFFSET(AJ$438,0,-3)-SUM(OFFSET(AJ$433,0,-5,1,5)),0)</f>
        <v>0</v>
      </c>
      <c r="AK433" s="7">
        <f ca="1">IF(AK$6=OFFSET(Assumptions!$B$8,0,$C$1),OFFSET(AK$438,0,-3)-SUM(OFFSET(AK$433,0,-5,1,5)),0)</f>
        <v>0</v>
      </c>
      <c r="AL433" s="7">
        <f ca="1">IF(AL$6=OFFSET(Assumptions!$B$8,0,$C$1),OFFSET(AL$438,0,-3)-SUM(OFFSET(AL$433,0,-5,1,5)),0)</f>
        <v>0</v>
      </c>
      <c r="AM433" s="7">
        <f ca="1">IF(AM$6=OFFSET(Assumptions!$B$8,0,$C$1),OFFSET(AM$438,0,-3)-SUM(OFFSET(AM$433,0,-5,1,5)),0)</f>
        <v>0</v>
      </c>
      <c r="AN433" s="7">
        <f ca="1">IF(AN$6=OFFSET(Assumptions!$B$8,0,$C$1),OFFSET(AN$438,0,-3)-SUM(OFFSET(AN$433,0,-5,1,5)),0)</f>
        <v>0</v>
      </c>
      <c r="AO433" s="7">
        <f ca="1">IF(AO$6=OFFSET(Assumptions!$B$8,0,$C$1),OFFSET(AO$438,0,-3)-SUM(OFFSET(AO$433,0,-5,1,5)),0)</f>
        <v>0</v>
      </c>
      <c r="AP433" s="7">
        <f ca="1">IF(AP$6=OFFSET(Assumptions!$B$8,0,$C$1),OFFSET(AP$438,0,-3)-SUM(OFFSET(AP$433,0,-5,1,5)),0)</f>
        <v>0</v>
      </c>
      <c r="AQ433" s="7">
        <f ca="1">IF(AQ$6=OFFSET(Assumptions!$B$8,0,$C$1),OFFSET(AQ$438,0,-3)-SUM(OFFSET(AQ$433,0,-5,1,5)),0)</f>
        <v>0</v>
      </c>
      <c r="AR433" s="7">
        <f ca="1">IF(AR$6=OFFSET(Assumptions!$B$8,0,$C$1),OFFSET(AR$438,0,-3)-SUM(OFFSET(AR$433,0,-5,1,5)),0)</f>
        <v>0</v>
      </c>
      <c r="AS433" s="7">
        <f ca="1">IF(AS$6=OFFSET(Assumptions!$B$8,0,$C$1),OFFSET(AS$438,0,-3)-SUM(OFFSET(AS$433,0,-5,1,5)),0)</f>
        <v>0</v>
      </c>
      <c r="AT433" s="7">
        <f ca="1">IF(AT$6=OFFSET(Assumptions!$B$8,0,$C$1),OFFSET(AT$438,0,-3)-SUM(OFFSET(AT$433,0,-5,1,5)),0)</f>
        <v>0</v>
      </c>
      <c r="AU433" s="7">
        <f ca="1">IF(AU$6=OFFSET(Assumptions!$B$8,0,$C$1),OFFSET(AU$438,0,-3)-SUM(OFFSET(AU$433,0,-5,1,5)),0)</f>
        <v>0</v>
      </c>
      <c r="AV433" s="7">
        <f ca="1">IF(AV$6=OFFSET(Assumptions!$B$8,0,$C$1),OFFSET(AV$438,0,-3)-SUM(OFFSET(AV$433,0,-5,1,5)),0)</f>
        <v>0</v>
      </c>
      <c r="AW433" s="7">
        <f ca="1">IF(AW$6=OFFSET(Assumptions!$B$8,0,$C$1),OFFSET(AW$438,0,-3)-SUM(OFFSET(AW$433,0,-5,1,5)),0)</f>
        <v>0</v>
      </c>
    </row>
    <row r="434" spans="1:49" x14ac:dyDescent="0.2">
      <c r="A434" s="1" t="s">
        <v>662</v>
      </c>
      <c r="B434" s="4" t="str">
        <f t="shared" si="260"/>
        <v>From Fiscal</v>
      </c>
      <c r="D434" s="18">
        <f>Fiscal!D$275</f>
        <v>0</v>
      </c>
      <c r="E434" s="19">
        <f ca="1">IF(OFFSET(Assumptions!$B$109,0,$C$1)="BU",0,Fiscal!E$275)</f>
        <v>0</v>
      </c>
      <c r="F434" s="19">
        <f ca="1">IF(OFFSET(Assumptions!$B$109,0,$C$1)="BU",0,Fiscal!F$275)</f>
        <v>0</v>
      </c>
      <c r="G434" s="19">
        <f ca="1">IF(OFFSET(Assumptions!$B$109,0,$C$1)="BU",0,Fiscal!G$275)</f>
        <v>0</v>
      </c>
      <c r="H434" s="19">
        <f ca="1">IF(OFFSET(Assumptions!$B$109,0,$C$1)="BU",0,Fiscal!H$275)</f>
        <v>0</v>
      </c>
      <c r="I434" s="19">
        <f ca="1">IF(OFFSET(Assumptions!$B$109,0,$C$1)="BU",0,Fiscal!I$275)</f>
        <v>0</v>
      </c>
      <c r="J434" s="7">
        <f ca="1">IF(J$6=OFFSET(Assumptions!$B$8,0,$C$1),(OFFSET(J$438,0,-2)-SUM(OFFSET(J$434,0,-5,1,5)))/2,IF(I$6=OFFSET(Assumptions!$B$8,0,$C$1),I$434,0))</f>
        <v>0</v>
      </c>
      <c r="K434" s="7">
        <f ca="1">IF(K$6=OFFSET(Assumptions!$B$8,0,$C$1),(OFFSET(K$438,0,-2)-SUM(OFFSET(K$434,0,-5,1,5)))/2,IF(J$6=OFFSET(Assumptions!$B$8,0,$C$1),J$434,0))</f>
        <v>0</v>
      </c>
      <c r="L434" s="7">
        <f ca="1">IF(L$6=OFFSET(Assumptions!$B$8,0,$C$1),(OFFSET(L$438,0,-2)-SUM(OFFSET(L$434,0,-5,1,5)))/2,IF(K$6=OFFSET(Assumptions!$B$8,0,$C$1),K$434,0))</f>
        <v>0</v>
      </c>
      <c r="M434" s="7">
        <f ca="1">IF(M$6=OFFSET(Assumptions!$B$8,0,$C$1),(OFFSET(M$438,0,-2)-SUM(OFFSET(M$434,0,-5,1,5)))/2,IF(L$6=OFFSET(Assumptions!$B$8,0,$C$1),L$434,0))</f>
        <v>0</v>
      </c>
      <c r="N434" s="7">
        <f ca="1">IF(N$6=OFFSET(Assumptions!$B$8,0,$C$1),(OFFSET(N$438,0,-2)-SUM(OFFSET(N$434,0,-5,1,5)))/2,IF(M$6=OFFSET(Assumptions!$B$8,0,$C$1),M$434,0))</f>
        <v>0</v>
      </c>
      <c r="O434" s="7">
        <f ca="1">IF(O$6=OFFSET(Assumptions!$B$8,0,$C$1),(OFFSET(O$438,0,-2)-SUM(OFFSET(O$434,0,-5,1,5)))/2,IF(N$6=OFFSET(Assumptions!$B$8,0,$C$1),N$434,0))</f>
        <v>0</v>
      </c>
      <c r="P434" s="7">
        <f ca="1">IF(P$6=OFFSET(Assumptions!$B$8,0,$C$1),(OFFSET(P$438,0,-2)-SUM(OFFSET(P$434,0,-5,1,5)))/2,IF(O$6=OFFSET(Assumptions!$B$8,0,$C$1),O$434,0))</f>
        <v>0</v>
      </c>
      <c r="Q434" s="7">
        <f ca="1">IF(Q$6=OFFSET(Assumptions!$B$8,0,$C$1),(OFFSET(Q$438,0,-2)-SUM(OFFSET(Q$434,0,-5,1,5)))/2,IF(P$6=OFFSET(Assumptions!$B$8,0,$C$1),P$434,0))</f>
        <v>0</v>
      </c>
      <c r="R434" s="7">
        <f ca="1">IF(R$6=OFFSET(Assumptions!$B$8,0,$C$1),(OFFSET(R$438,0,-2)-SUM(OFFSET(R$434,0,-5,1,5)))/2,IF(Q$6=OFFSET(Assumptions!$B$8,0,$C$1),Q$434,0))</f>
        <v>0</v>
      </c>
      <c r="S434" s="7">
        <f ca="1">IF(S$6=OFFSET(Assumptions!$B$8,0,$C$1),(OFFSET(S$438,0,-2)-SUM(OFFSET(S$434,0,-5,1,5)))/2,IF(R$6=OFFSET(Assumptions!$B$8,0,$C$1),R$434,0))</f>
        <v>0</v>
      </c>
      <c r="T434" s="7">
        <f ca="1">IF(T$6=OFFSET(Assumptions!$B$8,0,$C$1),(OFFSET(T$438,0,-2)-SUM(OFFSET(T$434,0,-5,1,5)))/2,IF(S$6=OFFSET(Assumptions!$B$8,0,$C$1),S$434,0))</f>
        <v>0</v>
      </c>
      <c r="U434" s="7">
        <f ca="1">IF(U$6=OFFSET(Assumptions!$B$8,0,$C$1),(OFFSET(U$438,0,-2)-SUM(OFFSET(U$434,0,-5,1,5)))/2,IF(T$6=OFFSET(Assumptions!$B$8,0,$C$1),T$434,0))</f>
        <v>0</v>
      </c>
      <c r="V434" s="7">
        <f ca="1">IF(V$6=OFFSET(Assumptions!$B$8,0,$C$1),(OFFSET(V$438,0,-2)-SUM(OFFSET(V$434,0,-5,1,5)))/2,IF(U$6=OFFSET(Assumptions!$B$8,0,$C$1),U$434,0))</f>
        <v>0</v>
      </c>
      <c r="W434" s="7">
        <f ca="1">IF(W$6=OFFSET(Assumptions!$B$8,0,$C$1),(OFFSET(W$438,0,-2)-SUM(OFFSET(W$434,0,-5,1,5)))/2,IF(V$6=OFFSET(Assumptions!$B$8,0,$C$1),V$434,0))</f>
        <v>0</v>
      </c>
      <c r="X434" s="7">
        <f ca="1">IF(X$6=OFFSET(Assumptions!$B$8,0,$C$1),(OFFSET(X$438,0,-2)-SUM(OFFSET(X$434,0,-5,1,5)))/2,IF(W$6=OFFSET(Assumptions!$B$8,0,$C$1),W$434,0))</f>
        <v>0</v>
      </c>
      <c r="Y434" s="7">
        <f ca="1">IF(Y$6=OFFSET(Assumptions!$B$8,0,$C$1),(OFFSET(Y$438,0,-2)-SUM(OFFSET(Y$434,0,-5,1,5)))/2,IF(X$6=OFFSET(Assumptions!$B$8,0,$C$1),X$434,0))</f>
        <v>0</v>
      </c>
      <c r="Z434" s="7">
        <f ca="1">IF(Z$6=OFFSET(Assumptions!$B$8,0,$C$1),(OFFSET(Z$438,0,-2)-SUM(OFFSET(Z$434,0,-5,1,5)))/2,IF(Y$6=OFFSET(Assumptions!$B$8,0,$C$1),Y$434,0))</f>
        <v>0</v>
      </c>
      <c r="AA434" s="7">
        <f ca="1">IF(AA$6=OFFSET(Assumptions!$B$8,0,$C$1),(OFFSET(AA$438,0,-2)-SUM(OFFSET(AA$434,0,-5,1,5)))/2,IF(Z$6=OFFSET(Assumptions!$B$8,0,$C$1),Z$434,0))</f>
        <v>0</v>
      </c>
      <c r="AB434" s="7">
        <f ca="1">IF(AB$6=OFFSET(Assumptions!$B$8,0,$C$1),(OFFSET(AB$438,0,-2)-SUM(OFFSET(AB$434,0,-5,1,5)))/2,IF(AA$6=OFFSET(Assumptions!$B$8,0,$C$1),AA$434,0))</f>
        <v>0</v>
      </c>
      <c r="AC434" s="7">
        <f ca="1">IF(AC$6=OFFSET(Assumptions!$B$8,0,$C$1),(OFFSET(AC$438,0,-2)-SUM(OFFSET(AC$434,0,-5,1,5)))/2,IF(AB$6=OFFSET(Assumptions!$B$8,0,$C$1),AB$434,0))</f>
        <v>0</v>
      </c>
      <c r="AD434" s="7">
        <f ca="1">IF(AD$6=OFFSET(Assumptions!$B$8,0,$C$1),(OFFSET(AD$438,0,-2)-SUM(OFFSET(AD$434,0,-5,1,5)))/2,IF(AC$6=OFFSET(Assumptions!$B$8,0,$C$1),AC$434,0))</f>
        <v>0</v>
      </c>
      <c r="AE434" s="7">
        <f ca="1">IF(AE$6=OFFSET(Assumptions!$B$8,0,$C$1),(OFFSET(AE$438,0,-2)-SUM(OFFSET(AE$434,0,-5,1,5)))/2,IF(AD$6=OFFSET(Assumptions!$B$8,0,$C$1),AD$434,0))</f>
        <v>0</v>
      </c>
      <c r="AF434" s="7">
        <f ca="1">IF(AF$6=OFFSET(Assumptions!$B$8,0,$C$1),(OFFSET(AF$438,0,-2)-SUM(OFFSET(AF$434,0,-5,1,5)))/2,IF(AE$6=OFFSET(Assumptions!$B$8,0,$C$1),AE$434,0))</f>
        <v>0</v>
      </c>
      <c r="AG434" s="7">
        <f ca="1">IF(AG$6=OFFSET(Assumptions!$B$8,0,$C$1),(OFFSET(AG$438,0,-2)-SUM(OFFSET(AG$434,0,-5,1,5)))/2,IF(AF$6=OFFSET(Assumptions!$B$8,0,$C$1),AF$434,0))</f>
        <v>0</v>
      </c>
      <c r="AH434" s="7">
        <f ca="1">IF(AH$6=OFFSET(Assumptions!$B$8,0,$C$1),(OFFSET(AH$438,0,-2)-SUM(OFFSET(AH$434,0,-5,1,5)))/2,IF(AG$6=OFFSET(Assumptions!$B$8,0,$C$1),AG$434,0))</f>
        <v>0</v>
      </c>
      <c r="AI434" s="7">
        <f ca="1">IF(AI$6=OFFSET(Assumptions!$B$8,0,$C$1),(OFFSET(AI$438,0,-2)-SUM(OFFSET(AI$434,0,-5,1,5)))/2,IF(AH$6=OFFSET(Assumptions!$B$8,0,$C$1),AH$434,0))</f>
        <v>0</v>
      </c>
      <c r="AJ434" s="7">
        <f ca="1">IF(AJ$6=OFFSET(Assumptions!$B$8,0,$C$1),(OFFSET(AJ$438,0,-2)-SUM(OFFSET(AJ$434,0,-5,1,5)))/2,IF(AI$6=OFFSET(Assumptions!$B$8,0,$C$1),AI$434,0))</f>
        <v>0</v>
      </c>
      <c r="AK434" s="7">
        <f ca="1">IF(AK$6=OFFSET(Assumptions!$B$8,0,$C$1),(OFFSET(AK$438,0,-2)-SUM(OFFSET(AK$434,0,-5,1,5)))/2,IF(AJ$6=OFFSET(Assumptions!$B$8,0,$C$1),AJ$434,0))</f>
        <v>0</v>
      </c>
      <c r="AL434" s="7">
        <f ca="1">IF(AL$6=OFFSET(Assumptions!$B$8,0,$C$1),(OFFSET(AL$438,0,-2)-SUM(OFFSET(AL$434,0,-5,1,5)))/2,IF(AK$6=OFFSET(Assumptions!$B$8,0,$C$1),AK$434,0))</f>
        <v>0</v>
      </c>
      <c r="AM434" s="7">
        <f ca="1">IF(AM$6=OFFSET(Assumptions!$B$8,0,$C$1),(OFFSET(AM$438,0,-2)-SUM(OFFSET(AM$434,0,-5,1,5)))/2,IF(AL$6=OFFSET(Assumptions!$B$8,0,$C$1),AL$434,0))</f>
        <v>0</v>
      </c>
      <c r="AN434" s="7">
        <f ca="1">IF(AN$6=OFFSET(Assumptions!$B$8,0,$C$1),(OFFSET(AN$438,0,-2)-SUM(OFFSET(AN$434,0,-5,1,5)))/2,IF(AM$6=OFFSET(Assumptions!$B$8,0,$C$1),AM$434,0))</f>
        <v>0</v>
      </c>
      <c r="AO434" s="7">
        <f ca="1">IF(AO$6=OFFSET(Assumptions!$B$8,0,$C$1),(OFFSET(AO$438,0,-2)-SUM(OFFSET(AO$434,0,-5,1,5)))/2,IF(AN$6=OFFSET(Assumptions!$B$8,0,$C$1),AN$434,0))</f>
        <v>0</v>
      </c>
      <c r="AP434" s="7">
        <f ca="1">IF(AP$6=OFFSET(Assumptions!$B$8,0,$C$1),(OFFSET(AP$438,0,-2)-SUM(OFFSET(AP$434,0,-5,1,5)))/2,IF(AO$6=OFFSET(Assumptions!$B$8,0,$C$1),AO$434,0))</f>
        <v>0</v>
      </c>
      <c r="AQ434" s="7">
        <f ca="1">IF(AQ$6=OFFSET(Assumptions!$B$8,0,$C$1),(OFFSET(AQ$438,0,-2)-SUM(OFFSET(AQ$434,0,-5,1,5)))/2,IF(AP$6=OFFSET(Assumptions!$B$8,0,$C$1),AP$434,0))</f>
        <v>0</v>
      </c>
      <c r="AR434" s="7">
        <f ca="1">IF(AR$6=OFFSET(Assumptions!$B$8,0,$C$1),(OFFSET(AR$438,0,-2)-SUM(OFFSET(AR$434,0,-5,1,5)))/2,IF(AQ$6=OFFSET(Assumptions!$B$8,0,$C$1),AQ$434,0))</f>
        <v>0</v>
      </c>
      <c r="AS434" s="7">
        <f ca="1">IF(AS$6=OFFSET(Assumptions!$B$8,0,$C$1),(OFFSET(AS$438,0,-2)-SUM(OFFSET(AS$434,0,-5,1,5)))/2,IF(AR$6=OFFSET(Assumptions!$B$8,0,$C$1),AR$434,0))</f>
        <v>0</v>
      </c>
      <c r="AT434" s="7">
        <f ca="1">IF(AT$6=OFFSET(Assumptions!$B$8,0,$C$1),(OFFSET(AT$438,0,-2)-SUM(OFFSET(AT$434,0,-5,1,5)))/2,IF(AS$6=OFFSET(Assumptions!$B$8,0,$C$1),AS$434,0))</f>
        <v>0</v>
      </c>
      <c r="AU434" s="7">
        <f ca="1">IF(AU$6=OFFSET(Assumptions!$B$8,0,$C$1),(OFFSET(AU$438,0,-2)-SUM(OFFSET(AU$434,0,-5,1,5)))/2,IF(AT$6=OFFSET(Assumptions!$B$8,0,$C$1),AT$434,0))</f>
        <v>0</v>
      </c>
      <c r="AV434" s="7">
        <f ca="1">IF(AV$6=OFFSET(Assumptions!$B$8,0,$C$1),(OFFSET(AV$438,0,-2)-SUM(OFFSET(AV$434,0,-5,1,5)))/2,IF(AU$6=OFFSET(Assumptions!$B$8,0,$C$1),AU$434,0))</f>
        <v>0</v>
      </c>
      <c r="AW434" s="7">
        <f ca="1">IF(AW$6=OFFSET(Assumptions!$B$8,0,$C$1),(OFFSET(AW$438,0,-2)-SUM(OFFSET(AW$434,0,-5,1,5)))/2,IF(AV$6=OFFSET(Assumptions!$B$8,0,$C$1),AV$434,0))</f>
        <v>0</v>
      </c>
    </row>
    <row r="435" spans="1:49" x14ac:dyDescent="0.2">
      <c r="A435" s="1" t="s">
        <v>663</v>
      </c>
      <c r="B435" s="4" t="str">
        <f t="shared" si="260"/>
        <v>From Fiscal</v>
      </c>
      <c r="D435" s="18">
        <f>Fiscal!D$276</f>
        <v>0</v>
      </c>
      <c r="E435" s="19">
        <f ca="1">IF(OFFSET(Assumptions!$B$109,0,$C$1)="BU",0,Fiscal!E$276)</f>
        <v>0</v>
      </c>
      <c r="F435" s="19">
        <f ca="1">IF(OFFSET(Assumptions!$B$109,0,$C$1)="BU",0,Fiscal!F$276)</f>
        <v>0</v>
      </c>
      <c r="G435" s="19">
        <f ca="1">IF(OFFSET(Assumptions!$B$109,0,$C$1)="BU",0,Fiscal!G$276)</f>
        <v>0</v>
      </c>
      <c r="H435" s="19">
        <f ca="1">IF(OFFSET(Assumptions!$B$109,0,$C$1)="BU",0,Fiscal!H$276)</f>
        <v>0</v>
      </c>
      <c r="I435" s="19">
        <f ca="1">IF(OFFSET(Assumptions!$B$109,0,$C$1)="BU",0,Fiscal!I$276)</f>
        <v>0</v>
      </c>
      <c r="J435" s="7">
        <f ca="1">IF(J$6=OFFSET(Assumptions!$B$8,0,$C$1),(OFFSET(J$438,0,-1)-SUM(OFFSET(J$435,0,-5,1,5)))/3,IF(OR(I$6=OFFSET(Assumptions!$B$8,0,$C$1),H$6=OFFSET(Assumptions!$B$8,0,$C$1)),I$435,0))</f>
        <v>0</v>
      </c>
      <c r="K435" s="7">
        <f ca="1">IF(K$6=OFFSET(Assumptions!$B$8,0,$C$1),(OFFSET(K$438,0,-1)-SUM(OFFSET(K$435,0,-5,1,5)))/3,IF(OR(J$6=OFFSET(Assumptions!$B$8,0,$C$1),I$6=OFFSET(Assumptions!$B$8,0,$C$1)),J$435,0))</f>
        <v>0</v>
      </c>
      <c r="L435" s="7">
        <f ca="1">IF(L$6=OFFSET(Assumptions!$B$8,0,$C$1),(OFFSET(L$438,0,-1)-SUM(OFFSET(L$435,0,-5,1,5)))/3,IF(OR(K$6=OFFSET(Assumptions!$B$8,0,$C$1),J$6=OFFSET(Assumptions!$B$8,0,$C$1)),K$435,0))</f>
        <v>0</v>
      </c>
      <c r="M435" s="7">
        <f ca="1">IF(M$6=OFFSET(Assumptions!$B$8,0,$C$1),(OFFSET(M$438,0,-1)-SUM(OFFSET(M$435,0,-5,1,5)))/3,IF(OR(L$6=OFFSET(Assumptions!$B$8,0,$C$1),K$6=OFFSET(Assumptions!$B$8,0,$C$1)),L$435,0))</f>
        <v>0</v>
      </c>
      <c r="N435" s="7">
        <f ca="1">IF(N$6=OFFSET(Assumptions!$B$8,0,$C$1),(OFFSET(N$438,0,-1)-SUM(OFFSET(N$435,0,-5,1,5)))/3,IF(OR(M$6=OFFSET(Assumptions!$B$8,0,$C$1),L$6=OFFSET(Assumptions!$B$8,0,$C$1)),M$435,0))</f>
        <v>0</v>
      </c>
      <c r="O435" s="7">
        <f ca="1">IF(O$6=OFFSET(Assumptions!$B$8,0,$C$1),(OFFSET(O$438,0,-1)-SUM(OFFSET(O$435,0,-5,1,5)))/3,IF(OR(N$6=OFFSET(Assumptions!$B$8,0,$C$1),M$6=OFFSET(Assumptions!$B$8,0,$C$1)),N$435,0))</f>
        <v>0</v>
      </c>
      <c r="P435" s="7">
        <f ca="1">IF(P$6=OFFSET(Assumptions!$B$8,0,$C$1),(OFFSET(P$438,0,-1)-SUM(OFFSET(P$435,0,-5,1,5)))/3,IF(OR(O$6=OFFSET(Assumptions!$B$8,0,$C$1),N$6=OFFSET(Assumptions!$B$8,0,$C$1)),O$435,0))</f>
        <v>0</v>
      </c>
      <c r="Q435" s="7">
        <f ca="1">IF(Q$6=OFFSET(Assumptions!$B$8,0,$C$1),(OFFSET(Q$438,0,-1)-SUM(OFFSET(Q$435,0,-5,1,5)))/3,IF(OR(P$6=OFFSET(Assumptions!$B$8,0,$C$1),O$6=OFFSET(Assumptions!$B$8,0,$C$1)),P$435,0))</f>
        <v>0</v>
      </c>
      <c r="R435" s="7">
        <f ca="1">IF(R$6=OFFSET(Assumptions!$B$8,0,$C$1),(OFFSET(R$438,0,-1)-SUM(OFFSET(R$435,0,-5,1,5)))/3,IF(OR(Q$6=OFFSET(Assumptions!$B$8,0,$C$1),P$6=OFFSET(Assumptions!$B$8,0,$C$1)),Q$435,0))</f>
        <v>0</v>
      </c>
      <c r="S435" s="7">
        <f ca="1">IF(S$6=OFFSET(Assumptions!$B$8,0,$C$1),(OFFSET(S$438,0,-1)-SUM(OFFSET(S$435,0,-5,1,5)))/3,IF(OR(R$6=OFFSET(Assumptions!$B$8,0,$C$1),Q$6=OFFSET(Assumptions!$B$8,0,$C$1)),R$435,0))</f>
        <v>0</v>
      </c>
      <c r="T435" s="7">
        <f ca="1">IF(T$6=OFFSET(Assumptions!$B$8,0,$C$1),(OFFSET(T$438,0,-1)-SUM(OFFSET(T$435,0,-5,1,5)))/3,IF(OR(S$6=OFFSET(Assumptions!$B$8,0,$C$1),R$6=OFFSET(Assumptions!$B$8,0,$C$1)),S$435,0))</f>
        <v>0</v>
      </c>
      <c r="U435" s="7">
        <f ca="1">IF(U$6=OFFSET(Assumptions!$B$8,0,$C$1),(OFFSET(U$438,0,-1)-SUM(OFFSET(U$435,0,-5,1,5)))/3,IF(OR(T$6=OFFSET(Assumptions!$B$8,0,$C$1),S$6=OFFSET(Assumptions!$B$8,0,$C$1)),T$435,0))</f>
        <v>0</v>
      </c>
      <c r="V435" s="7">
        <f ca="1">IF(V$6=OFFSET(Assumptions!$B$8,0,$C$1),(OFFSET(V$438,0,-1)-SUM(OFFSET(V$435,0,-5,1,5)))/3,IF(OR(U$6=OFFSET(Assumptions!$B$8,0,$C$1),T$6=OFFSET(Assumptions!$B$8,0,$C$1)),U$435,0))</f>
        <v>0</v>
      </c>
      <c r="W435" s="7">
        <f ca="1">IF(W$6=OFFSET(Assumptions!$B$8,0,$C$1),(OFFSET(W$438,0,-1)-SUM(OFFSET(W$435,0,-5,1,5)))/3,IF(OR(V$6=OFFSET(Assumptions!$B$8,0,$C$1),U$6=OFFSET(Assumptions!$B$8,0,$C$1)),V$435,0))</f>
        <v>0</v>
      </c>
      <c r="X435" s="7">
        <f ca="1">IF(X$6=OFFSET(Assumptions!$B$8,0,$C$1),(OFFSET(X$438,0,-1)-SUM(OFFSET(X$435,0,-5,1,5)))/3,IF(OR(W$6=OFFSET(Assumptions!$B$8,0,$C$1),V$6=OFFSET(Assumptions!$B$8,0,$C$1)),W$435,0))</f>
        <v>0</v>
      </c>
      <c r="Y435" s="7">
        <f ca="1">IF(Y$6=OFFSET(Assumptions!$B$8,0,$C$1),(OFFSET(Y$438,0,-1)-SUM(OFFSET(Y$435,0,-5,1,5)))/3,IF(OR(X$6=OFFSET(Assumptions!$B$8,0,$C$1),W$6=OFFSET(Assumptions!$B$8,0,$C$1)),X$435,0))</f>
        <v>0</v>
      </c>
      <c r="Z435" s="7">
        <f ca="1">IF(Z$6=OFFSET(Assumptions!$B$8,0,$C$1),(OFFSET(Z$438,0,-1)-SUM(OFFSET(Z$435,0,-5,1,5)))/3,IF(OR(Y$6=OFFSET(Assumptions!$B$8,0,$C$1),X$6=OFFSET(Assumptions!$B$8,0,$C$1)),Y$435,0))</f>
        <v>0</v>
      </c>
      <c r="AA435" s="7">
        <f ca="1">IF(AA$6=OFFSET(Assumptions!$B$8,0,$C$1),(OFFSET(AA$438,0,-1)-SUM(OFFSET(AA$435,0,-5,1,5)))/3,IF(OR(Z$6=OFFSET(Assumptions!$B$8,0,$C$1),Y$6=OFFSET(Assumptions!$B$8,0,$C$1)),Z$435,0))</f>
        <v>0</v>
      </c>
      <c r="AB435" s="7">
        <f ca="1">IF(AB$6=OFFSET(Assumptions!$B$8,0,$C$1),(OFFSET(AB$438,0,-1)-SUM(OFFSET(AB$435,0,-5,1,5)))/3,IF(OR(AA$6=OFFSET(Assumptions!$B$8,0,$C$1),Z$6=OFFSET(Assumptions!$B$8,0,$C$1)),AA$435,0))</f>
        <v>0</v>
      </c>
      <c r="AC435" s="7">
        <f ca="1">IF(AC$6=OFFSET(Assumptions!$B$8,0,$C$1),(OFFSET(AC$438,0,-1)-SUM(OFFSET(AC$435,0,-5,1,5)))/3,IF(OR(AB$6=OFFSET(Assumptions!$B$8,0,$C$1),AA$6=OFFSET(Assumptions!$B$8,0,$C$1)),AB$435,0))</f>
        <v>0</v>
      </c>
      <c r="AD435" s="7">
        <f ca="1">IF(AD$6=OFFSET(Assumptions!$B$8,0,$C$1),(OFFSET(AD$438,0,-1)-SUM(OFFSET(AD$435,0,-5,1,5)))/3,IF(OR(AC$6=OFFSET(Assumptions!$B$8,0,$C$1),AB$6=OFFSET(Assumptions!$B$8,0,$C$1)),AC$435,0))</f>
        <v>0</v>
      </c>
      <c r="AE435" s="7">
        <f ca="1">IF(AE$6=OFFSET(Assumptions!$B$8,0,$C$1),(OFFSET(AE$438,0,-1)-SUM(OFFSET(AE$435,0,-5,1,5)))/3,IF(OR(AD$6=OFFSET(Assumptions!$B$8,0,$C$1),AC$6=OFFSET(Assumptions!$B$8,0,$C$1)),AD$435,0))</f>
        <v>0</v>
      </c>
      <c r="AF435" s="7">
        <f ca="1">IF(AF$6=OFFSET(Assumptions!$B$8,0,$C$1),(OFFSET(AF$438,0,-1)-SUM(OFFSET(AF$435,0,-5,1,5)))/3,IF(OR(AE$6=OFFSET(Assumptions!$B$8,0,$C$1),AD$6=OFFSET(Assumptions!$B$8,0,$C$1)),AE$435,0))</f>
        <v>0</v>
      </c>
      <c r="AG435" s="7">
        <f ca="1">IF(AG$6=OFFSET(Assumptions!$B$8,0,$C$1),(OFFSET(AG$438,0,-1)-SUM(OFFSET(AG$435,0,-5,1,5)))/3,IF(OR(AF$6=OFFSET(Assumptions!$B$8,0,$C$1),AE$6=OFFSET(Assumptions!$B$8,0,$C$1)),AF$435,0))</f>
        <v>0</v>
      </c>
      <c r="AH435" s="7">
        <f ca="1">IF(AH$6=OFFSET(Assumptions!$B$8,0,$C$1),(OFFSET(AH$438,0,-1)-SUM(OFFSET(AH$435,0,-5,1,5)))/3,IF(OR(AG$6=OFFSET(Assumptions!$B$8,0,$C$1),AF$6=OFFSET(Assumptions!$B$8,0,$C$1)),AG$435,0))</f>
        <v>0</v>
      </c>
      <c r="AI435" s="7">
        <f ca="1">IF(AI$6=OFFSET(Assumptions!$B$8,0,$C$1),(OFFSET(AI$438,0,-1)-SUM(OFFSET(AI$435,0,-5,1,5)))/3,IF(OR(AH$6=OFFSET(Assumptions!$B$8,0,$C$1),AG$6=OFFSET(Assumptions!$B$8,0,$C$1)),AH$435,0))</f>
        <v>0</v>
      </c>
      <c r="AJ435" s="7">
        <f ca="1">IF(AJ$6=OFFSET(Assumptions!$B$8,0,$C$1),(OFFSET(AJ$438,0,-1)-SUM(OFFSET(AJ$435,0,-5,1,5)))/3,IF(OR(AI$6=OFFSET(Assumptions!$B$8,0,$C$1),AH$6=OFFSET(Assumptions!$B$8,0,$C$1)),AI$435,0))</f>
        <v>0</v>
      </c>
      <c r="AK435" s="7">
        <f ca="1">IF(AK$6=OFFSET(Assumptions!$B$8,0,$C$1),(OFFSET(AK$438,0,-1)-SUM(OFFSET(AK$435,0,-5,1,5)))/3,IF(OR(AJ$6=OFFSET(Assumptions!$B$8,0,$C$1),AI$6=OFFSET(Assumptions!$B$8,0,$C$1)),AJ$435,0))</f>
        <v>0</v>
      </c>
      <c r="AL435" s="7">
        <f ca="1">IF(AL$6=OFFSET(Assumptions!$B$8,0,$C$1),(OFFSET(AL$438,0,-1)-SUM(OFFSET(AL$435,0,-5,1,5)))/3,IF(OR(AK$6=OFFSET(Assumptions!$B$8,0,$C$1),AJ$6=OFFSET(Assumptions!$B$8,0,$C$1)),AK$435,0))</f>
        <v>0</v>
      </c>
      <c r="AM435" s="7">
        <f ca="1">IF(AM$6=OFFSET(Assumptions!$B$8,0,$C$1),(OFFSET(AM$438,0,-1)-SUM(OFFSET(AM$435,0,-5,1,5)))/3,IF(OR(AL$6=OFFSET(Assumptions!$B$8,0,$C$1),AK$6=OFFSET(Assumptions!$B$8,0,$C$1)),AL$435,0))</f>
        <v>0</v>
      </c>
      <c r="AN435" s="7">
        <f ca="1">IF(AN$6=OFFSET(Assumptions!$B$8,0,$C$1),(OFFSET(AN$438,0,-1)-SUM(OFFSET(AN$435,0,-5,1,5)))/3,IF(OR(AM$6=OFFSET(Assumptions!$B$8,0,$C$1),AL$6=OFFSET(Assumptions!$B$8,0,$C$1)),AM$435,0))</f>
        <v>0</v>
      </c>
      <c r="AO435" s="7">
        <f ca="1">IF(AO$6=OFFSET(Assumptions!$B$8,0,$C$1),(OFFSET(AO$438,0,-1)-SUM(OFFSET(AO$435,0,-5,1,5)))/3,IF(OR(AN$6=OFFSET(Assumptions!$B$8,0,$C$1),AM$6=OFFSET(Assumptions!$B$8,0,$C$1)),AN$435,0))</f>
        <v>0</v>
      </c>
      <c r="AP435" s="7">
        <f ca="1">IF(AP$6=OFFSET(Assumptions!$B$8,0,$C$1),(OFFSET(AP$438,0,-1)-SUM(OFFSET(AP$435,0,-5,1,5)))/3,IF(OR(AO$6=OFFSET(Assumptions!$B$8,0,$C$1),AN$6=OFFSET(Assumptions!$B$8,0,$C$1)),AO$435,0))</f>
        <v>0</v>
      </c>
      <c r="AQ435" s="7">
        <f ca="1">IF(AQ$6=OFFSET(Assumptions!$B$8,0,$C$1),(OFFSET(AQ$438,0,-1)-SUM(OFFSET(AQ$435,0,-5,1,5)))/3,IF(OR(AP$6=OFFSET(Assumptions!$B$8,0,$C$1),AO$6=OFFSET(Assumptions!$B$8,0,$C$1)),AP$435,0))</f>
        <v>0</v>
      </c>
      <c r="AR435" s="7">
        <f ca="1">IF(AR$6=OFFSET(Assumptions!$B$8,0,$C$1),(OFFSET(AR$438,0,-1)-SUM(OFFSET(AR$435,0,-5,1,5)))/3,IF(OR(AQ$6=OFFSET(Assumptions!$B$8,0,$C$1),AP$6=OFFSET(Assumptions!$B$8,0,$C$1)),AQ$435,0))</f>
        <v>0</v>
      </c>
      <c r="AS435" s="7">
        <f ca="1">IF(AS$6=OFFSET(Assumptions!$B$8,0,$C$1),(OFFSET(AS$438,0,-1)-SUM(OFFSET(AS$435,0,-5,1,5)))/3,IF(OR(AR$6=OFFSET(Assumptions!$B$8,0,$C$1),AQ$6=OFFSET(Assumptions!$B$8,0,$C$1)),AR$435,0))</f>
        <v>0</v>
      </c>
      <c r="AT435" s="7">
        <f ca="1">IF(AT$6=OFFSET(Assumptions!$B$8,0,$C$1),(OFFSET(AT$438,0,-1)-SUM(OFFSET(AT$435,0,-5,1,5)))/3,IF(OR(AS$6=OFFSET(Assumptions!$B$8,0,$C$1),AR$6=OFFSET(Assumptions!$B$8,0,$C$1)),AS$435,0))</f>
        <v>0</v>
      </c>
      <c r="AU435" s="7">
        <f ca="1">IF(AU$6=OFFSET(Assumptions!$B$8,0,$C$1),(OFFSET(AU$438,0,-1)-SUM(OFFSET(AU$435,0,-5,1,5)))/3,IF(OR(AT$6=OFFSET(Assumptions!$B$8,0,$C$1),AS$6=OFFSET(Assumptions!$B$8,0,$C$1)),AT$435,0))</f>
        <v>0</v>
      </c>
      <c r="AV435" s="7">
        <f ca="1">IF(AV$6=OFFSET(Assumptions!$B$8,0,$C$1),(OFFSET(AV$438,0,-1)-SUM(OFFSET(AV$435,0,-5,1,5)))/3,IF(OR(AU$6=OFFSET(Assumptions!$B$8,0,$C$1),AT$6=OFFSET(Assumptions!$B$8,0,$C$1)),AU$435,0))</f>
        <v>0</v>
      </c>
      <c r="AW435" s="7">
        <f ca="1">IF(AW$6=OFFSET(Assumptions!$B$8,0,$C$1),(OFFSET(AW$438,0,-1)-SUM(OFFSET(AW$435,0,-5,1,5)))/3,IF(OR(AV$6=OFFSET(Assumptions!$B$8,0,$C$1),AU$6=OFFSET(Assumptions!$B$8,0,$C$1)),AV$435,0))</f>
        <v>0</v>
      </c>
    </row>
    <row r="436" spans="1:49" ht="15" x14ac:dyDescent="0.25">
      <c r="A436" s="1" t="s">
        <v>664</v>
      </c>
      <c r="B436" s="4"/>
      <c r="C436" s="69">
        <f ca="1">OFFSET(Assumptions!$B$9,0,$C$1)</f>
        <v>0</v>
      </c>
      <c r="D436" s="18">
        <f t="shared" ref="D436:I436" ca="1" si="261">C$436</f>
        <v>0</v>
      </c>
      <c r="E436" s="19">
        <f t="shared" ca="1" si="261"/>
        <v>0</v>
      </c>
      <c r="F436" s="19">
        <f t="shared" ca="1" si="261"/>
        <v>0</v>
      </c>
      <c r="G436" s="19">
        <f t="shared" ca="1" si="261"/>
        <v>0</v>
      </c>
      <c r="H436" s="19">
        <f t="shared" ca="1" si="261"/>
        <v>0</v>
      </c>
      <c r="I436" s="19">
        <f t="shared" ca="1" si="261"/>
        <v>0</v>
      </c>
      <c r="J436" s="7">
        <f ca="1">IF(J$6=OFFSET(Assumptions!$B$8,0,$C$1),J$438,IF(I$6=OFFSET(Assumptions!$B$8,0,$C$1),SUM(I$438:J$438),IF(H$6=OFFSET(Assumptions!$B$8,0,$C$1),SUM(H$438:J$438),SUM(G$438:J$438))))/4</f>
        <v>0</v>
      </c>
      <c r="K436" s="7">
        <f ca="1">IF(K$6=OFFSET(Assumptions!$B$8,0,$C$1),K$438,IF(J$6=OFFSET(Assumptions!$B$8,0,$C$1),SUM(J$438:K$438),IF(I$6=OFFSET(Assumptions!$B$8,0,$C$1),SUM(I$438:K$438),SUM(H$438:K$438))))/4</f>
        <v>0</v>
      </c>
      <c r="L436" s="7">
        <f ca="1">IF(L$6=OFFSET(Assumptions!$B$8,0,$C$1),L$438,IF(K$6=OFFSET(Assumptions!$B$8,0,$C$1),SUM(K$438:L$438),IF(J$6=OFFSET(Assumptions!$B$8,0,$C$1),SUM(J$438:L$438),SUM(I$438:L$438))))/4</f>
        <v>0</v>
      </c>
      <c r="M436" s="7">
        <f ca="1">IF(M$6=OFFSET(Assumptions!$B$8,0,$C$1),M$438,IF(L$6=OFFSET(Assumptions!$B$8,0,$C$1),SUM(L$438:M$438),IF(K$6=OFFSET(Assumptions!$B$8,0,$C$1),SUM(K$438:M$438),SUM(J$438:M$438))))/4</f>
        <v>0</v>
      </c>
      <c r="N436" s="7">
        <f ca="1">IF(N$6=OFFSET(Assumptions!$B$8,0,$C$1),N$438,IF(M$6=OFFSET(Assumptions!$B$8,0,$C$1),SUM(M$438:N$438),IF(L$6=OFFSET(Assumptions!$B$8,0,$C$1),SUM(L$438:N$438),SUM(K$438:N$438))))/4</f>
        <v>0</v>
      </c>
      <c r="O436" s="7">
        <f ca="1">IF(O$6=OFFSET(Assumptions!$B$8,0,$C$1),O$438,IF(N$6=OFFSET(Assumptions!$B$8,0,$C$1),SUM(N$438:O$438),IF(M$6=OFFSET(Assumptions!$B$8,0,$C$1),SUM(M$438:O$438),SUM(L$438:O$438))))/4</f>
        <v>0</v>
      </c>
      <c r="P436" s="7">
        <f ca="1">IF(P$6=OFFSET(Assumptions!$B$8,0,$C$1),P$438,IF(O$6=OFFSET(Assumptions!$B$8,0,$C$1),SUM(O$438:P$438),IF(N$6=OFFSET(Assumptions!$B$8,0,$C$1),SUM(N$438:P$438),SUM(M$438:P$438))))/4</f>
        <v>0</v>
      </c>
      <c r="Q436" s="7">
        <f ca="1">IF(Q$6=OFFSET(Assumptions!$B$8,0,$C$1),Q$438,IF(P$6=OFFSET(Assumptions!$B$8,0,$C$1),SUM(P$438:Q$438),IF(O$6=OFFSET(Assumptions!$B$8,0,$C$1),SUM(O$438:Q$438),SUM(N$438:Q$438))))/4</f>
        <v>0</v>
      </c>
      <c r="R436" s="7">
        <f ca="1">IF(R$6=OFFSET(Assumptions!$B$8,0,$C$1),R$438,IF(Q$6=OFFSET(Assumptions!$B$8,0,$C$1),SUM(Q$438:R$438),IF(P$6=OFFSET(Assumptions!$B$8,0,$C$1),SUM(P$438:R$438),SUM(O$438:R$438))))/4</f>
        <v>0</v>
      </c>
      <c r="S436" s="7">
        <f ca="1">IF(S$6=OFFSET(Assumptions!$B$8,0,$C$1),S$438,IF(R$6=OFFSET(Assumptions!$B$8,0,$C$1),SUM(R$438:S$438),IF(Q$6=OFFSET(Assumptions!$B$8,0,$C$1),SUM(Q$438:S$438),SUM(P$438:S$438))))/4</f>
        <v>0</v>
      </c>
      <c r="T436" s="7">
        <f ca="1">IF(T$6=OFFSET(Assumptions!$B$8,0,$C$1),T$438,IF(S$6=OFFSET(Assumptions!$B$8,0,$C$1),SUM(S$438:T$438),IF(R$6=OFFSET(Assumptions!$B$8,0,$C$1),SUM(R$438:T$438),SUM(Q$438:T$438))))/4</f>
        <v>0</v>
      </c>
      <c r="U436" s="7">
        <f ca="1">IF(U$6=OFFSET(Assumptions!$B$8,0,$C$1),U$438,IF(T$6=OFFSET(Assumptions!$B$8,0,$C$1),SUM(T$438:U$438),IF(S$6=OFFSET(Assumptions!$B$8,0,$C$1),SUM(S$438:U$438),SUM(R$438:U$438))))/4</f>
        <v>0</v>
      </c>
      <c r="V436" s="7">
        <f ca="1">IF(V$6=OFFSET(Assumptions!$B$8,0,$C$1),V$438,IF(U$6=OFFSET(Assumptions!$B$8,0,$C$1),SUM(U$438:V$438),IF(T$6=OFFSET(Assumptions!$B$8,0,$C$1),SUM(T$438:V$438),SUM(S$438:V$438))))/4</f>
        <v>0</v>
      </c>
      <c r="W436" s="7">
        <f ca="1">IF(W$6=OFFSET(Assumptions!$B$8,0,$C$1),W$438,IF(V$6=OFFSET(Assumptions!$B$8,0,$C$1),SUM(V$438:W$438),IF(U$6=OFFSET(Assumptions!$B$8,0,$C$1),SUM(U$438:W$438),SUM(T$438:W$438))))/4</f>
        <v>0</v>
      </c>
      <c r="X436" s="7">
        <f ca="1">IF(X$6=OFFSET(Assumptions!$B$8,0,$C$1),X$438,IF(W$6=OFFSET(Assumptions!$B$8,0,$C$1),SUM(W$438:X$438),IF(V$6=OFFSET(Assumptions!$B$8,0,$C$1),SUM(V$438:X$438),SUM(U$438:X$438))))/4</f>
        <v>0</v>
      </c>
      <c r="Y436" s="7">
        <f ca="1">IF(Y$6=OFFSET(Assumptions!$B$8,0,$C$1),Y$438,IF(X$6=OFFSET(Assumptions!$B$8,0,$C$1),SUM(X$438:Y$438),IF(W$6=OFFSET(Assumptions!$B$8,0,$C$1),SUM(W$438:Y$438),SUM(V$438:Y$438))))/4</f>
        <v>0</v>
      </c>
      <c r="Z436" s="7">
        <f ca="1">IF(Z$6=OFFSET(Assumptions!$B$8,0,$C$1),Z$438,IF(Y$6=OFFSET(Assumptions!$B$8,0,$C$1),SUM(Y$438:Z$438),IF(X$6=OFFSET(Assumptions!$B$8,0,$C$1),SUM(X$438:Z$438),SUM(W$438:Z$438))))/4</f>
        <v>0</v>
      </c>
      <c r="AA436" s="7">
        <f ca="1">IF(AA$6=OFFSET(Assumptions!$B$8,0,$C$1),AA$438,IF(Z$6=OFFSET(Assumptions!$B$8,0,$C$1),SUM(Z$438:AA$438),IF(Y$6=OFFSET(Assumptions!$B$8,0,$C$1),SUM(Y$438:AA$438),SUM(X$438:AA$438))))/4</f>
        <v>0</v>
      </c>
      <c r="AB436" s="7">
        <f ca="1">IF(AB$6=OFFSET(Assumptions!$B$8,0,$C$1),AB$438,IF(AA$6=OFFSET(Assumptions!$B$8,0,$C$1),SUM(AA$438:AB$438),IF(Z$6=OFFSET(Assumptions!$B$8,0,$C$1),SUM(Z$438:AB$438),SUM(Y$438:AB$438))))/4</f>
        <v>0</v>
      </c>
      <c r="AC436" s="7">
        <f ca="1">IF(AC$6=OFFSET(Assumptions!$B$8,0,$C$1),AC$438,IF(AB$6=OFFSET(Assumptions!$B$8,0,$C$1),SUM(AB$438:AC$438),IF(AA$6=OFFSET(Assumptions!$B$8,0,$C$1),SUM(AA$438:AC$438),SUM(Z$438:AC$438))))/4</f>
        <v>0</v>
      </c>
      <c r="AD436" s="7">
        <f ca="1">IF(AD$6=OFFSET(Assumptions!$B$8,0,$C$1),AD$438,IF(AC$6=OFFSET(Assumptions!$B$8,0,$C$1),SUM(AC$438:AD$438),IF(AB$6=OFFSET(Assumptions!$B$8,0,$C$1),SUM(AB$438:AD$438),SUM(AA$438:AD$438))))/4</f>
        <v>0</v>
      </c>
      <c r="AE436" s="7">
        <f ca="1">IF(AE$6=OFFSET(Assumptions!$B$8,0,$C$1),AE$438,IF(AD$6=OFFSET(Assumptions!$B$8,0,$C$1),SUM(AD$438:AE$438),IF(AC$6=OFFSET(Assumptions!$B$8,0,$C$1),SUM(AC$438:AE$438),SUM(AB$438:AE$438))))/4</f>
        <v>0</v>
      </c>
      <c r="AF436" s="7">
        <f ca="1">IF(AF$6=OFFSET(Assumptions!$B$8,0,$C$1),AF$438,IF(AE$6=OFFSET(Assumptions!$B$8,0,$C$1),SUM(AE$438:AF$438),IF(AD$6=OFFSET(Assumptions!$B$8,0,$C$1),SUM(AD$438:AF$438),SUM(AC$438:AF$438))))/4</f>
        <v>0</v>
      </c>
      <c r="AG436" s="7">
        <f ca="1">IF(AG$6=OFFSET(Assumptions!$B$8,0,$C$1),AG$438,IF(AF$6=OFFSET(Assumptions!$B$8,0,$C$1),SUM(AF$438:AG$438),IF(AE$6=OFFSET(Assumptions!$B$8,0,$C$1),SUM(AE$438:AG$438),SUM(AD$438:AG$438))))/4</f>
        <v>0</v>
      </c>
      <c r="AH436" s="7">
        <f ca="1">IF(AH$6=OFFSET(Assumptions!$B$8,0,$C$1),AH$438,IF(AG$6=OFFSET(Assumptions!$B$8,0,$C$1),SUM(AG$438:AH$438),IF(AF$6=OFFSET(Assumptions!$B$8,0,$C$1),SUM(AF$438:AH$438),SUM(AE$438:AH$438))))/4</f>
        <v>0</v>
      </c>
      <c r="AI436" s="7">
        <f ca="1">IF(AI$6=OFFSET(Assumptions!$B$8,0,$C$1),AI$438,IF(AH$6=OFFSET(Assumptions!$B$8,0,$C$1),SUM(AH$438:AI$438),IF(AG$6=OFFSET(Assumptions!$B$8,0,$C$1),SUM(AG$438:AI$438),SUM(AF$438:AI$438))))/4</f>
        <v>0</v>
      </c>
      <c r="AJ436" s="7">
        <f ca="1">IF(AJ$6=OFFSET(Assumptions!$B$8,0,$C$1),AJ$438,IF(AI$6=OFFSET(Assumptions!$B$8,0,$C$1),SUM(AI$438:AJ$438),IF(AH$6=OFFSET(Assumptions!$B$8,0,$C$1),SUM(AH$438:AJ$438),SUM(AG$438:AJ$438))))/4</f>
        <v>0</v>
      </c>
      <c r="AK436" s="7">
        <f ca="1">IF(AK$6=OFFSET(Assumptions!$B$8,0,$C$1),AK$438,IF(AJ$6=OFFSET(Assumptions!$B$8,0,$C$1),SUM(AJ$438:AK$438),IF(AI$6=OFFSET(Assumptions!$B$8,0,$C$1),SUM(AI$438:AK$438),SUM(AH$438:AK$438))))/4</f>
        <v>0</v>
      </c>
      <c r="AL436" s="7">
        <f ca="1">IF(AL$6=OFFSET(Assumptions!$B$8,0,$C$1),AL$438,IF(AK$6=OFFSET(Assumptions!$B$8,0,$C$1),SUM(AK$438:AL$438),IF(AJ$6=OFFSET(Assumptions!$B$8,0,$C$1),SUM(AJ$438:AL$438),SUM(AI$438:AL$438))))/4</f>
        <v>0</v>
      </c>
      <c r="AM436" s="7">
        <f ca="1">IF(AM$6=OFFSET(Assumptions!$B$8,0,$C$1),AM$438,IF(AL$6=OFFSET(Assumptions!$B$8,0,$C$1),SUM(AL$438:AM$438),IF(AK$6=OFFSET(Assumptions!$B$8,0,$C$1),SUM(AK$438:AM$438),SUM(AJ$438:AM$438))))/4</f>
        <v>0</v>
      </c>
      <c r="AN436" s="7">
        <f ca="1">IF(AN$6=OFFSET(Assumptions!$B$8,0,$C$1),AN$438,IF(AM$6=OFFSET(Assumptions!$B$8,0,$C$1),SUM(AM$438:AN$438),IF(AL$6=OFFSET(Assumptions!$B$8,0,$C$1),SUM(AL$438:AN$438),SUM(AK$438:AN$438))))/4</f>
        <v>0</v>
      </c>
      <c r="AO436" s="7">
        <f ca="1">IF(AO$6=OFFSET(Assumptions!$B$8,0,$C$1),AO$438,IF(AN$6=OFFSET(Assumptions!$B$8,0,$C$1),SUM(AN$438:AO$438),IF(AM$6=OFFSET(Assumptions!$B$8,0,$C$1),SUM(AM$438:AO$438),SUM(AL$438:AO$438))))/4</f>
        <v>0</v>
      </c>
      <c r="AP436" s="7">
        <f ca="1">IF(AP$6=OFFSET(Assumptions!$B$8,0,$C$1),AP$438,IF(AO$6=OFFSET(Assumptions!$B$8,0,$C$1),SUM(AO$438:AP$438),IF(AN$6=OFFSET(Assumptions!$B$8,0,$C$1),SUM(AN$438:AP$438),SUM(AM$438:AP$438))))/4</f>
        <v>0</v>
      </c>
      <c r="AQ436" s="7">
        <f ca="1">IF(AQ$6=OFFSET(Assumptions!$B$8,0,$C$1),AQ$438,IF(AP$6=OFFSET(Assumptions!$B$8,0,$C$1),SUM(AP$438:AQ$438),IF(AO$6=OFFSET(Assumptions!$B$8,0,$C$1),SUM(AO$438:AQ$438),SUM(AN$438:AQ$438))))/4</f>
        <v>0</v>
      </c>
      <c r="AR436" s="7">
        <f ca="1">IF(AR$6=OFFSET(Assumptions!$B$8,0,$C$1),AR$438,IF(AQ$6=OFFSET(Assumptions!$B$8,0,$C$1),SUM(AQ$438:AR$438),IF(AP$6=OFFSET(Assumptions!$B$8,0,$C$1),SUM(AP$438:AR$438),SUM(AO$438:AR$438))))/4</f>
        <v>0</v>
      </c>
      <c r="AS436" s="7">
        <f ca="1">IF(AS$6=OFFSET(Assumptions!$B$8,0,$C$1),AS$438,IF(AR$6=OFFSET(Assumptions!$B$8,0,$C$1),SUM(AR$438:AS$438),IF(AQ$6=OFFSET(Assumptions!$B$8,0,$C$1),SUM(AQ$438:AS$438),SUM(AP$438:AS$438))))/4</f>
        <v>0</v>
      </c>
      <c r="AT436" s="7">
        <f ca="1">IF(AT$6=OFFSET(Assumptions!$B$8,0,$C$1),AT$438,IF(AS$6=OFFSET(Assumptions!$B$8,0,$C$1),SUM(AS$438:AT$438),IF(AR$6=OFFSET(Assumptions!$B$8,0,$C$1),SUM(AR$438:AT$438),SUM(AQ$438:AT$438))))/4</f>
        <v>0</v>
      </c>
      <c r="AU436" s="7">
        <f ca="1">IF(AU$6=OFFSET(Assumptions!$B$8,0,$C$1),AU$438,IF(AT$6=OFFSET(Assumptions!$B$8,0,$C$1),SUM(AT$438:AU$438),IF(AS$6=OFFSET(Assumptions!$B$8,0,$C$1),SUM(AS$438:AU$438),SUM(AR$438:AU$438))))/4</f>
        <v>0</v>
      </c>
      <c r="AV436" s="7">
        <f ca="1">IF(AV$6=OFFSET(Assumptions!$B$8,0,$C$1),AV$438,IF(AU$6=OFFSET(Assumptions!$B$8,0,$C$1),SUM(AU$438:AV$438),IF(AT$6=OFFSET(Assumptions!$B$8,0,$C$1),SUM(AT$438:AV$438),SUM(AS$438:AV$438))))/4</f>
        <v>0</v>
      </c>
      <c r="AW436" s="7">
        <f ca="1">IF(AW$6=OFFSET(Assumptions!$B$8,0,$C$1),AW$438,IF(AV$6=OFFSET(Assumptions!$B$8,0,$C$1),SUM(AV$438:AW$438),IF(AU$6=OFFSET(Assumptions!$B$8,0,$C$1),SUM(AU$438:AW$438),SUM(AT$438:AW$438))))/4</f>
        <v>0</v>
      </c>
    </row>
    <row r="437" spans="1:49" ht="15" x14ac:dyDescent="0.25">
      <c r="A437" s="2" t="s">
        <v>665</v>
      </c>
      <c r="B437" s="4"/>
      <c r="D437" s="40">
        <f t="shared" ref="D437:AW437" ca="1" si="262">SUM(D$430:D$436)</f>
        <v>0</v>
      </c>
      <c r="E437" s="39">
        <f t="shared" ca="1" si="262"/>
        <v>0</v>
      </c>
      <c r="F437" s="39">
        <f t="shared" ca="1" si="262"/>
        <v>0</v>
      </c>
      <c r="G437" s="39">
        <f t="shared" ca="1" si="262"/>
        <v>0</v>
      </c>
      <c r="H437" s="39">
        <f t="shared" ca="1" si="262"/>
        <v>0</v>
      </c>
      <c r="I437" s="39">
        <f t="shared" ca="1" si="262"/>
        <v>0</v>
      </c>
      <c r="J437" s="43">
        <f t="shared" ca="1" si="262"/>
        <v>0</v>
      </c>
      <c r="K437" s="43">
        <f t="shared" ca="1" si="262"/>
        <v>0</v>
      </c>
      <c r="L437" s="43">
        <f t="shared" ca="1" si="262"/>
        <v>0</v>
      </c>
      <c r="M437" s="43">
        <f t="shared" ca="1" si="262"/>
        <v>0</v>
      </c>
      <c r="N437" s="43">
        <f t="shared" ca="1" si="262"/>
        <v>0</v>
      </c>
      <c r="O437" s="43">
        <f t="shared" ca="1" si="262"/>
        <v>0</v>
      </c>
      <c r="P437" s="43">
        <f t="shared" ca="1" si="262"/>
        <v>0</v>
      </c>
      <c r="Q437" s="43">
        <f t="shared" ca="1" si="262"/>
        <v>0</v>
      </c>
      <c r="R437" s="43">
        <f t="shared" ca="1" si="262"/>
        <v>0</v>
      </c>
      <c r="S437" s="43">
        <f t="shared" ca="1" si="262"/>
        <v>0</v>
      </c>
      <c r="T437" s="43">
        <f t="shared" ca="1" si="262"/>
        <v>0</v>
      </c>
      <c r="U437" s="43">
        <f t="shared" ca="1" si="262"/>
        <v>0</v>
      </c>
      <c r="V437" s="43">
        <f t="shared" ca="1" si="262"/>
        <v>0</v>
      </c>
      <c r="W437" s="43">
        <f t="shared" ca="1" si="262"/>
        <v>0</v>
      </c>
      <c r="X437" s="43">
        <f t="shared" ca="1" si="262"/>
        <v>0</v>
      </c>
      <c r="Y437" s="43">
        <f t="shared" ca="1" si="262"/>
        <v>0</v>
      </c>
      <c r="Z437" s="43">
        <f t="shared" ca="1" si="262"/>
        <v>0</v>
      </c>
      <c r="AA437" s="43">
        <f t="shared" ca="1" si="262"/>
        <v>0</v>
      </c>
      <c r="AB437" s="43">
        <f t="shared" ca="1" si="262"/>
        <v>0</v>
      </c>
      <c r="AC437" s="43">
        <f t="shared" ca="1" si="262"/>
        <v>0</v>
      </c>
      <c r="AD437" s="43">
        <f t="shared" ca="1" si="262"/>
        <v>0</v>
      </c>
      <c r="AE437" s="43">
        <f t="shared" ca="1" si="262"/>
        <v>0</v>
      </c>
      <c r="AF437" s="43">
        <f t="shared" ca="1" si="262"/>
        <v>0</v>
      </c>
      <c r="AG437" s="43">
        <f t="shared" ca="1" si="262"/>
        <v>0</v>
      </c>
      <c r="AH437" s="43">
        <f t="shared" ca="1" si="262"/>
        <v>0</v>
      </c>
      <c r="AI437" s="43">
        <f t="shared" ca="1" si="262"/>
        <v>0</v>
      </c>
      <c r="AJ437" s="43">
        <f t="shared" ca="1" si="262"/>
        <v>0</v>
      </c>
      <c r="AK437" s="43">
        <f t="shared" ca="1" si="262"/>
        <v>0</v>
      </c>
      <c r="AL437" s="43">
        <f t="shared" ca="1" si="262"/>
        <v>0</v>
      </c>
      <c r="AM437" s="43">
        <f t="shared" ca="1" si="262"/>
        <v>0</v>
      </c>
      <c r="AN437" s="43">
        <f t="shared" ca="1" si="262"/>
        <v>0</v>
      </c>
      <c r="AO437" s="43">
        <f t="shared" ca="1" si="262"/>
        <v>0</v>
      </c>
      <c r="AP437" s="43">
        <f t="shared" ca="1" si="262"/>
        <v>0</v>
      </c>
      <c r="AQ437" s="43">
        <f t="shared" ca="1" si="262"/>
        <v>0</v>
      </c>
      <c r="AR437" s="43">
        <f t="shared" ca="1" si="262"/>
        <v>0</v>
      </c>
      <c r="AS437" s="43">
        <f t="shared" ca="1" si="262"/>
        <v>0</v>
      </c>
      <c r="AT437" s="43">
        <f t="shared" ca="1" si="262"/>
        <v>0</v>
      </c>
      <c r="AU437" s="43">
        <f t="shared" ca="1" si="262"/>
        <v>0</v>
      </c>
      <c r="AV437" s="43">
        <f t="shared" ca="1" si="262"/>
        <v>0</v>
      </c>
      <c r="AW437" s="43">
        <f t="shared" ca="1" si="262"/>
        <v>0</v>
      </c>
    </row>
    <row r="438" spans="1:49" ht="15" x14ac:dyDescent="0.25">
      <c r="A438" s="2" t="s">
        <v>666</v>
      </c>
      <c r="B438" s="4" t="str">
        <f t="shared" ref="B438:B443" si="263">$B$43</f>
        <v>From Fiscal</v>
      </c>
      <c r="D438" s="18">
        <f>Fiscal!D$278</f>
        <v>0</v>
      </c>
      <c r="E438" s="19">
        <f ca="1">IF(OFFSET(Assumptions!$B$109,0,$C$1)="BU",0,Fiscal!E$278)</f>
        <v>0</v>
      </c>
      <c r="F438" s="19">
        <f ca="1">IF(OFFSET(Assumptions!$B$109,0,$C$1)="BU",0,Fiscal!F$278)</f>
        <v>0</v>
      </c>
      <c r="G438" s="19">
        <f ca="1">IF(OFFSET(Assumptions!$B$109,0,$C$1)="BU",0,Fiscal!G$278)</f>
        <v>0</v>
      </c>
      <c r="H438" s="19">
        <f ca="1">IF(OFFSET(Assumptions!$B$109,0,$C$1)="BU",0,Fiscal!H$278)</f>
        <v>0</v>
      </c>
      <c r="I438" s="19">
        <f ca="1">IF(OFFSET(Assumptions!$B$109,0,$C$1)="BU",0,Fiscal!I$278)</f>
        <v>0</v>
      </c>
      <c r="J438" s="7">
        <f ca="1">IF(OFFSET(Assumptions!$B$109,0,$C$1)="BU",0,IF(J$6=OFFSET(Assumptions!$B$8,0,$C$1),OFFSET(Assumptions!$B$57,0,$C$1),I$438*(1+OFFSET(Assumptions!$B$58,0,$C$1))))</f>
        <v>0</v>
      </c>
      <c r="K438" s="7">
        <f ca="1">IF(OFFSET(Assumptions!$B$109,0,$C$1)="BU",0,IF(K$6=OFFSET(Assumptions!$B$8,0,$C$1),OFFSET(Assumptions!$B$57,0,$C$1),J$438*(1+OFFSET(Assumptions!$B$58,0,$C$1))))</f>
        <v>0</v>
      </c>
      <c r="L438" s="7">
        <f ca="1">IF(OFFSET(Assumptions!$B$109,0,$C$1)="BU",0,IF(L$6=OFFSET(Assumptions!$B$8,0,$C$1),OFFSET(Assumptions!$B$57,0,$C$1),K$438*(1+OFFSET(Assumptions!$B$58,0,$C$1))))</f>
        <v>0</v>
      </c>
      <c r="M438" s="7">
        <f ca="1">IF(OFFSET(Assumptions!$B$109,0,$C$1)="BU",0,IF(M$6=OFFSET(Assumptions!$B$8,0,$C$1),OFFSET(Assumptions!$B$57,0,$C$1),L$438*(1+OFFSET(Assumptions!$B$58,0,$C$1))))</f>
        <v>0</v>
      </c>
      <c r="N438" s="7">
        <f ca="1">IF(OFFSET(Assumptions!$B$109,0,$C$1)="BU",0,IF(N$6=OFFSET(Assumptions!$B$8,0,$C$1),OFFSET(Assumptions!$B$57,0,$C$1),M$438*(1+OFFSET(Assumptions!$B$58,0,$C$1))))</f>
        <v>0</v>
      </c>
      <c r="O438" s="7">
        <f ca="1">IF(OFFSET(Assumptions!$B$109,0,$C$1)="BU",0,IF(O$6=OFFSET(Assumptions!$B$8,0,$C$1),OFFSET(Assumptions!$B$57,0,$C$1),N$438*(1+OFFSET(Assumptions!$B$58,0,$C$1))))</f>
        <v>0</v>
      </c>
      <c r="P438" s="7">
        <f ca="1">IF(OFFSET(Assumptions!$B$109,0,$C$1)="BU",0,IF(P$6=OFFSET(Assumptions!$B$8,0,$C$1),OFFSET(Assumptions!$B$57,0,$C$1),O$438*(1+OFFSET(Assumptions!$B$58,0,$C$1))))</f>
        <v>0</v>
      </c>
      <c r="Q438" s="7">
        <f ca="1">IF(OFFSET(Assumptions!$B$109,0,$C$1)="BU",0,IF(Q$6=OFFSET(Assumptions!$B$8,0,$C$1),OFFSET(Assumptions!$B$57,0,$C$1),P$438*(1+OFFSET(Assumptions!$B$58,0,$C$1))))</f>
        <v>0</v>
      </c>
      <c r="R438" s="7">
        <f ca="1">IF(OFFSET(Assumptions!$B$109,0,$C$1)="BU",0,IF(R$6=OFFSET(Assumptions!$B$8,0,$C$1),OFFSET(Assumptions!$B$57,0,$C$1),Q$438*(1+OFFSET(Assumptions!$B$58,0,$C$1))))</f>
        <v>0</v>
      </c>
      <c r="S438" s="7">
        <f ca="1">IF(OFFSET(Assumptions!$B$109,0,$C$1)="BU",0,IF(S$6=OFFSET(Assumptions!$B$8,0,$C$1),OFFSET(Assumptions!$B$57,0,$C$1),R$438*(1+OFFSET(Assumptions!$B$58,0,$C$1))))</f>
        <v>0</v>
      </c>
      <c r="T438" s="7">
        <f ca="1">IF(OFFSET(Assumptions!$B$109,0,$C$1)="BU",0,IF(T$6=OFFSET(Assumptions!$B$8,0,$C$1),OFFSET(Assumptions!$B$57,0,$C$1),S$438*(1+OFFSET(Assumptions!$B$58,0,$C$1))))</f>
        <v>0</v>
      </c>
      <c r="U438" s="7">
        <f ca="1">IF(OFFSET(Assumptions!$B$109,0,$C$1)="BU",0,IF(U$6=OFFSET(Assumptions!$B$8,0,$C$1),OFFSET(Assumptions!$B$57,0,$C$1),T$438*(1+OFFSET(Assumptions!$B$58,0,$C$1))))</f>
        <v>0</v>
      </c>
      <c r="V438" s="7">
        <f ca="1">IF(OFFSET(Assumptions!$B$109,0,$C$1)="BU",0,IF(V$6=OFFSET(Assumptions!$B$8,0,$C$1),OFFSET(Assumptions!$B$57,0,$C$1),U$438*(1+OFFSET(Assumptions!$B$58,0,$C$1))))</f>
        <v>0</v>
      </c>
      <c r="W438" s="7">
        <f ca="1">IF(OFFSET(Assumptions!$B$109,0,$C$1)="BU",0,IF(W$6=OFFSET(Assumptions!$B$8,0,$C$1),OFFSET(Assumptions!$B$57,0,$C$1),V$438*(1+OFFSET(Assumptions!$B$58,0,$C$1))))</f>
        <v>0</v>
      </c>
      <c r="X438" s="7">
        <f ca="1">IF(OFFSET(Assumptions!$B$109,0,$C$1)="BU",0,IF(X$6=OFFSET(Assumptions!$B$8,0,$C$1),OFFSET(Assumptions!$B$57,0,$C$1),W$438*(1+OFFSET(Assumptions!$B$58,0,$C$1))))</f>
        <v>0</v>
      </c>
      <c r="Y438" s="7">
        <f ca="1">IF(OFFSET(Assumptions!$B$109,0,$C$1)="BU",0,IF(Y$6=OFFSET(Assumptions!$B$8,0,$C$1),OFFSET(Assumptions!$B$57,0,$C$1),X$438*(1+OFFSET(Assumptions!$B$58,0,$C$1))))</f>
        <v>0</v>
      </c>
      <c r="Z438" s="7">
        <f ca="1">IF(OFFSET(Assumptions!$B$109,0,$C$1)="BU",0,IF(Z$6=OFFSET(Assumptions!$B$8,0,$C$1),OFFSET(Assumptions!$B$57,0,$C$1),Y$438*(1+OFFSET(Assumptions!$B$58,0,$C$1))))</f>
        <v>0</v>
      </c>
      <c r="AA438" s="7">
        <f ca="1">IF(OFFSET(Assumptions!$B$109,0,$C$1)="BU",0,IF(AA$6=OFFSET(Assumptions!$B$8,0,$C$1),OFFSET(Assumptions!$B$57,0,$C$1),Z$438*(1+OFFSET(Assumptions!$B$58,0,$C$1))))</f>
        <v>0</v>
      </c>
      <c r="AB438" s="7">
        <f ca="1">IF(OFFSET(Assumptions!$B$109,0,$C$1)="BU",0,IF(AB$6=OFFSET(Assumptions!$B$8,0,$C$1),OFFSET(Assumptions!$B$57,0,$C$1),AA$438*(1+OFFSET(Assumptions!$B$58,0,$C$1))))</f>
        <v>0</v>
      </c>
      <c r="AC438" s="7">
        <f ca="1">IF(OFFSET(Assumptions!$B$109,0,$C$1)="BU",0,IF(AC$6=OFFSET(Assumptions!$B$8,0,$C$1),OFFSET(Assumptions!$B$57,0,$C$1),AB$438*(1+OFFSET(Assumptions!$B$58,0,$C$1))))</f>
        <v>0</v>
      </c>
      <c r="AD438" s="7">
        <f ca="1">IF(OFFSET(Assumptions!$B$109,0,$C$1)="BU",0,IF(AD$6=OFFSET(Assumptions!$B$8,0,$C$1),OFFSET(Assumptions!$B$57,0,$C$1),AC$438*(1+OFFSET(Assumptions!$B$58,0,$C$1))))</f>
        <v>0</v>
      </c>
      <c r="AE438" s="7">
        <f ca="1">IF(OFFSET(Assumptions!$B$109,0,$C$1)="BU",0,IF(AE$6=OFFSET(Assumptions!$B$8,0,$C$1),OFFSET(Assumptions!$B$57,0,$C$1),AD$438*(1+OFFSET(Assumptions!$B$58,0,$C$1))))</f>
        <v>0</v>
      </c>
      <c r="AF438" s="7">
        <f ca="1">IF(OFFSET(Assumptions!$B$109,0,$C$1)="BU",0,IF(AF$6=OFFSET(Assumptions!$B$8,0,$C$1),OFFSET(Assumptions!$B$57,0,$C$1),AE$438*(1+OFFSET(Assumptions!$B$58,0,$C$1))))</f>
        <v>0</v>
      </c>
      <c r="AG438" s="7">
        <f ca="1">IF(OFFSET(Assumptions!$B$109,0,$C$1)="BU",0,IF(AG$6=OFFSET(Assumptions!$B$8,0,$C$1),OFFSET(Assumptions!$B$57,0,$C$1),AF$438*(1+OFFSET(Assumptions!$B$58,0,$C$1))))</f>
        <v>0</v>
      </c>
      <c r="AH438" s="7">
        <f ca="1">IF(OFFSET(Assumptions!$B$109,0,$C$1)="BU",0,IF(AH$6=OFFSET(Assumptions!$B$8,0,$C$1),OFFSET(Assumptions!$B$57,0,$C$1),AG$438*(1+OFFSET(Assumptions!$B$58,0,$C$1))))</f>
        <v>0</v>
      </c>
      <c r="AI438" s="7">
        <f ca="1">IF(OFFSET(Assumptions!$B$109,0,$C$1)="BU",0,IF(AI$6=OFFSET(Assumptions!$B$8,0,$C$1),OFFSET(Assumptions!$B$57,0,$C$1),AH$438*(1+OFFSET(Assumptions!$B$58,0,$C$1))))</f>
        <v>0</v>
      </c>
      <c r="AJ438" s="7">
        <f ca="1">IF(OFFSET(Assumptions!$B$109,0,$C$1)="BU",0,IF(AJ$6=OFFSET(Assumptions!$B$8,0,$C$1),OFFSET(Assumptions!$B$57,0,$C$1),AI$438*(1+OFFSET(Assumptions!$B$58,0,$C$1))))</f>
        <v>0</v>
      </c>
      <c r="AK438" s="7">
        <f ca="1">IF(OFFSET(Assumptions!$B$109,0,$C$1)="BU",0,IF(AK$6=OFFSET(Assumptions!$B$8,0,$C$1),OFFSET(Assumptions!$B$57,0,$C$1),AJ$438*(1+OFFSET(Assumptions!$B$58,0,$C$1))))</f>
        <v>0</v>
      </c>
      <c r="AL438" s="7">
        <f ca="1">IF(OFFSET(Assumptions!$B$109,0,$C$1)="BU",0,IF(AL$6=OFFSET(Assumptions!$B$8,0,$C$1),OFFSET(Assumptions!$B$57,0,$C$1),AK$438*(1+OFFSET(Assumptions!$B$58,0,$C$1))))</f>
        <v>0</v>
      </c>
      <c r="AM438" s="7">
        <f ca="1">IF(OFFSET(Assumptions!$B$109,0,$C$1)="BU",0,IF(AM$6=OFFSET(Assumptions!$B$8,0,$C$1),OFFSET(Assumptions!$B$57,0,$C$1),AL$438*(1+OFFSET(Assumptions!$B$58,0,$C$1))))</f>
        <v>0</v>
      </c>
      <c r="AN438" s="7">
        <f ca="1">IF(OFFSET(Assumptions!$B$109,0,$C$1)="BU",0,IF(AN$6=OFFSET(Assumptions!$B$8,0,$C$1),OFFSET(Assumptions!$B$57,0,$C$1),AM$438*(1+OFFSET(Assumptions!$B$58,0,$C$1))))</f>
        <v>0</v>
      </c>
      <c r="AO438" s="7">
        <f ca="1">IF(OFFSET(Assumptions!$B$109,0,$C$1)="BU",0,IF(AO$6=OFFSET(Assumptions!$B$8,0,$C$1),OFFSET(Assumptions!$B$57,0,$C$1),AN$438*(1+OFFSET(Assumptions!$B$58,0,$C$1))))</f>
        <v>0</v>
      </c>
      <c r="AP438" s="7">
        <f ca="1">IF(OFFSET(Assumptions!$B$109,0,$C$1)="BU",0,IF(AP$6=OFFSET(Assumptions!$B$8,0,$C$1),OFFSET(Assumptions!$B$57,0,$C$1),AO$438*(1+OFFSET(Assumptions!$B$58,0,$C$1))))</f>
        <v>0</v>
      </c>
      <c r="AQ438" s="7">
        <f ca="1">IF(OFFSET(Assumptions!$B$109,0,$C$1)="BU",0,IF(AQ$6=OFFSET(Assumptions!$B$8,0,$C$1),OFFSET(Assumptions!$B$57,0,$C$1),AP$438*(1+OFFSET(Assumptions!$B$58,0,$C$1))))</f>
        <v>0</v>
      </c>
      <c r="AR438" s="7">
        <f ca="1">IF(OFFSET(Assumptions!$B$109,0,$C$1)="BU",0,IF(AR$6=OFFSET(Assumptions!$B$8,0,$C$1),OFFSET(Assumptions!$B$57,0,$C$1),AQ$438*(1+OFFSET(Assumptions!$B$58,0,$C$1))))</f>
        <v>0</v>
      </c>
      <c r="AS438" s="7">
        <f ca="1">IF(OFFSET(Assumptions!$B$109,0,$C$1)="BU",0,IF(AS$6=OFFSET(Assumptions!$B$8,0,$C$1),OFFSET(Assumptions!$B$57,0,$C$1),AR$438*(1+OFFSET(Assumptions!$B$58,0,$C$1))))</f>
        <v>0</v>
      </c>
      <c r="AT438" s="7">
        <f ca="1">IF(OFFSET(Assumptions!$B$109,0,$C$1)="BU",0,IF(AT$6=OFFSET(Assumptions!$B$8,0,$C$1),OFFSET(Assumptions!$B$57,0,$C$1),AS$438*(1+OFFSET(Assumptions!$B$58,0,$C$1))))</f>
        <v>0</v>
      </c>
      <c r="AU438" s="7">
        <f ca="1">IF(OFFSET(Assumptions!$B$109,0,$C$1)="BU",0,IF(AU$6=OFFSET(Assumptions!$B$8,0,$C$1),OFFSET(Assumptions!$B$57,0,$C$1),AT$438*(1+OFFSET(Assumptions!$B$58,0,$C$1))))</f>
        <v>0</v>
      </c>
      <c r="AV438" s="7">
        <f ca="1">IF(OFFSET(Assumptions!$B$109,0,$C$1)="BU",0,IF(AV$6=OFFSET(Assumptions!$B$8,0,$C$1),OFFSET(Assumptions!$B$57,0,$C$1),AU$438*(1+OFFSET(Assumptions!$B$58,0,$C$1))))</f>
        <v>0</v>
      </c>
      <c r="AW438" s="7">
        <f ca="1">IF(OFFSET(Assumptions!$B$109,0,$C$1)="BU",0,IF(AW$6=OFFSET(Assumptions!$B$8,0,$C$1),OFFSET(Assumptions!$B$57,0,$C$1),AV$438*(1+OFFSET(Assumptions!$B$58,0,$C$1))))</f>
        <v>0</v>
      </c>
    </row>
    <row r="439" spans="1:49" ht="15" x14ac:dyDescent="0.25">
      <c r="A439" s="2" t="s">
        <v>667</v>
      </c>
      <c r="B439" s="4" t="str">
        <f t="shared" si="263"/>
        <v>From Fiscal</v>
      </c>
      <c r="D439" s="47">
        <f>Fiscal!D$124</f>
        <v>0</v>
      </c>
      <c r="E439" s="44">
        <f ca="1">IF(OFFSET(Assumptions!$B$109,0,$C$1)="BU",0,Fiscal!E$124)</f>
        <v>0</v>
      </c>
      <c r="F439" s="44">
        <f ca="1">IF(OFFSET(Assumptions!$B$109,0,$C$1)="BU",0,Fiscal!F$124)</f>
        <v>0</v>
      </c>
      <c r="G439" s="44">
        <f ca="1">IF(OFFSET(Assumptions!$B$109,0,$C$1)="BU",0,Fiscal!G$124)</f>
        <v>0</v>
      </c>
      <c r="H439" s="44">
        <f ca="1">IF(OFFSET(Assumptions!$B$109,0,$C$1)="BU",0,Fiscal!H$124)</f>
        <v>0</v>
      </c>
      <c r="I439" s="44">
        <f ca="1">IF(OFFSET(Assumptions!$B$109,0,$C$1)="BU",0,Fiscal!I$124)</f>
        <v>0</v>
      </c>
      <c r="J439" s="8">
        <f ca="1">SUM($D$437:J$437)</f>
        <v>0</v>
      </c>
      <c r="K439" s="8">
        <f ca="1">SUM($D$437:K$437)</f>
        <v>0</v>
      </c>
      <c r="L439" s="8">
        <f ca="1">SUM($D$437:L$437)</f>
        <v>0</v>
      </c>
      <c r="M439" s="8">
        <f ca="1">SUM($D$437:M$437)</f>
        <v>0</v>
      </c>
      <c r="N439" s="8">
        <f ca="1">SUM($D$437:N$437)</f>
        <v>0</v>
      </c>
      <c r="O439" s="8">
        <f ca="1">SUM($D$437:O$437)</f>
        <v>0</v>
      </c>
      <c r="P439" s="8">
        <f ca="1">SUM($D$437:P$437)</f>
        <v>0</v>
      </c>
      <c r="Q439" s="8">
        <f ca="1">SUM($D$437:Q$437)</f>
        <v>0</v>
      </c>
      <c r="R439" s="8">
        <f ca="1">SUM($D$437:R$437)</f>
        <v>0</v>
      </c>
      <c r="S439" s="8">
        <f ca="1">SUM($D$437:S$437)</f>
        <v>0</v>
      </c>
      <c r="T439" s="8">
        <f ca="1">SUM($D$437:T$437)</f>
        <v>0</v>
      </c>
      <c r="U439" s="8">
        <f ca="1">SUM($D$437:U$437)</f>
        <v>0</v>
      </c>
      <c r="V439" s="8">
        <f ca="1">SUM($D$437:V$437)</f>
        <v>0</v>
      </c>
      <c r="W439" s="8">
        <f ca="1">SUM($D$437:W$437)</f>
        <v>0</v>
      </c>
      <c r="X439" s="8">
        <f ca="1">SUM($D$437:X$437)</f>
        <v>0</v>
      </c>
      <c r="Y439" s="8">
        <f ca="1">SUM($D$437:Y$437)</f>
        <v>0</v>
      </c>
      <c r="Z439" s="8">
        <f ca="1">SUM($D$437:Z$437)</f>
        <v>0</v>
      </c>
      <c r="AA439" s="8">
        <f ca="1">SUM($D$437:AA$437)</f>
        <v>0</v>
      </c>
      <c r="AB439" s="8">
        <f ca="1">SUM($D$437:AB$437)</f>
        <v>0</v>
      </c>
      <c r="AC439" s="8">
        <f ca="1">SUM($D$437:AC$437)</f>
        <v>0</v>
      </c>
      <c r="AD439" s="8">
        <f ca="1">SUM($D$437:AD$437)</f>
        <v>0</v>
      </c>
      <c r="AE439" s="8">
        <f ca="1">SUM($D$437:AE$437)</f>
        <v>0</v>
      </c>
      <c r="AF439" s="8">
        <f ca="1">SUM($D$437:AF$437)</f>
        <v>0</v>
      </c>
      <c r="AG439" s="8">
        <f ca="1">SUM($D$437:AG$437)</f>
        <v>0</v>
      </c>
      <c r="AH439" s="8">
        <f ca="1">SUM($D$437:AH$437)</f>
        <v>0</v>
      </c>
      <c r="AI439" s="8">
        <f ca="1">SUM($D$437:AI$437)</f>
        <v>0</v>
      </c>
      <c r="AJ439" s="8">
        <f ca="1">SUM($D$437:AJ$437)</f>
        <v>0</v>
      </c>
      <c r="AK439" s="8">
        <f ca="1">SUM($D$437:AK$437)</f>
        <v>0</v>
      </c>
      <c r="AL439" s="8">
        <f ca="1">SUM($D$437:AL$437)</f>
        <v>0</v>
      </c>
      <c r="AM439" s="8">
        <f ca="1">SUM($D$437:AM$437)</f>
        <v>0</v>
      </c>
      <c r="AN439" s="8">
        <f ca="1">SUM($D$437:AN$437)</f>
        <v>0</v>
      </c>
      <c r="AO439" s="8">
        <f ca="1">SUM($D$437:AO$437)</f>
        <v>0</v>
      </c>
      <c r="AP439" s="8">
        <f ca="1">SUM($D$437:AP$437)</f>
        <v>0</v>
      </c>
      <c r="AQ439" s="8">
        <f ca="1">SUM($D$437:AQ$437)</f>
        <v>0</v>
      </c>
      <c r="AR439" s="8">
        <f ca="1">SUM($D$437:AR$437)</f>
        <v>0</v>
      </c>
      <c r="AS439" s="8">
        <f ca="1">SUM($D$437:AS$437)</f>
        <v>0</v>
      </c>
      <c r="AT439" s="8">
        <f ca="1">SUM($D$437:AT$437)</f>
        <v>0</v>
      </c>
      <c r="AU439" s="8">
        <f ca="1">SUM($D$437:AU$437)</f>
        <v>0</v>
      </c>
      <c r="AV439" s="8">
        <f ca="1">SUM($D$437:AV$437)</f>
        <v>0</v>
      </c>
      <c r="AW439" s="8">
        <f ca="1">SUM($D$437:AW$437)</f>
        <v>0</v>
      </c>
    </row>
    <row r="440" spans="1:49" ht="15" x14ac:dyDescent="0.25">
      <c r="A440" s="2" t="s">
        <v>668</v>
      </c>
      <c r="B440" s="4" t="str">
        <f t="shared" si="263"/>
        <v>From Fiscal</v>
      </c>
      <c r="D440" s="47">
        <f>Fiscal!D$125</f>
        <v>0</v>
      </c>
      <c r="E440" s="44">
        <f ca="1">IF(OFFSET(Assumptions!$B$109,0,$C$1)="BU",0,Fiscal!E$125)</f>
        <v>0</v>
      </c>
      <c r="F440" s="44">
        <f ca="1">IF(OFFSET(Assumptions!$B$109,0,$C$1)="BU",0,Fiscal!F$125)</f>
        <v>0</v>
      </c>
      <c r="G440" s="44">
        <f ca="1">IF(OFFSET(Assumptions!$B$109,0,$C$1)="BU",0,Fiscal!G$125)</f>
        <v>0</v>
      </c>
      <c r="H440" s="44">
        <f ca="1">IF(OFFSET(Assumptions!$B$109,0,$C$1)="BU",0,Fiscal!H$125)</f>
        <v>0</v>
      </c>
      <c r="I440" s="44">
        <f ca="1">IF(OFFSET(Assumptions!$B$109,0,$C$1)="BU",0,Fiscal!I$125)</f>
        <v>0</v>
      </c>
      <c r="J440" s="8">
        <f ca="1">I$440*(1+OFFSET(Assumptions!$B$58,0,$C$1))</f>
        <v>0</v>
      </c>
      <c r="K440" s="8">
        <f ca="1">J$440*(1+OFFSET(Assumptions!$B$58,0,$C$1))</f>
        <v>0</v>
      </c>
      <c r="L440" s="8">
        <f ca="1">K$440*(1+OFFSET(Assumptions!$B$58,0,$C$1))</f>
        <v>0</v>
      </c>
      <c r="M440" s="8">
        <f ca="1">L$440*(1+OFFSET(Assumptions!$B$58,0,$C$1))</f>
        <v>0</v>
      </c>
      <c r="N440" s="8">
        <f ca="1">M$440*(1+OFFSET(Assumptions!$B$58,0,$C$1))</f>
        <v>0</v>
      </c>
      <c r="O440" s="8">
        <f ca="1">N$440*(1+OFFSET(Assumptions!$B$58,0,$C$1))</f>
        <v>0</v>
      </c>
      <c r="P440" s="8">
        <f ca="1">O$440*(1+OFFSET(Assumptions!$B$58,0,$C$1))</f>
        <v>0</v>
      </c>
      <c r="Q440" s="8">
        <f ca="1">P$440*(1+OFFSET(Assumptions!$B$58,0,$C$1))</f>
        <v>0</v>
      </c>
      <c r="R440" s="8">
        <f ca="1">Q$440*(1+OFFSET(Assumptions!$B$58,0,$C$1))</f>
        <v>0</v>
      </c>
      <c r="S440" s="8">
        <f ca="1">R$440*(1+OFFSET(Assumptions!$B$58,0,$C$1))</f>
        <v>0</v>
      </c>
      <c r="T440" s="8">
        <f ca="1">S$440*(1+OFFSET(Assumptions!$B$58,0,$C$1))</f>
        <v>0</v>
      </c>
      <c r="U440" s="8">
        <f ca="1">T$440*(1+OFFSET(Assumptions!$B$58,0,$C$1))</f>
        <v>0</v>
      </c>
      <c r="V440" s="8">
        <f ca="1">U$440*(1+OFFSET(Assumptions!$B$58,0,$C$1))</f>
        <v>0</v>
      </c>
      <c r="W440" s="8">
        <f ca="1">V$440*(1+OFFSET(Assumptions!$B$58,0,$C$1))</f>
        <v>0</v>
      </c>
      <c r="X440" s="8">
        <f ca="1">W$440*(1+OFFSET(Assumptions!$B$58,0,$C$1))</f>
        <v>0</v>
      </c>
      <c r="Y440" s="8">
        <f ca="1">X$440*(1+OFFSET(Assumptions!$B$58,0,$C$1))</f>
        <v>0</v>
      </c>
      <c r="Z440" s="8">
        <f ca="1">Y$440*(1+OFFSET(Assumptions!$B$58,0,$C$1))</f>
        <v>0</v>
      </c>
      <c r="AA440" s="8">
        <f ca="1">Z$440*(1+OFFSET(Assumptions!$B$58,0,$C$1))</f>
        <v>0</v>
      </c>
      <c r="AB440" s="8">
        <f ca="1">AA$440*(1+OFFSET(Assumptions!$B$58,0,$C$1))</f>
        <v>0</v>
      </c>
      <c r="AC440" s="8">
        <f ca="1">AB$440*(1+OFFSET(Assumptions!$B$58,0,$C$1))</f>
        <v>0</v>
      </c>
      <c r="AD440" s="8">
        <f ca="1">AC$440*(1+OFFSET(Assumptions!$B$58,0,$C$1))</f>
        <v>0</v>
      </c>
      <c r="AE440" s="8">
        <f ca="1">AD$440*(1+OFFSET(Assumptions!$B$58,0,$C$1))</f>
        <v>0</v>
      </c>
      <c r="AF440" s="8">
        <f ca="1">AE$440*(1+OFFSET(Assumptions!$B$58,0,$C$1))</f>
        <v>0</v>
      </c>
      <c r="AG440" s="8">
        <f ca="1">AF$440*(1+OFFSET(Assumptions!$B$58,0,$C$1))</f>
        <v>0</v>
      </c>
      <c r="AH440" s="8">
        <f ca="1">AG$440*(1+OFFSET(Assumptions!$B$58,0,$C$1))</f>
        <v>0</v>
      </c>
      <c r="AI440" s="8">
        <f ca="1">AH$440*(1+OFFSET(Assumptions!$B$58,0,$C$1))</f>
        <v>0</v>
      </c>
      <c r="AJ440" s="8">
        <f ca="1">AI$440*(1+OFFSET(Assumptions!$B$58,0,$C$1))</f>
        <v>0</v>
      </c>
      <c r="AK440" s="8">
        <f ca="1">AJ$440*(1+OFFSET(Assumptions!$B$58,0,$C$1))</f>
        <v>0</v>
      </c>
      <c r="AL440" s="8">
        <f ca="1">AK$440*(1+OFFSET(Assumptions!$B$58,0,$C$1))</f>
        <v>0</v>
      </c>
      <c r="AM440" s="8">
        <f ca="1">AL$440*(1+OFFSET(Assumptions!$B$58,0,$C$1))</f>
        <v>0</v>
      </c>
      <c r="AN440" s="8">
        <f ca="1">AM$440*(1+OFFSET(Assumptions!$B$58,0,$C$1))</f>
        <v>0</v>
      </c>
      <c r="AO440" s="8">
        <f ca="1">AN$440*(1+OFFSET(Assumptions!$B$58,0,$C$1))</f>
        <v>0</v>
      </c>
      <c r="AP440" s="8">
        <f ca="1">AO$440*(1+OFFSET(Assumptions!$B$58,0,$C$1))</f>
        <v>0</v>
      </c>
      <c r="AQ440" s="8">
        <f ca="1">AP$440*(1+OFFSET(Assumptions!$B$58,0,$C$1))</f>
        <v>0</v>
      </c>
      <c r="AR440" s="8">
        <f ca="1">AQ$440*(1+OFFSET(Assumptions!$B$58,0,$C$1))</f>
        <v>0</v>
      </c>
      <c r="AS440" s="8">
        <f ca="1">AR$440*(1+OFFSET(Assumptions!$B$58,0,$C$1))</f>
        <v>0</v>
      </c>
      <c r="AT440" s="8">
        <f ca="1">AS$440*(1+OFFSET(Assumptions!$B$58,0,$C$1))</f>
        <v>0</v>
      </c>
      <c r="AU440" s="8">
        <f ca="1">AT$440*(1+OFFSET(Assumptions!$B$58,0,$C$1))</f>
        <v>0</v>
      </c>
      <c r="AV440" s="8">
        <f ca="1">AU$440*(1+OFFSET(Assumptions!$B$58,0,$C$1))</f>
        <v>0</v>
      </c>
      <c r="AW440" s="8">
        <f ca="1">AV$440*(1+OFFSET(Assumptions!$B$58,0,$C$1))</f>
        <v>0</v>
      </c>
    </row>
    <row r="441" spans="1:49" ht="15" x14ac:dyDescent="0.25">
      <c r="A441" s="2"/>
      <c r="B441" s="4"/>
      <c r="D441" s="47"/>
      <c r="E441" s="47"/>
      <c r="F441" s="8"/>
      <c r="G441" s="8"/>
      <c r="H441" s="8"/>
      <c r="I441" s="8"/>
      <c r="J441" s="8"/>
      <c r="K441" s="8"/>
      <c r="L441" s="8"/>
      <c r="M441" s="8"/>
      <c r="N441" s="8"/>
      <c r="O441" s="8"/>
      <c r="P441" s="8"/>
      <c r="Q441" s="8"/>
      <c r="R441" s="8"/>
      <c r="S441" s="8"/>
    </row>
    <row r="442" spans="1:49" ht="15" x14ac:dyDescent="0.25">
      <c r="A442" s="22" t="s">
        <v>245</v>
      </c>
      <c r="B442" s="4"/>
      <c r="D442" s="47"/>
      <c r="E442" s="44"/>
      <c r="F442" s="44"/>
      <c r="G442" s="44"/>
      <c r="H442" s="44"/>
      <c r="I442" s="44"/>
      <c r="J442" s="8"/>
      <c r="K442" s="8"/>
      <c r="L442" s="8"/>
      <c r="M442" s="8"/>
      <c r="N442" s="8"/>
      <c r="O442" s="8"/>
      <c r="P442" s="8"/>
      <c r="Q442" s="8"/>
      <c r="R442" s="8"/>
      <c r="S442" s="8"/>
    </row>
    <row r="443" spans="1:49" ht="15" x14ac:dyDescent="0.25">
      <c r="A443" s="2" t="s">
        <v>670</v>
      </c>
      <c r="B443" s="4" t="str">
        <f t="shared" si="263"/>
        <v>From Fiscal</v>
      </c>
      <c r="D443" s="47">
        <f>Fiscal!D$127</f>
        <v>5.3360000000000003</v>
      </c>
      <c r="E443" s="44">
        <f>Fiscal!E$127</f>
        <v>5.9</v>
      </c>
      <c r="F443" s="44">
        <f>Fiscal!F$127</f>
        <v>6.0739999999999998</v>
      </c>
      <c r="G443" s="44">
        <f>Fiscal!G$127</f>
        <v>6.2539999999999996</v>
      </c>
      <c r="H443" s="44">
        <f>Fiscal!H$127</f>
        <v>6.44</v>
      </c>
      <c r="I443" s="44">
        <f>Fiscal!I$127</f>
        <v>6.63</v>
      </c>
      <c r="J443" s="8">
        <f ca="1">(I$443/I$14+ IF(J$2&gt;0,J$2*IF(J$6=OFFSET(Assumptions!$B$8,0,$C$1),SUMPRODUCT(OFFSET(I$443,0,0,1,-OFFSET(Assumptions!$B$67,0,$C$1)),OFFSET(I$16,0,0,1,-OFFSET(Assumptions!$B$67,0,$C$1)))/OFFSET(Assumptions!$B$67,0,$C$1)-I$443/I$14,(I$443/I$14-H$443/H$14)/I$2),0))*J$14</f>
        <v>6.9419691810778552</v>
      </c>
      <c r="K443" s="8">
        <f ca="1">(J$443/J$14+ IF(K$2&gt;0,K$2*IF(K$6=OFFSET(Assumptions!$B$8,0,$C$1),SUMPRODUCT(OFFSET(J$443,0,0,1,-OFFSET(Assumptions!$B$67,0,$C$1)),OFFSET(J$16,0,0,1,-OFFSET(Assumptions!$B$67,0,$C$1)))/OFFSET(Assumptions!$B$67,0,$C$1)-J$443/J$14,(J$443/J$14-I$443/I$14)/J$2),0))*K$14</f>
        <v>7.2592452666015062</v>
      </c>
      <c r="L443" s="8">
        <f ca="1">(K$443/K$14+ IF(L$2&gt;0,L$2*IF(L$6=OFFSET(Assumptions!$B$8,0,$C$1),SUMPRODUCT(OFFSET(K$443,0,0,1,-OFFSET(Assumptions!$B$67,0,$C$1)),OFFSET(K$16,0,0,1,-OFFSET(Assumptions!$B$67,0,$C$1)))/OFFSET(Assumptions!$B$67,0,$C$1)-K$443/K$14,(K$443/K$14-J$443/J$14)/K$2),0))*L$14</f>
        <v>7.5951599907211484</v>
      </c>
      <c r="M443" s="8">
        <f ca="1">(L$443/L$14+ IF(M$2&gt;0,M$2*IF(M$6=OFFSET(Assumptions!$B$8,0,$C$1),SUMPRODUCT(OFFSET(L$443,0,0,1,-OFFSET(Assumptions!$B$67,0,$C$1)),OFFSET(L$16,0,0,1,-OFFSET(Assumptions!$B$67,0,$C$1)))/OFFSET(Assumptions!$B$67,0,$C$1)-L$443/L$14,(L$443/L$14-K$443/K$14)/L$2),0))*M$14</f>
        <v>7.9381060704955591</v>
      </c>
      <c r="N443" s="8">
        <f ca="1">(M$443/M$14+ IF(N$2&gt;0,N$2*IF(N$6=OFFSET(Assumptions!$B$8,0,$C$1),SUMPRODUCT(OFFSET(M$443,0,0,1,-OFFSET(Assumptions!$B$67,0,$C$1)),OFFSET(M$16,0,0,1,-OFFSET(Assumptions!$B$67,0,$C$1)))/OFFSET(Assumptions!$B$67,0,$C$1)-M$443/M$14,(M$443/M$14-L$443/L$14)/M$2),0))*N$14</f>
        <v>8.28816847399351</v>
      </c>
      <c r="O443" s="8">
        <f ca="1">(N$443/N$14+ IF(O$2&gt;0,O$2*IF(O$6=OFFSET(Assumptions!$B$8,0,$C$1),SUMPRODUCT(OFFSET(N$443,0,0,1,-OFFSET(Assumptions!$B$67,0,$C$1)),OFFSET(N$16,0,0,1,-OFFSET(Assumptions!$B$67,0,$C$1)))/OFFSET(Assumptions!$B$67,0,$C$1)-N$443/N$14,(N$443/N$14-M$443/M$14)/N$2),0))*O$14</f>
        <v>8.6419633093935246</v>
      </c>
      <c r="P443" s="8">
        <f ca="1">(O$443/O$14+ IF(P$2&gt;0,P$2*IF(P$6=OFFSET(Assumptions!$B$8,0,$C$1),SUMPRODUCT(OFFSET(O$443,0,0,1,-OFFSET(Assumptions!$B$67,0,$C$1)),OFFSET(O$16,0,0,1,-OFFSET(Assumptions!$B$67,0,$C$1)))/OFFSET(Assumptions!$B$67,0,$C$1)-O$443/O$14,(O$443/O$14-N$443/N$14)/O$2),0))*P$14</f>
        <v>9.0074224421492488</v>
      </c>
      <c r="Q443" s="8">
        <f ca="1">(P$443/P$14+ IF(Q$2&gt;0,Q$2*IF(Q$6=OFFSET(Assumptions!$B$8,0,$C$1),SUMPRODUCT(OFFSET(P$443,0,0,1,-OFFSET(Assumptions!$B$67,0,$C$1)),OFFSET(P$16,0,0,1,-OFFSET(Assumptions!$B$67,0,$C$1)))/OFFSET(Assumptions!$B$67,0,$C$1)-P$443/P$14,(P$443/P$14-O$443/O$14)/P$2),0))*Q$14</f>
        <v>9.3841511092921532</v>
      </c>
      <c r="R443" s="8">
        <f ca="1">(Q$443/Q$14+ IF(R$2&gt;0,R$2*IF(R$6=OFFSET(Assumptions!$B$8,0,$C$1),SUMPRODUCT(OFFSET(Q$443,0,0,1,-OFFSET(Assumptions!$B$67,0,$C$1)),OFFSET(Q$16,0,0,1,-OFFSET(Assumptions!$B$67,0,$C$1)))/OFFSET(Assumptions!$B$67,0,$C$1)-Q$443/Q$14,(Q$443/Q$14-P$443/P$14)/Q$2),0))*R$14</f>
        <v>9.7718696962102811</v>
      </c>
      <c r="S443" s="8">
        <f ca="1">(R$443/R$14+ IF(S$2&gt;0,S$2*IF(S$6=OFFSET(Assumptions!$B$8,0,$C$1),SUMPRODUCT(OFFSET(R$443,0,0,1,-OFFSET(Assumptions!$B$67,0,$C$1)),OFFSET(R$16,0,0,1,-OFFSET(Assumptions!$B$67,0,$C$1)))/OFFSET(Assumptions!$B$67,0,$C$1)-R$443/R$14,(R$443/R$14-Q$443/Q$14)/R$2),0))*S$14</f>
        <v>10.171810356762803</v>
      </c>
      <c r="T443" s="8">
        <f ca="1">(S$443/S$14+ IF(T$2&gt;0,T$2*IF(T$6=OFFSET(Assumptions!$B$8,0,$C$1),SUMPRODUCT(OFFSET(S$443,0,0,1,-OFFSET(Assumptions!$B$67,0,$C$1)),OFFSET(S$16,0,0,1,-OFFSET(Assumptions!$B$67,0,$C$1)))/OFFSET(Assumptions!$B$67,0,$C$1)-S$443/S$14,(S$443/S$14-R$443/R$14)/S$2),0))*T$14</f>
        <v>10.584118935767938</v>
      </c>
      <c r="U443" s="8">
        <f ca="1">(T$443/T$14+ IF(U$2&gt;0,U$2*IF(U$6=OFFSET(Assumptions!$B$8,0,$C$1),SUMPRODUCT(OFFSET(T$443,0,0,1,-OFFSET(Assumptions!$B$67,0,$C$1)),OFFSET(T$16,0,0,1,-OFFSET(Assumptions!$B$67,0,$C$1)))/OFFSET(Assumptions!$B$67,0,$C$1)-T$443/T$14,(T$443/T$14-S$443/S$14)/T$2),0))*U$14</f>
        <v>11.010275197847418</v>
      </c>
      <c r="V443" s="8">
        <f ca="1">(U$443/U$14+ IF(V$2&gt;0,V$2*IF(V$6=OFFSET(Assumptions!$B$8,0,$C$1),SUMPRODUCT(OFFSET(U$443,0,0,1,-OFFSET(Assumptions!$B$67,0,$C$1)),OFFSET(U$16,0,0,1,-OFFSET(Assumptions!$B$67,0,$C$1)))/OFFSET(Assumptions!$B$67,0,$C$1)-U$443/U$14,(U$443/U$14-T$443/T$14)/U$2),0))*V$14</f>
        <v>11.45133111216829</v>
      </c>
      <c r="W443" s="8">
        <f ca="1">(V$443/V$14+ IF(W$2&gt;0,W$2*IF(W$6=OFFSET(Assumptions!$B$8,0,$C$1),SUMPRODUCT(OFFSET(V$443,0,0,1,-OFFSET(Assumptions!$B$67,0,$C$1)),OFFSET(V$16,0,0,1,-OFFSET(Assumptions!$B$67,0,$C$1)))/OFFSET(Assumptions!$B$67,0,$C$1)-V$443/V$14,(V$443/V$14-U$443/U$14)/V$2),0))*W$14</f>
        <v>11.908564528965121</v>
      </c>
      <c r="X443" s="8">
        <f ca="1">(W$443/W$14+ IF(X$2&gt;0,X$2*IF(X$6=OFFSET(Assumptions!$B$8,0,$C$1),SUMPRODUCT(OFFSET(W$443,0,0,1,-OFFSET(Assumptions!$B$67,0,$C$1)),OFFSET(W$16,0,0,1,-OFFSET(Assumptions!$B$67,0,$C$1)))/OFFSET(Assumptions!$B$67,0,$C$1)-W$443/W$14,(W$443/W$14-V$443/V$14)/W$2),0))*X$14</f>
        <v>12.383423715575333</v>
      </c>
      <c r="Y443" s="8">
        <f ca="1">(X$443/X$14+ IF(Y$2&gt;0,Y$2*IF(Y$6=OFFSET(Assumptions!$B$8,0,$C$1),SUMPRODUCT(OFFSET(X$443,0,0,1,-OFFSET(Assumptions!$B$67,0,$C$1)),OFFSET(X$16,0,0,1,-OFFSET(Assumptions!$B$67,0,$C$1)))/OFFSET(Assumptions!$B$67,0,$C$1)-X$443/X$14,(X$443/X$14-W$443/W$14)/X$2),0))*Y$14</f>
        <v>12.87586012566708</v>
      </c>
      <c r="Z443" s="8">
        <f ca="1">(Y$443/Y$14+ IF(Z$2&gt;0,Z$2*IF(Z$6=OFFSET(Assumptions!$B$8,0,$C$1),SUMPRODUCT(OFFSET(Y$443,0,0,1,-OFFSET(Assumptions!$B$67,0,$C$1)),OFFSET(Y$16,0,0,1,-OFFSET(Assumptions!$B$67,0,$C$1)))/OFFSET(Assumptions!$B$67,0,$C$1)-Y$443/Y$14,(Y$443/Y$14-X$443/X$14)/Y$2),0))*Z$14</f>
        <v>13.388366296249723</v>
      </c>
      <c r="AA443" s="8">
        <f ca="1">(Z$443/Z$14+ IF(AA$2&gt;0,AA$2*IF(AA$6=OFFSET(Assumptions!$B$8,0,$C$1),SUMPRODUCT(OFFSET(Z$443,0,0,1,-OFFSET(Assumptions!$B$67,0,$C$1)),OFFSET(Z$16,0,0,1,-OFFSET(Assumptions!$B$67,0,$C$1)))/OFFSET(Assumptions!$B$67,0,$C$1)-Z$443/Z$14,(Z$443/Z$14-Y$443/Y$14)/Z$2),0))*AA$14</f>
        <v>13.921771464074642</v>
      </c>
      <c r="AB443" s="8">
        <f ca="1">(AA$443/AA$14+ IF(AB$2&gt;0,AB$2*IF(AB$6=OFFSET(Assumptions!$B$8,0,$C$1),SUMPRODUCT(OFFSET(AA$443,0,0,1,-OFFSET(Assumptions!$B$67,0,$C$1)),OFFSET(AA$16,0,0,1,-OFFSET(Assumptions!$B$67,0,$C$1)))/OFFSET(Assumptions!$B$67,0,$C$1)-AA$443/AA$14,(AA$443/AA$14-Z$443/Z$14)/AA$2),0))*AB$14</f>
        <v>14.477677494121453</v>
      </c>
      <c r="AC443" s="8">
        <f ca="1">(AB$443/AB$14+ IF(AC$2&gt;0,AC$2*IF(AC$6=OFFSET(Assumptions!$B$8,0,$C$1),SUMPRODUCT(OFFSET(AB$443,0,0,1,-OFFSET(Assumptions!$B$67,0,$C$1)),OFFSET(AB$16,0,0,1,-OFFSET(Assumptions!$B$67,0,$C$1)))/OFFSET(Assumptions!$B$67,0,$C$1)-AB$443/AB$14,(AB$443/AB$14-AA$443/AA$14)/AB$2),0))*AC$14</f>
        <v>15.05818300709136</v>
      </c>
      <c r="AD443" s="8">
        <f ca="1">(AC$443/AC$14+ IF(AD$2&gt;0,AD$2*IF(AD$6=OFFSET(Assumptions!$B$8,0,$C$1),SUMPRODUCT(OFFSET(AC$443,0,0,1,-OFFSET(Assumptions!$B$67,0,$C$1)),OFFSET(AC$16,0,0,1,-OFFSET(Assumptions!$B$67,0,$C$1)))/OFFSET(Assumptions!$B$67,0,$C$1)-AC$443/AC$14,(AC$443/AC$14-AB$443/AB$14)/AC$2),0))*AD$14</f>
        <v>15.663899862955974</v>
      </c>
      <c r="AE443" s="8">
        <f ca="1">(AD$443/AD$14+ IF(AE$2&gt;0,AE$2*IF(AE$6=OFFSET(Assumptions!$B$8,0,$C$1),SUMPRODUCT(OFFSET(AD$443,0,0,1,-OFFSET(Assumptions!$B$67,0,$C$1)),OFFSET(AD$16,0,0,1,-OFFSET(Assumptions!$B$67,0,$C$1)))/OFFSET(Assumptions!$B$67,0,$C$1)-AD$443/AD$14,(AD$443/AD$14-AC$443/AC$14)/AD$2),0))*AE$14</f>
        <v>16.294271791516998</v>
      </c>
      <c r="AF443" s="8">
        <f ca="1">(AE$443/AE$14+ IF(AF$2&gt;0,AF$2*IF(AF$6=OFFSET(Assumptions!$B$8,0,$C$1),SUMPRODUCT(OFFSET(AE$443,0,0,1,-OFFSET(Assumptions!$B$67,0,$C$1)),OFFSET(AE$16,0,0,1,-OFFSET(Assumptions!$B$67,0,$C$1)))/OFFSET(Assumptions!$B$67,0,$C$1)-AE$443/AE$14,(AE$443/AE$14-AD$443/AD$14)/AE$2),0))*AF$14</f>
        <v>16.951042779499211</v>
      </c>
      <c r="AG443" s="8">
        <f ca="1">(AF$443/AF$14+ IF(AG$2&gt;0,AG$2*IF(AG$6=OFFSET(Assumptions!$B$8,0,$C$1),SUMPRODUCT(OFFSET(AF$443,0,0,1,-OFFSET(Assumptions!$B$67,0,$C$1)),OFFSET(AF$16,0,0,1,-OFFSET(Assumptions!$B$67,0,$C$1)))/OFFSET(Assumptions!$B$67,0,$C$1)-AF$443/AF$14,(AF$443/AF$14-AE$443/AE$14)/AF$2),0))*AG$14</f>
        <v>17.634580065775943</v>
      </c>
      <c r="AH443" s="8">
        <f ca="1">(AG$443/AG$14+ IF(AH$2&gt;0,AH$2*IF(AH$6=OFFSET(Assumptions!$B$8,0,$C$1),SUMPRODUCT(OFFSET(AG$443,0,0,1,-OFFSET(Assumptions!$B$67,0,$C$1)),OFFSET(AG$16,0,0,1,-OFFSET(Assumptions!$B$67,0,$C$1)))/OFFSET(Assumptions!$B$67,0,$C$1)-AG$443/AG$14,(AG$443/AG$14-AF$443/AF$14)/AG$2),0))*AH$14</f>
        <v>18.345979749813868</v>
      </c>
      <c r="AI443" s="8">
        <f ca="1">(AH$443/AH$14+ IF(AI$2&gt;0,AI$2*IF(AI$6=OFFSET(Assumptions!$B$8,0,$C$1),SUMPRODUCT(OFFSET(AH$443,0,0,1,-OFFSET(Assumptions!$B$67,0,$C$1)),OFFSET(AH$16,0,0,1,-OFFSET(Assumptions!$B$67,0,$C$1)))/OFFSET(Assumptions!$B$67,0,$C$1)-AH$443/AH$14,(AH$443/AH$14-AG$443/AG$14)/AH$2),0))*AI$14</f>
        <v>19.083998780867784</v>
      </c>
      <c r="AJ443" s="8">
        <f ca="1">(AI$443/AI$14+ IF(AJ$2&gt;0,AJ$2*IF(AJ$6=OFFSET(Assumptions!$B$8,0,$C$1),SUMPRODUCT(OFFSET(AI$443,0,0,1,-OFFSET(Assumptions!$B$67,0,$C$1)),OFFSET(AI$16,0,0,1,-OFFSET(Assumptions!$B$67,0,$C$1)))/OFFSET(Assumptions!$B$67,0,$C$1)-AI$443/AI$14,(AI$443/AI$14-AH$443/AH$14)/AI$2),0))*AJ$14</f>
        <v>19.851001401599962</v>
      </c>
      <c r="AK443" s="8">
        <f ca="1">(AJ$443/AJ$14+ IF(AK$2&gt;0,AK$2*IF(AK$6=OFFSET(Assumptions!$B$8,0,$C$1),SUMPRODUCT(OFFSET(AJ$443,0,0,1,-OFFSET(Assumptions!$B$67,0,$C$1)),OFFSET(AJ$16,0,0,1,-OFFSET(Assumptions!$B$67,0,$C$1)))/OFFSET(Assumptions!$B$67,0,$C$1)-AJ$443/AJ$14,(AJ$443/AJ$14-AI$443/AI$14)/AJ$2),0))*AK$14</f>
        <v>20.64635665202816</v>
      </c>
      <c r="AL443" s="8">
        <f ca="1">(AK$443/AK$14+ IF(AL$2&gt;0,AL$2*IF(AL$6=OFFSET(Assumptions!$B$8,0,$C$1),SUMPRODUCT(OFFSET(AK$443,0,0,1,-OFFSET(Assumptions!$B$67,0,$C$1)),OFFSET(AK$16,0,0,1,-OFFSET(Assumptions!$B$67,0,$C$1)))/OFFSET(Assumptions!$B$67,0,$C$1)-AK$443/AK$14,(AK$443/AK$14-AJ$443/AJ$14)/AK$2),0))*AL$14</f>
        <v>21.469438008879212</v>
      </c>
      <c r="AM443" s="8">
        <f ca="1">(AL$443/AL$14+ IF(AM$2&gt;0,AM$2*IF(AM$6=OFFSET(Assumptions!$B$8,0,$C$1),SUMPRODUCT(OFFSET(AL$443,0,0,1,-OFFSET(Assumptions!$B$67,0,$C$1)),OFFSET(AL$16,0,0,1,-OFFSET(Assumptions!$B$67,0,$C$1)))/OFFSET(Assumptions!$B$67,0,$C$1)-AL$443/AL$14,(AL$443/AL$14-AK$443/AK$14)/AL$2),0))*AM$14</f>
        <v>22.321369908468473</v>
      </c>
      <c r="AN443" s="8">
        <f ca="1">(AM$443/AM$14+ IF(AN$2&gt;0,AN$2*IF(AN$6=OFFSET(Assumptions!$B$8,0,$C$1),SUMPRODUCT(OFFSET(AM$443,0,0,1,-OFFSET(Assumptions!$B$67,0,$C$1)),OFFSET(AM$16,0,0,1,-OFFSET(Assumptions!$B$67,0,$C$1)))/OFFSET(Assumptions!$B$67,0,$C$1)-AM$443/AM$14,(AM$443/AM$14-AL$443/AL$14)/AM$2),0))*AN$14</f>
        <v>23.20333737981808</v>
      </c>
      <c r="AO443" s="8">
        <f ca="1">(AN$443/AN$14+ IF(AO$2&gt;0,AO$2*IF(AO$6=OFFSET(Assumptions!$B$8,0,$C$1),SUMPRODUCT(OFFSET(AN$443,0,0,1,-OFFSET(Assumptions!$B$67,0,$C$1)),OFFSET(AN$16,0,0,1,-OFFSET(Assumptions!$B$67,0,$C$1)))/OFFSET(Assumptions!$B$67,0,$C$1)-AN$443/AN$14,(AN$443/AN$14-AM$443/AM$14)/AN$2),0))*AO$14</f>
        <v>24.111877241666537</v>
      </c>
      <c r="AP443" s="8">
        <f ca="1">(AO$443/AO$14+ IF(AP$2&gt;0,AP$2*IF(AP$6=OFFSET(Assumptions!$B$8,0,$C$1),SUMPRODUCT(OFFSET(AO$443,0,0,1,-OFFSET(Assumptions!$B$67,0,$C$1)),OFFSET(AO$16,0,0,1,-OFFSET(Assumptions!$B$67,0,$C$1)))/OFFSET(Assumptions!$B$67,0,$C$1)-AO$443/AO$14,(AO$443/AO$14-AN$443/AN$14)/AO$2),0))*AP$14</f>
        <v>25.050847604102014</v>
      </c>
      <c r="AQ443" s="8">
        <f ca="1">(AP$443/AP$14+ IF(AQ$2&gt;0,AQ$2*IF(AQ$6=OFFSET(Assumptions!$B$8,0,$C$1),SUMPRODUCT(OFFSET(AP$443,0,0,1,-OFFSET(Assumptions!$B$67,0,$C$1)),OFFSET(AP$16,0,0,1,-OFFSET(Assumptions!$B$67,0,$C$1)))/OFFSET(Assumptions!$B$67,0,$C$1)-AP$443/AP$14,(AP$443/AP$14-AO$443/AO$14)/AP$2),0))*AQ$14</f>
        <v>26.017617475132099</v>
      </c>
      <c r="AR443" s="8">
        <f ca="1">(AQ$443/AQ$14+ IF(AR$2&gt;0,AR$2*IF(AR$6=OFFSET(Assumptions!$B$8,0,$C$1),SUMPRODUCT(OFFSET(AQ$443,0,0,1,-OFFSET(Assumptions!$B$67,0,$C$1)),OFFSET(AQ$16,0,0,1,-OFFSET(Assumptions!$B$67,0,$C$1)))/OFFSET(Assumptions!$B$67,0,$C$1)-AQ$443/AQ$14,(AQ$443/AQ$14-AP$443/AP$14)/AQ$2),0))*AR$14</f>
        <v>27.013281411202904</v>
      </c>
      <c r="AS443" s="8">
        <f ca="1">(AR$443/AR$14+ IF(AS$2&gt;0,AS$2*IF(AS$6=OFFSET(Assumptions!$B$8,0,$C$1),SUMPRODUCT(OFFSET(AR$443,0,0,1,-OFFSET(Assumptions!$B$67,0,$C$1)),OFFSET(AR$16,0,0,1,-OFFSET(Assumptions!$B$67,0,$C$1)))/OFFSET(Assumptions!$B$67,0,$C$1)-AR$443/AR$14,(AR$443/AR$14-AQ$443/AQ$14)/AR$2),0))*AS$14</f>
        <v>28.040162267558472</v>
      </c>
      <c r="AT443" s="8">
        <f ca="1">(AS$443/AS$14+ IF(AT$2&gt;0,AT$2*IF(AT$6=OFFSET(Assumptions!$B$8,0,$C$1),SUMPRODUCT(OFFSET(AS$443,0,0,1,-OFFSET(Assumptions!$B$67,0,$C$1)),OFFSET(AS$16,0,0,1,-OFFSET(Assumptions!$B$67,0,$C$1)))/OFFSET(Assumptions!$B$67,0,$C$1)-AS$443/AS$14,(AS$443/AS$14-AR$443/AR$14)/AS$2),0))*AT$14</f>
        <v>29.099080180319611</v>
      </c>
      <c r="AU443" s="8">
        <f ca="1">(AT$443/AT$14+ IF(AU$2&gt;0,AU$2*IF(AU$6=OFFSET(Assumptions!$B$8,0,$C$1),SUMPRODUCT(OFFSET(AT$443,0,0,1,-OFFSET(Assumptions!$B$67,0,$C$1)),OFFSET(AT$16,0,0,1,-OFFSET(Assumptions!$B$67,0,$C$1)))/OFFSET(Assumptions!$B$67,0,$C$1)-AT$443/AT$14,(AT$443/AT$14-AS$443/AS$14)/AT$2),0))*AU$14</f>
        <v>30.191443273912586</v>
      </c>
      <c r="AV443" s="8">
        <f ca="1">(AU$443/AU$14+ IF(AV$2&gt;0,AV$2*IF(AV$6=OFFSET(Assumptions!$B$8,0,$C$1),SUMPRODUCT(OFFSET(AU$443,0,0,1,-OFFSET(Assumptions!$B$67,0,$C$1)),OFFSET(AU$16,0,0,1,-OFFSET(Assumptions!$B$67,0,$C$1)))/OFFSET(Assumptions!$B$67,0,$C$1)-AU$443/AU$14,(AU$443/AU$14-AT$443/AT$14)/AU$2),0))*AV$14</f>
        <v>31.32062902367236</v>
      </c>
      <c r="AW443" s="8">
        <f ca="1">(AV$443/AV$14+ IF(AW$2&gt;0,AW$2*IF(AW$6=OFFSET(Assumptions!$B$8,0,$C$1),SUMPRODUCT(OFFSET(AV$443,0,0,1,-OFFSET(Assumptions!$B$67,0,$C$1)),OFFSET(AV$16,0,0,1,-OFFSET(Assumptions!$B$67,0,$C$1)))/OFFSET(Assumptions!$B$67,0,$C$1)-AV$443/AV$14,(AV$443/AV$14-AU$443/AU$14)/AV$2),0))*AW$14</f>
        <v>32.485999940807808</v>
      </c>
    </row>
    <row r="444" spans="1:49" ht="15" x14ac:dyDescent="0.25">
      <c r="A444" s="2"/>
      <c r="B444" s="4"/>
      <c r="D444" s="47"/>
      <c r="E444" s="44"/>
      <c r="F444" s="44"/>
      <c r="G444" s="44"/>
      <c r="H444" s="44"/>
      <c r="I444" s="44"/>
      <c r="J444" s="8"/>
      <c r="K444" s="8"/>
      <c r="L444" s="8"/>
      <c r="M444" s="8"/>
      <c r="N444" s="8"/>
      <c r="O444" s="8"/>
      <c r="P444" s="8"/>
      <c r="Q444" s="8"/>
      <c r="R444" s="8"/>
      <c r="S444" s="8"/>
    </row>
    <row r="445" spans="1:49" ht="15" x14ac:dyDescent="0.25">
      <c r="A445" s="22" t="s">
        <v>246</v>
      </c>
      <c r="B445" s="4"/>
      <c r="D445" s="47"/>
      <c r="E445" s="44"/>
      <c r="F445" s="44"/>
      <c r="G445" s="44"/>
      <c r="H445" s="44"/>
      <c r="I445" s="44"/>
      <c r="J445" s="8"/>
      <c r="K445" s="8"/>
      <c r="L445" s="8"/>
      <c r="M445" s="8"/>
      <c r="N445" s="8"/>
      <c r="O445" s="8"/>
      <c r="P445" s="8"/>
      <c r="Q445" s="8"/>
      <c r="R445" s="8"/>
      <c r="S445" s="8"/>
    </row>
    <row r="446" spans="1:49" x14ac:dyDescent="0.2">
      <c r="A446" s="1" t="s">
        <v>671</v>
      </c>
      <c r="B446" s="4"/>
      <c r="D446" s="18">
        <f t="shared" ref="D446:I446" si="264">IF(AND(D$76&gt;0,D$373&gt;0),D$373-D$76,0)</f>
        <v>0.65200000000000014</v>
      </c>
      <c r="E446" s="19">
        <f t="shared" si="264"/>
        <v>0.873</v>
      </c>
      <c r="F446" s="19">
        <f t="shared" si="264"/>
        <v>1.1759999999999999</v>
      </c>
      <c r="G446" s="19">
        <f t="shared" si="264"/>
        <v>1.2390000000000001</v>
      </c>
      <c r="H446" s="19">
        <f t="shared" si="264"/>
        <v>1.3020000000000003</v>
      </c>
      <c r="I446" s="19">
        <f t="shared" si="264"/>
        <v>1.3669999999999998</v>
      </c>
      <c r="J446" s="7">
        <f ca="1">IF(J$6=OFFSET(Assumptions!$B$8,0,$C$1),AVERAGE(G$446/(G$370-G$372-G$374),H$446/(H$370-H$372-H$374),I$446/(I$370-I$372-I$374)),I$446/(I$370-I$372-I$374))*(J$370-J$372-J$374)</f>
        <v>1.5779321794591239</v>
      </c>
      <c r="K446" s="7">
        <f ca="1">IF(K$6=OFFSET(Assumptions!$B$8,0,$C$1),AVERAGE(H$446/(H$370-H$372-H$374),I$446/(I$370-I$372-I$374),J$446/(J$370-J$372-J$374)),J$446/(J$370-J$372-J$374))*(K$370-K$372-K$374)</f>
        <v>1.773032538161516</v>
      </c>
      <c r="L446" s="7">
        <f ca="1">IF(L$6=OFFSET(Assumptions!$B$8,0,$C$1),AVERAGE(I$446/(I$370-I$372-I$374),J$446/(J$370-J$372-J$374),K$446/(K$370-K$372-K$374)),K$446/(K$370-K$372-K$374))*(L$370-L$372-L$374)</f>
        <v>1.9758797845881766</v>
      </c>
      <c r="M446" s="7">
        <f ca="1">IF(M$6=OFFSET(Assumptions!$B$8,0,$C$1),AVERAGE(J$446/(J$370-J$372-J$374),K$446/(K$370-K$372-K$374),L$446/(L$370-L$372-L$374)),L$446/(L$370-L$372-L$374))*(M$370-M$372-M$374)</f>
        <v>2.1856987242630237</v>
      </c>
      <c r="N446" s="7">
        <f ca="1">IF(N$6=OFFSET(Assumptions!$B$8,0,$C$1),AVERAGE(K$446/(K$370-K$372-K$374),L$446/(L$370-L$372-L$374),M$446/(M$370-M$372-M$374)),M$446/(M$370-M$372-M$374))*(N$370-N$372-N$374)</f>
        <v>2.4020183248013653</v>
      </c>
      <c r="O446" s="7">
        <f ca="1">IF(O$6=OFFSET(Assumptions!$B$8,0,$C$1),AVERAGE(L$446/(L$370-L$372-L$374),M$446/(M$370-M$372-M$374),N$446/(N$370-N$372-N$374)),N$446/(N$370-N$372-N$374))*(O$370-O$372-O$374)</f>
        <v>2.6208858142819671</v>
      </c>
      <c r="P446" s="7">
        <f ca="1">IF(P$6=OFFSET(Assumptions!$B$8,0,$C$1),AVERAGE(M$446/(M$370-M$372-M$374),N$446/(N$370-N$372-N$374),O$446/(O$370-O$372-O$374)),O$446/(O$370-O$372-O$374))*(P$370-P$372-P$374)</f>
        <v>2.8408990770218736</v>
      </c>
      <c r="Q446" s="7">
        <f ca="1">IF(Q$6=OFFSET(Assumptions!$B$8,0,$C$1),AVERAGE(N$446/(N$370-N$372-N$374),O$446/(O$370-O$372-O$374),P$446/(P$370-P$372-P$374)),P$446/(P$370-P$372-P$374))*(Q$370-Q$372-Q$374)</f>
        <v>3.0617093123009922</v>
      </c>
      <c r="R446" s="7">
        <f ca="1">IF(R$6=OFFSET(Assumptions!$B$8,0,$C$1),AVERAGE(O$446/(O$370-O$372-O$374),P$446/(P$370-P$372-P$374),Q$446/(Q$370-Q$372-Q$374)),Q$446/(Q$370-Q$372-Q$374))*(R$370-R$372-R$374)</f>
        <v>3.2835152417933453</v>
      </c>
      <c r="S446" s="7">
        <f ca="1">IF(S$6=OFFSET(Assumptions!$B$8,0,$C$1),AVERAGE(P$446/(P$370-P$372-P$374),Q$446/(Q$370-Q$372-Q$374),R$446/(R$370-R$372-R$374)),R$446/(R$370-R$372-R$374))*(S$370-S$372-S$374)</f>
        <v>3.5077394806968272</v>
      </c>
      <c r="T446" s="7">
        <f ca="1">IF(T$6=OFFSET(Assumptions!$B$8,0,$C$1),AVERAGE(Q$446/(Q$370-Q$372-Q$374),R$446/(R$370-R$372-R$374),S$446/(S$370-S$372-S$374)),S$446/(S$370-S$372-S$374))*(T$370-T$372-T$374)</f>
        <v>3.7348283011517944</v>
      </c>
      <c r="U446" s="7">
        <f ca="1">IF(U$6=OFFSET(Assumptions!$B$8,0,$C$1),AVERAGE(R$446/(R$370-R$372-R$374),S$446/(S$370-S$372-S$374),T$446/(T$370-T$372-T$374)),T$446/(T$370-T$372-T$374))*(U$370-U$372-U$374)</f>
        <v>3.9644589533060568</v>
      </c>
      <c r="V446" s="7">
        <f ca="1">IF(V$6=OFFSET(Assumptions!$B$8,0,$C$1),AVERAGE(S$446/(S$370-S$372-S$374),T$446/(T$370-T$372-T$374),U$446/(U$370-U$372-U$374)),U$446/(U$370-U$372-U$374))*(V$370-V$372-V$374)</f>
        <v>4.1961759336554643</v>
      </c>
      <c r="W446" s="7">
        <f ca="1">IF(W$6=OFFSET(Assumptions!$B$8,0,$C$1),AVERAGE(T$446/(T$370-T$372-T$374),U$446/(U$370-U$372-U$374),V$446/(V$370-V$372-V$374)),V$446/(V$370-V$372-V$374))*(W$370-W$372-W$374)</f>
        <v>4.4295725159648711</v>
      </c>
      <c r="X446" s="7">
        <f ca="1">IF(X$6=OFFSET(Assumptions!$B$8,0,$C$1),AVERAGE(U$446/(U$370-U$372-U$374),V$446/(V$370-V$372-V$374),W$446/(W$370-W$372-W$374)),W$446/(W$370-W$372-W$374))*(X$370-X$372-X$374)</f>
        <v>4.6651648537307144</v>
      </c>
      <c r="Y446" s="7">
        <f ca="1">IF(Y$6=OFFSET(Assumptions!$B$8,0,$C$1),AVERAGE(V$446/(V$370-V$372-V$374),W$446/(W$370-W$372-W$374),X$446/(X$370-X$372-X$374)),X$446/(X$370-X$372-X$374))*(Y$370-Y$372-Y$374)</f>
        <v>4.901681489034436</v>
      </c>
      <c r="Z446" s="7">
        <f ca="1">IF(Z$6=OFFSET(Assumptions!$B$8,0,$C$1),AVERAGE(W$446/(W$370-W$372-W$374),X$446/(X$370-X$372-X$374),Y$446/(Y$370-Y$372-Y$374)),Y$446/(Y$370-Y$372-Y$374))*(Z$370-Z$372-Z$374)</f>
        <v>5.1405408081022212</v>
      </c>
      <c r="AA446" s="7">
        <f ca="1">IF(AA$6=OFFSET(Assumptions!$B$8,0,$C$1),AVERAGE(X$446/(X$370-X$372-X$374),Y$446/(Y$370-Y$372-Y$374),Z$446/(Z$370-Z$372-Z$374)),Z$446/(Z$370-Z$372-Z$374))*(AA$370-AA$372-AA$374)</f>
        <v>5.38438157624332</v>
      </c>
      <c r="AB446" s="7">
        <f ca="1">IF(AB$6=OFFSET(Assumptions!$B$8,0,$C$1),AVERAGE(Y$446/(Y$370-Y$372-Y$374),Z$446/(Z$370-Z$372-Z$374),AA$446/(AA$370-AA$372-AA$374)),AA$446/(AA$370-AA$372-AA$374))*(AB$370-AB$372-AB$374)</f>
        <v>5.6366806773475826</v>
      </c>
      <c r="AC446" s="7">
        <f ca="1">IF(AC$6=OFFSET(Assumptions!$B$8,0,$C$1),AVERAGE(Z$446/(Z$370-Z$372-Z$374),AA$446/(AA$370-AA$372-AA$374),AB$446/(AB$370-AB$372-AB$374)),AB$446/(AB$370-AB$372-AB$374))*(AC$370-AC$372-AC$374)</f>
        <v>5.901575484339336</v>
      </c>
      <c r="AD446" s="7">
        <f ca="1">IF(AD$6=OFFSET(Assumptions!$B$8,0,$C$1),AVERAGE(AA$446/(AA$370-AA$372-AA$374),AB$446/(AB$370-AB$372-AB$374),AC$446/(AC$370-AC$372-AC$374)),AC$446/(AC$370-AC$372-AC$374))*(AD$370-AD$372-AD$374)</f>
        <v>6.1837893447838344</v>
      </c>
      <c r="AE446" s="7">
        <f ca="1">IF(AE$6=OFFSET(Assumptions!$B$8,0,$C$1),AVERAGE(AB$446/(AB$370-AB$372-AB$374),AC$446/(AC$370-AC$372-AC$374),AD$446/(AD$370-AD$372-AD$374)),AD$446/(AD$370-AD$372-AD$374))*(AE$370-AE$372-AE$374)</f>
        <v>6.485598103452495</v>
      </c>
      <c r="AF446" s="7">
        <f ca="1">IF(AF$6=OFFSET(Assumptions!$B$8,0,$C$1),AVERAGE(AC$446/(AC$370-AC$372-AC$374),AD$446/(AD$370-AD$372-AD$374),AE$446/(AE$370-AE$372-AE$374)),AE$446/(AE$370-AE$372-AE$374))*(AF$370-AF$372-AF$374)</f>
        <v>6.8109275616149869</v>
      </c>
      <c r="AG446" s="7">
        <f ca="1">IF(AG$6=OFFSET(Assumptions!$B$8,0,$C$1),AVERAGE(AD$446/(AD$370-AD$372-AD$374),AE$446/(AE$370-AE$372-AE$374),AF$446/(AF$370-AF$372-AF$374)),AF$446/(AF$370-AF$372-AF$374))*(AG$370-AG$372-AG$374)</f>
        <v>7.1608299890575173</v>
      </c>
      <c r="AH446" s="7">
        <f ca="1">IF(AH$6=OFFSET(Assumptions!$B$8,0,$C$1),AVERAGE(AE$446/(AE$370-AE$372-AE$374),AF$446/(AF$370-AF$372-AF$374),AG$446/(AG$370-AG$372-AG$374)),AG$446/(AG$370-AG$372-AG$374))*(AH$370-AH$372-AH$374)</f>
        <v>7.5378972583670087</v>
      </c>
      <c r="AI446" s="7">
        <f ca="1">IF(AI$6=OFFSET(Assumptions!$B$8,0,$C$1),AVERAGE(AF$446/(AF$370-AF$372-AF$374),AG$446/(AG$370-AG$372-AG$374),AH$446/(AH$370-AH$372-AH$374)),AH$446/(AH$370-AH$372-AH$374))*(AI$370-AI$372-AI$374)</f>
        <v>7.9440793084584138</v>
      </c>
      <c r="AJ446" s="7">
        <f ca="1">IF(AJ$6=OFFSET(Assumptions!$B$8,0,$C$1),AVERAGE(AG$446/(AG$370-AG$372-AG$374),AH$446/(AH$370-AH$372-AH$374),AI$446/(AI$370-AI$372-AI$374)),AI$446/(AI$370-AI$372-AI$374))*(AJ$370-AJ$372-AJ$374)</f>
        <v>8.3814415771329482</v>
      </c>
      <c r="AK446" s="7">
        <f ca="1">IF(AK$6=OFFSET(Assumptions!$B$8,0,$C$1),AVERAGE(AH$446/(AH$370-AH$372-AH$374),AI$446/(AI$370-AI$372-AI$374),AJ$446/(AJ$370-AJ$372-AJ$374)),AJ$446/(AJ$370-AJ$372-AJ$374))*(AK$370-AK$372-AK$374)</f>
        <v>8.8506188099370569</v>
      </c>
      <c r="AL446" s="7">
        <f ca="1">IF(AL$6=OFFSET(Assumptions!$B$8,0,$C$1),AVERAGE(AI$446/(AI$370-AI$372-AI$374),AJ$446/(AJ$370-AJ$372-AJ$374),AK$446/(AK$370-AK$372-AK$374)),AK$446/(AK$370-AK$372-AK$374))*(AL$370-AL$372-AL$374)</f>
        <v>9.353760624399726</v>
      </c>
      <c r="AM446" s="7">
        <f ca="1">IF(AM$6=OFFSET(Assumptions!$B$8,0,$C$1),AVERAGE(AJ$446/(AJ$370-AJ$372-AJ$374),AK$446/(AK$370-AK$372-AK$374),AL$446/(AL$370-AL$372-AL$374)),AL$446/(AL$370-AL$372-AL$374))*(AM$370-AM$372-AM$374)</f>
        <v>9.8926894182489704</v>
      </c>
      <c r="AN446" s="7">
        <f ca="1">IF(AN$6=OFFSET(Assumptions!$B$8,0,$C$1),AVERAGE(AK$446/(AK$370-AK$372-AK$374),AL$446/(AL$370-AL$372-AL$374),AM$446/(AM$370-AM$372-AM$374)),AM$446/(AM$370-AM$372-AM$374))*(AN$370-AN$372-AN$374)</f>
        <v>10.467971895387649</v>
      </c>
      <c r="AO446" s="7">
        <f ca="1">IF(AO$6=OFFSET(Assumptions!$B$8,0,$C$1),AVERAGE(AL$446/(AL$370-AL$372-AL$374),AM$446/(AM$370-AM$372-AM$374),AN$446/(AN$370-AN$372-AN$374)),AN$446/(AN$370-AN$372-AN$374))*(AO$370-AO$372-AO$374)</f>
        <v>11.078958325085118</v>
      </c>
      <c r="AP446" s="7">
        <f ca="1">IF(AP$6=OFFSET(Assumptions!$B$8,0,$C$1),AVERAGE(AM$446/(AM$370-AM$372-AM$374),AN$446/(AN$370-AN$372-AN$374),AO$446/(AO$370-AO$372-AO$374)),AO$446/(AO$370-AO$372-AO$374))*(AP$370-AP$372-AP$374)</f>
        <v>11.722687761417061</v>
      </c>
      <c r="AQ446" s="7">
        <f ca="1">IF(AQ$6=OFFSET(Assumptions!$B$8,0,$C$1),AVERAGE(AN$446/(AN$370-AN$372-AN$374),AO$446/(AO$370-AO$372-AO$374),AP$446/(AP$370-AP$372-AP$374)),AP$446/(AP$370-AP$372-AP$374))*(AQ$370-AQ$372-AQ$374)</f>
        <v>12.39628902742087</v>
      </c>
      <c r="AR446" s="7">
        <f ca="1">IF(AR$6=OFFSET(Assumptions!$B$8,0,$C$1),AVERAGE(AO$446/(AO$370-AO$372-AO$374),AP$446/(AP$370-AP$372-AP$374),AQ$446/(AQ$370-AQ$372-AQ$374)),AQ$446/(AQ$370-AQ$372-AQ$374))*(AR$370-AR$372-AR$374)</f>
        <v>13.094599665471906</v>
      </c>
      <c r="AS446" s="7">
        <f ca="1">IF(AS$6=OFFSET(Assumptions!$B$8,0,$C$1),AVERAGE(AP$446/(AP$370-AP$372-AP$374),AQ$446/(AQ$370-AQ$372-AQ$374),AR$446/(AR$370-AR$372-AR$374)),AR$446/(AR$370-AR$372-AR$374))*(AS$370-AS$372-AS$374)</f>
        <v>13.812643859879106</v>
      </c>
      <c r="AT446" s="7">
        <f ca="1">IF(AT$6=OFFSET(Assumptions!$B$8,0,$C$1),AVERAGE(AQ$446/(AQ$370-AQ$372-AQ$374),AR$446/(AR$370-AR$372-AR$374),AS$446/(AS$370-AS$372-AS$374)),AS$446/(AS$370-AS$372-AS$374))*(AT$370-AT$372-AT$374)</f>
        <v>14.551931379255898</v>
      </c>
      <c r="AU446" s="7">
        <f ca="1">IF(AU$6=OFFSET(Assumptions!$B$8,0,$C$1),AVERAGE(AR$446/(AR$370-AR$372-AR$374),AS$446/(AS$370-AS$372-AS$374),AT$446/(AT$370-AT$372-AT$374)),AT$446/(AT$370-AT$372-AT$374))*(AU$370-AU$372-AU$374)</f>
        <v>15.311788688603009</v>
      </c>
      <c r="AV446" s="7">
        <f ca="1">IF(AV$6=OFFSET(Assumptions!$B$8,0,$C$1),AVERAGE(AS$446/(AS$370-AS$372-AS$374),AT$446/(AT$370-AT$372-AT$374),AU$446/(AU$370-AU$372-AU$374)),AU$446/(AU$370-AU$372-AU$374))*(AV$370-AV$372-AV$374)</f>
        <v>16.09328266346796</v>
      </c>
      <c r="AW446" s="7">
        <f ca="1">IF(AW$6=OFFSET(Assumptions!$B$8,0,$C$1),AVERAGE(AT$446/(AT$370-AT$372-AT$374),AU$446/(AU$370-AU$372-AU$374),AV$446/(AV$370-AV$372-AV$374)),AV$446/(AV$370-AV$372-AV$374))*(AW$370-AW$372-AW$374)</f>
        <v>16.894967611612035</v>
      </c>
    </row>
    <row r="447" spans="1:49" x14ac:dyDescent="0.2">
      <c r="A447" s="1" t="s">
        <v>415</v>
      </c>
      <c r="B447" s="4" t="str">
        <f t="shared" ref="B447:B459" si="265">$B$43</f>
        <v>From Fiscal</v>
      </c>
      <c r="D447" s="18">
        <f>Fiscal!D$349</f>
        <v>4.3540000000000001</v>
      </c>
      <c r="E447" s="19">
        <f>Fiscal!E$349</f>
        <v>4.7629999999999999</v>
      </c>
      <c r="F447" s="19">
        <f>Fiscal!F$349</f>
        <v>4.8730000000000002</v>
      </c>
      <c r="G447" s="19">
        <f>Fiscal!G$349</f>
        <v>4.8879999999999999</v>
      </c>
      <c r="H447" s="19">
        <f>Fiscal!H$349</f>
        <v>5.298</v>
      </c>
      <c r="I447" s="19">
        <f>Fiscal!I$349</f>
        <v>5.5810000000000004</v>
      </c>
      <c r="J447" s="7">
        <f ca="1">IF(J$6=OFFSET(Assumptions!$B$8,0,$C$1),AVERAGE(G$447/G$139,H$447/H$139,I$447/I$139),I$447/I$139) *J$139</f>
        <v>5.7980159481642159</v>
      </c>
      <c r="K447" s="7">
        <f ca="1">IF(K$6=OFFSET(Assumptions!$B$8,0,$C$1),AVERAGE(H$447/H$139,I$447/I$139,J$447/J$139),J$447/J$139) *K$139</f>
        <v>6.0659403933706955</v>
      </c>
      <c r="L447" s="7">
        <f ca="1">IF(L$6=OFFSET(Assumptions!$B$8,0,$C$1),AVERAGE(I$447/I$139,J$447/J$139,K$447/K$139),K$447/K$139) *L$139</f>
        <v>6.3390589212729926</v>
      </c>
      <c r="M447" s="7">
        <f ca="1">IF(M$6=OFFSET(Assumptions!$B$8,0,$C$1),AVERAGE(J$447/J$139,K$447/K$139,L$447/L$139),L$447/L$139) *M$139</f>
        <v>6.6129471770232007</v>
      </c>
      <c r="N447" s="7">
        <f ca="1">IF(N$6=OFFSET(Assumptions!$B$8,0,$C$1),AVERAGE(K$447/K$139,L$447/L$139,M$447/M$139),M$447/M$139) *N$139</f>
        <v>6.8981469011004872</v>
      </c>
      <c r="O447" s="7">
        <f ca="1">IF(O$6=OFFSET(Assumptions!$B$8,0,$C$1),AVERAGE(L$447/L$139,M$447/M$139,N$447/N$139),N$447/N$139) *O$139</f>
        <v>7.1931582798509845</v>
      </c>
      <c r="P447" s="7">
        <f ca="1">IF(P$6=OFFSET(Assumptions!$B$8,0,$C$1),AVERAGE(M$447/M$139,N$447/N$139,O$447/O$139),O$447/O$139) *P$139</f>
        <v>7.51048982246094</v>
      </c>
      <c r="Q447" s="7">
        <f ca="1">IF(Q$6=OFFSET(Assumptions!$B$8,0,$C$1),AVERAGE(N$447/N$139,O$447/O$139,P$447/P$139),P$447/P$139) *Q$139</f>
        <v>7.8309007841819271</v>
      </c>
      <c r="R447" s="7">
        <f ca="1">IF(R$6=OFFSET(Assumptions!$B$8,0,$C$1),AVERAGE(O$447/O$139,P$447/P$139,Q$447/Q$139),Q$447/Q$139) *R$139</f>
        <v>8.154444784164264</v>
      </c>
      <c r="S447" s="7">
        <f ca="1">IF(S$6=OFFSET(Assumptions!$B$8,0,$C$1),AVERAGE(P$447/P$139,Q$447/Q$139,R$447/R$139),R$447/R$139) *S$139</f>
        <v>8.4881878788641973</v>
      </c>
      <c r="T447" s="7">
        <f ca="1">IF(T$6=OFFSET(Assumptions!$B$8,0,$C$1),AVERAGE(Q$447/Q$139,R$447/R$139,S$447/S$139),S$447/S$139) *T$139</f>
        <v>8.832251773088915</v>
      </c>
      <c r="U447" s="7">
        <f ca="1">IF(U$6=OFFSET(Assumptions!$B$8,0,$C$1),AVERAGE(R$447/R$139,S$447/S$139,T$447/T$139),T$447/T$139) *U$139</f>
        <v>9.1878713030853749</v>
      </c>
      <c r="V447" s="7">
        <f ca="1">IF(V$6=OFFSET(Assumptions!$B$8,0,$C$1),AVERAGE(S$447/S$139,T$447/T$139,U$447/U$139),U$447/U$139) *V$139</f>
        <v>9.5559243176945916</v>
      </c>
      <c r="W447" s="7">
        <f ca="1">IF(W$6=OFFSET(Assumptions!$B$8,0,$C$1),AVERAGE(T$447/T$139,U$447/U$139,V$447/V$139),V$447/V$139) *W$139</f>
        <v>9.9374771593366074</v>
      </c>
      <c r="X447" s="7">
        <f ca="1">IF(X$6=OFFSET(Assumptions!$B$8,0,$C$1),AVERAGE(U$447/U$139,V$447/V$139,W$447/W$139),W$447/W$139) *X$139</f>
        <v>10.333738380356349</v>
      </c>
      <c r="Y447" s="7">
        <f ca="1">IF(Y$6=OFFSET(Assumptions!$B$8,0,$C$1),AVERAGE(V$447/V$139,W$447/W$139,X$447/X$139),X$447/X$139) *Y$139</f>
        <v>10.744667469736504</v>
      </c>
      <c r="Z447" s="7">
        <f ca="1">IF(Z$6=OFFSET(Assumptions!$B$8,0,$C$1),AVERAGE(W$447/W$139,X$447/X$139,Y$447/Y$139),Y$447/Y$139) *Z$139</f>
        <v>11.172344403576549</v>
      </c>
      <c r="AA447" s="7">
        <f ca="1">IF(AA$6=OFFSET(Assumptions!$B$8,0,$C$1),AVERAGE(X$447/X$139,Y$447/Y$139,Z$447/Z$139),Z$447/Z$139) *AA$139</f>
        <v>11.617461164630273</v>
      </c>
      <c r="AB447" s="7">
        <f ca="1">IF(AB$6=OFFSET(Assumptions!$B$8,0,$C$1),AVERAGE(Y$447/Y$139,Z$447/Z$139,AA$447/AA$139),AA$447/AA$139) *AB$139</f>
        <v>12.081354479638218</v>
      </c>
      <c r="AC447" s="7">
        <f ca="1">IF(AC$6=OFFSET(Assumptions!$B$8,0,$C$1),AVERAGE(Z$447/Z$139,AA$447/AA$139,AB$447/AB$139),AB$447/AB$139) *AC$139</f>
        <v>12.565775608815972</v>
      </c>
      <c r="AD447" s="7">
        <f ca="1">IF(AD$6=OFFSET(Assumptions!$B$8,0,$C$1),AVERAGE(AA$447/AA$139,AB$447/AB$139,AC$447/AC$139),AC$447/AC$139) *AD$139</f>
        <v>13.07123513800936</v>
      </c>
      <c r="AE447" s="7">
        <f ca="1">IF(AE$6=OFFSET(Assumptions!$B$8,0,$C$1),AVERAGE(AB$447/AB$139,AC$447/AC$139,AD$447/AD$139),AD$447/AD$139) *AE$139</f>
        <v>13.597268870011693</v>
      </c>
      <c r="AF447" s="7">
        <f ca="1">IF(AF$6=OFFSET(Assumptions!$B$8,0,$C$1),AVERAGE(AC$447/AC$139,AD$447/AD$139,AE$447/AE$139),AE$447/AE$139) *AF$139</f>
        <v>14.145332129534992</v>
      </c>
      <c r="AG447" s="7">
        <f ca="1">IF(AG$6=OFFSET(Assumptions!$B$8,0,$C$1),AVERAGE(AD$447/AD$139,AE$447/AE$139,AF$447/AF$139),AF$447/AF$139) *AG$139</f>
        <v>14.715731370636496</v>
      </c>
      <c r="AH447" s="7">
        <f ca="1">IF(AH$6=OFFSET(Assumptions!$B$8,0,$C$1),AVERAGE(AE$447/AE$139,AF$447/AF$139,AG$447/AG$139),AG$447/AG$139) *AH$139</f>
        <v>15.309381268077198</v>
      </c>
      <c r="AI447" s="7">
        <f ca="1">IF(AI$6=OFFSET(Assumptions!$B$8,0,$C$1),AVERAGE(AF$447/AF$139,AG$447/AG$139,AH$447/AH$139),AH$447/AH$139) *AI$139</f>
        <v>15.925244518968224</v>
      </c>
      <c r="AJ447" s="7">
        <f ca="1">IF(AJ$6=OFFSET(Assumptions!$B$8,0,$C$1),AVERAGE(AG$447/AG$139,AH$447/AH$139,AI$447/AI$139),AI$447/AI$139) *AJ$139</f>
        <v>16.565294040145876</v>
      </c>
      <c r="AK447" s="7">
        <f ca="1">IF(AK$6=OFFSET(Assumptions!$B$8,0,$C$1),AVERAGE(AH$447/AH$139,AI$447/AI$139,AJ$447/AJ$139),AJ$447/AJ$139) *AK$139</f>
        <v>17.229003307158219</v>
      </c>
      <c r="AL447" s="7">
        <f ca="1">IF(AL$6=OFFSET(Assumptions!$B$8,0,$C$1),AVERAGE(AI$447/AI$139,AJ$447/AJ$139,AK$447/AK$139),AK$447/AK$139) *AL$139</f>
        <v>17.915849497905107</v>
      </c>
      <c r="AM447" s="7">
        <f ca="1">IF(AM$6=OFFSET(Assumptions!$B$8,0,$C$1),AVERAGE(AJ$447/AJ$139,AK$447/AK$139,AL$447/AL$139),AL$447/AL$139) *AM$139</f>
        <v>18.626770933724391</v>
      </c>
      <c r="AN447" s="7">
        <f ca="1">IF(AN$6=OFFSET(Assumptions!$B$8,0,$C$1),AVERAGE(AK$447/AK$139,AL$447/AL$139,AM$447/AM$139),AM$447/AM$139) *AN$139</f>
        <v>19.362756499448679</v>
      </c>
      <c r="AO447" s="7">
        <f ca="1">IF(AO$6=OFFSET(Assumptions!$B$8,0,$C$1),AVERAGE(AL$447/AL$139,AM$447/AM$139,AN$447/AN$139),AN$447/AN$139) *AO$139</f>
        <v>20.120916234276976</v>
      </c>
      <c r="AP447" s="7">
        <f ca="1">IF(AP$6=OFFSET(Assumptions!$B$8,0,$C$1),AVERAGE(AM$447/AM$139,AN$447/AN$139,AO$447/AO$139),AO$447/AO$139) *AP$139</f>
        <v>20.904469659822162</v>
      </c>
      <c r="AQ447" s="7">
        <f ca="1">IF(AQ$6=OFFSET(Assumptions!$B$8,0,$C$1),AVERAGE(AN$447/AN$139,AO$447/AO$139,AP$447/AP$139),AP$447/AP$139) *AQ$139</f>
        <v>21.711221261858551</v>
      </c>
      <c r="AR447" s="7">
        <f ca="1">IF(AR$6=OFFSET(Assumptions!$B$8,0,$C$1),AVERAGE(AO$447/AO$139,AP$447/AP$139,AQ$447/AQ$139),AQ$447/AQ$139) *AR$139</f>
        <v>22.542084427524973</v>
      </c>
      <c r="AS447" s="7">
        <f ca="1">IF(AS$6=OFFSET(Assumptions!$B$8,0,$C$1),AVERAGE(AP$447/AP$139,AQ$447/AQ$139,AR$447/AR$139),AR$447/AR$139) *AS$139</f>
        <v>23.398997536621611</v>
      </c>
      <c r="AT447" s="7">
        <f ca="1">IF(AT$6=OFFSET(Assumptions!$B$8,0,$C$1),AVERAGE(AQ$447/AQ$139,AR$447/AR$139,AS$447/AS$139),AS$447/AS$139) *AT$139</f>
        <v>24.282644977594135</v>
      </c>
      <c r="AU447" s="7">
        <f ca="1">IF(AU$6=OFFSET(Assumptions!$B$8,0,$C$1),AVERAGE(AR$447/AR$139,AS$447/AS$139,AT$447/AT$139),AT$447/AT$139) *AU$139</f>
        <v>25.194201804269518</v>
      </c>
      <c r="AV447" s="7">
        <f ca="1">IF(AV$6=OFFSET(Assumptions!$B$8,0,$C$1),AVERAGE(AS$447/AS$139,AT$447/AT$139,AU$447/AU$139),AU$447/AU$139) *AV$139</f>
        <v>26.136486457435964</v>
      </c>
      <c r="AW447" s="7">
        <f ca="1">IF(AW$6=OFFSET(Assumptions!$B$8,0,$C$1),AVERAGE(AT$447/AT$139,AU$447/AU$139,AV$447/AV$139),AV$447/AV$139) *AW$139</f>
        <v>27.108966964471101</v>
      </c>
    </row>
    <row r="448" spans="1:49" x14ac:dyDescent="0.2">
      <c r="A448" s="1" t="s">
        <v>672</v>
      </c>
      <c r="B448" s="4" t="str">
        <f t="shared" si="265"/>
        <v>From Fiscal</v>
      </c>
      <c r="D448" s="18">
        <f>Fiscal!D$179-SUM(D$446:D$447)</f>
        <v>3.125</v>
      </c>
      <c r="E448" s="19">
        <f>Fiscal!E$179-SUM(E$446:E$447)</f>
        <v>2.9080000000000004</v>
      </c>
      <c r="F448" s="19">
        <f>Fiscal!F$179-SUM(F$446:F$447)</f>
        <v>2.7549999999999999</v>
      </c>
      <c r="G448" s="19">
        <f>Fiscal!G$179-SUM(G$446:G$447)</f>
        <v>2.410000000000001</v>
      </c>
      <c r="H448" s="19">
        <f>Fiscal!H$179-SUM(H$446:H$447)</f>
        <v>2.544999999999999</v>
      </c>
      <c r="I448" s="19">
        <f>Fiscal!I$179-SUM(I$446:I$447)</f>
        <v>2.6359999999999992</v>
      </c>
      <c r="J448" s="7">
        <f ca="1">(I$448/I$14+ IF(J$2&gt;0,J$2*IF(J$6=OFFSET(Assumptions!$B$8,0,$C$1),SUMPRODUCT(OFFSET(I$448,0,0,1,-OFFSET(Assumptions!$B$67,0,$C$1)),OFFSET(I$16,0,0,1,-OFFSET(Assumptions!$B$67,0,$C$1)))/OFFSET(Assumptions!$B$67,0,$C$1)-I$448/I$14,(I$448/I$14-H$448/H$14)/I$2),0))*J$14</f>
        <v>2.7484847290594456</v>
      </c>
      <c r="K448" s="7">
        <f ca="1">(J$448/J$14+ IF(K$2&gt;0,K$2*IF(K$6=OFFSET(Assumptions!$B$8,0,$C$1),SUMPRODUCT(OFFSET(J$448,0,0,1,-OFFSET(Assumptions!$B$67,0,$C$1)),OFFSET(J$16,0,0,1,-OFFSET(Assumptions!$B$67,0,$C$1)))/OFFSET(Assumptions!$B$67,0,$C$1)-J$448/J$14,(J$448/J$14-I$448/I$14)/J$2),0))*K$14</f>
        <v>2.8645206042394498</v>
      </c>
      <c r="L448" s="7">
        <f ca="1">(K$448/K$14+ IF(L$2&gt;0,L$2*IF(L$6=OFFSET(Assumptions!$B$8,0,$C$1),SUMPRODUCT(OFFSET(K$448,0,0,1,-OFFSET(Assumptions!$B$67,0,$C$1)),OFFSET(K$16,0,0,1,-OFFSET(Assumptions!$B$67,0,$C$1)))/OFFSET(Assumptions!$B$67,0,$C$1)-K$448/K$14,(K$448/K$14-J$448/J$14)/K$2),0))*L$14</f>
        <v>2.9896044340412153</v>
      </c>
      <c r="M448" s="7">
        <f ca="1">(L$448/L$14+ IF(M$2&gt;0,M$2*IF(M$6=OFFSET(Assumptions!$B$8,0,$C$1),SUMPRODUCT(OFFSET(L$448,0,0,1,-OFFSET(Assumptions!$B$67,0,$C$1)),OFFSET(L$16,0,0,1,-OFFSET(Assumptions!$B$67,0,$C$1)))/OFFSET(Assumptions!$B$67,0,$C$1)-L$448/L$14,(L$448/L$14-K$448/K$14)/L$2),0))*M$14</f>
        <v>3.1194147180928207</v>
      </c>
      <c r="N448" s="7">
        <f ca="1">(M$448/M$14+ IF(N$2&gt;0,N$2*IF(N$6=OFFSET(Assumptions!$B$8,0,$C$1),SUMPRODUCT(OFFSET(M$448,0,0,1,-OFFSET(Assumptions!$B$67,0,$C$1)),OFFSET(M$16,0,0,1,-OFFSET(Assumptions!$B$67,0,$C$1)))/OFFSET(Assumptions!$B$67,0,$C$1)-M$448/M$14,(M$448/M$14-L$448/L$14)/M$2),0))*N$14</f>
        <v>3.254281044829094</v>
      </c>
      <c r="O448" s="7">
        <f ca="1">(N$448/N$14+ IF(O$2&gt;0,O$2*IF(O$6=OFFSET(Assumptions!$B$8,0,$C$1),SUMPRODUCT(OFFSET(N$448,0,0,1,-OFFSET(Assumptions!$B$67,0,$C$1)),OFFSET(N$16,0,0,1,-OFFSET(Assumptions!$B$67,0,$C$1)))/OFFSET(Assumptions!$B$67,0,$C$1)-N$448/N$14,(N$448/N$14-M$448/M$14)/N$2),0))*O$14</f>
        <v>3.3931956711682401</v>
      </c>
      <c r="P448" s="7">
        <f ca="1">(O$448/O$14+ IF(P$2&gt;0,P$2*IF(P$6=OFFSET(Assumptions!$B$8,0,$C$1),SUMPRODUCT(OFFSET(O$448,0,0,1,-OFFSET(Assumptions!$B$67,0,$C$1)),OFFSET(O$16,0,0,1,-OFFSET(Assumptions!$B$67,0,$C$1)))/OFFSET(Assumptions!$B$67,0,$C$1)-O$448/O$14,(O$448/O$14-N$448/N$14)/O$2),0))*P$14</f>
        <v>3.5366901877334405</v>
      </c>
      <c r="Q448" s="7">
        <f ca="1">(P$448/P$14+ IF(Q$2&gt;0,Q$2*IF(Q$6=OFFSET(Assumptions!$B$8,0,$C$1),SUMPRODUCT(OFFSET(P$448,0,0,1,-OFFSET(Assumptions!$B$67,0,$C$1)),OFFSET(P$16,0,0,1,-OFFSET(Assumptions!$B$67,0,$C$1)))/OFFSET(Assumptions!$B$67,0,$C$1)-P$448/P$14,(P$448/P$14-O$448/O$14)/P$2),0))*Q$14</f>
        <v>3.6846095940985193</v>
      </c>
      <c r="R448" s="7">
        <f ca="1">(Q$448/Q$14+ IF(R$2&gt;0,R$2*IF(R$6=OFFSET(Assumptions!$B$8,0,$C$1),SUMPRODUCT(OFFSET(Q$448,0,0,1,-OFFSET(Assumptions!$B$67,0,$C$1)),OFFSET(Q$16,0,0,1,-OFFSET(Assumptions!$B$67,0,$C$1)))/OFFSET(Assumptions!$B$67,0,$C$1)-Q$448/Q$14,(Q$448/Q$14-P$448/P$14)/Q$2),0))*R$14</f>
        <v>3.8368441018905206</v>
      </c>
      <c r="S448" s="7">
        <f ca="1">(R$448/R$14+ IF(S$2&gt;0,S$2*IF(S$6=OFFSET(Assumptions!$B$8,0,$C$1),SUMPRODUCT(OFFSET(R$448,0,0,1,-OFFSET(Assumptions!$B$67,0,$C$1)),OFFSET(R$16,0,0,1,-OFFSET(Assumptions!$B$67,0,$C$1)))/OFFSET(Assumptions!$B$67,0,$C$1)-R$448/R$14,(R$448/R$14-Q$448/Q$14)/R$2),0))*S$14</f>
        <v>3.9938775061675194</v>
      </c>
      <c r="T448" s="7">
        <f ca="1">(S$448/S$14+ IF(T$2&gt;0,T$2*IF(T$6=OFFSET(Assumptions!$B$8,0,$C$1),SUMPRODUCT(OFFSET(S$448,0,0,1,-OFFSET(Assumptions!$B$67,0,$C$1)),OFFSET(S$16,0,0,1,-OFFSET(Assumptions!$B$67,0,$C$1)))/OFFSET(Assumptions!$B$67,0,$C$1)-S$448/S$14,(S$448/S$14-R$448/R$14)/S$2),0))*T$14</f>
        <v>4.1557670716954176</v>
      </c>
      <c r="U448" s="7">
        <f ca="1">(T$448/T$14+ IF(U$2&gt;0,U$2*IF(U$6=OFFSET(Assumptions!$B$8,0,$C$1),SUMPRODUCT(OFFSET(T$448,0,0,1,-OFFSET(Assumptions!$B$67,0,$C$1)),OFFSET(T$16,0,0,1,-OFFSET(Assumptions!$B$67,0,$C$1)))/OFFSET(Assumptions!$B$67,0,$C$1)-T$448/T$14,(T$448/T$14-S$448/S$14)/T$2),0))*U$14</f>
        <v>4.323093815857538</v>
      </c>
      <c r="V448" s="7">
        <f ca="1">(U$448/U$14+ IF(V$2&gt;0,V$2*IF(V$6=OFFSET(Assumptions!$B$8,0,$C$1),SUMPRODUCT(OFFSET(U$448,0,0,1,-OFFSET(Assumptions!$B$67,0,$C$1)),OFFSET(U$16,0,0,1,-OFFSET(Assumptions!$B$67,0,$C$1)))/OFFSET(Assumptions!$B$67,0,$C$1)-U$448/U$14,(U$448/U$14-T$448/T$14)/U$2),0))*V$14</f>
        <v>4.4962707856775781</v>
      </c>
      <c r="W448" s="7">
        <f ca="1">(V$448/V$14+ IF(W$2&gt;0,W$2*IF(W$6=OFFSET(Assumptions!$B$8,0,$C$1),SUMPRODUCT(OFFSET(V$448,0,0,1,-OFFSET(Assumptions!$B$67,0,$C$1)),OFFSET(V$16,0,0,1,-OFFSET(Assumptions!$B$67,0,$C$1)))/OFFSET(Assumptions!$B$67,0,$C$1)-V$448/V$14,(V$448/V$14-U$448/U$14)/V$2),0))*W$14</f>
        <v>4.6757997185188067</v>
      </c>
      <c r="X448" s="7">
        <f ca="1">(W$448/W$14+ IF(X$2&gt;0,X$2*IF(X$6=OFFSET(Assumptions!$B$8,0,$C$1),SUMPRODUCT(OFFSET(W$448,0,0,1,-OFFSET(Assumptions!$B$67,0,$C$1)),OFFSET(W$16,0,0,1,-OFFSET(Assumptions!$B$67,0,$C$1)))/OFFSET(Assumptions!$B$67,0,$C$1)-W$448/W$14,(W$448/W$14-V$448/V$14)/W$2),0))*X$14</f>
        <v>4.8622492646154472</v>
      </c>
      <c r="Y448" s="7">
        <f ca="1">(X$448/X$14+ IF(Y$2&gt;0,Y$2*IF(Y$6=OFFSET(Assumptions!$B$8,0,$C$1),SUMPRODUCT(OFFSET(X$448,0,0,1,-OFFSET(Assumptions!$B$67,0,$C$1)),OFFSET(X$16,0,0,1,-OFFSET(Assumptions!$B$67,0,$C$1)))/OFFSET(Assumptions!$B$67,0,$C$1)-X$448/X$14,(X$448/X$14-W$448/W$14)/X$2),0))*Y$14</f>
        <v>5.0556003626503916</v>
      </c>
      <c r="Z448" s="7">
        <f ca="1">(Y$448/Y$14+ IF(Z$2&gt;0,Z$2*IF(Z$6=OFFSET(Assumptions!$B$8,0,$C$1),SUMPRODUCT(OFFSET(Y$448,0,0,1,-OFFSET(Assumptions!$B$67,0,$C$1)),OFFSET(Y$16,0,0,1,-OFFSET(Assumptions!$B$67,0,$C$1)))/OFFSET(Assumptions!$B$67,0,$C$1)-Y$448/Y$14,(Y$448/Y$14-X$448/X$14)/Y$2),0))*Z$14</f>
        <v>5.2568316867382601</v>
      </c>
      <c r="AA448" s="7">
        <f ca="1">(Z$448/Z$14+ IF(AA$2&gt;0,AA$2*IF(AA$6=OFFSET(Assumptions!$B$8,0,$C$1),SUMPRODUCT(OFFSET(Z$448,0,0,1,-OFFSET(Assumptions!$B$67,0,$C$1)),OFFSET(Z$16,0,0,1,-OFFSET(Assumptions!$B$67,0,$C$1)))/OFFSET(Assumptions!$B$67,0,$C$1)-Z$448/Z$14,(Z$448/Z$14-Y$448/Y$14)/Z$2),0))*AA$14</f>
        <v>5.4662688298553723</v>
      </c>
      <c r="AB448" s="7">
        <f ca="1">(AA$448/AA$14+ IF(AB$2&gt;0,AB$2*IF(AB$6=OFFSET(Assumptions!$B$8,0,$C$1),SUMPRODUCT(OFFSET(AA$448,0,0,1,-OFFSET(Assumptions!$B$67,0,$C$1)),OFFSET(AA$16,0,0,1,-OFFSET(Assumptions!$B$67,0,$C$1)))/OFFSET(Assumptions!$B$67,0,$C$1)-AA$448/AA$14,(AA$448/AA$14-Z$448/Z$14)/AA$2),0))*AB$14</f>
        <v>5.6845407510842918</v>
      </c>
      <c r="AC448" s="7">
        <f ca="1">(AB$448/AB$14+ IF(AC$2&gt;0,AC$2*IF(AC$6=OFFSET(Assumptions!$B$8,0,$C$1),SUMPRODUCT(OFFSET(AB$448,0,0,1,-OFFSET(Assumptions!$B$67,0,$C$1)),OFFSET(AB$16,0,0,1,-OFFSET(Assumptions!$B$67,0,$C$1)))/OFFSET(Assumptions!$B$67,0,$C$1)-AB$448/AB$14,(AB$448/AB$14-AA$448/AA$14)/AB$2),0))*AC$14</f>
        <v>5.9124714565476806</v>
      </c>
      <c r="AD448" s="7">
        <f ca="1">(AC$448/AC$14+ IF(AD$2&gt;0,AD$2*IF(AD$6=OFFSET(Assumptions!$B$8,0,$C$1),SUMPRODUCT(OFFSET(AC$448,0,0,1,-OFFSET(Assumptions!$B$67,0,$C$1)),OFFSET(AC$16,0,0,1,-OFFSET(Assumptions!$B$67,0,$C$1)))/OFFSET(Assumptions!$B$67,0,$C$1)-AC$448/AC$14,(AC$448/AC$14-AB$448/AB$14)/AC$2),0))*AD$14</f>
        <v>6.150301188020781</v>
      </c>
      <c r="AE448" s="7">
        <f ca="1">(AD$448/AD$14+ IF(AE$2&gt;0,AE$2*IF(AE$6=OFFSET(Assumptions!$B$8,0,$C$1),SUMPRODUCT(OFFSET(AD$448,0,0,1,-OFFSET(Assumptions!$B$67,0,$C$1)),OFFSET(AD$16,0,0,1,-OFFSET(Assumptions!$B$67,0,$C$1)))/OFFSET(Assumptions!$B$67,0,$C$1)-AD$448/AD$14,(AD$448/AD$14-AC$448/AC$14)/AD$2),0))*AE$14</f>
        <v>6.3978115305947005</v>
      </c>
      <c r="AF448" s="7">
        <f ca="1">(AE$448/AE$14+ IF(AF$2&gt;0,AF$2*IF(AF$6=OFFSET(Assumptions!$B$8,0,$C$1),SUMPRODUCT(OFFSET(AE$448,0,0,1,-OFFSET(Assumptions!$B$67,0,$C$1)),OFFSET(AE$16,0,0,1,-OFFSET(Assumptions!$B$67,0,$C$1)))/OFFSET(Assumptions!$B$67,0,$C$1)-AE$448/AE$14,(AE$448/AE$14-AD$448/AD$14)/AE$2),0))*AF$14</f>
        <v>6.6556872462839545</v>
      </c>
      <c r="AG448" s="7">
        <f ca="1">(AF$448/AF$14+ IF(AG$2&gt;0,AG$2*IF(AG$6=OFFSET(Assumptions!$B$8,0,$C$1),SUMPRODUCT(OFFSET(AF$448,0,0,1,-OFFSET(Assumptions!$B$67,0,$C$1)),OFFSET(AF$16,0,0,1,-OFFSET(Assumptions!$B$67,0,$C$1)))/OFFSET(Assumptions!$B$67,0,$C$1)-AF$448/AF$14,(AF$448/AF$14-AE$448/AE$14)/AF$2),0))*AG$14</f>
        <v>6.9240725284055777</v>
      </c>
      <c r="AH448" s="7">
        <f ca="1">(AG$448/AG$14+ IF(AH$2&gt;0,AH$2*IF(AH$6=OFFSET(Assumptions!$B$8,0,$C$1),SUMPRODUCT(OFFSET(AG$448,0,0,1,-OFFSET(Assumptions!$B$67,0,$C$1)),OFFSET(AG$16,0,0,1,-OFFSET(Assumptions!$B$67,0,$C$1)))/OFFSET(Assumptions!$B$67,0,$C$1)-AG$448/AG$14,(AG$448/AG$14-AF$448/AF$14)/AG$2),0))*AH$14</f>
        <v>7.203397751381714</v>
      </c>
      <c r="AI448" s="7">
        <f ca="1">(AH$448/AH$14+ IF(AI$2&gt;0,AI$2*IF(AI$6=OFFSET(Assumptions!$B$8,0,$C$1),SUMPRODUCT(OFFSET(AH$448,0,0,1,-OFFSET(Assumptions!$B$67,0,$C$1)),OFFSET(AH$16,0,0,1,-OFFSET(Assumptions!$B$67,0,$C$1)))/OFFSET(Assumptions!$B$67,0,$C$1)-AH$448/AH$14,(AH$448/AH$14-AG$448/AG$14)/AH$2),0))*AI$14</f>
        <v>7.4931748415817969</v>
      </c>
      <c r="AJ448" s="7">
        <f ca="1">(AI$448/AI$14+ IF(AJ$2&gt;0,AJ$2*IF(AJ$6=OFFSET(Assumptions!$B$8,0,$C$1),SUMPRODUCT(OFFSET(AI$448,0,0,1,-OFFSET(Assumptions!$B$67,0,$C$1)),OFFSET(AI$16,0,0,1,-OFFSET(Assumptions!$B$67,0,$C$1)))/OFFSET(Assumptions!$B$67,0,$C$1)-AI$448/AI$14,(AI$448/AI$14-AH$448/AH$14)/AI$2),0))*AJ$14</f>
        <v>7.7943320994023875</v>
      </c>
      <c r="AK448" s="7">
        <f ca="1">(AJ$448/AJ$14+ IF(AK$2&gt;0,AK$2*IF(AK$6=OFFSET(Assumptions!$B$8,0,$C$1),SUMPRODUCT(OFFSET(AJ$448,0,0,1,-OFFSET(Assumptions!$B$67,0,$C$1)),OFFSET(AJ$16,0,0,1,-OFFSET(Assumptions!$B$67,0,$C$1)))/OFFSET(Assumptions!$B$67,0,$C$1)-AJ$448/AJ$14,(AJ$448/AJ$14-AI$448/AI$14)/AJ$2),0))*AK$14</f>
        <v>8.1066217836064833</v>
      </c>
      <c r="AL448" s="7">
        <f ca="1">(AK$448/AK$14+ IF(AL$2&gt;0,AL$2*IF(AL$6=OFFSET(Assumptions!$B$8,0,$C$1),SUMPRODUCT(OFFSET(AK$448,0,0,1,-OFFSET(Assumptions!$B$67,0,$C$1)),OFFSET(AK$16,0,0,1,-OFFSET(Assumptions!$B$67,0,$C$1)))/OFFSET(Assumptions!$B$67,0,$C$1)-AK$448/AK$14,(AK$448/AK$14-AJ$448/AJ$14)/AK$2),0))*AL$14</f>
        <v>8.4297978949943335</v>
      </c>
      <c r="AM448" s="7">
        <f ca="1">(AL$448/AL$14+ IF(AM$2&gt;0,AM$2*IF(AM$6=OFFSET(Assumptions!$B$8,0,$C$1),SUMPRODUCT(OFFSET(AL$448,0,0,1,-OFFSET(Assumptions!$B$67,0,$C$1)),OFFSET(AL$16,0,0,1,-OFFSET(Assumptions!$B$67,0,$C$1)))/OFFSET(Assumptions!$B$67,0,$C$1)-AL$448/AL$14,(AL$448/AL$14-AK$448/AK$14)/AL$2),0))*AM$14</f>
        <v>8.7643019342181798</v>
      </c>
      <c r="AN448" s="7">
        <f ca="1">(AM$448/AM$14+ IF(AN$2&gt;0,AN$2*IF(AN$6=OFFSET(Assumptions!$B$8,0,$C$1),SUMPRODUCT(OFFSET(AM$448,0,0,1,-OFFSET(Assumptions!$B$67,0,$C$1)),OFFSET(AM$16,0,0,1,-OFFSET(Assumptions!$B$67,0,$C$1)))/OFFSET(Assumptions!$B$67,0,$C$1)-AM$448/AM$14,(AM$448/AM$14-AL$448/AL$14)/AM$2),0))*AN$14</f>
        <v>9.1105991931572152</v>
      </c>
      <c r="AO448" s="7">
        <f ca="1">(AN$448/AN$14+ IF(AO$2&gt;0,AO$2*IF(AO$6=OFFSET(Assumptions!$B$8,0,$C$1),SUMPRODUCT(OFFSET(AN$448,0,0,1,-OFFSET(Assumptions!$B$67,0,$C$1)),OFFSET(AN$16,0,0,1,-OFFSET(Assumptions!$B$67,0,$C$1)))/OFFSET(Assumptions!$B$67,0,$C$1)-AN$448/AN$14,(AN$448/AN$14-AM$448/AM$14)/AN$2),0))*AO$14</f>
        <v>9.467329882230727</v>
      </c>
      <c r="AP448" s="7">
        <f ca="1">(AO$448/AO$14+ IF(AP$2&gt;0,AP$2*IF(AP$6=OFFSET(Assumptions!$B$8,0,$C$1),SUMPRODUCT(OFFSET(AO$448,0,0,1,-OFFSET(Assumptions!$B$67,0,$C$1)),OFFSET(AO$16,0,0,1,-OFFSET(Assumptions!$B$67,0,$C$1)))/OFFSET(Assumptions!$B$67,0,$C$1)-AO$448/AO$14,(AO$448/AO$14-AN$448/AN$14)/AO$2),0))*AP$14</f>
        <v>9.8360088565684372</v>
      </c>
      <c r="AQ448" s="7">
        <f ca="1">(AP$448/AP$14+ IF(AQ$2&gt;0,AQ$2*IF(AQ$6=OFFSET(Assumptions!$B$8,0,$C$1),SUMPRODUCT(OFFSET(AP$448,0,0,1,-OFFSET(Assumptions!$B$67,0,$C$1)),OFFSET(AP$16,0,0,1,-OFFSET(Assumptions!$B$67,0,$C$1)))/OFFSET(Assumptions!$B$67,0,$C$1)-AP$448/AP$14,(AP$448/AP$14-AO$448/AO$14)/AP$2),0))*AQ$14</f>
        <v>10.215603078847701</v>
      </c>
      <c r="AR448" s="7">
        <f ca="1">(AQ$448/AQ$14+ IF(AR$2&gt;0,AR$2*IF(AR$6=OFFSET(Assumptions!$B$8,0,$C$1),SUMPRODUCT(OFFSET(AQ$448,0,0,1,-OFFSET(Assumptions!$B$67,0,$C$1)),OFFSET(AQ$16,0,0,1,-OFFSET(Assumptions!$B$67,0,$C$1)))/OFFSET(Assumptions!$B$67,0,$C$1)-AQ$448/AQ$14,(AQ$448/AQ$14-AP$448/AP$14)/AQ$2),0))*AR$14</f>
        <v>10.606542317636356</v>
      </c>
      <c r="AS448" s="7">
        <f ca="1">(AR$448/AR$14+ IF(AS$2&gt;0,AS$2*IF(AS$6=OFFSET(Assumptions!$B$8,0,$C$1),SUMPRODUCT(OFFSET(AR$448,0,0,1,-OFFSET(Assumptions!$B$67,0,$C$1)),OFFSET(AR$16,0,0,1,-OFFSET(Assumptions!$B$67,0,$C$1)))/OFFSET(Assumptions!$B$67,0,$C$1)-AR$448/AR$14,(AR$448/AR$14-AQ$448/AQ$14)/AR$2),0))*AS$14</f>
        <v>11.009738622902292</v>
      </c>
      <c r="AT448" s="7">
        <f ca="1">(AS$448/AS$14+ IF(AT$2&gt;0,AT$2*IF(AT$6=OFFSET(Assumptions!$B$8,0,$C$1),SUMPRODUCT(OFFSET(AS$448,0,0,1,-OFFSET(Assumptions!$B$67,0,$C$1)),OFFSET(AS$16,0,0,1,-OFFSET(Assumptions!$B$67,0,$C$1)))/OFFSET(Assumptions!$B$67,0,$C$1)-AS$448/AS$14,(AS$448/AS$14-AR$448/AR$14)/AS$2),0))*AT$14</f>
        <v>11.425514014334237</v>
      </c>
      <c r="AU448" s="7">
        <f ca="1">(AT$448/AT$14+ IF(AU$2&gt;0,AU$2*IF(AU$6=OFFSET(Assumptions!$B$8,0,$C$1),SUMPRODUCT(OFFSET(AT$448,0,0,1,-OFFSET(Assumptions!$B$67,0,$C$1)),OFFSET(AT$16,0,0,1,-OFFSET(Assumptions!$B$67,0,$C$1)))/OFFSET(Assumptions!$B$67,0,$C$1)-AT$448/AT$14,(AT$448/AT$14-AS$448/AS$14)/AT$2),0))*AU$14</f>
        <v>11.854421380383185</v>
      </c>
      <c r="AV448" s="7">
        <f ca="1">(AU$448/AU$14+ IF(AV$2&gt;0,AV$2*IF(AV$6=OFFSET(Assumptions!$B$8,0,$C$1),SUMPRODUCT(OFFSET(AU$448,0,0,1,-OFFSET(Assumptions!$B$67,0,$C$1)),OFFSET(AU$16,0,0,1,-OFFSET(Assumptions!$B$67,0,$C$1)))/OFFSET(Assumptions!$B$67,0,$C$1)-AU$448/AU$14,(AU$448/AU$14-AT$448/AT$14)/AU$2),0))*AV$14</f>
        <v>12.297786858904132</v>
      </c>
      <c r="AW448" s="7">
        <f ca="1">(AV$448/AV$14+ IF(AW$2&gt;0,AW$2*IF(AW$6=OFFSET(Assumptions!$B$8,0,$C$1),SUMPRODUCT(OFFSET(AV$448,0,0,1,-OFFSET(Assumptions!$B$67,0,$C$1)),OFFSET(AV$16,0,0,1,-OFFSET(Assumptions!$B$67,0,$C$1)))/OFFSET(Assumptions!$B$67,0,$C$1)-AV$448/AV$14,(AV$448/AV$14-AU$448/AU$14)/AV$2),0))*AW$14</f>
        <v>12.755360145177072</v>
      </c>
    </row>
    <row r="449" spans="1:49" ht="15" x14ac:dyDescent="0.25">
      <c r="A449" s="2" t="s">
        <v>673</v>
      </c>
      <c r="B449" s="4"/>
      <c r="D449" s="40">
        <f t="shared" ref="D449:I449" si="266">SUM(D$446:D$448)</f>
        <v>8.1310000000000002</v>
      </c>
      <c r="E449" s="39">
        <f t="shared" si="266"/>
        <v>8.5440000000000005</v>
      </c>
      <c r="F449" s="39">
        <f t="shared" si="266"/>
        <v>8.8040000000000003</v>
      </c>
      <c r="G449" s="39">
        <f t="shared" si="266"/>
        <v>8.5370000000000008</v>
      </c>
      <c r="H449" s="39">
        <f t="shared" si="266"/>
        <v>9.1449999999999996</v>
      </c>
      <c r="I449" s="39">
        <f t="shared" si="266"/>
        <v>9.5839999999999996</v>
      </c>
      <c r="J449" s="43">
        <f t="shared" ref="J449:AW449" ca="1" si="267">SUM(J$446:J$448)</f>
        <v>10.124432856682786</v>
      </c>
      <c r="K449" s="43">
        <f t="shared" ca="1" si="267"/>
        <v>10.703493535771662</v>
      </c>
      <c r="L449" s="43">
        <f t="shared" ca="1" si="267"/>
        <v>11.304543139902385</v>
      </c>
      <c r="M449" s="43">
        <f t="shared" ca="1" si="267"/>
        <v>11.918060619379045</v>
      </c>
      <c r="N449" s="43">
        <f t="shared" ca="1" si="267"/>
        <v>12.554446270730947</v>
      </c>
      <c r="O449" s="43">
        <f t="shared" ca="1" si="267"/>
        <v>13.207239765301191</v>
      </c>
      <c r="P449" s="43">
        <f t="shared" ca="1" si="267"/>
        <v>13.888079087216255</v>
      </c>
      <c r="Q449" s="43">
        <f t="shared" ca="1" si="267"/>
        <v>14.577219690581439</v>
      </c>
      <c r="R449" s="43">
        <f t="shared" ca="1" si="267"/>
        <v>15.27480412784813</v>
      </c>
      <c r="S449" s="43">
        <f t="shared" ca="1" si="267"/>
        <v>15.989804865728544</v>
      </c>
      <c r="T449" s="43">
        <f t="shared" ca="1" si="267"/>
        <v>16.722847145936129</v>
      </c>
      <c r="U449" s="43">
        <f t="shared" ca="1" si="267"/>
        <v>17.47542407224897</v>
      </c>
      <c r="V449" s="43">
        <f t="shared" ca="1" si="267"/>
        <v>18.248371037027635</v>
      </c>
      <c r="W449" s="43">
        <f t="shared" ca="1" si="267"/>
        <v>19.042849393820283</v>
      </c>
      <c r="X449" s="43">
        <f t="shared" ca="1" si="267"/>
        <v>19.861152498702509</v>
      </c>
      <c r="Y449" s="43">
        <f t="shared" ca="1" si="267"/>
        <v>20.701949321421331</v>
      </c>
      <c r="Z449" s="43">
        <f t="shared" ca="1" si="267"/>
        <v>21.569716898417028</v>
      </c>
      <c r="AA449" s="43">
        <f t="shared" ca="1" si="267"/>
        <v>22.468111570728965</v>
      </c>
      <c r="AB449" s="43">
        <f t="shared" ca="1" si="267"/>
        <v>23.402575908070091</v>
      </c>
      <c r="AC449" s="43">
        <f t="shared" ca="1" si="267"/>
        <v>24.37982254970299</v>
      </c>
      <c r="AD449" s="43">
        <f t="shared" ca="1" si="267"/>
        <v>25.405325670813976</v>
      </c>
      <c r="AE449" s="43">
        <f t="shared" ca="1" si="267"/>
        <v>26.48067850405889</v>
      </c>
      <c r="AF449" s="43">
        <f t="shared" ca="1" si="267"/>
        <v>27.611946937433935</v>
      </c>
      <c r="AG449" s="43">
        <f t="shared" ca="1" si="267"/>
        <v>28.80063388809959</v>
      </c>
      <c r="AH449" s="43">
        <f t="shared" ca="1" si="267"/>
        <v>30.050676277825922</v>
      </c>
      <c r="AI449" s="43">
        <f t="shared" ca="1" si="267"/>
        <v>31.362498669008435</v>
      </c>
      <c r="AJ449" s="43">
        <f t="shared" ca="1" si="267"/>
        <v>32.741067716681215</v>
      </c>
      <c r="AK449" s="43">
        <f t="shared" ca="1" si="267"/>
        <v>34.186243900701761</v>
      </c>
      <c r="AL449" s="43">
        <f t="shared" ca="1" si="267"/>
        <v>35.699408017299163</v>
      </c>
      <c r="AM449" s="43">
        <f t="shared" ca="1" si="267"/>
        <v>37.283762286191539</v>
      </c>
      <c r="AN449" s="43">
        <f t="shared" ca="1" si="267"/>
        <v>38.941327587993541</v>
      </c>
      <c r="AO449" s="43">
        <f t="shared" ca="1" si="267"/>
        <v>40.667204441592823</v>
      </c>
      <c r="AP449" s="43">
        <f t="shared" ca="1" si="267"/>
        <v>42.463166277807659</v>
      </c>
      <c r="AQ449" s="43">
        <f t="shared" ca="1" si="267"/>
        <v>44.323113368127117</v>
      </c>
      <c r="AR449" s="43">
        <f t="shared" ca="1" si="267"/>
        <v>46.243226410633234</v>
      </c>
      <c r="AS449" s="43">
        <f t="shared" ca="1" si="267"/>
        <v>48.221380019403007</v>
      </c>
      <c r="AT449" s="43">
        <f t="shared" ca="1" si="267"/>
        <v>50.260090371184276</v>
      </c>
      <c r="AU449" s="43">
        <f t="shared" ca="1" si="267"/>
        <v>52.360411873255714</v>
      </c>
      <c r="AV449" s="43">
        <f t="shared" ca="1" si="267"/>
        <v>54.527555979808056</v>
      </c>
      <c r="AW449" s="43">
        <f t="shared" ca="1" si="267"/>
        <v>56.759294721260211</v>
      </c>
    </row>
    <row r="450" spans="1:49" ht="15" x14ac:dyDescent="0.25">
      <c r="A450" s="2" t="s">
        <v>674</v>
      </c>
      <c r="B450" s="4" t="str">
        <f t="shared" si="265"/>
        <v>From Fiscal</v>
      </c>
      <c r="D450" s="47">
        <f>Fiscal!D$128</f>
        <v>11.952999999999999</v>
      </c>
      <c r="E450" s="44">
        <f>Fiscal!E$128</f>
        <v>12.087999999999999</v>
      </c>
      <c r="F450" s="44">
        <f>Fiscal!F$128</f>
        <v>12.282</v>
      </c>
      <c r="G450" s="44">
        <f>Fiscal!G$128</f>
        <v>11.922000000000001</v>
      </c>
      <c r="H450" s="44">
        <f>Fiscal!H$128</f>
        <v>12.638</v>
      </c>
      <c r="I450" s="44">
        <f>Fiscal!I$128</f>
        <v>13.247999999999999</v>
      </c>
      <c r="J450" s="8">
        <f ca="1">((I$450-I$449-I$107)/I$14+ IF(J$2&gt;0,J$2*IF(J$6=OFFSET(Assumptions!$B$8,0,$C$1),(SUMPRODUCT(OFFSET(I$450,0,0,1,-OFFSET(Assumptions!$B$67,0,$C$1)),OFFSET(I$16,0,0,1,-OFFSET(Assumptions!$B$67,0,$C$1)))-SUMPRODUCT(OFFSET(I$449,0,0,1,-OFFSET(Assumptions!$B$67,0,$C$1)),OFFSET(I$16,0,0,1,-OFFSET(Assumptions!$B$67,0,$C$1)))-SUMPRODUCT(OFFSET(I$107,0,0,1,-OFFSET(Assumptions!$B$67,0,$C$1)),OFFSET(I$16,0,0,1,-OFFSET(Assumptions!$B$67,0,$C$1))))/OFFSET(Assumptions!$B$67,0,$C$1)-(I$450-I$449-I$107)/I$14,((I$450-I$449-I$107)/I$14-(H$450-H$449-H$107)/H$14)/I$2),0))*J$14 +J$449+J$107</f>
        <v>13.947609870932382</v>
      </c>
      <c r="K450" s="8">
        <f ca="1">((J$450-J$449-J$107)/J$14+ IF(K$2&gt;0,K$2*IF(K$6=OFFSET(Assumptions!$B$8,0,$C$1),(SUMPRODUCT(OFFSET(J$450,0,0,1,-OFFSET(Assumptions!$B$67,0,$C$1)),OFFSET(J$16,0,0,1,-OFFSET(Assumptions!$B$67,0,$C$1)))-SUMPRODUCT(OFFSET(J$449,0,0,1,-OFFSET(Assumptions!$B$67,0,$C$1)),OFFSET(J$16,0,0,1,-OFFSET(Assumptions!$B$67,0,$C$1)))-SUMPRODUCT(OFFSET(J$107,0,0,1,-OFFSET(Assumptions!$B$67,0,$C$1)),OFFSET(J$16,0,0,1,-OFFSET(Assumptions!$B$67,0,$C$1))))/OFFSET(Assumptions!$B$67,0,$C$1)-(J$450-J$449-J$107)/J$14,((J$450-J$449-J$107)/J$14-(I$450-I$449-I$107)/I$14)/J$2),0))*K$14 +K$449+K$107</f>
        <v>14.670128020095703</v>
      </c>
      <c r="L450" s="8">
        <f ca="1">((K$450-K$449-K$107)/K$14+ IF(L$2&gt;0,L$2*IF(L$6=OFFSET(Assumptions!$B$8,0,$C$1),(SUMPRODUCT(OFFSET(K$450,0,0,1,-OFFSET(Assumptions!$B$67,0,$C$1)),OFFSET(K$16,0,0,1,-OFFSET(Assumptions!$B$67,0,$C$1)))-SUMPRODUCT(OFFSET(K$449,0,0,1,-OFFSET(Assumptions!$B$67,0,$C$1)),OFFSET(K$16,0,0,1,-OFFSET(Assumptions!$B$67,0,$C$1)))-SUMPRODUCT(OFFSET(K$107,0,0,1,-OFFSET(Assumptions!$B$67,0,$C$1)),OFFSET(K$16,0,0,1,-OFFSET(Assumptions!$B$67,0,$C$1))))/OFFSET(Assumptions!$B$67,0,$C$1)-(K$450-K$449-K$107)/K$14,((K$450-K$449-K$107)/K$14-(J$450-J$449-J$107)/J$14)/K$2),0))*L$14 +L$449+L$107</f>
        <v>15.425941556162821</v>
      </c>
      <c r="M450" s="8">
        <f ca="1">((L$450-L$449-L$107)/L$14+ IF(M$2&gt;0,M$2*IF(M$6=OFFSET(Assumptions!$B$8,0,$C$1),(SUMPRODUCT(OFFSET(L$450,0,0,1,-OFFSET(Assumptions!$B$67,0,$C$1)),OFFSET(L$16,0,0,1,-OFFSET(Assumptions!$B$67,0,$C$1)))-SUMPRODUCT(OFFSET(L$449,0,0,1,-OFFSET(Assumptions!$B$67,0,$C$1)),OFFSET(L$16,0,0,1,-OFFSET(Assumptions!$B$67,0,$C$1)))-SUMPRODUCT(OFFSET(L$107,0,0,1,-OFFSET(Assumptions!$B$67,0,$C$1)),OFFSET(L$16,0,0,1,-OFFSET(Assumptions!$B$67,0,$C$1))))/OFFSET(Assumptions!$B$67,0,$C$1)-(L$450-L$449-L$107)/L$14,((L$450-L$449-L$107)/L$14-(K$450-K$449-K$107)/K$14)/L$2),0))*M$14 +M$449+M$107</f>
        <v>16.200451023943486</v>
      </c>
      <c r="N450" s="8">
        <f ca="1">((M$450-M$449-M$107)/M$14+ IF(N$2&gt;0,N$2*IF(N$6=OFFSET(Assumptions!$B$8,0,$C$1),(SUMPRODUCT(OFFSET(M$450,0,0,1,-OFFSET(Assumptions!$B$67,0,$C$1)),OFFSET(M$16,0,0,1,-OFFSET(Assumptions!$B$67,0,$C$1)))-SUMPRODUCT(OFFSET(M$449,0,0,1,-OFFSET(Assumptions!$B$67,0,$C$1)),OFFSET(M$16,0,0,1,-OFFSET(Assumptions!$B$67,0,$C$1)))-SUMPRODUCT(OFFSET(M$107,0,0,1,-OFFSET(Assumptions!$B$67,0,$C$1)),OFFSET(M$16,0,0,1,-OFFSET(Assumptions!$B$67,0,$C$1))))/OFFSET(Assumptions!$B$67,0,$C$1)-(M$450-M$449-M$107)/M$14,((M$450-M$449-M$107)/M$14-(L$450-L$449-L$107)/L$14)/M$2),0))*N$14 +N$449+N$107</f>
        <v>17.004411891556195</v>
      </c>
      <c r="O450" s="8">
        <f ca="1">((N$450-N$449-N$107)/N$14+ IF(O$2&gt;0,O$2*IF(O$6=OFFSET(Assumptions!$B$8,0,$C$1),(SUMPRODUCT(OFFSET(N$450,0,0,1,-OFFSET(Assumptions!$B$67,0,$C$1)),OFFSET(N$16,0,0,1,-OFFSET(Assumptions!$B$67,0,$C$1)))-SUMPRODUCT(OFFSET(N$449,0,0,1,-OFFSET(Assumptions!$B$67,0,$C$1)),OFFSET(N$16,0,0,1,-OFFSET(Assumptions!$B$67,0,$C$1)))-SUMPRODUCT(OFFSET(N$107,0,0,1,-OFFSET(Assumptions!$B$67,0,$C$1)),OFFSET(N$16,0,0,1,-OFFSET(Assumptions!$B$67,0,$C$1))))/OFFSET(Assumptions!$B$67,0,$C$1)-(N$450-N$449-N$107)/N$14,((N$450-N$449-N$107)/N$14-(M$450-M$449-M$107)/M$14)/N$2),0))*O$14 +O$449+O$107</f>
        <v>17.830140858752333</v>
      </c>
      <c r="P450" s="8">
        <f ca="1">((O$450-O$449-O$107)/O$14+ IF(P$2&gt;0,P$2*IF(P$6=OFFSET(Assumptions!$B$8,0,$C$1),(SUMPRODUCT(OFFSET(O$450,0,0,1,-OFFSET(Assumptions!$B$67,0,$C$1)),OFFSET(O$16,0,0,1,-OFFSET(Assumptions!$B$67,0,$C$1)))-SUMPRODUCT(OFFSET(O$449,0,0,1,-OFFSET(Assumptions!$B$67,0,$C$1)),OFFSET(O$16,0,0,1,-OFFSET(Assumptions!$B$67,0,$C$1)))-SUMPRODUCT(OFFSET(O$107,0,0,1,-OFFSET(Assumptions!$B$67,0,$C$1)),OFFSET(O$16,0,0,1,-OFFSET(Assumptions!$B$67,0,$C$1))))/OFFSET(Assumptions!$B$67,0,$C$1)-(O$450-O$449-O$107)/O$14,((O$450-O$449-O$107)/O$14-(N$450-N$449-N$107)/N$14)/O$2),0))*P$14 +P$449+P$107</f>
        <v>18.69030543114663</v>
      </c>
      <c r="Q450" s="8">
        <f ca="1">((P$450-P$449-P$107)/P$14+ IF(Q$2&gt;0,Q$2*IF(Q$6=OFFSET(Assumptions!$B$8,0,$C$1),(SUMPRODUCT(OFFSET(P$450,0,0,1,-OFFSET(Assumptions!$B$67,0,$C$1)),OFFSET(P$16,0,0,1,-OFFSET(Assumptions!$B$67,0,$C$1)))-SUMPRODUCT(OFFSET(P$449,0,0,1,-OFFSET(Assumptions!$B$67,0,$C$1)),OFFSET(P$16,0,0,1,-OFFSET(Assumptions!$B$67,0,$C$1)))-SUMPRODUCT(OFFSET(P$107,0,0,1,-OFFSET(Assumptions!$B$67,0,$C$1)),OFFSET(P$16,0,0,1,-OFFSET(Assumptions!$B$67,0,$C$1))))/OFFSET(Assumptions!$B$67,0,$C$1)-(P$450-P$449-P$107)/P$14,((P$450-P$449-P$107)/P$14-(O$450-O$449-O$107)/O$14)/P$2),0))*Q$14 +Q$449+Q$107</f>
        <v>19.564986591309623</v>
      </c>
      <c r="R450" s="8">
        <f ca="1">((Q$450-Q$449-Q$107)/Q$14+ IF(R$2&gt;0,R$2*IF(R$6=OFFSET(Assumptions!$B$8,0,$C$1),(SUMPRODUCT(OFFSET(Q$450,0,0,1,-OFFSET(Assumptions!$B$67,0,$C$1)),OFFSET(Q$16,0,0,1,-OFFSET(Assumptions!$B$67,0,$C$1)))-SUMPRODUCT(OFFSET(Q$449,0,0,1,-OFFSET(Assumptions!$B$67,0,$C$1)),OFFSET(Q$16,0,0,1,-OFFSET(Assumptions!$B$67,0,$C$1)))-SUMPRODUCT(OFFSET(Q$107,0,0,1,-OFFSET(Assumptions!$B$67,0,$C$1)),OFFSET(Q$16,0,0,1,-OFFSET(Assumptions!$B$67,0,$C$1))))/OFFSET(Assumptions!$B$67,0,$C$1)-(Q$450-Q$449-Q$107)/Q$14,((Q$450-Q$449-Q$107)/Q$14-(P$450-P$449-P$107)/P$14)/Q$2),0))*R$14 +R$449+R$107</f>
        <v>20.454203987423451</v>
      </c>
      <c r="S450" s="8">
        <f ca="1">((R$450-R$449-R$107)/R$14+ IF(S$2&gt;0,S$2*IF(S$6=OFFSET(Assumptions!$B$8,0,$C$1),(SUMPRODUCT(OFFSET(R$450,0,0,1,-OFFSET(Assumptions!$B$67,0,$C$1)),OFFSET(R$16,0,0,1,-OFFSET(Assumptions!$B$67,0,$C$1)))-SUMPRODUCT(OFFSET(R$449,0,0,1,-OFFSET(Assumptions!$B$67,0,$C$1)),OFFSET(R$16,0,0,1,-OFFSET(Assumptions!$B$67,0,$C$1)))-SUMPRODUCT(OFFSET(R$107,0,0,1,-OFFSET(Assumptions!$B$67,0,$C$1)),OFFSET(R$16,0,0,1,-OFFSET(Assumptions!$B$67,0,$C$1))))/OFFSET(Assumptions!$B$67,0,$C$1)-(R$450-R$449-R$107)/R$14,((R$450-R$449-R$107)/R$14-(Q$450-Q$449-Q$107)/Q$14)/R$2),0))*S$14 +S$449+S$107</f>
        <v>21.367505969534754</v>
      </c>
      <c r="T450" s="8">
        <f ca="1">((S$450-S$449-S$107)/S$14+ IF(T$2&gt;0,T$2*IF(T$6=OFFSET(Assumptions!$B$8,0,$C$1),(SUMPRODUCT(OFFSET(S$450,0,0,1,-OFFSET(Assumptions!$B$67,0,$C$1)),OFFSET(S$16,0,0,1,-OFFSET(Assumptions!$B$67,0,$C$1)))-SUMPRODUCT(OFFSET(S$449,0,0,1,-OFFSET(Assumptions!$B$67,0,$C$1)),OFFSET(S$16,0,0,1,-OFFSET(Assumptions!$B$67,0,$C$1)))-SUMPRODUCT(OFFSET(S$107,0,0,1,-OFFSET(Assumptions!$B$67,0,$C$1)),OFFSET(S$16,0,0,1,-OFFSET(Assumptions!$B$67,0,$C$1))))/OFFSET(Assumptions!$B$67,0,$C$1)-(S$450-S$449-S$107)/S$14,((S$450-S$449-S$107)/S$14-(R$450-R$449-R$107)/R$14)/S$2),0))*T$14 +T$449+T$107</f>
        <v>22.305594998427171</v>
      </c>
      <c r="U450" s="8">
        <f ca="1">((T$450-T$449-T$107)/T$14+ IF(U$2&gt;0,U$2*IF(U$6=OFFSET(Assumptions!$B$8,0,$C$1),(SUMPRODUCT(OFFSET(T$450,0,0,1,-OFFSET(Assumptions!$B$67,0,$C$1)),OFFSET(T$16,0,0,1,-OFFSET(Assumptions!$B$67,0,$C$1)))-SUMPRODUCT(OFFSET(T$449,0,0,1,-OFFSET(Assumptions!$B$67,0,$C$1)),OFFSET(T$16,0,0,1,-OFFSET(Assumptions!$B$67,0,$C$1)))-SUMPRODUCT(OFFSET(T$107,0,0,1,-OFFSET(Assumptions!$B$67,0,$C$1)),OFFSET(T$16,0,0,1,-OFFSET(Assumptions!$B$67,0,$C$1))))/OFFSET(Assumptions!$B$67,0,$C$1)-(T$450-T$449-T$107)/T$14,((T$450-T$449-T$107)/T$14-(S$450-S$449-S$107)/S$14)/T$2),0))*U$14 +U$449+U$107</f>
        <v>23.270659293199827</v>
      </c>
      <c r="V450" s="8">
        <f ca="1">((U$450-U$449-U$107)/U$14+ IF(V$2&gt;0,V$2*IF(V$6=OFFSET(Assumptions!$B$8,0,$C$1),(SUMPRODUCT(OFFSET(U$450,0,0,1,-OFFSET(Assumptions!$B$67,0,$C$1)),OFFSET(U$16,0,0,1,-OFFSET(Assumptions!$B$67,0,$C$1)))-SUMPRODUCT(OFFSET(U$449,0,0,1,-OFFSET(Assumptions!$B$67,0,$C$1)),OFFSET(U$16,0,0,1,-OFFSET(Assumptions!$B$67,0,$C$1)))-SUMPRODUCT(OFFSET(U$107,0,0,1,-OFFSET(Assumptions!$B$67,0,$C$1)),OFFSET(U$16,0,0,1,-OFFSET(Assumptions!$B$67,0,$C$1))))/OFFSET(Assumptions!$B$67,0,$C$1)-(U$450-U$449-U$107)/U$14,((U$450-U$449-U$107)/U$14-(T$450-T$449-T$107)/T$14)/U$2),0))*V$14 +V$449+V$107</f>
        <v>24.264036390134628</v>
      </c>
      <c r="W450" s="8">
        <f ca="1">((V$450-V$449-V$107)/V$14+ IF(W$2&gt;0,W$2*IF(W$6=OFFSET(Assumptions!$B$8,0,$C$1),(SUMPRODUCT(OFFSET(V$450,0,0,1,-OFFSET(Assumptions!$B$67,0,$C$1)),OFFSET(V$16,0,0,1,-OFFSET(Assumptions!$B$67,0,$C$1)))-SUMPRODUCT(OFFSET(V$449,0,0,1,-OFFSET(Assumptions!$B$67,0,$C$1)),OFFSET(V$16,0,0,1,-OFFSET(Assumptions!$B$67,0,$C$1)))-SUMPRODUCT(OFFSET(V$107,0,0,1,-OFFSET(Assumptions!$B$67,0,$C$1)),OFFSET(V$16,0,0,1,-OFFSET(Assumptions!$B$67,0,$C$1))))/OFFSET(Assumptions!$B$67,0,$C$1)-(V$450-V$449-V$107)/V$14,((V$450-V$449-V$107)/V$14-(U$450-U$449-U$107)/U$14)/V$2),0))*W$14 +W$449+W$107</f>
        <v>25.287497749280011</v>
      </c>
      <c r="X450" s="8">
        <f ca="1">((W$450-W$449-W$107)/W$14+ IF(X$2&gt;0,X$2*IF(X$6=OFFSET(Assumptions!$B$8,0,$C$1),(SUMPRODUCT(OFFSET(W$450,0,0,1,-OFFSET(Assumptions!$B$67,0,$C$1)),OFFSET(W$16,0,0,1,-OFFSET(Assumptions!$B$67,0,$C$1)))-SUMPRODUCT(OFFSET(W$449,0,0,1,-OFFSET(Assumptions!$B$67,0,$C$1)),OFFSET(W$16,0,0,1,-OFFSET(Assumptions!$B$67,0,$C$1)))-SUMPRODUCT(OFFSET(W$107,0,0,1,-OFFSET(Assumptions!$B$67,0,$C$1)),OFFSET(W$16,0,0,1,-OFFSET(Assumptions!$B$67,0,$C$1))))/OFFSET(Assumptions!$B$67,0,$C$1)-(W$450-W$449-W$107)/W$14,((W$450-W$449-W$107)/W$14-(V$450-V$449-V$107)/V$14)/W$2),0))*X$14 +X$449+X$107</f>
        <v>26.344029829442899</v>
      </c>
      <c r="Y450" s="8">
        <f ca="1">((X$450-X$449-X$107)/X$14+ IF(Y$2&gt;0,Y$2*IF(Y$6=OFFSET(Assumptions!$B$8,0,$C$1),(SUMPRODUCT(OFFSET(X$450,0,0,1,-OFFSET(Assumptions!$B$67,0,$C$1)),OFFSET(X$16,0,0,1,-OFFSET(Assumptions!$B$67,0,$C$1)))-SUMPRODUCT(OFFSET(X$449,0,0,1,-OFFSET(Assumptions!$B$67,0,$C$1)),OFFSET(X$16,0,0,1,-OFFSET(Assumptions!$B$67,0,$C$1)))-SUMPRODUCT(OFFSET(X$107,0,0,1,-OFFSET(Assumptions!$B$67,0,$C$1)),OFFSET(X$16,0,0,1,-OFFSET(Assumptions!$B$67,0,$C$1))))/OFFSET(Assumptions!$B$67,0,$C$1)-(X$450-X$449-X$107)/X$14,((X$450-X$449-X$107)/X$14-(W$450-W$449-W$107)/W$14)/X$2),0))*Y$14 +Y$449+Y$107</f>
        <v>27.432306142155788</v>
      </c>
      <c r="Z450" s="8">
        <f ca="1">((Y$450-Y$449-Y$107)/Y$14+ IF(Z$2&gt;0,Z$2*IF(Z$6=OFFSET(Assumptions!$B$8,0,$C$1),(SUMPRODUCT(OFFSET(Y$450,0,0,1,-OFFSET(Assumptions!$B$67,0,$C$1)),OFFSET(Y$16,0,0,1,-OFFSET(Assumptions!$B$67,0,$C$1)))-SUMPRODUCT(OFFSET(Y$449,0,0,1,-OFFSET(Assumptions!$B$67,0,$C$1)),OFFSET(Y$16,0,0,1,-OFFSET(Assumptions!$B$67,0,$C$1)))-SUMPRODUCT(OFFSET(Y$107,0,0,1,-OFFSET(Assumptions!$B$67,0,$C$1)),OFFSET(Y$16,0,0,1,-OFFSET(Assumptions!$B$67,0,$C$1))))/OFFSET(Assumptions!$B$67,0,$C$1)-(Y$450-Y$449-Y$107)/Y$14,((Y$450-Y$449-Y$107)/Y$14-(X$450-X$449-X$107)/X$14)/Y$2),0))*Z$14 +Z$449+Z$107</f>
        <v>28.557983832275436</v>
      </c>
      <c r="AA450" s="8">
        <f ca="1">((Z$450-Z$449-Z$107)/Z$14+ IF(AA$2&gt;0,AA$2*IF(AA$6=OFFSET(Assumptions!$B$8,0,$C$1),(SUMPRODUCT(OFFSET(Z$450,0,0,1,-OFFSET(Assumptions!$B$67,0,$C$1)),OFFSET(Z$16,0,0,1,-OFFSET(Assumptions!$B$67,0,$C$1)))-SUMPRODUCT(OFFSET(Z$449,0,0,1,-OFFSET(Assumptions!$B$67,0,$C$1)),OFFSET(Z$16,0,0,1,-OFFSET(Assumptions!$B$67,0,$C$1)))-SUMPRODUCT(OFFSET(Z$107,0,0,1,-OFFSET(Assumptions!$B$67,0,$C$1)),OFFSET(Z$16,0,0,1,-OFFSET(Assumptions!$B$67,0,$C$1))))/OFFSET(Assumptions!$B$67,0,$C$1)-(Z$450-Z$449-Z$107)/Z$14,((Z$450-Z$449-Z$107)/Z$14-(Y$450-Y$449-Y$107)/Y$14)/Z$2),0))*AA$14 +AA$449+AA$107</f>
        <v>29.72513743669171</v>
      </c>
      <c r="AB450" s="8">
        <f ca="1">((AA$450-AA$449-AA$107)/AA$14+ IF(AB$2&gt;0,AB$2*IF(AB$6=OFFSET(Assumptions!$B$8,0,$C$1),(SUMPRODUCT(OFFSET(AA$450,0,0,1,-OFFSET(Assumptions!$B$67,0,$C$1)),OFFSET(AA$16,0,0,1,-OFFSET(Assumptions!$B$67,0,$C$1)))-SUMPRODUCT(OFFSET(AA$449,0,0,1,-OFFSET(Assumptions!$B$67,0,$C$1)),OFFSET(AA$16,0,0,1,-OFFSET(Assumptions!$B$67,0,$C$1)))-SUMPRODUCT(OFFSET(AA$107,0,0,1,-OFFSET(Assumptions!$B$67,0,$C$1)),OFFSET(AA$16,0,0,1,-OFFSET(Assumptions!$B$67,0,$C$1))))/OFFSET(Assumptions!$B$67,0,$C$1)-(AA$450-AA$449-AA$107)/AA$14,((AA$450-AA$449-AA$107)/AA$14-(Z$450-Z$449-Z$107)/Z$14)/AA$2),0))*AB$14 +AB$449+AB$107</f>
        <v>30.939987364954021</v>
      </c>
      <c r="AC450" s="8">
        <f ca="1">((AB$450-AB$449-AB$107)/AB$14+ IF(AC$2&gt;0,AC$2*IF(AC$6=OFFSET(Assumptions!$B$8,0,$C$1),(SUMPRODUCT(OFFSET(AB$450,0,0,1,-OFFSET(Assumptions!$B$67,0,$C$1)),OFFSET(AB$16,0,0,1,-OFFSET(Assumptions!$B$67,0,$C$1)))-SUMPRODUCT(OFFSET(AB$449,0,0,1,-OFFSET(Assumptions!$B$67,0,$C$1)),OFFSET(AB$16,0,0,1,-OFFSET(Assumptions!$B$67,0,$C$1)))-SUMPRODUCT(OFFSET(AB$107,0,0,1,-OFFSET(Assumptions!$B$67,0,$C$1)),OFFSET(AB$16,0,0,1,-OFFSET(Assumptions!$B$67,0,$C$1))))/OFFSET(Assumptions!$B$67,0,$C$1)-(AB$450-AB$449-AB$107)/AB$14,((AB$450-AB$449-AB$107)/AB$14-(AA$450-AA$449-AA$107)/AA$14)/AB$2),0))*AC$14 +AC$449+AC$107</f>
        <v>32.210258785435883</v>
      </c>
      <c r="AD450" s="8">
        <f ca="1">((AC$450-AC$449-AC$107)/AC$14+ IF(AD$2&gt;0,AD$2*IF(AD$6=OFFSET(Assumptions!$B$8,0,$C$1),(SUMPRODUCT(OFFSET(AC$450,0,0,1,-OFFSET(Assumptions!$B$67,0,$C$1)),OFFSET(AC$16,0,0,1,-OFFSET(Assumptions!$B$67,0,$C$1)))-SUMPRODUCT(OFFSET(AC$449,0,0,1,-OFFSET(Assumptions!$B$67,0,$C$1)),OFFSET(AC$16,0,0,1,-OFFSET(Assumptions!$B$67,0,$C$1)))-SUMPRODUCT(OFFSET(AC$107,0,0,1,-OFFSET(Assumptions!$B$67,0,$C$1)),OFFSET(AC$16,0,0,1,-OFFSET(Assumptions!$B$67,0,$C$1))))/OFFSET(Assumptions!$B$67,0,$C$1)-(AC$450-AC$449-AC$107)/AC$14,((AC$450-AC$449-AC$107)/AC$14-(AB$450-AB$449-AB$107)/AB$14)/AC$2),0))*AD$14 +AD$449+AD$107</f>
        <v>33.541756259577554</v>
      </c>
      <c r="AE450" s="8">
        <f ca="1">((AD$450-AD$449-AD$107)/AD$14+ IF(AE$2&gt;0,AE$2*IF(AE$6=OFFSET(Assumptions!$B$8,0,$C$1),(SUMPRODUCT(OFFSET(AD$450,0,0,1,-OFFSET(Assumptions!$B$67,0,$C$1)),OFFSET(AD$16,0,0,1,-OFFSET(Assumptions!$B$67,0,$C$1)))-SUMPRODUCT(OFFSET(AD$449,0,0,1,-OFFSET(Assumptions!$B$67,0,$C$1)),OFFSET(AD$16,0,0,1,-OFFSET(Assumptions!$B$67,0,$C$1)))-SUMPRODUCT(OFFSET(AD$107,0,0,1,-OFFSET(Assumptions!$B$67,0,$C$1)),OFFSET(AD$16,0,0,1,-OFFSET(Assumptions!$B$67,0,$C$1))))/OFFSET(Assumptions!$B$67,0,$C$1)-(AD$450-AD$449-AD$107)/AD$14,((AD$450-AD$449-AD$107)/AD$14-(AC$450-AC$449-AC$107)/AC$14)/AD$2),0))*AE$14 +AE$449+AE$107</f>
        <v>34.935863086644098</v>
      </c>
      <c r="AF450" s="8">
        <f ca="1">((AE$450-AE$449-AE$107)/AE$14+ IF(AF$2&gt;0,AF$2*IF(AF$6=OFFSET(Assumptions!$B$8,0,$C$1),(SUMPRODUCT(OFFSET(AE$450,0,0,1,-OFFSET(Assumptions!$B$67,0,$C$1)),OFFSET(AE$16,0,0,1,-OFFSET(Assumptions!$B$67,0,$C$1)))-SUMPRODUCT(OFFSET(AE$449,0,0,1,-OFFSET(Assumptions!$B$67,0,$C$1)),OFFSET(AE$16,0,0,1,-OFFSET(Assumptions!$B$67,0,$C$1)))-SUMPRODUCT(OFFSET(AE$107,0,0,1,-OFFSET(Assumptions!$B$67,0,$C$1)),OFFSET(AE$16,0,0,1,-OFFSET(Assumptions!$B$67,0,$C$1))))/OFFSET(Assumptions!$B$67,0,$C$1)-(AE$450-AE$449-AE$107)/AE$14,((AE$450-AE$449-AE$107)/AE$14-(AD$450-AD$449-AD$107)/AD$14)/AE$2),0))*AF$14 +AF$449+AF$107</f>
        <v>36.399496662348</v>
      </c>
      <c r="AG450" s="8">
        <f ca="1">((AF$450-AF$449-AF$107)/AF$14+ IF(AG$2&gt;0,AG$2*IF(AG$6=OFFSET(Assumptions!$B$8,0,$C$1),(SUMPRODUCT(OFFSET(AF$450,0,0,1,-OFFSET(Assumptions!$B$67,0,$C$1)),OFFSET(AF$16,0,0,1,-OFFSET(Assumptions!$B$67,0,$C$1)))-SUMPRODUCT(OFFSET(AF$449,0,0,1,-OFFSET(Assumptions!$B$67,0,$C$1)),OFFSET(AF$16,0,0,1,-OFFSET(Assumptions!$B$67,0,$C$1)))-SUMPRODUCT(OFFSET(AF$107,0,0,1,-OFFSET(Assumptions!$B$67,0,$C$1)),OFFSET(AF$16,0,0,1,-OFFSET(Assumptions!$B$67,0,$C$1))))/OFFSET(Assumptions!$B$67,0,$C$1)-(AF$450-AF$449-AF$107)/AF$14,((AF$450-AF$449-AF$107)/AF$14-(AE$450-AE$449-AE$107)/AE$14)/AF$2),0))*AG$14 +AG$449+AG$107</f>
        <v>37.934378787264237</v>
      </c>
      <c r="AH450" s="8">
        <f ca="1">((AG$450-AG$449-AG$107)/AG$14+ IF(AH$2&gt;0,AH$2*IF(AH$6=OFFSET(Assumptions!$B$8,0,$C$1),(SUMPRODUCT(OFFSET(AG$450,0,0,1,-OFFSET(Assumptions!$B$67,0,$C$1)),OFFSET(AG$16,0,0,1,-OFFSET(Assumptions!$B$67,0,$C$1)))-SUMPRODUCT(OFFSET(AG$449,0,0,1,-OFFSET(Assumptions!$B$67,0,$C$1)),OFFSET(AG$16,0,0,1,-OFFSET(Assumptions!$B$67,0,$C$1)))-SUMPRODUCT(OFFSET(AG$107,0,0,1,-OFFSET(Assumptions!$B$67,0,$C$1)),OFFSET(AG$16,0,0,1,-OFFSET(Assumptions!$B$67,0,$C$1))))/OFFSET(Assumptions!$B$67,0,$C$1)-(AG$450-AG$449-AG$107)/AG$14,((AG$450-AG$449-AG$107)/AG$14-(AF$450-AF$449-AF$107)/AF$14)/AG$2),0))*AH$14 +AH$449+AH$107</f>
        <v>39.545002418052995</v>
      </c>
      <c r="AI450" s="8">
        <f ca="1">((AH$450-AH$449-AH$107)/AH$14+ IF(AI$2&gt;0,AI$2*IF(AI$6=OFFSET(Assumptions!$B$8,0,$C$1),(SUMPRODUCT(OFFSET(AH$450,0,0,1,-OFFSET(Assumptions!$B$67,0,$C$1)),OFFSET(AH$16,0,0,1,-OFFSET(Assumptions!$B$67,0,$C$1)))-SUMPRODUCT(OFFSET(AH$449,0,0,1,-OFFSET(Assumptions!$B$67,0,$C$1)),OFFSET(AH$16,0,0,1,-OFFSET(Assumptions!$B$67,0,$C$1)))-SUMPRODUCT(OFFSET(AH$107,0,0,1,-OFFSET(Assumptions!$B$67,0,$C$1)),OFFSET(AH$16,0,0,1,-OFFSET(Assumptions!$B$67,0,$C$1))))/OFFSET(Assumptions!$B$67,0,$C$1)-(AH$450-AH$449-AH$107)/AH$14,((AH$450-AH$449-AH$107)/AH$14-(AG$450-AG$449-AG$107)/AG$14)/AH$2),0))*AI$14 +AI$449+AI$107</f>
        <v>41.231267310691663</v>
      </c>
      <c r="AJ450" s="8">
        <f ca="1">((AI$450-AI$449-AI$107)/AI$14+ IF(AJ$2&gt;0,AJ$2*IF(AJ$6=OFFSET(Assumptions!$B$8,0,$C$1),(SUMPRODUCT(OFFSET(AI$450,0,0,1,-OFFSET(Assumptions!$B$67,0,$C$1)),OFFSET(AI$16,0,0,1,-OFFSET(Assumptions!$B$67,0,$C$1)))-SUMPRODUCT(OFFSET(AI$449,0,0,1,-OFFSET(Assumptions!$B$67,0,$C$1)),OFFSET(AI$16,0,0,1,-OFFSET(Assumptions!$B$67,0,$C$1)))-SUMPRODUCT(OFFSET(AI$107,0,0,1,-OFFSET(Assumptions!$B$67,0,$C$1)),OFFSET(AI$16,0,0,1,-OFFSET(Assumptions!$B$67,0,$C$1))))/OFFSET(Assumptions!$B$67,0,$C$1)-(AI$450-AI$449-AI$107)/AI$14,((AI$450-AI$449-AI$107)/AI$14-(AH$450-AH$449-AH$107)/AH$14)/AI$2),0))*AJ$14 +AJ$449+AJ$107</f>
        <v>42.999279351220224</v>
      </c>
      <c r="AK450" s="8">
        <f ca="1">((AJ$450-AJ$449-AJ$107)/AJ$14+ IF(AK$2&gt;0,AK$2*IF(AK$6=OFFSET(Assumptions!$B$8,0,$C$1),(SUMPRODUCT(OFFSET(AJ$450,0,0,1,-OFFSET(Assumptions!$B$67,0,$C$1)),OFFSET(AJ$16,0,0,1,-OFFSET(Assumptions!$B$67,0,$C$1)))-SUMPRODUCT(OFFSET(AJ$449,0,0,1,-OFFSET(Assumptions!$B$67,0,$C$1)),OFFSET(AJ$16,0,0,1,-OFFSET(Assumptions!$B$67,0,$C$1)))-SUMPRODUCT(OFFSET(AJ$107,0,0,1,-OFFSET(Assumptions!$B$67,0,$C$1)),OFFSET(AJ$16,0,0,1,-OFFSET(Assumptions!$B$67,0,$C$1))))/OFFSET(Assumptions!$B$67,0,$C$1)-(AJ$450-AJ$449-AJ$107)/AJ$14,((AJ$450-AJ$449-AJ$107)/AJ$14-(AI$450-AI$449-AI$107)/AI$14)/AJ$2),0))*AK$14 +AK$449+AK$107</f>
        <v>44.848658446499904</v>
      </c>
      <c r="AL450" s="8">
        <f ca="1">((AK$450-AK$449-AK$107)/AK$14+ IF(AL$2&gt;0,AL$2*IF(AL$6=OFFSET(Assumptions!$B$8,0,$C$1),(SUMPRODUCT(OFFSET(AK$450,0,0,1,-OFFSET(Assumptions!$B$67,0,$C$1)),OFFSET(AK$16,0,0,1,-OFFSET(Assumptions!$B$67,0,$C$1)))-SUMPRODUCT(OFFSET(AK$449,0,0,1,-OFFSET(Assumptions!$B$67,0,$C$1)),OFFSET(AK$16,0,0,1,-OFFSET(Assumptions!$B$67,0,$C$1)))-SUMPRODUCT(OFFSET(AK$107,0,0,1,-OFFSET(Assumptions!$B$67,0,$C$1)),OFFSET(AK$16,0,0,1,-OFFSET(Assumptions!$B$67,0,$C$1))))/OFFSET(Assumptions!$B$67,0,$C$1)-(AK$450-AK$449-AK$107)/AK$14,((AK$450-AK$449-AK$107)/AK$14-(AJ$450-AJ$449-AJ$107)/AJ$14)/AK$2),0))*AL$14 +AL$449+AL$107</f>
        <v>46.780542720700836</v>
      </c>
      <c r="AM450" s="8">
        <f ca="1">((AL$450-AL$449-AL$107)/AL$14+ IF(AM$2&gt;0,AM$2*IF(AM$6=OFFSET(Assumptions!$B$8,0,$C$1),(SUMPRODUCT(OFFSET(AL$450,0,0,1,-OFFSET(Assumptions!$B$67,0,$C$1)),OFFSET(AL$16,0,0,1,-OFFSET(Assumptions!$B$67,0,$C$1)))-SUMPRODUCT(OFFSET(AL$449,0,0,1,-OFFSET(Assumptions!$B$67,0,$C$1)),OFFSET(AL$16,0,0,1,-OFFSET(Assumptions!$B$67,0,$C$1)))-SUMPRODUCT(OFFSET(AL$107,0,0,1,-OFFSET(Assumptions!$B$67,0,$C$1)),OFFSET(AL$16,0,0,1,-OFFSET(Assumptions!$B$67,0,$C$1))))/OFFSET(Assumptions!$B$67,0,$C$1)-(AL$450-AL$449-AL$107)/AL$14,((AL$450-AL$449-AL$107)/AL$14-(AK$450-AK$449-AK$107)/AK$14)/AL$2),0))*AM$14 +AM$449+AM$107</f>
        <v>48.798698546967799</v>
      </c>
      <c r="AN450" s="8">
        <f ca="1">((AM$450-AM$449-AM$107)/AM$14+ IF(AN$2&gt;0,AN$2*IF(AN$6=OFFSET(Assumptions!$B$8,0,$C$1),(SUMPRODUCT(OFFSET(AM$450,0,0,1,-OFFSET(Assumptions!$B$67,0,$C$1)),OFFSET(AM$16,0,0,1,-OFFSET(Assumptions!$B$67,0,$C$1)))-SUMPRODUCT(OFFSET(AM$449,0,0,1,-OFFSET(Assumptions!$B$67,0,$C$1)),OFFSET(AM$16,0,0,1,-OFFSET(Assumptions!$B$67,0,$C$1)))-SUMPRODUCT(OFFSET(AM$107,0,0,1,-OFFSET(Assumptions!$B$67,0,$C$1)),OFFSET(AM$16,0,0,1,-OFFSET(Assumptions!$B$67,0,$C$1))))/OFFSET(Assumptions!$B$67,0,$C$1)-(AM$450-AM$449-AM$107)/AM$14,((AM$450-AM$449-AM$107)/AM$14-(AL$450-AL$449-AL$107)/AL$14)/AM$2),0))*AN$14 +AN$449+AN$107</f>
        <v>50.905741647354553</v>
      </c>
      <c r="AO450" s="8">
        <f ca="1">((AN$450-AN$449-AN$107)/AN$14+ IF(AO$2&gt;0,AO$2*IF(AO$6=OFFSET(Assumptions!$B$8,0,$C$1),(SUMPRODUCT(OFFSET(AN$450,0,0,1,-OFFSET(Assumptions!$B$67,0,$C$1)),OFFSET(AN$16,0,0,1,-OFFSET(Assumptions!$B$67,0,$C$1)))-SUMPRODUCT(OFFSET(AN$449,0,0,1,-OFFSET(Assumptions!$B$67,0,$C$1)),OFFSET(AN$16,0,0,1,-OFFSET(Assumptions!$B$67,0,$C$1)))-SUMPRODUCT(OFFSET(AN$107,0,0,1,-OFFSET(Assumptions!$B$67,0,$C$1)),OFFSET(AN$16,0,0,1,-OFFSET(Assumptions!$B$67,0,$C$1))))/OFFSET(Assumptions!$B$67,0,$C$1)-(AN$450-AN$449-AN$107)/AN$14,((AN$450-AN$449-AN$107)/AN$14-(AM$450-AM$449-AM$107)/AM$14)/AN$2),0))*AO$14 +AO$449+AO$107</f>
        <v>53.095217697977574</v>
      </c>
      <c r="AP450" s="8">
        <f ca="1">((AO$450-AO$449-AO$107)/AO$14+ IF(AP$2&gt;0,AP$2*IF(AP$6=OFFSET(Assumptions!$B$8,0,$C$1),(SUMPRODUCT(OFFSET(AO$450,0,0,1,-OFFSET(Assumptions!$B$67,0,$C$1)),OFFSET(AO$16,0,0,1,-OFFSET(Assumptions!$B$67,0,$C$1)))-SUMPRODUCT(OFFSET(AO$449,0,0,1,-OFFSET(Assumptions!$B$67,0,$C$1)),OFFSET(AO$16,0,0,1,-OFFSET(Assumptions!$B$67,0,$C$1)))-SUMPRODUCT(OFFSET(AO$107,0,0,1,-OFFSET(Assumptions!$B$67,0,$C$1)),OFFSET(AO$16,0,0,1,-OFFSET(Assumptions!$B$67,0,$C$1))))/OFFSET(Assumptions!$B$67,0,$C$1)-(AO$450-AO$449-AO$107)/AO$14,((AO$450-AO$449-AO$107)/AO$14-(AN$450-AN$449-AN$107)/AN$14)/AO$2),0))*AP$14 +AP$449+AP$107</f>
        <v>55.37072101749758</v>
      </c>
      <c r="AQ450" s="8">
        <f ca="1">((AP$450-AP$449-AP$107)/AP$14+ IF(AQ$2&gt;0,AQ$2*IF(AQ$6=OFFSET(Assumptions!$B$8,0,$C$1),(SUMPRODUCT(OFFSET(AP$450,0,0,1,-OFFSET(Assumptions!$B$67,0,$C$1)),OFFSET(AP$16,0,0,1,-OFFSET(Assumptions!$B$67,0,$C$1)))-SUMPRODUCT(OFFSET(AP$449,0,0,1,-OFFSET(Assumptions!$B$67,0,$C$1)),OFFSET(AP$16,0,0,1,-OFFSET(Assumptions!$B$67,0,$C$1)))-SUMPRODUCT(OFFSET(AP$107,0,0,1,-OFFSET(Assumptions!$B$67,0,$C$1)),OFFSET(AP$16,0,0,1,-OFFSET(Assumptions!$B$67,0,$C$1))))/OFFSET(Assumptions!$B$67,0,$C$1)-(AP$450-AP$449-AP$107)/AP$14,((AP$450-AP$449-AP$107)/AP$14-(AO$450-AO$449-AO$107)/AO$14)/AP$2),0))*AQ$14 +AQ$449+AQ$107</f>
        <v>57.724980926767437</v>
      </c>
      <c r="AR450" s="8">
        <f ca="1">((AQ$450-AQ$449-AQ$107)/AQ$14+ IF(AR$2&gt;0,AR$2*IF(AR$6=OFFSET(Assumptions!$B$8,0,$C$1),(SUMPRODUCT(OFFSET(AQ$450,0,0,1,-OFFSET(Assumptions!$B$67,0,$C$1)),OFFSET(AQ$16,0,0,1,-OFFSET(Assumptions!$B$67,0,$C$1)))-SUMPRODUCT(OFFSET(AQ$449,0,0,1,-OFFSET(Assumptions!$B$67,0,$C$1)),OFFSET(AQ$16,0,0,1,-OFFSET(Assumptions!$B$67,0,$C$1)))-SUMPRODUCT(OFFSET(AQ$107,0,0,1,-OFFSET(Assumptions!$B$67,0,$C$1)),OFFSET(AQ$16,0,0,1,-OFFSET(Assumptions!$B$67,0,$C$1))))/OFFSET(Assumptions!$B$67,0,$C$1)-(AQ$450-AQ$449-AQ$107)/AQ$14,((AQ$450-AQ$449-AQ$107)/AQ$14-(AP$450-AP$449-AP$107)/AP$14)/AQ$2),0))*AR$14 +AR$449+AR$107</f>
        <v>60.1547209557475</v>
      </c>
      <c r="AS450" s="8">
        <f ca="1">((AR$450-AR$449-AR$107)/AR$14+ IF(AS$2&gt;0,AS$2*IF(AS$6=OFFSET(Assumptions!$B$8,0,$C$1),(SUMPRODUCT(OFFSET(AR$450,0,0,1,-OFFSET(Assumptions!$B$67,0,$C$1)),OFFSET(AR$16,0,0,1,-OFFSET(Assumptions!$B$67,0,$C$1)))-SUMPRODUCT(OFFSET(AR$449,0,0,1,-OFFSET(Assumptions!$B$67,0,$C$1)),OFFSET(AR$16,0,0,1,-OFFSET(Assumptions!$B$67,0,$C$1)))-SUMPRODUCT(OFFSET(AR$107,0,0,1,-OFFSET(Assumptions!$B$67,0,$C$1)),OFFSET(AR$16,0,0,1,-OFFSET(Assumptions!$B$67,0,$C$1))))/OFFSET(Assumptions!$B$67,0,$C$1)-(AR$450-AR$449-AR$107)/AR$14,((AR$450-AR$449-AR$107)/AR$14-(AQ$450-AQ$449-AQ$107)/AQ$14)/AR$2),0))*AS$14 +AS$449+AS$107</f>
        <v>62.658930120881671</v>
      </c>
      <c r="AT450" s="8">
        <f ca="1">((AS$450-AS$449-AS$107)/AS$14+ IF(AT$2&gt;0,AT$2*IF(AT$6=OFFSET(Assumptions!$B$8,0,$C$1),(SUMPRODUCT(OFFSET(AS$450,0,0,1,-OFFSET(Assumptions!$B$67,0,$C$1)),OFFSET(AS$16,0,0,1,-OFFSET(Assumptions!$B$67,0,$C$1)))-SUMPRODUCT(OFFSET(AS$449,0,0,1,-OFFSET(Assumptions!$B$67,0,$C$1)),OFFSET(AS$16,0,0,1,-OFFSET(Assumptions!$B$67,0,$C$1)))-SUMPRODUCT(OFFSET(AS$107,0,0,1,-OFFSET(Assumptions!$B$67,0,$C$1)),OFFSET(AS$16,0,0,1,-OFFSET(Assumptions!$B$67,0,$C$1))))/OFFSET(Assumptions!$B$67,0,$C$1)-(AS$450-AS$449-AS$107)/AS$14,((AS$450-AS$449-AS$107)/AS$14-(AR$450-AR$449-AR$107)/AR$14)/AS$2),0))*AT$14 +AT$449+AT$107</f>
        <v>65.240550367547158</v>
      </c>
      <c r="AU450" s="8">
        <f ca="1">((AT$450-AT$449-AT$107)/AT$14+ IF(AU$2&gt;0,AU$2*IF(AU$6=OFFSET(Assumptions!$B$8,0,$C$1),(SUMPRODUCT(OFFSET(AT$450,0,0,1,-OFFSET(Assumptions!$B$67,0,$C$1)),OFFSET(AT$16,0,0,1,-OFFSET(Assumptions!$B$67,0,$C$1)))-SUMPRODUCT(OFFSET(AT$449,0,0,1,-OFFSET(Assumptions!$B$67,0,$C$1)),OFFSET(AT$16,0,0,1,-OFFSET(Assumptions!$B$67,0,$C$1)))-SUMPRODUCT(OFFSET(AT$107,0,0,1,-OFFSET(Assumptions!$B$67,0,$C$1)),OFFSET(AT$16,0,0,1,-OFFSET(Assumptions!$B$67,0,$C$1))))/OFFSET(Assumptions!$B$67,0,$C$1)-(AT$450-AT$449-AT$107)/AT$14,((AT$450-AT$449-AT$107)/AT$14-(AS$450-AS$449-AS$107)/AS$14)/AT$2),0))*AU$14 +AU$449+AU$107</f>
        <v>67.901335565418137</v>
      </c>
      <c r="AV450" s="8">
        <f ca="1">((AU$450-AU$449-AU$107)/AU$14+ IF(AV$2&gt;0,AV$2*IF(AV$6=OFFSET(Assumptions!$B$8,0,$C$1),(SUMPRODUCT(OFFSET(AU$450,0,0,1,-OFFSET(Assumptions!$B$67,0,$C$1)),OFFSET(AU$16,0,0,1,-OFFSET(Assumptions!$B$67,0,$C$1)))-SUMPRODUCT(OFFSET(AU$449,0,0,1,-OFFSET(Assumptions!$B$67,0,$C$1)),OFFSET(AU$16,0,0,1,-OFFSET(Assumptions!$B$67,0,$C$1)))-SUMPRODUCT(OFFSET(AU$107,0,0,1,-OFFSET(Assumptions!$B$67,0,$C$1)),OFFSET(AU$16,0,0,1,-OFFSET(Assumptions!$B$67,0,$C$1))))/OFFSET(Assumptions!$B$67,0,$C$1)-(AU$450-AU$449-AU$107)/AU$14,((AU$450-AU$449-AU$107)/AU$14-(AT$450-AT$449-AT$107)/AT$14)/AU$2),0))*AV$14 +AV$449+AV$107</f>
        <v>70.64811211798775</v>
      </c>
      <c r="AW450" s="8">
        <f ca="1">((AV$450-AV$449-AV$107)/AV$14+ IF(AW$2&gt;0,AW$2*IF(AW$6=OFFSET(Assumptions!$B$8,0,$C$1),(SUMPRODUCT(OFFSET(AV$450,0,0,1,-OFFSET(Assumptions!$B$67,0,$C$1)),OFFSET(AV$16,0,0,1,-OFFSET(Assumptions!$B$67,0,$C$1)))-SUMPRODUCT(OFFSET(AV$449,0,0,1,-OFFSET(Assumptions!$B$67,0,$C$1)),OFFSET(AV$16,0,0,1,-OFFSET(Assumptions!$B$67,0,$C$1)))-SUMPRODUCT(OFFSET(AV$107,0,0,1,-OFFSET(Assumptions!$B$67,0,$C$1)),OFFSET(AV$16,0,0,1,-OFFSET(Assumptions!$B$67,0,$C$1))))/OFFSET(Assumptions!$B$67,0,$C$1)-(AV$450-AV$449-AV$107)/AV$14,((AV$450-AV$449-AV$107)/AV$14-(AU$450-AU$449-AU$107)/AU$14)/AV$2),0))*AW$14 +AW$449+AW$107</f>
        <v>73.478418500071641</v>
      </c>
    </row>
    <row r="451" spans="1:49" ht="15" x14ac:dyDescent="0.25">
      <c r="A451" s="2"/>
      <c r="B451" s="4"/>
      <c r="D451" s="47"/>
      <c r="E451" s="44"/>
      <c r="F451" s="44"/>
      <c r="G451" s="44"/>
      <c r="H451" s="44"/>
      <c r="I451" s="44"/>
      <c r="J451" s="8"/>
      <c r="K451" s="8"/>
      <c r="L451" s="8"/>
      <c r="M451" s="8"/>
      <c r="N451" s="8"/>
      <c r="O451" s="8"/>
      <c r="P451" s="8"/>
      <c r="Q451" s="8"/>
      <c r="R451" s="8"/>
      <c r="S451" s="8"/>
    </row>
    <row r="452" spans="1:49" ht="15" x14ac:dyDescent="0.25">
      <c r="A452" s="22" t="s">
        <v>247</v>
      </c>
      <c r="B452" s="4"/>
      <c r="D452" s="47"/>
      <c r="E452" s="44"/>
      <c r="F452" s="44"/>
      <c r="G452" s="44"/>
      <c r="H452" s="44"/>
      <c r="I452" s="44"/>
      <c r="J452" s="8"/>
      <c r="K452" s="8"/>
      <c r="L452" s="8"/>
      <c r="M452" s="8"/>
      <c r="N452" s="8"/>
      <c r="O452" s="8"/>
      <c r="P452" s="8"/>
      <c r="Q452" s="8"/>
      <c r="R452" s="8"/>
      <c r="S452" s="8"/>
    </row>
    <row r="453" spans="1:49" ht="15" x14ac:dyDescent="0.25">
      <c r="A453" s="2" t="s">
        <v>675</v>
      </c>
      <c r="B453" s="4" t="str">
        <f t="shared" si="265"/>
        <v>From Fiscal</v>
      </c>
      <c r="D453" s="47">
        <f>Fiscal!D$180</f>
        <v>0.57299999999999995</v>
      </c>
      <c r="E453" s="44">
        <f>Fiscal!E$180</f>
        <v>0.53</v>
      </c>
      <c r="F453" s="44">
        <f>Fiscal!F$180</f>
        <v>0.5</v>
      </c>
      <c r="G453" s="44">
        <f>Fiscal!G$180</f>
        <v>0.47399999999999998</v>
      </c>
      <c r="H453" s="44">
        <f>Fiscal!H$180</f>
        <v>0.44600000000000001</v>
      </c>
      <c r="I453" s="44">
        <f>Fiscal!I$180</f>
        <v>0.41899999999999998</v>
      </c>
      <c r="J453" s="8">
        <f ca="1">(I$453/I$14+ IF(J$2&gt;0,J$2*IF(J$6=OFFSET(Assumptions!$B$8,0,$C$1),SUMPRODUCT(OFFSET(I$453,0,0,1,-OFFSET(Assumptions!$B$67,0,$C$1)),OFFSET(I$16,0,0,1,-OFFSET(Assumptions!$B$67,0,$C$1)))/OFFSET(Assumptions!$B$67,0,$C$1)-I$453/I$14,(I$453/I$14-H$453/H$14)/I$2),0))*J$14</f>
        <v>0.45338947012555347</v>
      </c>
      <c r="K453" s="8">
        <f ca="1">(J$453/J$14+ IF(K$2&gt;0,K$2*IF(K$6=OFFSET(Assumptions!$B$8,0,$C$1),SUMPRODUCT(OFFSET(J$453,0,0,1,-OFFSET(Assumptions!$B$67,0,$C$1)),OFFSET(J$16,0,0,1,-OFFSET(Assumptions!$B$67,0,$C$1)))/OFFSET(Assumptions!$B$67,0,$C$1)-J$453/J$14,(J$453/J$14-I$453/I$14)/J$2),0))*K$14</f>
        <v>0.48628336525098409</v>
      </c>
      <c r="L453" s="8">
        <f ca="1">(K$453/K$14+ IF(L$2&gt;0,L$2*IF(L$6=OFFSET(Assumptions!$B$8,0,$C$1),SUMPRODUCT(OFFSET(K$453,0,0,1,-OFFSET(Assumptions!$B$67,0,$C$1)),OFFSET(K$16,0,0,1,-OFFSET(Assumptions!$B$67,0,$C$1)))/OFFSET(Assumptions!$B$67,0,$C$1)-K$453/K$14,(K$453/K$14-J$453/J$14)/K$2),0))*L$14</f>
        <v>0.51827484517714284</v>
      </c>
      <c r="M453" s="8">
        <f ca="1">(L$453/L$14+ IF(M$2&gt;0,M$2*IF(M$6=OFFSET(Assumptions!$B$8,0,$C$1),SUMPRODUCT(OFFSET(L$453,0,0,1,-OFFSET(Assumptions!$B$67,0,$C$1)),OFFSET(L$16,0,0,1,-OFFSET(Assumptions!$B$67,0,$C$1)))/OFFSET(Assumptions!$B$67,0,$C$1)-L$453/L$14,(L$453/L$14-K$453/K$14)/L$2),0))*M$14</f>
        <v>0.54825760661076339</v>
      </c>
      <c r="N453" s="8">
        <f ca="1">(M$453/M$14+ IF(N$2&gt;0,N$2*IF(N$6=OFFSET(Assumptions!$B$8,0,$C$1),SUMPRODUCT(OFFSET(M$453,0,0,1,-OFFSET(Assumptions!$B$67,0,$C$1)),OFFSET(M$16,0,0,1,-OFFSET(Assumptions!$B$67,0,$C$1)))/OFFSET(Assumptions!$B$67,0,$C$1)-M$453/M$14,(M$453/M$14-L$453/L$14)/M$2),0))*N$14</f>
        <v>0.57586121288309366</v>
      </c>
      <c r="O453" s="8">
        <f ca="1">(N$453/N$14+ IF(O$2&gt;0,O$2*IF(O$6=OFFSET(Assumptions!$B$8,0,$C$1),SUMPRODUCT(OFFSET(N$453,0,0,1,-OFFSET(Assumptions!$B$67,0,$C$1)),OFFSET(N$16,0,0,1,-OFFSET(Assumptions!$B$67,0,$C$1)))/OFFSET(Assumptions!$B$67,0,$C$1)-N$453/N$14,(N$453/N$14-M$453/M$14)/N$2),0))*O$14</f>
        <v>0.60044284677054527</v>
      </c>
      <c r="P453" s="8">
        <f ca="1">(O$453/O$14+ IF(P$2&gt;0,P$2*IF(P$6=OFFSET(Assumptions!$B$8,0,$C$1),SUMPRODUCT(OFFSET(O$453,0,0,1,-OFFSET(Assumptions!$B$67,0,$C$1)),OFFSET(O$16,0,0,1,-OFFSET(Assumptions!$B$67,0,$C$1)))/OFFSET(Assumptions!$B$67,0,$C$1)-O$453/O$14,(O$453/O$14-N$453/N$14)/O$2),0))*P$14</f>
        <v>0.62583491500712529</v>
      </c>
      <c r="Q453" s="8">
        <f ca="1">(P$453/P$14+ IF(Q$2&gt;0,Q$2*IF(Q$6=OFFSET(Assumptions!$B$8,0,$C$1),SUMPRODUCT(OFFSET(P$453,0,0,1,-OFFSET(Assumptions!$B$67,0,$C$1)),OFFSET(P$16,0,0,1,-OFFSET(Assumptions!$B$67,0,$C$1)))/OFFSET(Assumptions!$B$67,0,$C$1)-P$453/P$14,(P$453/P$14-O$453/O$14)/P$2),0))*Q$14</f>
        <v>0.65200998949667821</v>
      </c>
      <c r="R453" s="8">
        <f ca="1">(Q$453/Q$14+ IF(R$2&gt;0,R$2*IF(R$6=OFFSET(Assumptions!$B$8,0,$C$1),SUMPRODUCT(OFFSET(Q$453,0,0,1,-OFFSET(Assumptions!$B$67,0,$C$1)),OFFSET(Q$16,0,0,1,-OFFSET(Assumptions!$B$67,0,$C$1)))/OFFSET(Assumptions!$B$67,0,$C$1)-Q$453/Q$14,(Q$453/Q$14-P$453/P$14)/Q$2),0))*R$14</f>
        <v>0.67894864264068366</v>
      </c>
      <c r="S453" s="8">
        <f ca="1">(R$453/R$14+ IF(S$2&gt;0,S$2*IF(S$6=OFFSET(Assumptions!$B$8,0,$C$1),SUMPRODUCT(OFFSET(R$453,0,0,1,-OFFSET(Assumptions!$B$67,0,$C$1)),OFFSET(R$16,0,0,1,-OFFSET(Assumptions!$B$67,0,$C$1)))/OFFSET(Assumptions!$B$67,0,$C$1)-R$453/R$14,(R$453/R$14-Q$453/Q$14)/R$2),0))*S$14</f>
        <v>0.70673648438035208</v>
      </c>
      <c r="T453" s="8">
        <f ca="1">(S$453/S$14+ IF(T$2&gt;0,T$2*IF(T$6=OFFSET(Assumptions!$B$8,0,$C$1),SUMPRODUCT(OFFSET(S$453,0,0,1,-OFFSET(Assumptions!$B$67,0,$C$1)),OFFSET(S$16,0,0,1,-OFFSET(Assumptions!$B$67,0,$C$1)))/OFFSET(Assumptions!$B$67,0,$C$1)-S$453/S$14,(S$453/S$14-R$453/R$14)/S$2),0))*T$14</f>
        <v>0.73538364800076039</v>
      </c>
      <c r="U453" s="8">
        <f ca="1">(T$453/T$14+ IF(U$2&gt;0,U$2*IF(U$6=OFFSET(Assumptions!$B$8,0,$C$1),SUMPRODUCT(OFFSET(T$453,0,0,1,-OFFSET(Assumptions!$B$67,0,$C$1)),OFFSET(T$16,0,0,1,-OFFSET(Assumptions!$B$67,0,$C$1)))/OFFSET(Assumptions!$B$67,0,$C$1)-T$453/T$14,(T$453/T$14-S$453/S$14)/T$2),0))*U$14</f>
        <v>0.7649929474170124</v>
      </c>
      <c r="V453" s="8">
        <f ca="1">(U$453/U$14+ IF(V$2&gt;0,V$2*IF(V$6=OFFSET(Assumptions!$B$8,0,$C$1),SUMPRODUCT(OFFSET(U$453,0,0,1,-OFFSET(Assumptions!$B$67,0,$C$1)),OFFSET(U$16,0,0,1,-OFFSET(Assumptions!$B$67,0,$C$1)))/OFFSET(Assumptions!$B$67,0,$C$1)-U$453/U$14,(U$453/U$14-T$453/T$14)/U$2),0))*V$14</f>
        <v>0.79563747335383861</v>
      </c>
      <c r="W453" s="8">
        <f ca="1">(V$453/V$14+ IF(W$2&gt;0,W$2*IF(W$6=OFFSET(Assumptions!$B$8,0,$C$1),SUMPRODUCT(OFFSET(V$453,0,0,1,-OFFSET(Assumptions!$B$67,0,$C$1)),OFFSET(V$16,0,0,1,-OFFSET(Assumptions!$B$67,0,$C$1)))/OFFSET(Assumptions!$B$67,0,$C$1)-V$453/V$14,(V$453/V$14-U$453/U$14)/V$2),0))*W$14</f>
        <v>0.82740601073257225</v>
      </c>
      <c r="X453" s="8">
        <f ca="1">(W$453/W$14+ IF(X$2&gt;0,X$2*IF(X$6=OFFSET(Assumptions!$B$8,0,$C$1),SUMPRODUCT(OFFSET(W$453,0,0,1,-OFFSET(Assumptions!$B$67,0,$C$1)),OFFSET(W$16,0,0,1,-OFFSET(Assumptions!$B$67,0,$C$1)))/OFFSET(Assumptions!$B$67,0,$C$1)-W$453/W$14,(W$453/W$14-V$453/V$14)/W$2),0))*X$14</f>
        <v>0.86039918503978774</v>
      </c>
      <c r="Y453" s="8">
        <f ca="1">(X$453/X$14+ IF(Y$2&gt;0,Y$2*IF(Y$6=OFFSET(Assumptions!$B$8,0,$C$1),SUMPRODUCT(OFFSET(X$453,0,0,1,-OFFSET(Assumptions!$B$67,0,$C$1)),OFFSET(X$16,0,0,1,-OFFSET(Assumptions!$B$67,0,$C$1)))/OFFSET(Assumptions!$B$67,0,$C$1)-X$453/X$14,(X$453/X$14-W$453/W$14)/X$2),0))*Y$14</f>
        <v>0.89461362328063998</v>
      </c>
      <c r="Z453" s="8">
        <f ca="1">(Y$453/Y$14+ IF(Z$2&gt;0,Z$2*IF(Z$6=OFFSET(Assumptions!$B$8,0,$C$1),SUMPRODUCT(OFFSET(Y$453,0,0,1,-OFFSET(Assumptions!$B$67,0,$C$1)),OFFSET(Y$16,0,0,1,-OFFSET(Assumptions!$B$67,0,$C$1)))/OFFSET(Assumptions!$B$67,0,$C$1)-Y$453/Y$14,(Y$453/Y$14-X$453/X$14)/Y$2),0))*Z$14</f>
        <v>0.93022250670619444</v>
      </c>
      <c r="AA453" s="8">
        <f ca="1">(Z$453/Z$14+ IF(AA$2&gt;0,AA$2*IF(AA$6=OFFSET(Assumptions!$B$8,0,$C$1),SUMPRODUCT(OFFSET(Z$453,0,0,1,-OFFSET(Assumptions!$B$67,0,$C$1)),OFFSET(Z$16,0,0,1,-OFFSET(Assumptions!$B$67,0,$C$1)))/OFFSET(Assumptions!$B$67,0,$C$1)-Z$453/Z$14,(Z$453/Z$14-Y$453/Y$14)/Z$2),0))*AA$14</f>
        <v>0.96728345061263077</v>
      </c>
      <c r="AB453" s="8">
        <f ca="1">(AA$453/AA$14+ IF(AB$2&gt;0,AB$2*IF(AB$6=OFFSET(Assumptions!$B$8,0,$C$1),SUMPRODUCT(OFFSET(AA$453,0,0,1,-OFFSET(Assumptions!$B$67,0,$C$1)),OFFSET(AA$16,0,0,1,-OFFSET(Assumptions!$B$67,0,$C$1)))/OFFSET(Assumptions!$B$67,0,$C$1)-AA$453/AA$14,(AA$453/AA$14-Z$453/Z$14)/AA$2),0))*AB$14</f>
        <v>1.0059077524371249</v>
      </c>
      <c r="AC453" s="8">
        <f ca="1">(AB$453/AB$14+ IF(AC$2&gt;0,AC$2*IF(AC$6=OFFSET(Assumptions!$B$8,0,$C$1),SUMPRODUCT(OFFSET(AB$453,0,0,1,-OFFSET(Assumptions!$B$67,0,$C$1)),OFFSET(AB$16,0,0,1,-OFFSET(Assumptions!$B$67,0,$C$1)))/OFFSET(Assumptions!$B$67,0,$C$1)-AB$453/AB$14,(AB$453/AB$14-AA$453/AA$14)/AB$2),0))*AC$14</f>
        <v>1.0462412241604742</v>
      </c>
      <c r="AD453" s="8">
        <f ca="1">(AC$453/AC$14+ IF(AD$2&gt;0,AD$2*IF(AD$6=OFFSET(Assumptions!$B$8,0,$C$1),SUMPRODUCT(OFFSET(AC$453,0,0,1,-OFFSET(Assumptions!$B$67,0,$C$1)),OFFSET(AC$16,0,0,1,-OFFSET(Assumptions!$B$67,0,$C$1)))/OFFSET(Assumptions!$B$67,0,$C$1)-AC$453/AC$14,(AC$453/AC$14-AB$453/AB$14)/AC$2),0))*AD$14</f>
        <v>1.0883263777594168</v>
      </c>
      <c r="AE453" s="8">
        <f ca="1">(AD$453/AD$14+ IF(AE$2&gt;0,AE$2*IF(AE$6=OFFSET(Assumptions!$B$8,0,$C$1),SUMPRODUCT(OFFSET(AD$453,0,0,1,-OFFSET(Assumptions!$B$67,0,$C$1)),OFFSET(AD$16,0,0,1,-OFFSET(Assumptions!$B$67,0,$C$1)))/OFFSET(Assumptions!$B$67,0,$C$1)-AD$453/AD$14,(AD$453/AD$14-AC$453/AC$14)/AD$2),0))*AE$14</f>
        <v>1.1321245636297501</v>
      </c>
      <c r="AF453" s="8">
        <f ca="1">(AE$453/AE$14+ IF(AF$2&gt;0,AF$2*IF(AF$6=OFFSET(Assumptions!$B$8,0,$C$1),SUMPRODUCT(OFFSET(AE$453,0,0,1,-OFFSET(Assumptions!$B$67,0,$C$1)),OFFSET(AE$16,0,0,1,-OFFSET(Assumptions!$B$67,0,$C$1)))/OFFSET(Assumptions!$B$67,0,$C$1)-AE$453/AE$14,(AE$453/AE$14-AD$453/AD$14)/AE$2),0))*AF$14</f>
        <v>1.1777569538149402</v>
      </c>
      <c r="AG453" s="8">
        <f ca="1">(AF$453/AF$14+ IF(AG$2&gt;0,AG$2*IF(AG$6=OFFSET(Assumptions!$B$8,0,$C$1),SUMPRODUCT(OFFSET(AF$453,0,0,1,-OFFSET(Assumptions!$B$67,0,$C$1)),OFFSET(AF$16,0,0,1,-OFFSET(Assumptions!$B$67,0,$C$1)))/OFFSET(Assumptions!$B$67,0,$C$1)-AF$453/AF$14,(AF$453/AF$14-AE$453/AE$14)/AF$2),0))*AG$14</f>
        <v>1.2252490640394416</v>
      </c>
      <c r="AH453" s="8">
        <f ca="1">(AG$453/AG$14+ IF(AH$2&gt;0,AH$2*IF(AH$6=OFFSET(Assumptions!$B$8,0,$C$1),SUMPRODUCT(OFFSET(AG$453,0,0,1,-OFFSET(Assumptions!$B$67,0,$C$1)),OFFSET(AG$16,0,0,1,-OFFSET(Assumptions!$B$67,0,$C$1)))/OFFSET(Assumptions!$B$67,0,$C$1)-AG$453/AG$14,(AG$453/AG$14-AF$453/AF$14)/AG$2),0))*AH$14</f>
        <v>1.2746770511973013</v>
      </c>
      <c r="AI453" s="8">
        <f ca="1">(AH$453/AH$14+ IF(AI$2&gt;0,AI$2*IF(AI$6=OFFSET(Assumptions!$B$8,0,$C$1),SUMPRODUCT(OFFSET(AH$453,0,0,1,-OFFSET(Assumptions!$B$67,0,$C$1)),OFFSET(AH$16,0,0,1,-OFFSET(Assumptions!$B$67,0,$C$1)))/OFFSET(Assumptions!$B$67,0,$C$1)-AH$453/AH$14,(AH$453/AH$14-AG$453/AG$14)/AH$2),0))*AI$14</f>
        <v>1.3259545482326307</v>
      </c>
      <c r="AJ453" s="8">
        <f ca="1">(AI$453/AI$14+ IF(AJ$2&gt;0,AJ$2*IF(AJ$6=OFFSET(Assumptions!$B$8,0,$C$1),SUMPRODUCT(OFFSET(AI$453,0,0,1,-OFFSET(Assumptions!$B$67,0,$C$1)),OFFSET(AI$16,0,0,1,-OFFSET(Assumptions!$B$67,0,$C$1)))/OFFSET(Assumptions!$B$67,0,$C$1)-AI$453/AI$14,(AI$453/AI$14-AH$453/AH$14)/AI$2),0))*AJ$14</f>
        <v>1.3792458225166007</v>
      </c>
      <c r="AK453" s="8">
        <f ca="1">(AJ$453/AJ$14+ IF(AK$2&gt;0,AK$2*IF(AK$6=OFFSET(Assumptions!$B$8,0,$C$1),SUMPRODUCT(OFFSET(AJ$453,0,0,1,-OFFSET(Assumptions!$B$67,0,$C$1)),OFFSET(AJ$16,0,0,1,-OFFSET(Assumptions!$B$67,0,$C$1)))/OFFSET(Assumptions!$B$67,0,$C$1)-AJ$453/AJ$14,(AJ$453/AJ$14-AI$453/AI$14)/AJ$2),0))*AK$14</f>
        <v>1.4345070350054234</v>
      </c>
      <c r="AL453" s="8">
        <f ca="1">(AK$453/AK$14+ IF(AL$2&gt;0,AL$2*IF(AL$6=OFFSET(Assumptions!$B$8,0,$C$1),SUMPRODUCT(OFFSET(AK$453,0,0,1,-OFFSET(Assumptions!$B$67,0,$C$1)),OFFSET(AK$16,0,0,1,-OFFSET(Assumptions!$B$67,0,$C$1)))/OFFSET(Assumptions!$B$67,0,$C$1)-AK$453/AK$14,(AK$453/AK$14-AJ$453/AJ$14)/AK$2),0))*AL$14</f>
        <v>1.4916946549174654</v>
      </c>
      <c r="AM453" s="8">
        <f ca="1">(AL$453/AL$14+ IF(AM$2&gt;0,AM$2*IF(AM$6=OFFSET(Assumptions!$B$8,0,$C$1),SUMPRODUCT(OFFSET(AL$453,0,0,1,-OFFSET(Assumptions!$B$67,0,$C$1)),OFFSET(AL$16,0,0,1,-OFFSET(Assumptions!$B$67,0,$C$1)))/OFFSET(Assumptions!$B$67,0,$C$1)-AL$453/AL$14,(AL$453/AL$14-AK$453/AK$14)/AL$2),0))*AM$14</f>
        <v>1.5508868079885147</v>
      </c>
      <c r="AN453" s="8">
        <f ca="1">(AM$453/AM$14+ IF(AN$2&gt;0,AN$2*IF(AN$6=OFFSET(Assumptions!$B$8,0,$C$1),SUMPRODUCT(OFFSET(AM$453,0,0,1,-OFFSET(Assumptions!$B$67,0,$C$1)),OFFSET(AM$16,0,0,1,-OFFSET(Assumptions!$B$67,0,$C$1)))/OFFSET(Assumptions!$B$67,0,$C$1)-AM$453/AM$14,(AM$453/AM$14-AL$453/AL$14)/AM$2),0))*AN$14</f>
        <v>1.612165829930271</v>
      </c>
      <c r="AO453" s="8">
        <f ca="1">(AN$453/AN$14+ IF(AO$2&gt;0,AO$2*IF(AO$6=OFFSET(Assumptions!$B$8,0,$C$1),SUMPRODUCT(OFFSET(AN$453,0,0,1,-OFFSET(Assumptions!$B$67,0,$C$1)),OFFSET(AN$16,0,0,1,-OFFSET(Assumptions!$B$67,0,$C$1)))/OFFSET(Assumptions!$B$67,0,$C$1)-AN$453/AN$14,(AN$453/AN$14-AM$453/AM$14)/AN$2),0))*AO$14</f>
        <v>1.6752910992148367</v>
      </c>
      <c r="AP453" s="8">
        <f ca="1">(AO$453/AO$14+ IF(AP$2&gt;0,AP$2*IF(AP$6=OFFSET(Assumptions!$B$8,0,$C$1),SUMPRODUCT(OFFSET(AO$453,0,0,1,-OFFSET(Assumptions!$B$67,0,$C$1)),OFFSET(AO$16,0,0,1,-OFFSET(Assumptions!$B$67,0,$C$1)))/OFFSET(Assumptions!$B$67,0,$C$1)-AO$453/AO$14,(AO$453/AO$14-AN$453/AN$14)/AO$2),0))*AP$14</f>
        <v>1.7405306769900741</v>
      </c>
      <c r="AQ453" s="8">
        <f ca="1">(AP$453/AP$14+ IF(AQ$2&gt;0,AQ$2*IF(AQ$6=OFFSET(Assumptions!$B$8,0,$C$1),SUMPRODUCT(OFFSET(AP$453,0,0,1,-OFFSET(Assumptions!$B$67,0,$C$1)),OFFSET(AP$16,0,0,1,-OFFSET(Assumptions!$B$67,0,$C$1)))/OFFSET(Assumptions!$B$67,0,$C$1)-AP$453/AP$14,(AP$453/AP$14-AO$453/AO$14)/AP$2),0))*AQ$14</f>
        <v>1.8077017621649354</v>
      </c>
      <c r="AR453" s="8">
        <f ca="1">(AQ$453/AQ$14+ IF(AR$2&gt;0,AR$2*IF(AR$6=OFFSET(Assumptions!$B$8,0,$C$1),SUMPRODUCT(OFFSET(AQ$453,0,0,1,-OFFSET(Assumptions!$B$67,0,$C$1)),OFFSET(AQ$16,0,0,1,-OFFSET(Assumptions!$B$67,0,$C$1)))/OFFSET(Assumptions!$B$67,0,$C$1)-AQ$453/AQ$14,(AQ$453/AQ$14-AP$453/AP$14)/AQ$2),0))*AR$14</f>
        <v>1.8768804044245351</v>
      </c>
      <c r="AS453" s="8">
        <f ca="1">(AR$453/AR$14+ IF(AS$2&gt;0,AS$2*IF(AS$6=OFFSET(Assumptions!$B$8,0,$C$1),SUMPRODUCT(OFFSET(AR$453,0,0,1,-OFFSET(Assumptions!$B$67,0,$C$1)),OFFSET(AR$16,0,0,1,-OFFSET(Assumptions!$B$67,0,$C$1)))/OFFSET(Assumptions!$B$67,0,$C$1)-AR$453/AR$14,(AR$453/AR$14-AQ$453/AQ$14)/AR$2),0))*AS$14</f>
        <v>1.9482279955458843</v>
      </c>
      <c r="AT453" s="8">
        <f ca="1">(AS$453/AS$14+ IF(AT$2&gt;0,AT$2*IF(AT$6=OFFSET(Assumptions!$B$8,0,$C$1),SUMPRODUCT(OFFSET(AS$453,0,0,1,-OFFSET(Assumptions!$B$67,0,$C$1)),OFFSET(AS$16,0,0,1,-OFFSET(Assumptions!$B$67,0,$C$1)))/OFFSET(Assumptions!$B$67,0,$C$1)-AS$453/AS$14,(AS$453/AS$14-AR$453/AR$14)/AS$2),0))*AT$14</f>
        <v>2.0218015185141556</v>
      </c>
      <c r="AU453" s="8">
        <f ca="1">(AT$453/AT$14+ IF(AU$2&gt;0,AU$2*IF(AU$6=OFFSET(Assumptions!$B$8,0,$C$1),SUMPRODUCT(OFFSET(AT$453,0,0,1,-OFFSET(Assumptions!$B$67,0,$C$1)),OFFSET(AT$16,0,0,1,-OFFSET(Assumptions!$B$67,0,$C$1)))/OFFSET(Assumptions!$B$67,0,$C$1)-AT$453/AT$14,(AT$453/AT$14-AS$453/AS$14)/AT$2),0))*AU$14</f>
        <v>2.0976988096900047</v>
      </c>
      <c r="AV453" s="8">
        <f ca="1">(AU$453/AU$14+ IF(AV$2&gt;0,AV$2*IF(AV$6=OFFSET(Assumptions!$B$8,0,$C$1),SUMPRODUCT(OFFSET(AU$453,0,0,1,-OFFSET(Assumptions!$B$67,0,$C$1)),OFFSET(AU$16,0,0,1,-OFFSET(Assumptions!$B$67,0,$C$1)))/OFFSET(Assumptions!$B$67,0,$C$1)-AU$453/AU$14,(AU$453/AU$14-AT$453/AT$14)/AU$2),0))*AV$14</f>
        <v>2.1761545357611296</v>
      </c>
      <c r="AW453" s="8">
        <f ca="1">(AV$453/AV$14+ IF(AW$2&gt;0,AW$2*IF(AW$6=OFFSET(Assumptions!$B$8,0,$C$1),SUMPRODUCT(OFFSET(AV$453,0,0,1,-OFFSET(Assumptions!$B$67,0,$C$1)),OFFSET(AV$16,0,0,1,-OFFSET(Assumptions!$B$67,0,$C$1)))/OFFSET(Assumptions!$B$67,0,$C$1)-AV$453/AV$14,(AV$453/AV$14-AU$453/AU$14)/AV$2),0))*AW$14</f>
        <v>2.2571244040626781</v>
      </c>
    </row>
    <row r="454" spans="1:49" ht="15" x14ac:dyDescent="0.25">
      <c r="A454" s="2" t="s">
        <v>676</v>
      </c>
      <c r="B454" s="4" t="str">
        <f t="shared" si="265"/>
        <v>From Fiscal</v>
      </c>
      <c r="D454" s="47">
        <f>Fiscal!D$129</f>
        <v>2.1120000000000001</v>
      </c>
      <c r="E454" s="44">
        <f>Fiscal!E$129</f>
        <v>2.13</v>
      </c>
      <c r="F454" s="44">
        <f>Fiscal!F$129</f>
        <v>2.1269999999999998</v>
      </c>
      <c r="G454" s="44">
        <f>Fiscal!G$129</f>
        <v>2.1429999999999998</v>
      </c>
      <c r="H454" s="44">
        <f>Fiscal!H$129</f>
        <v>2.169</v>
      </c>
      <c r="I454" s="44">
        <f>Fiscal!I$129</f>
        <v>2.1829999999999998</v>
      </c>
      <c r="J454" s="8">
        <f ca="1">((I$454-I$453)/I$14+ IF(J$2&gt;0,J$2*IF(J$6=OFFSET(Assumptions!$B$8,0,$C$1),(SUMPRODUCT(OFFSET(I$454,0,0,1,-OFFSET(Assumptions!$B$67,0,$C$1)),OFFSET(I$16,0,0,1,-OFFSET(Assumptions!$B$67,0,$C$1)))-SUMPRODUCT(OFFSET(I$453,0,0,1,-OFFSET(Assumptions!$B$67,0,$C$1)),OFFSET(I$16,0,0,1,-OFFSET(Assumptions!$B$67,0,$C$1))))/OFFSET(Assumptions!$B$67,0,$C$1)-(I$454-I$453)/I$14,((I$454-I$453)/I$14-(H$454-H$453)/H$14)/I$2),0))*J$14 +J$453</f>
        <v>2.3021823877874956</v>
      </c>
      <c r="K454" s="8">
        <f ca="1">((J$454-J$453)/J$14+ IF(K$2&gt;0,K$2*IF(K$6=OFFSET(Assumptions!$B$8,0,$C$1),(SUMPRODUCT(OFFSET(J$454,0,0,1,-OFFSET(Assumptions!$B$67,0,$C$1)),OFFSET(J$16,0,0,1,-OFFSET(Assumptions!$B$67,0,$C$1)))-SUMPRODUCT(OFFSET(J$453,0,0,1,-OFFSET(Assumptions!$B$67,0,$C$1)),OFFSET(J$16,0,0,1,-OFFSET(Assumptions!$B$67,0,$C$1))))/OFFSET(Assumptions!$B$67,0,$C$1)-(J$454-J$453)/J$14,((J$454-J$453)/J$14-(I$454-I$453)/I$14)/J$2),0))*K$14 +K$453</f>
        <v>2.4210579021206451</v>
      </c>
      <c r="L454" s="8">
        <f ca="1">((K$454-K$453)/K$14+ IF(L$2&gt;0,L$2*IF(L$6=OFFSET(Assumptions!$B$8,0,$C$1),(SUMPRODUCT(OFFSET(K$454,0,0,1,-OFFSET(Assumptions!$B$67,0,$C$1)),OFFSET(K$16,0,0,1,-OFFSET(Assumptions!$B$67,0,$C$1)))-SUMPRODUCT(OFFSET(K$453,0,0,1,-OFFSET(Assumptions!$B$67,0,$C$1)),OFFSET(K$16,0,0,1,-OFFSET(Assumptions!$B$67,0,$C$1))))/OFFSET(Assumptions!$B$67,0,$C$1)-(K$454-K$453)/K$14,((K$454-K$453)/K$14-(J$454-J$453)/J$14)/K$2),0))*L$14 +L$453</f>
        <v>2.5437363794456038</v>
      </c>
      <c r="M454" s="8">
        <f ca="1">((L$454-L$453)/L$14+ IF(M$2&gt;0,M$2*IF(M$6=OFFSET(Assumptions!$B$8,0,$C$1),(SUMPRODUCT(OFFSET(L$454,0,0,1,-OFFSET(Assumptions!$B$67,0,$C$1)),OFFSET(L$16,0,0,1,-OFFSET(Assumptions!$B$67,0,$C$1)))-SUMPRODUCT(OFFSET(L$453,0,0,1,-OFFSET(Assumptions!$B$67,0,$C$1)),OFFSET(L$16,0,0,1,-OFFSET(Assumptions!$B$67,0,$C$1))))/OFFSET(Assumptions!$B$67,0,$C$1)-(L$454-L$453)/L$14,((L$454-L$453)/L$14-(K$454-K$453)/K$14)/L$2),0))*M$14 +M$453</f>
        <v>2.665977789802259</v>
      </c>
      <c r="N454" s="8">
        <f ca="1">((M$454-M$453)/M$14+ IF(N$2&gt;0,N$2*IF(N$6=OFFSET(Assumptions!$B$8,0,$C$1),(SUMPRODUCT(OFFSET(M$454,0,0,1,-OFFSET(Assumptions!$B$67,0,$C$1)),OFFSET(M$16,0,0,1,-OFFSET(Assumptions!$B$67,0,$C$1)))-SUMPRODUCT(OFFSET(M$453,0,0,1,-OFFSET(Assumptions!$B$67,0,$C$1)),OFFSET(M$16,0,0,1,-OFFSET(Assumptions!$B$67,0,$C$1))))/OFFSET(Assumptions!$B$67,0,$C$1)-(M$454-M$453)/M$14,((M$454-M$453)/M$14-(L$454-L$453)/L$14)/M$2),0))*N$14 +N$453</f>
        <v>2.7873884767241073</v>
      </c>
      <c r="O454" s="8">
        <f ca="1">((N$454-N$453)/N$14+ IF(O$2&gt;0,O$2*IF(O$6=OFFSET(Assumptions!$B$8,0,$C$1),(SUMPRODUCT(OFFSET(N$454,0,0,1,-OFFSET(Assumptions!$B$67,0,$C$1)),OFFSET(N$16,0,0,1,-OFFSET(Assumptions!$B$67,0,$C$1)))-SUMPRODUCT(OFFSET(N$453,0,0,1,-OFFSET(Assumptions!$B$67,0,$C$1)),OFFSET(N$16,0,0,1,-OFFSET(Assumptions!$B$67,0,$C$1))))/OFFSET(Assumptions!$B$67,0,$C$1)-(N$454-N$453)/N$14,((N$454-N$453)/N$14-(M$454-M$453)/M$14)/N$2),0))*O$14 +O$453</f>
        <v>2.9063729846299098</v>
      </c>
      <c r="P454" s="8">
        <f ca="1">((O$454-O$453)/O$14+ IF(P$2&gt;0,P$2*IF(P$6=OFFSET(Assumptions!$B$8,0,$C$1),(SUMPRODUCT(OFFSET(O$454,0,0,1,-OFFSET(Assumptions!$B$67,0,$C$1)),OFFSET(O$16,0,0,1,-OFFSET(Assumptions!$B$67,0,$C$1)))-SUMPRODUCT(OFFSET(O$453,0,0,1,-OFFSET(Assumptions!$B$67,0,$C$1)),OFFSET(O$16,0,0,1,-OFFSET(Assumptions!$B$67,0,$C$1))))/OFFSET(Assumptions!$B$67,0,$C$1)-(O$454-O$453)/O$14,((O$454-O$453)/O$14-(N$454-N$453)/N$14)/O$2),0))*P$14 +P$453</f>
        <v>3.0292803046914263</v>
      </c>
      <c r="Q454" s="8">
        <f ca="1">((P$454-P$453)/P$14+ IF(Q$2&gt;0,Q$2*IF(Q$6=OFFSET(Assumptions!$B$8,0,$C$1),(SUMPRODUCT(OFFSET(P$454,0,0,1,-OFFSET(Assumptions!$B$67,0,$C$1)),OFFSET(P$16,0,0,1,-OFFSET(Assumptions!$B$67,0,$C$1)))-SUMPRODUCT(OFFSET(P$453,0,0,1,-OFFSET(Assumptions!$B$67,0,$C$1)),OFFSET(P$16,0,0,1,-OFFSET(Assumptions!$B$67,0,$C$1))))/OFFSET(Assumptions!$B$67,0,$C$1)-(P$454-P$453)/P$14,((P$454-P$453)/P$14-(O$454-O$453)/O$14)/P$2),0))*Q$14 +Q$453</f>
        <v>3.1559776744349</v>
      </c>
      <c r="R454" s="8">
        <f ca="1">((Q$454-Q$453)/Q$14+ IF(R$2&gt;0,R$2*IF(R$6=OFFSET(Assumptions!$B$8,0,$C$1),(SUMPRODUCT(OFFSET(Q$454,0,0,1,-OFFSET(Assumptions!$B$67,0,$C$1)),OFFSET(Q$16,0,0,1,-OFFSET(Assumptions!$B$67,0,$C$1)))-SUMPRODUCT(OFFSET(Q$453,0,0,1,-OFFSET(Assumptions!$B$67,0,$C$1)),OFFSET(Q$16,0,0,1,-OFFSET(Assumptions!$B$67,0,$C$1))))/OFFSET(Assumptions!$B$67,0,$C$1)-(Q$454-Q$453)/Q$14,((Q$454-Q$453)/Q$14-(P$454-P$453)/P$14)/Q$2),0))*R$14 +R$453</f>
        <v>3.2863710568544802</v>
      </c>
      <c r="S454" s="8">
        <f ca="1">((R$454-R$453)/R$14+ IF(S$2&gt;0,S$2*IF(S$6=OFFSET(Assumptions!$B$8,0,$C$1),(SUMPRODUCT(OFFSET(R$454,0,0,1,-OFFSET(Assumptions!$B$67,0,$C$1)),OFFSET(R$16,0,0,1,-OFFSET(Assumptions!$B$67,0,$C$1)))-SUMPRODUCT(OFFSET(R$453,0,0,1,-OFFSET(Assumptions!$B$67,0,$C$1)),OFFSET(R$16,0,0,1,-OFFSET(Assumptions!$B$67,0,$C$1))))/OFFSET(Assumptions!$B$67,0,$C$1)-(R$454-R$453)/R$14,((R$454-R$453)/R$14-(Q$454-Q$453)/Q$14)/R$2),0))*S$14 +S$453</f>
        <v>3.4208748368024255</v>
      </c>
      <c r="T454" s="8">
        <f ca="1">((S$454-S$453)/S$14+ IF(T$2&gt;0,T$2*IF(T$6=OFFSET(Assumptions!$B$8,0,$C$1),(SUMPRODUCT(OFFSET(S$454,0,0,1,-OFFSET(Assumptions!$B$67,0,$C$1)),OFFSET(S$16,0,0,1,-OFFSET(Assumptions!$B$67,0,$C$1)))-SUMPRODUCT(OFFSET(S$453,0,0,1,-OFFSET(Assumptions!$B$67,0,$C$1)),OFFSET(S$16,0,0,1,-OFFSET(Assumptions!$B$67,0,$C$1))))/OFFSET(Assumptions!$B$67,0,$C$1)-(S$454-S$453)/S$14,((S$454-S$453)/S$14-(R$454-R$453)/R$14)/S$2),0))*T$14 +T$453</f>
        <v>3.5595380632534259</v>
      </c>
      <c r="U454" s="8">
        <f ca="1">((T$454-T$453)/T$14+ IF(U$2&gt;0,U$2*IF(U$6=OFFSET(Assumptions!$B$8,0,$C$1),(SUMPRODUCT(OFFSET(T$454,0,0,1,-OFFSET(Assumptions!$B$67,0,$C$1)),OFFSET(T$16,0,0,1,-OFFSET(Assumptions!$B$67,0,$C$1)))-SUMPRODUCT(OFFSET(T$453,0,0,1,-OFFSET(Assumptions!$B$67,0,$C$1)),OFFSET(T$16,0,0,1,-OFFSET(Assumptions!$B$67,0,$C$1))))/OFFSET(Assumptions!$B$67,0,$C$1)-(T$454-T$453)/T$14,((T$454-T$453)/T$14-(S$454-S$453)/S$14)/T$2),0))*U$14 +U$453</f>
        <v>3.7028583948720963</v>
      </c>
      <c r="V454" s="8">
        <f ca="1">((U$454-U$453)/U$14+ IF(V$2&gt;0,V$2*IF(V$6=OFFSET(Assumptions!$B$8,0,$C$1),(SUMPRODUCT(OFFSET(U$454,0,0,1,-OFFSET(Assumptions!$B$67,0,$C$1)),OFFSET(U$16,0,0,1,-OFFSET(Assumptions!$B$67,0,$C$1)))-SUMPRODUCT(OFFSET(U$453,0,0,1,-OFFSET(Assumptions!$B$67,0,$C$1)),OFFSET(U$16,0,0,1,-OFFSET(Assumptions!$B$67,0,$C$1))))/OFFSET(Assumptions!$B$67,0,$C$1)-(U$454-U$453)/U$14,((U$454-U$453)/U$14-(T$454-T$453)/T$14)/U$2),0))*V$14 +V$453</f>
        <v>3.85118961871565</v>
      </c>
      <c r="W454" s="8">
        <f ca="1">((V$454-V$453)/V$14+ IF(W$2&gt;0,W$2*IF(W$6=OFFSET(Assumptions!$B$8,0,$C$1),(SUMPRODUCT(OFFSET(V$454,0,0,1,-OFFSET(Assumptions!$B$67,0,$C$1)),OFFSET(V$16,0,0,1,-OFFSET(Assumptions!$B$67,0,$C$1)))-SUMPRODUCT(OFFSET(V$453,0,0,1,-OFFSET(Assumptions!$B$67,0,$C$1)),OFFSET(V$16,0,0,1,-OFFSET(Assumptions!$B$67,0,$C$1))))/OFFSET(Assumptions!$B$67,0,$C$1)-(V$454-V$453)/V$14,((V$454-V$453)/V$14-(U$454-U$453)/U$14)/V$2),0))*W$14 +W$453</f>
        <v>4.0049614877542377</v>
      </c>
      <c r="X454" s="8">
        <f ca="1">((W$454-W$453)/W$14+ IF(X$2&gt;0,X$2*IF(X$6=OFFSET(Assumptions!$B$8,0,$C$1),(SUMPRODUCT(OFFSET(W$454,0,0,1,-OFFSET(Assumptions!$B$67,0,$C$1)),OFFSET(W$16,0,0,1,-OFFSET(Assumptions!$B$67,0,$C$1)))-SUMPRODUCT(OFFSET(W$453,0,0,1,-OFFSET(Assumptions!$B$67,0,$C$1)),OFFSET(W$16,0,0,1,-OFFSET(Assumptions!$B$67,0,$C$1))))/OFFSET(Assumptions!$B$67,0,$C$1)-(W$454-W$453)/W$14,((W$454-W$453)/W$14-(V$454-V$453)/V$14)/W$2),0))*X$14 +X$453</f>
        <v>4.1646610678215481</v>
      </c>
      <c r="Y454" s="8">
        <f ca="1">((X$454-X$453)/X$14+ IF(Y$2&gt;0,Y$2*IF(Y$6=OFFSET(Assumptions!$B$8,0,$C$1),(SUMPRODUCT(OFFSET(X$454,0,0,1,-OFFSET(Assumptions!$B$67,0,$C$1)),OFFSET(X$16,0,0,1,-OFFSET(Assumptions!$B$67,0,$C$1)))-SUMPRODUCT(OFFSET(X$453,0,0,1,-OFFSET(Assumptions!$B$67,0,$C$1)),OFFSET(X$16,0,0,1,-OFFSET(Assumptions!$B$67,0,$C$1))))/OFFSET(Assumptions!$B$67,0,$C$1)-(X$454-X$453)/X$14,((X$454-X$453)/X$14-(W$454-W$453)/W$14)/X$2),0))*Y$14 +Y$453</f>
        <v>4.330272032332716</v>
      </c>
      <c r="Z454" s="8">
        <f ca="1">((Y$454-Y$453)/Y$14+ IF(Z$2&gt;0,Z$2*IF(Z$6=OFFSET(Assumptions!$B$8,0,$C$1),(SUMPRODUCT(OFFSET(Y$454,0,0,1,-OFFSET(Assumptions!$B$67,0,$C$1)),OFFSET(Y$16,0,0,1,-OFFSET(Assumptions!$B$67,0,$C$1)))-SUMPRODUCT(OFFSET(Y$453,0,0,1,-OFFSET(Assumptions!$B$67,0,$C$1)),OFFSET(Y$16,0,0,1,-OFFSET(Assumptions!$B$67,0,$C$1))))/OFFSET(Assumptions!$B$67,0,$C$1)-(Y$454-Y$453)/Y$14,((Y$454-Y$453)/Y$14-(X$454-X$453)/X$14)/Y$2),0))*Z$14 +Z$453</f>
        <v>4.5026326447665195</v>
      </c>
      <c r="AA454" s="8">
        <f ca="1">((Z$454-Z$453)/Z$14+ IF(AA$2&gt;0,AA$2*IF(AA$6=OFFSET(Assumptions!$B$8,0,$C$1),(SUMPRODUCT(OFFSET(Z$454,0,0,1,-OFFSET(Assumptions!$B$67,0,$C$1)),OFFSET(Z$16,0,0,1,-OFFSET(Assumptions!$B$67,0,$C$1)))-SUMPRODUCT(OFFSET(Z$453,0,0,1,-OFFSET(Assumptions!$B$67,0,$C$1)),OFFSET(Z$16,0,0,1,-OFFSET(Assumptions!$B$67,0,$C$1))))/OFFSET(Assumptions!$B$67,0,$C$1)-(Z$454-Z$453)/Z$14,((Z$454-Z$453)/Z$14-(Y$454-Y$453)/Y$14)/Z$2),0))*AA$14 +AA$453</f>
        <v>4.68202178518826</v>
      </c>
      <c r="AB454" s="8">
        <f ca="1">((AA$454-AA$453)/AA$14+ IF(AB$2&gt;0,AB$2*IF(AB$6=OFFSET(Assumptions!$B$8,0,$C$1),(SUMPRODUCT(OFFSET(AA$454,0,0,1,-OFFSET(Assumptions!$B$67,0,$C$1)),OFFSET(AA$16,0,0,1,-OFFSET(Assumptions!$B$67,0,$C$1)))-SUMPRODUCT(OFFSET(AA$453,0,0,1,-OFFSET(Assumptions!$B$67,0,$C$1)),OFFSET(AA$16,0,0,1,-OFFSET(Assumptions!$B$67,0,$C$1))))/OFFSET(Assumptions!$B$67,0,$C$1)-(AA$454-AA$453)/AA$14,((AA$454-AA$453)/AA$14-(Z$454-Z$453)/Z$14)/AA$2),0))*AB$14 +AB$453</f>
        <v>4.8689781757534378</v>
      </c>
      <c r="AC454" s="8">
        <f ca="1">((AB$454-AB$453)/AB$14+ IF(AC$2&gt;0,AC$2*IF(AC$6=OFFSET(Assumptions!$B$8,0,$C$1),(SUMPRODUCT(OFFSET(AB$454,0,0,1,-OFFSET(Assumptions!$B$67,0,$C$1)),OFFSET(AB$16,0,0,1,-OFFSET(Assumptions!$B$67,0,$C$1)))-SUMPRODUCT(OFFSET(AB$453,0,0,1,-OFFSET(Assumptions!$B$67,0,$C$1)),OFFSET(AB$16,0,0,1,-OFFSET(Assumptions!$B$67,0,$C$1))))/OFFSET(Assumptions!$B$67,0,$C$1)-(AB$454-AB$453)/AB$14,((AB$454-AB$453)/AB$14-(AA$454-AA$453)/AA$14)/AB$2),0))*AC$14 +AC$453</f>
        <v>5.0642076022068663</v>
      </c>
      <c r="AD454" s="8">
        <f ca="1">((AC$454-AC$453)/AC$14+ IF(AD$2&gt;0,AD$2*IF(AD$6=OFFSET(Assumptions!$B$8,0,$C$1),(SUMPRODUCT(OFFSET(AC$454,0,0,1,-OFFSET(Assumptions!$B$67,0,$C$1)),OFFSET(AC$16,0,0,1,-OFFSET(Assumptions!$B$67,0,$C$1)))-SUMPRODUCT(OFFSET(AC$453,0,0,1,-OFFSET(Assumptions!$B$67,0,$C$1)),OFFSET(AC$16,0,0,1,-OFFSET(Assumptions!$B$67,0,$C$1))))/OFFSET(Assumptions!$B$67,0,$C$1)-(AC$454-AC$453)/AC$14,((AC$454-AC$453)/AC$14-(AB$454-AB$453)/AB$14)/AC$2),0))*AD$14 +AD$453</f>
        <v>5.2679158387723177</v>
      </c>
      <c r="AE454" s="8">
        <f ca="1">((AD$454-AD$453)/AD$14+ IF(AE$2&gt;0,AE$2*IF(AE$6=OFFSET(Assumptions!$B$8,0,$C$1),(SUMPRODUCT(OFFSET(AD$454,0,0,1,-OFFSET(Assumptions!$B$67,0,$C$1)),OFFSET(AD$16,0,0,1,-OFFSET(Assumptions!$B$67,0,$C$1)))-SUMPRODUCT(OFFSET(AD$453,0,0,1,-OFFSET(Assumptions!$B$67,0,$C$1)),OFFSET(AD$16,0,0,1,-OFFSET(Assumptions!$B$67,0,$C$1))))/OFFSET(Assumptions!$B$67,0,$C$1)-(AD$454-AD$453)/AD$14,((AD$454-AD$453)/AD$14-(AC$454-AC$453)/AC$14)/AD$2),0))*AE$14 +AE$453</f>
        <v>5.4799158065860416</v>
      </c>
      <c r="AF454" s="8">
        <f ca="1">((AE$454-AE$453)/AE$14+ IF(AF$2&gt;0,AF$2*IF(AF$6=OFFSET(Assumptions!$B$8,0,$C$1),(SUMPRODUCT(OFFSET(AE$454,0,0,1,-OFFSET(Assumptions!$B$67,0,$C$1)),OFFSET(AE$16,0,0,1,-OFFSET(Assumptions!$B$67,0,$C$1)))-SUMPRODUCT(OFFSET(AE$453,0,0,1,-OFFSET(Assumptions!$B$67,0,$C$1)),OFFSET(AE$16,0,0,1,-OFFSET(Assumptions!$B$67,0,$C$1))))/OFFSET(Assumptions!$B$67,0,$C$1)-(AE$454-AE$453)/AE$14,((AE$454-AE$453)/AE$14-(AD$454-AD$453)/AD$14)/AE$2),0))*AF$14 +AF$453</f>
        <v>5.7007940246739812</v>
      </c>
      <c r="AG454" s="8">
        <f ca="1">((AF$454-AF$453)/AF$14+ IF(AG$2&gt;0,AG$2*IF(AG$6=OFFSET(Assumptions!$B$8,0,$C$1),(SUMPRODUCT(OFFSET(AF$454,0,0,1,-OFFSET(Assumptions!$B$67,0,$C$1)),OFFSET(AF$16,0,0,1,-OFFSET(Assumptions!$B$67,0,$C$1)))-SUMPRODUCT(OFFSET(AF$453,0,0,1,-OFFSET(Assumptions!$B$67,0,$C$1)),OFFSET(AF$16,0,0,1,-OFFSET(Assumptions!$B$67,0,$C$1))))/OFFSET(Assumptions!$B$67,0,$C$1)-(AF$454-AF$453)/AF$14,((AF$454-AF$453)/AF$14-(AE$454-AE$453)/AE$14)/AF$2),0))*AG$14 +AG$453</f>
        <v>5.9306739988995787</v>
      </c>
      <c r="AH454" s="8">
        <f ca="1">((AG$454-AG$453)/AG$14+ IF(AH$2&gt;0,AH$2*IF(AH$6=OFFSET(Assumptions!$B$8,0,$C$1),(SUMPRODUCT(OFFSET(AG$454,0,0,1,-OFFSET(Assumptions!$B$67,0,$C$1)),OFFSET(AG$16,0,0,1,-OFFSET(Assumptions!$B$67,0,$C$1)))-SUMPRODUCT(OFFSET(AG$453,0,0,1,-OFFSET(Assumptions!$B$67,0,$C$1)),OFFSET(AG$16,0,0,1,-OFFSET(Assumptions!$B$67,0,$C$1))))/OFFSET(Assumptions!$B$67,0,$C$1)-(AG$454-AG$453)/AG$14,((AG$454-AG$453)/AG$14-(AF$454-AF$453)/AF$14)/AG$2),0))*AH$14 +AH$453</f>
        <v>6.1699243577520244</v>
      </c>
      <c r="AI454" s="8">
        <f ca="1">((AH$454-AH$453)/AH$14+ IF(AI$2&gt;0,AI$2*IF(AI$6=OFFSET(Assumptions!$B$8,0,$C$1),(SUMPRODUCT(OFFSET(AH$454,0,0,1,-OFFSET(Assumptions!$B$67,0,$C$1)),OFFSET(AH$16,0,0,1,-OFFSET(Assumptions!$B$67,0,$C$1)))-SUMPRODUCT(OFFSET(AH$453,0,0,1,-OFFSET(Assumptions!$B$67,0,$C$1)),OFFSET(AH$16,0,0,1,-OFFSET(Assumptions!$B$67,0,$C$1))))/OFFSET(Assumptions!$B$67,0,$C$1)-(AH$454-AH$453)/AH$14,((AH$454-AH$453)/AH$14-(AG$454-AG$453)/AG$14)/AH$2),0))*AI$14 +AI$453</f>
        <v>6.418127051654503</v>
      </c>
      <c r="AJ454" s="8">
        <f ca="1">((AI$454-AI$453)/AI$14+ IF(AJ$2&gt;0,AJ$2*IF(AJ$6=OFFSET(Assumptions!$B$8,0,$C$1),(SUMPRODUCT(OFFSET(AI$454,0,0,1,-OFFSET(Assumptions!$B$67,0,$C$1)),OFFSET(AI$16,0,0,1,-OFFSET(Assumptions!$B$67,0,$C$1)))-SUMPRODUCT(OFFSET(AI$453,0,0,1,-OFFSET(Assumptions!$B$67,0,$C$1)),OFFSET(AI$16,0,0,1,-OFFSET(Assumptions!$B$67,0,$C$1))))/OFFSET(Assumptions!$B$67,0,$C$1)-(AI$454-AI$453)/AI$14,((AI$454-AI$453)/AI$14-(AH$454-AH$453)/AH$14)/AI$2),0))*AJ$14 +AJ$453</f>
        <v>6.6760771974984774</v>
      </c>
      <c r="AK454" s="8">
        <f ca="1">((AJ$454-AJ$453)/AJ$14+ IF(AK$2&gt;0,AK$2*IF(AK$6=OFFSET(Assumptions!$B$8,0,$C$1),(SUMPRODUCT(OFFSET(AJ$454,0,0,1,-OFFSET(Assumptions!$B$67,0,$C$1)),OFFSET(AJ$16,0,0,1,-OFFSET(Assumptions!$B$67,0,$C$1)))-SUMPRODUCT(OFFSET(AJ$453,0,0,1,-OFFSET(Assumptions!$B$67,0,$C$1)),OFFSET(AJ$16,0,0,1,-OFFSET(Assumptions!$B$67,0,$C$1))))/OFFSET(Assumptions!$B$67,0,$C$1)-(AJ$454-AJ$453)/AJ$14,((AJ$454-AJ$453)/AJ$14-(AI$454-AI$453)/AI$14)/AJ$2),0))*AK$14 +AK$453</f>
        <v>6.9435625975481905</v>
      </c>
      <c r="AL454" s="8">
        <f ca="1">((AK$454-AK$453)/AK$14+ IF(AL$2&gt;0,AL$2*IF(AL$6=OFFSET(Assumptions!$B$8,0,$C$1),(SUMPRODUCT(OFFSET(AK$454,0,0,1,-OFFSET(Assumptions!$B$67,0,$C$1)),OFFSET(AK$16,0,0,1,-OFFSET(Assumptions!$B$67,0,$C$1)))-SUMPRODUCT(OFFSET(AK$453,0,0,1,-OFFSET(Assumptions!$B$67,0,$C$1)),OFFSET(AK$16,0,0,1,-OFFSET(Assumptions!$B$67,0,$C$1))))/OFFSET(Assumptions!$B$67,0,$C$1)-(AK$454-AK$453)/AK$14,((AK$454-AK$453)/AK$14-(AJ$454-AJ$453)/AJ$14)/AK$2),0))*AL$14 +AL$453</f>
        <v>7.2203725461745876</v>
      </c>
      <c r="AM454" s="8">
        <f ca="1">((AL$454-AL$453)/AL$14+ IF(AM$2&gt;0,AM$2*IF(AM$6=OFFSET(Assumptions!$B$8,0,$C$1),(SUMPRODUCT(OFFSET(AL$454,0,0,1,-OFFSET(Assumptions!$B$67,0,$C$1)),OFFSET(AL$16,0,0,1,-OFFSET(Assumptions!$B$67,0,$C$1)))-SUMPRODUCT(OFFSET(AL$453,0,0,1,-OFFSET(Assumptions!$B$67,0,$C$1)),OFFSET(AL$16,0,0,1,-OFFSET(Assumptions!$B$67,0,$C$1))))/OFFSET(Assumptions!$B$67,0,$C$1)-(AL$454-AL$453)/AL$14,((AL$454-AL$453)/AL$14-(AK$454-AK$453)/AK$14)/AL$2),0))*AM$14 +AM$453</f>
        <v>7.5068852018137644</v>
      </c>
      <c r="AN454" s="8">
        <f ca="1">((AM$454-AM$453)/AM$14+ IF(AN$2&gt;0,AN$2*IF(AN$6=OFFSET(Assumptions!$B$8,0,$C$1),(SUMPRODUCT(OFFSET(AM$454,0,0,1,-OFFSET(Assumptions!$B$67,0,$C$1)),OFFSET(AM$16,0,0,1,-OFFSET(Assumptions!$B$67,0,$C$1)))-SUMPRODUCT(OFFSET(AM$453,0,0,1,-OFFSET(Assumptions!$B$67,0,$C$1)),OFFSET(AM$16,0,0,1,-OFFSET(Assumptions!$B$67,0,$C$1))))/OFFSET(Assumptions!$B$67,0,$C$1)-(AM$454-AM$453)/AM$14,((AM$454-AM$453)/AM$14-(AL$454-AL$453)/AL$14)/AM$2),0))*AN$14 +AN$453</f>
        <v>7.8034991007951007</v>
      </c>
      <c r="AO454" s="8">
        <f ca="1">((AN$454-AN$453)/AN$14+ IF(AO$2&gt;0,AO$2*IF(AO$6=OFFSET(Assumptions!$B$8,0,$C$1),(SUMPRODUCT(OFFSET(AN$454,0,0,1,-OFFSET(Assumptions!$B$67,0,$C$1)),OFFSET(AN$16,0,0,1,-OFFSET(Assumptions!$B$67,0,$C$1)))-SUMPRODUCT(OFFSET(AN$453,0,0,1,-OFFSET(Assumptions!$B$67,0,$C$1)),OFFSET(AN$16,0,0,1,-OFFSET(Assumptions!$B$67,0,$C$1))))/OFFSET(Assumptions!$B$67,0,$C$1)-(AN$454-AN$453)/AN$14,((AN$454-AN$453)/AN$14-(AM$454-AM$453)/AM$14)/AN$2),0))*AO$14 +AO$453</f>
        <v>8.1090495429111336</v>
      </c>
      <c r="AP454" s="8">
        <f ca="1">((AO$454-AO$453)/AO$14+ IF(AP$2&gt;0,AP$2*IF(AP$6=OFFSET(Assumptions!$B$8,0,$C$1),(SUMPRODUCT(OFFSET(AO$454,0,0,1,-OFFSET(Assumptions!$B$67,0,$C$1)),OFFSET(AO$16,0,0,1,-OFFSET(Assumptions!$B$67,0,$C$1)))-SUMPRODUCT(OFFSET(AO$453,0,0,1,-OFFSET(Assumptions!$B$67,0,$C$1)),OFFSET(AO$16,0,0,1,-OFFSET(Assumptions!$B$67,0,$C$1))))/OFFSET(Assumptions!$B$67,0,$C$1)-(AO$454-AO$453)/AO$14,((AO$454-AO$453)/AO$14-(AN$454-AN$453)/AN$14)/AO$2),0))*AP$14 +AP$453</f>
        <v>8.4248340466227258</v>
      </c>
      <c r="AQ454" s="8">
        <f ca="1">((AP$454-AP$453)/AP$14+ IF(AQ$2&gt;0,AQ$2*IF(AQ$6=OFFSET(Assumptions!$B$8,0,$C$1),(SUMPRODUCT(OFFSET(AP$454,0,0,1,-OFFSET(Assumptions!$B$67,0,$C$1)),OFFSET(AP$16,0,0,1,-OFFSET(Assumptions!$B$67,0,$C$1)))-SUMPRODUCT(OFFSET(AP$453,0,0,1,-OFFSET(Assumptions!$B$67,0,$C$1)),OFFSET(AP$16,0,0,1,-OFFSET(Assumptions!$B$67,0,$C$1))))/OFFSET(Assumptions!$B$67,0,$C$1)-(AP$454-AP$453)/AP$14,((AP$454-AP$453)/AP$14-(AO$454-AO$453)/AO$14)/AP$2),0))*AQ$14 +AQ$453</f>
        <v>8.749967784747005</v>
      </c>
      <c r="AR454" s="8">
        <f ca="1">((AQ$454-AQ$453)/AQ$14+ IF(AR$2&gt;0,AR$2*IF(AR$6=OFFSET(Assumptions!$B$8,0,$C$1),(SUMPRODUCT(OFFSET(AQ$454,0,0,1,-OFFSET(Assumptions!$B$67,0,$C$1)),OFFSET(AQ$16,0,0,1,-OFFSET(Assumptions!$B$67,0,$C$1)))-SUMPRODUCT(OFFSET(AQ$453,0,0,1,-OFFSET(Assumptions!$B$67,0,$C$1)),OFFSET(AQ$16,0,0,1,-OFFSET(Assumptions!$B$67,0,$C$1))))/OFFSET(Assumptions!$B$67,0,$C$1)-(AQ$454-AQ$453)/AQ$14,((AQ$454-AQ$453)/AQ$14-(AP$454-AP$453)/AP$14)/AQ$2),0))*AR$14 +AR$453</f>
        <v>9.0848188668409353</v>
      </c>
      <c r="AS454" s="8">
        <f ca="1">((AR$454-AR$453)/AR$14+ IF(AS$2&gt;0,AS$2*IF(AS$6=OFFSET(Assumptions!$B$8,0,$C$1),(SUMPRODUCT(OFFSET(AR$454,0,0,1,-OFFSET(Assumptions!$B$67,0,$C$1)),OFFSET(AR$16,0,0,1,-OFFSET(Assumptions!$B$67,0,$C$1)))-SUMPRODUCT(OFFSET(AR$453,0,0,1,-OFFSET(Assumptions!$B$67,0,$C$1)),OFFSET(AR$16,0,0,1,-OFFSET(Assumptions!$B$67,0,$C$1))))/OFFSET(Assumptions!$B$67,0,$C$1)-(AR$454-AR$453)/AR$14,((AR$454-AR$453)/AR$14-(AQ$454-AQ$453)/AQ$14)/AR$2),0))*AS$14 +AS$453</f>
        <v>9.4301684908206393</v>
      </c>
      <c r="AT454" s="8">
        <f ca="1">((AS$454-AS$453)/AS$14+ IF(AT$2&gt;0,AT$2*IF(AT$6=OFFSET(Assumptions!$B$8,0,$C$1),(SUMPRODUCT(OFFSET(AS$454,0,0,1,-OFFSET(Assumptions!$B$67,0,$C$1)),OFFSET(AS$16,0,0,1,-OFFSET(Assumptions!$B$67,0,$C$1)))-SUMPRODUCT(OFFSET(AS$453,0,0,1,-OFFSET(Assumptions!$B$67,0,$C$1)),OFFSET(AS$16,0,0,1,-OFFSET(Assumptions!$B$67,0,$C$1))))/OFFSET(Assumptions!$B$67,0,$C$1)-(AS$454-AS$453)/AS$14,((AS$454-AS$453)/AS$14-(AR$454-AR$453)/AR$14)/AS$2),0))*AT$14 +AT$453</f>
        <v>9.7862924761243502</v>
      </c>
      <c r="AU454" s="8">
        <f ca="1">((AT$454-AT$453)/AT$14+ IF(AU$2&gt;0,AU$2*IF(AU$6=OFFSET(Assumptions!$B$8,0,$C$1),(SUMPRODUCT(OFFSET(AT$454,0,0,1,-OFFSET(Assumptions!$B$67,0,$C$1)),OFFSET(AT$16,0,0,1,-OFFSET(Assumptions!$B$67,0,$C$1)))-SUMPRODUCT(OFFSET(AT$453,0,0,1,-OFFSET(Assumptions!$B$67,0,$C$1)),OFFSET(AT$16,0,0,1,-OFFSET(Assumptions!$B$67,0,$C$1))))/OFFSET(Assumptions!$B$67,0,$C$1)-(AT$454-AT$453)/AT$14,((AT$454-AT$453)/AT$14-(AS$454-AS$453)/AS$14)/AT$2),0))*AU$14 +AU$453</f>
        <v>10.153664388149764</v>
      </c>
      <c r="AV454" s="8">
        <f ca="1">((AU$454-AU$453)/AU$14+ IF(AV$2&gt;0,AV$2*IF(AV$6=OFFSET(Assumptions!$B$8,0,$C$1),(SUMPRODUCT(OFFSET(AU$454,0,0,1,-OFFSET(Assumptions!$B$67,0,$C$1)),OFFSET(AU$16,0,0,1,-OFFSET(Assumptions!$B$67,0,$C$1)))-SUMPRODUCT(OFFSET(AU$453,0,0,1,-OFFSET(Assumptions!$B$67,0,$C$1)),OFFSET(AU$16,0,0,1,-OFFSET(Assumptions!$B$67,0,$C$1))))/OFFSET(Assumptions!$B$67,0,$C$1)-(AU$454-AU$453)/AU$14,((AU$454-AU$453)/AU$14-(AT$454-AT$453)/AT$14)/AU$2),0))*AV$14 +AV$453</f>
        <v>10.533420103400676</v>
      </c>
      <c r="AW454" s="8">
        <f ca="1">((AV$454-AV$453)/AV$14+ IF(AW$2&gt;0,AW$2*IF(AW$6=OFFSET(Assumptions!$B$8,0,$C$1),(SUMPRODUCT(OFFSET(AV$454,0,0,1,-OFFSET(Assumptions!$B$67,0,$C$1)),OFFSET(AV$16,0,0,1,-OFFSET(Assumptions!$B$67,0,$C$1)))-SUMPRODUCT(OFFSET(AV$453,0,0,1,-OFFSET(Assumptions!$B$67,0,$C$1)),OFFSET(AV$16,0,0,1,-OFFSET(Assumptions!$B$67,0,$C$1))))/OFFSET(Assumptions!$B$67,0,$C$1)-(AV$454-AV$453)/AV$14,((AV$454-AV$453)/AV$14-(AU$454-AU$453)/AU$14)/AV$2),0))*AW$14 +AW$453</f>
        <v>10.925345228441913</v>
      </c>
    </row>
    <row r="455" spans="1:49" ht="15" x14ac:dyDescent="0.25">
      <c r="A455" s="2"/>
      <c r="B455" s="4"/>
      <c r="D455" s="47"/>
      <c r="E455" s="44"/>
      <c r="F455" s="44"/>
      <c r="G455" s="44"/>
      <c r="H455" s="44"/>
      <c r="I455" s="44"/>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row>
    <row r="456" spans="1:49" ht="15" x14ac:dyDescent="0.25">
      <c r="A456" s="22" t="s">
        <v>249</v>
      </c>
      <c r="B456" s="4"/>
      <c r="D456" s="47"/>
      <c r="E456" s="44"/>
      <c r="F456" s="44"/>
      <c r="G456" s="44"/>
      <c r="H456" s="44"/>
      <c r="I456" s="44"/>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row>
    <row r="457" spans="1:49" x14ac:dyDescent="0.2">
      <c r="A457" s="1" t="s">
        <v>680</v>
      </c>
      <c r="B457" s="4" t="str">
        <f t="shared" si="265"/>
        <v>From Fiscal</v>
      </c>
      <c r="D457" s="18">
        <f>Fiscal!D$181</f>
        <v>2.3E-2</v>
      </c>
      <c r="E457" s="19">
        <f>Fiscal!E$181</f>
        <v>1.0999999999999999E-2</v>
      </c>
      <c r="F457" s="19">
        <f>Fiscal!F$181</f>
        <v>1.0999999999999999E-2</v>
      </c>
      <c r="G457" s="19">
        <f>Fiscal!G$181</f>
        <v>1.0999999999999999E-2</v>
      </c>
      <c r="H457" s="19">
        <f>Fiscal!H$181</f>
        <v>1.0999999999999999E-2</v>
      </c>
      <c r="I457" s="19">
        <f>Fiscal!I$181</f>
        <v>1.0999999999999999E-2</v>
      </c>
      <c r="J457" s="7">
        <f ca="1">IF(J$6=OFFSET(Assumptions!$B$8,0,$C$1),AVERAGE(G$457/G$14,H$457/H$14,I$457/I$14),I$457/I$14) *J$14</f>
        <v>1.1976707958578171E-2</v>
      </c>
      <c r="K457" s="7">
        <f ca="1">IF(K$6=OFFSET(Assumptions!$B$8,0,$C$1),AVERAGE(H$457/H$14,I$457/I$14,J$457/J$14),J$457/J$14) *K$14</f>
        <v>1.2477216947666981E-2</v>
      </c>
      <c r="L457" s="7">
        <f ca="1">IF(L$6=OFFSET(Assumptions!$B$8,0,$C$1),AVERAGE(I$457/I$14,J$457/J$14,K$457/K$14),K$457/K$14) *L$14</f>
        <v>1.3018045538627267E-2</v>
      </c>
      <c r="M457" s="7">
        <f ca="1">IF(M$6=OFFSET(Assumptions!$B$8,0,$C$1),AVERAGE(J$457/J$14,K$457/K$14,L$457/L$14),L$457/L$14) *M$14</f>
        <v>1.3580509120387982E-2</v>
      </c>
      <c r="N457" s="7">
        <f ca="1">IF(N$6=OFFSET(Assumptions!$B$8,0,$C$1),AVERAGE(K$457/K$14,L$457/L$14,M$457/M$14),M$457/M$14) *N$14</f>
        <v>1.4166202208550105E-2</v>
      </c>
      <c r="O457" s="7">
        <f ca="1">IF(O$6=OFFSET(Assumptions!$B$8,0,$C$1),AVERAGE(L$457/L$14,M$457/M$14,N$457/N$14),N$457/N$14) *O$14</f>
        <v>1.4770911101032643E-2</v>
      </c>
      <c r="P457" s="7">
        <f ca="1">IF(P$6=OFFSET(Assumptions!$B$8,0,$C$1),AVERAGE(M$457/M$14,N$457/N$14,O$457/O$14),O$457/O$14) *P$14</f>
        <v>1.5395556701544239E-2</v>
      </c>
      <c r="Q457" s="7">
        <f ca="1">IF(Q$6=OFFSET(Assumptions!$B$8,0,$C$1),AVERAGE(N$457/N$14,O$457/O$14,P$457/P$14),P$457/P$14) *Q$14</f>
        <v>1.6039464278139685E-2</v>
      </c>
      <c r="R457" s="7">
        <f ca="1">IF(R$6=OFFSET(Assumptions!$B$8,0,$C$1),AVERAGE(O$457/O$14,P$457/P$14,Q$457/Q$14),Q$457/Q$14) *R$14</f>
        <v>1.6702155911343063E-2</v>
      </c>
      <c r="S457" s="7">
        <f ca="1">IF(S$6=OFFSET(Assumptions!$B$8,0,$C$1),AVERAGE(P$457/P$14,Q$457/Q$14,R$457/R$14),R$457/R$14) *S$14</f>
        <v>1.7385737608142021E-2</v>
      </c>
      <c r="T457" s="7">
        <f ca="1">IF(T$6=OFFSET(Assumptions!$B$8,0,$C$1),AVERAGE(Q$457/Q$14,R$457/R$14,S$457/S$14),S$457/S$14) *T$14</f>
        <v>1.8090458647637538E-2</v>
      </c>
      <c r="U457" s="7">
        <f ca="1">IF(U$6=OFFSET(Assumptions!$B$8,0,$C$1),AVERAGE(R$457/R$14,S$457/S$14,T$457/T$14),T$457/T$14) *U$14</f>
        <v>1.8818848255064149E-2</v>
      </c>
      <c r="V457" s="7">
        <f ca="1">IF(V$6=OFFSET(Assumptions!$B$8,0,$C$1),AVERAGE(S$457/S$14,T$457/T$14,U$457/U$14),U$457/U$14) *V$14</f>
        <v>1.9572704464328187E-2</v>
      </c>
      <c r="W457" s="7">
        <f ca="1">IF(W$6=OFFSET(Assumptions!$B$8,0,$C$1),AVERAGE(T$457/T$14,U$457/U$14,V$457/V$14),V$457/V$14) *W$14</f>
        <v>2.0354211387018577E-2</v>
      </c>
      <c r="X457" s="7">
        <f ca="1">IF(X$6=OFFSET(Assumptions!$B$8,0,$C$1),AVERAGE(U$457/U$14,V$457/V$14,W$457/W$14),W$457/W$14) *X$14</f>
        <v>2.1165844412965817E-2</v>
      </c>
      <c r="Y457" s="7">
        <f ca="1">IF(Y$6=OFFSET(Assumptions!$B$8,0,$C$1),AVERAGE(V$457/V$14,W$457/W$14,X$457/X$14),X$457/X$14) *Y$14</f>
        <v>2.2007520566400828E-2</v>
      </c>
      <c r="Z457" s="7">
        <f ca="1">IF(Z$6=OFFSET(Assumptions!$B$8,0,$C$1),AVERAGE(W$457/W$14,X$457/X$14,Y$457/Y$14),Y$457/Y$14) *Z$14</f>
        <v>2.288350011102333E-2</v>
      </c>
      <c r="AA457" s="7">
        <f ca="1">IF(AA$6=OFFSET(Assumptions!$B$8,0,$C$1),AVERAGE(X$457/X$14,Y$457/Y$14,Z$457/Z$14),Z$457/Z$14) *AA$14</f>
        <v>2.3795200384757329E-2</v>
      </c>
      <c r="AB457" s="7">
        <f ca="1">IF(AB$6=OFFSET(Assumptions!$B$8,0,$C$1),AVERAGE(Y$457/Y$14,Z$457/Z$14,AA$457/AA$14),AA$457/AA$14) *AB$14</f>
        <v>2.4745359307721523E-2</v>
      </c>
      <c r="AC457" s="7">
        <f ca="1">IF(AC$6=OFFSET(Assumptions!$B$8,0,$C$1),AVERAGE(Z$457/Z$14,AA$457/AA$14,AB$457/AB$14),AB$457/AB$14) *AC$14</f>
        <v>2.5737563858788934E-2</v>
      </c>
      <c r="AD457" s="7">
        <f ca="1">IF(AD$6=OFFSET(Assumptions!$B$8,0,$C$1),AVERAGE(AA$457/AA$14,AB$457/AB$14,AC$457/AC$14),AC$457/AC$14) *AD$14</f>
        <v>2.6772859833795924E-2</v>
      </c>
      <c r="AE457" s="7">
        <f ca="1">IF(AE$6=OFFSET(Assumptions!$B$8,0,$C$1),AVERAGE(AB$457/AB$14,AC$457/AC$14,AD$457/AD$14),AD$457/AD$14) *AE$14</f>
        <v>2.7850296451380315E-2</v>
      </c>
      <c r="AF457" s="7">
        <f ca="1">IF(AF$6=OFFSET(Assumptions!$B$8,0,$C$1),AVERAGE(AC$457/AC$14,AD$457/AD$14,AE$457/AE$14),AE$457/AE$14) *AF$14</f>
        <v>2.8972854547256264E-2</v>
      </c>
      <c r="AG457" s="7">
        <f ca="1">IF(AG$6=OFFSET(Assumptions!$B$8,0,$C$1),AVERAGE(AD$457/AD$14,AE$457/AE$14,AF$457/AF$14),AF$457/AF$14) *AG$14</f>
        <v>3.0141161808970765E-2</v>
      </c>
      <c r="AH457" s="7">
        <f ca="1">IF(AH$6=OFFSET(Assumptions!$B$8,0,$C$1),AVERAGE(AE$457/AE$14,AF$457/AF$14,AG$457/AG$14),AG$457/AG$14) *AH$14</f>
        <v>3.1357091698282491E-2</v>
      </c>
      <c r="AI457" s="7">
        <f ca="1">IF(AI$6=OFFSET(Assumptions!$B$8,0,$C$1),AVERAGE(AF$457/AF$14,AG$457/AG$14,AH$457/AH$14),AH$457/AH$14) *AI$14</f>
        <v>3.2618519583161192E-2</v>
      </c>
      <c r="AJ457" s="7">
        <f ca="1">IF(AJ$6=OFFSET(Assumptions!$B$8,0,$C$1),AVERAGE(AG$457/AG$14,AH$457/AH$14,AI$457/AI$14),AI$457/AI$14) *AJ$14</f>
        <v>3.3929486445607768E-2</v>
      </c>
      <c r="AK457" s="7">
        <f ca="1">IF(AK$6=OFFSET(Assumptions!$B$8,0,$C$1),AVERAGE(AH$457/AH$14,AI$457/AI$14,AJ$457/AJ$14),AJ$457/AJ$14) *AK$14</f>
        <v>3.5288913843898692E-2</v>
      </c>
      <c r="AL457" s="7">
        <f ca="1">IF(AL$6=OFFSET(Assumptions!$B$8,0,$C$1),AVERAGE(AI$457/AI$14,AJ$457/AJ$14,AK$457/AK$14),AK$457/AK$14) *AL$14</f>
        <v>3.6695730919568202E-2</v>
      </c>
      <c r="AM457" s="7">
        <f ca="1">IF(AM$6=OFFSET(Assumptions!$B$8,0,$C$1),AVERAGE(AJ$457/AJ$14,AK$457/AK$14,AL$457/AL$14),AL$457/AL$14) *AM$14</f>
        <v>3.8151859567937797E-2</v>
      </c>
      <c r="AN457" s="7">
        <f ca="1">IF(AN$6=OFFSET(Assumptions!$B$8,0,$C$1),AVERAGE(AK$457/AK$14,AL$457/AL$14,AM$457/AM$14),AM$457/AM$14) *AN$14</f>
        <v>3.9659325249856076E-2</v>
      </c>
      <c r="AO457" s="7">
        <f ca="1">IF(AO$6=OFFSET(Assumptions!$B$8,0,$C$1),AVERAGE(AL$457/AL$14,AM$457/AM$14,AN$457/AN$14),AN$457/AN$14) *AO$14</f>
        <v>4.1212208668895932E-2</v>
      </c>
      <c r="AP457" s="7">
        <f ca="1">IF(AP$6=OFFSET(Assumptions!$B$8,0,$C$1),AVERAGE(AM$457/AM$14,AN$457/AN$14,AO$457/AO$14),AO$457/AO$14) *AP$14</f>
        <v>4.2817104136915696E-2</v>
      </c>
      <c r="AQ457" s="7">
        <f ca="1">IF(AQ$6=OFFSET(Assumptions!$B$8,0,$C$1),AVERAGE(AN$457/AN$14,AO$457/AO$14,AP$457/AP$14),AP$457/AP$14) *AQ$14</f>
        <v>4.4469514741878602E-2</v>
      </c>
      <c r="AR457" s="7">
        <f ca="1">IF(AR$6=OFFSET(Assumptions!$B$8,0,$C$1),AVERAGE(AO$457/AO$14,AP$457/AP$14,AQ$457/AQ$14),AQ$457/AQ$14) *AR$14</f>
        <v>4.6171311308200548E-2</v>
      </c>
      <c r="AS457" s="7">
        <f ca="1">IF(AS$6=OFFSET(Assumptions!$B$8,0,$C$1),AVERAGE(AP$457/AP$14,AQ$457/AQ$14,AR$457/AR$14),AR$457/AR$14) *AS$14</f>
        <v>4.7926464078184336E-2</v>
      </c>
      <c r="AT457" s="7">
        <f ca="1">IF(AT$6=OFFSET(Assumptions!$B$8,0,$C$1),AVERAGE(AQ$457/AQ$14,AR$457/AR$14,AS$457/AS$14),AS$457/AS$14) *AT$14</f>
        <v>4.9736374834885237E-2</v>
      </c>
      <c r="AU457" s="7">
        <f ca="1">IF(AU$6=OFFSET(Assumptions!$B$8,0,$C$1),AVERAGE(AR$457/AR$14,AS$457/AS$14,AT$457/AT$14),AT$457/AT$14) *AU$14</f>
        <v>5.1603450355556843E-2</v>
      </c>
      <c r="AV457" s="7">
        <f ca="1">IF(AV$6=OFFSET(Assumptions!$B$8,0,$C$1),AVERAGE(AS$457/AS$14,AT$457/AT$14,AU$457/AU$14),AU$457/AU$14) *AV$14</f>
        <v>5.3533463447388054E-2</v>
      </c>
      <c r="AW457" s="7">
        <f ca="1">IF(AW$6=OFFSET(Assumptions!$B$8,0,$C$1),AVERAGE(AT$457/AT$14,AU$457/AU$14,AV$457/AV$14),AV$457/AV$14) *AW$14</f>
        <v>5.5525324509564281E-2</v>
      </c>
    </row>
    <row r="458" spans="1:49" x14ac:dyDescent="0.2">
      <c r="A458" s="1" t="s">
        <v>677</v>
      </c>
      <c r="B458" s="4" t="str">
        <f t="shared" si="265"/>
        <v>From Fiscal</v>
      </c>
      <c r="D458" s="18">
        <f>Fiscal!D$352</f>
        <v>32.518000000000001</v>
      </c>
      <c r="E458" s="19">
        <f>Fiscal!E$352</f>
        <v>36.975999999999999</v>
      </c>
      <c r="F458" s="19">
        <f>Fiscal!F$352</f>
        <v>38.25</v>
      </c>
      <c r="G458" s="19">
        <f>Fiscal!G$352</f>
        <v>39.436999999999998</v>
      </c>
      <c r="H458" s="19">
        <f>Fiscal!H$352</f>
        <v>40.725999999999999</v>
      </c>
      <c r="I458" s="19">
        <f>Fiscal!I$352</f>
        <v>42.137</v>
      </c>
      <c r="J458" s="7">
        <f>I$458*Exogenous!Q$29/Exogenous!P$29</f>
        <v>43.912695102714821</v>
      </c>
      <c r="K458" s="7">
        <f>J$458*Exogenous!R$29/Exogenous!Q$29</f>
        <v>45.776808130552709</v>
      </c>
      <c r="L458" s="7">
        <f>K$458*Exogenous!S$29/Exogenous!R$29</f>
        <v>47.726819323971611</v>
      </c>
      <c r="M458" s="7">
        <f>L$458*Exogenous!T$29/Exogenous!S$29</f>
        <v>49.748807088047968</v>
      </c>
      <c r="N458" s="7">
        <f>M$458*Exogenous!U$29/Exogenous!T$29</f>
        <v>51.877942894319091</v>
      </c>
      <c r="O458" s="7">
        <f>N$458*Exogenous!V$29/Exogenous!U$29</f>
        <v>54.017221180331994</v>
      </c>
      <c r="P458" s="7">
        <f>O$458*Exogenous!W$29/Exogenous!V$29</f>
        <v>56.229739450625068</v>
      </c>
      <c r="Q458" s="7">
        <f>P$458*Exogenous!X$29/Exogenous!W$29</f>
        <v>58.496426321293107</v>
      </c>
      <c r="R458" s="7">
        <f>Q$458*Exogenous!Y$29/Exogenous!X$29</f>
        <v>60.822506522144494</v>
      </c>
      <c r="S458" s="7">
        <f>R$458*Exogenous!Z$29/Exogenous!Y$29</f>
        <v>63.233595824478982</v>
      </c>
      <c r="T458" s="7">
        <f>S$458*Exogenous!AA$29/Exogenous!Z$29</f>
        <v>65.733739963455449</v>
      </c>
      <c r="U458" s="7">
        <f>T$458*Exogenous!AB$29/Exogenous!AA$29</f>
        <v>68.322324234959964</v>
      </c>
      <c r="V458" s="7">
        <f>U$458*Exogenous!AC$29/Exogenous!AB$29</f>
        <v>70.998161068341261</v>
      </c>
      <c r="W458" s="7">
        <f>V$458*Exogenous!AD$29/Exogenous!AC$29</f>
        <v>73.75447578806957</v>
      </c>
      <c r="X458" s="7">
        <f>W$458*Exogenous!AE$29/Exogenous!AD$29</f>
        <v>76.611387649552469</v>
      </c>
      <c r="Y458" s="7">
        <f>X$458*Exogenous!AF$29/Exogenous!AE$29</f>
        <v>79.58078804812402</v>
      </c>
      <c r="Z458" s="7">
        <f>Y$458*Exogenous!AG$29/Exogenous!AF$29</f>
        <v>82.664643976647724</v>
      </c>
      <c r="AA458" s="7">
        <f>Z$458*Exogenous!AH$29/Exogenous!AG$29</f>
        <v>85.865355682081912</v>
      </c>
      <c r="AB458" s="7">
        <f>AA$458*Exogenous!AI$29/Exogenous!AH$29</f>
        <v>89.182682431173049</v>
      </c>
      <c r="AC458" s="7">
        <f>AB$458*Exogenous!AJ$29/Exogenous!AI$29</f>
        <v>92.643716761610349</v>
      </c>
      <c r="AD458" s="7">
        <f>AC$458*Exogenous!AK$29/Exogenous!AJ$29</f>
        <v>96.294179270774805</v>
      </c>
      <c r="AE458" s="7">
        <f>AD$458*Exogenous!AL$29/Exogenous!AK$29</f>
        <v>100.14881792561971</v>
      </c>
      <c r="AF458" s="7">
        <f>AE$458*Exogenous!AM$29/Exogenous!AL$29</f>
        <v>104.17199924197244</v>
      </c>
      <c r="AG458" s="7">
        <f>AF$458*Exogenous!AN$29/Exogenous!AM$29</f>
        <v>108.35432747462076</v>
      </c>
      <c r="AH458" s="7">
        <f>AG$458*Exogenous!AO$29/Exogenous!AN$29</f>
        <v>112.70367141478683</v>
      </c>
      <c r="AI458" s="7">
        <f>AH$458*Exogenous!AP$29/Exogenous!AO$29</f>
        <v>117.22831159170386</v>
      </c>
      <c r="AJ458" s="7">
        <f>AI$458*Exogenous!AQ$29/Exogenous!AP$29</f>
        <v>121.9369632079632</v>
      </c>
      <c r="AK458" s="7">
        <f>AJ$458*Exogenous!AR$29/Exogenous!AQ$29</f>
        <v>126.83880043384906</v>
      </c>
      <c r="AL458" s="7">
        <f>AK$458*Exogenous!AS$29/Exogenous!AR$29</f>
        <v>131.94348214569092</v>
      </c>
      <c r="AM458" s="7">
        <f>AL$458*Exogenous!AT$29/Exogenous!AS$29</f>
        <v>137.2611791988233</v>
      </c>
      <c r="AN458" s="7">
        <f>AM$458*Exogenous!AU$29/Exogenous!AT$29</f>
        <v>142.8026033316695</v>
      </c>
      <c r="AO458" s="7">
        <f>AN$458*Exogenous!AV$29/Exogenous!AU$29</f>
        <v>148.57903780379786</v>
      </c>
      <c r="AP458" s="7">
        <f>AO$458*Exogenous!AW$29/Exogenous!AV$29</f>
        <v>154.60236987756255</v>
      </c>
      <c r="AQ458" s="7">
        <f>AP$458*Exogenous!AX$29/Exogenous!AW$29</f>
        <v>160.88512526015532</v>
      </c>
      <c r="AR458" s="7">
        <f>AQ$458*Exogenous!AY$29/Exogenous!AX$29</f>
        <v>167.44050463060131</v>
      </c>
      <c r="AS458" s="7">
        <f>AR$458*Exogenous!AZ$29/Exogenous!AY$29</f>
        <v>174.28242238446714</v>
      </c>
      <c r="AT458" s="7">
        <f>AS$458*Exogenous!BA$29/Exogenous!AZ$29</f>
        <v>181.37507376404872</v>
      </c>
      <c r="AU458" s="7">
        <f>AT$458*Exogenous!BB$29/Exogenous!BA$29</f>
        <v>188.75636987844643</v>
      </c>
      <c r="AV458" s="7">
        <f>AU$458*Exogenous!BC$29/Exogenous!BB$29</f>
        <v>196.43805750308715</v>
      </c>
      <c r="AW458" s="7">
        <f>AV$458*Exogenous!BD$29/Exogenous!BC$29</f>
        <v>204.43236146380471</v>
      </c>
    </row>
    <row r="459" spans="1:49" x14ac:dyDescent="0.2">
      <c r="A459" s="1" t="s">
        <v>678</v>
      </c>
      <c r="B459" s="4" t="str">
        <f t="shared" si="265"/>
        <v>From Fiscal</v>
      </c>
      <c r="D459" s="18">
        <f>SUM(Fiscal!D$353:D$354)-D$457</f>
        <v>3.8899999999999997</v>
      </c>
      <c r="E459" s="19">
        <f>SUM(Fiscal!E$353:E$354)-E$457</f>
        <v>2.3379999999999996</v>
      </c>
      <c r="F459" s="19">
        <f>SUM(Fiscal!F$353:F$354)-F$457</f>
        <v>1.0200000000000002</v>
      </c>
      <c r="G459" s="19">
        <f>SUM(Fiscal!G$353:G$354)-G$457</f>
        <v>0.312</v>
      </c>
      <c r="H459" s="19">
        <f>SUM(Fiscal!H$353:H$354)-H$457</f>
        <v>0.21999999999999997</v>
      </c>
      <c r="I459" s="19">
        <f>SUM(Fiscal!I$353:I$354)-I$457</f>
        <v>0.22399999999999998</v>
      </c>
      <c r="J459" s="7">
        <f ca="1">(I$459/I$14+ IF(J$2&gt;0,J$2*IF(J$6=OFFSET(Assumptions!$B$8,0,$C$1),SUMPRODUCT(OFFSET(I$459,0,0,1,-OFFSET(Assumptions!$B$67,0,$C$1)),OFFSET(I$16,0,0,1,-OFFSET(Assumptions!$B$67,0,$C$1)))/OFFSET(Assumptions!$B$67,0,$C$1)-I$459/I$14,(I$459/I$14-H$459/H$14)/I$2),0))*J$14</f>
        <v>0.24758227485678008</v>
      </c>
      <c r="K459" s="7">
        <f ca="1">(J$459/J$14+ IF(K$2&gt;0,K$2*IF(K$6=OFFSET(Assumptions!$B$8,0,$C$1),SUMPRODUCT(OFFSET(J$459,0,0,1,-OFFSET(Assumptions!$B$67,0,$C$1)),OFFSET(J$16,0,0,1,-OFFSET(Assumptions!$B$67,0,$C$1)))/OFFSET(Assumptions!$B$67,0,$C$1)-J$459/J$14,(J$459/J$14-I$459/I$14)/J$2),0))*K$14</f>
        <v>0.26971648037680163</v>
      </c>
      <c r="L459" s="7">
        <f ca="1">(K$459/K$14+ IF(L$2&gt;0,L$2*IF(L$6=OFFSET(Assumptions!$B$8,0,$C$1),SUMPRODUCT(OFFSET(K$459,0,0,1,-OFFSET(Assumptions!$B$67,0,$C$1)),OFFSET(K$16,0,0,1,-OFFSET(Assumptions!$B$67,0,$C$1)))/OFFSET(Assumptions!$B$67,0,$C$1)-K$459/K$14,(K$459/K$14-J$459/J$14)/K$2),0))*L$14</f>
        <v>0.29063139531330728</v>
      </c>
      <c r="M459" s="7">
        <f ca="1">(L$459/L$14+ IF(M$2&gt;0,M$2*IF(M$6=OFFSET(Assumptions!$B$8,0,$C$1),SUMPRODUCT(OFFSET(L$459,0,0,1,-OFFSET(Assumptions!$B$67,0,$C$1)),OFFSET(L$16,0,0,1,-OFFSET(Assumptions!$B$67,0,$C$1)))/OFFSET(Assumptions!$B$67,0,$C$1)-L$459/L$14,(L$459/L$14-K$459/K$14)/L$2),0))*M$14</f>
        <v>0.309603554619718</v>
      </c>
      <c r="N459" s="7">
        <f ca="1">(M$459/M$14+ IF(N$2&gt;0,N$2*IF(N$6=OFFSET(Assumptions!$B$8,0,$C$1),SUMPRODUCT(OFFSET(M$459,0,0,1,-OFFSET(Assumptions!$B$67,0,$C$1)),OFFSET(M$16,0,0,1,-OFFSET(Assumptions!$B$67,0,$C$1)))/OFFSET(Assumptions!$B$67,0,$C$1)-M$459/M$14,(M$459/M$14-L$459/L$14)/M$2),0))*N$14</f>
        <v>0.32630180988219221</v>
      </c>
      <c r="O459" s="7">
        <f ca="1">(N$459/N$14+ IF(O$2&gt;0,O$2*IF(O$6=OFFSET(Assumptions!$B$8,0,$C$1),SUMPRODUCT(OFFSET(N$459,0,0,1,-OFFSET(Assumptions!$B$67,0,$C$1)),OFFSET(N$16,0,0,1,-OFFSET(Assumptions!$B$67,0,$C$1)))/OFFSET(Assumptions!$B$67,0,$C$1)-N$459/N$14,(N$459/N$14-M$459/M$14)/N$2),0))*O$14</f>
        <v>0.34023056814527958</v>
      </c>
      <c r="P459" s="7">
        <f ca="1">(O$459/O$14+ IF(P$2&gt;0,P$2*IF(P$6=OFFSET(Assumptions!$B$8,0,$C$1),SUMPRODUCT(OFFSET(O$459,0,0,1,-OFFSET(Assumptions!$B$67,0,$C$1)),OFFSET(O$16,0,0,1,-OFFSET(Assumptions!$B$67,0,$C$1)))/OFFSET(Assumptions!$B$67,0,$C$1)-O$459/O$14,(O$459/O$14-N$459/N$14)/O$2),0))*P$14</f>
        <v>0.35461854503430518</v>
      </c>
      <c r="Q459" s="7">
        <f ca="1">(P$459/P$14+ IF(Q$2&gt;0,Q$2*IF(Q$6=OFFSET(Assumptions!$B$8,0,$C$1),SUMPRODUCT(OFFSET(P$459,0,0,1,-OFFSET(Assumptions!$B$67,0,$C$1)),OFFSET(P$16,0,0,1,-OFFSET(Assumptions!$B$67,0,$C$1)))/OFFSET(Assumptions!$B$67,0,$C$1)-P$459/P$14,(P$459/P$14-O$459/O$14)/P$2),0))*Q$14</f>
        <v>0.36945019889232639</v>
      </c>
      <c r="R459" s="7">
        <f ca="1">(Q$459/Q$14+ IF(R$2&gt;0,R$2*IF(R$6=OFFSET(Assumptions!$B$8,0,$C$1),SUMPRODUCT(OFFSET(Q$459,0,0,1,-OFFSET(Assumptions!$B$67,0,$C$1)),OFFSET(Q$16,0,0,1,-OFFSET(Assumptions!$B$67,0,$C$1)))/OFFSET(Assumptions!$B$67,0,$C$1)-Q$459/Q$14,(Q$459/Q$14-P$459/P$14)/Q$2),0))*R$14</f>
        <v>0.38471452140619933</v>
      </c>
      <c r="S459" s="7">
        <f ca="1">(R$459/R$14+ IF(S$2&gt;0,S$2*IF(S$6=OFFSET(Assumptions!$B$8,0,$C$1),SUMPRODUCT(OFFSET(R$459,0,0,1,-OFFSET(Assumptions!$B$67,0,$C$1)),OFFSET(R$16,0,0,1,-OFFSET(Assumptions!$B$67,0,$C$1)))/OFFSET(Assumptions!$B$67,0,$C$1)-R$459/R$14,(R$459/R$14-Q$459/Q$14)/R$2),0))*S$14</f>
        <v>0.40046002197043767</v>
      </c>
      <c r="T459" s="7">
        <f ca="1">(S$459/S$14+ IF(T$2&gt;0,T$2*IF(T$6=OFFSET(Assumptions!$B$8,0,$C$1),SUMPRODUCT(OFFSET(S$459,0,0,1,-OFFSET(Assumptions!$B$67,0,$C$1)),OFFSET(S$16,0,0,1,-OFFSET(Assumptions!$B$67,0,$C$1)))/OFFSET(Assumptions!$B$67,0,$C$1)-S$459/S$14,(S$459/S$14-R$459/R$14)/S$2),0))*T$14</f>
        <v>0.41669244243600601</v>
      </c>
      <c r="U459" s="7">
        <f ca="1">(T$459/T$14+ IF(U$2&gt;0,U$2*IF(U$6=OFFSET(Assumptions!$B$8,0,$C$1),SUMPRODUCT(OFFSET(T$459,0,0,1,-OFFSET(Assumptions!$B$67,0,$C$1)),OFFSET(T$16,0,0,1,-OFFSET(Assumptions!$B$67,0,$C$1)))/OFFSET(Assumptions!$B$67,0,$C$1)-T$459/T$14,(T$459/T$14-S$459/S$14)/T$2),0))*U$14</f>
        <v>0.43347004053207394</v>
      </c>
      <c r="V459" s="7">
        <f ca="1">(U$459/U$14+ IF(V$2&gt;0,V$2*IF(V$6=OFFSET(Assumptions!$B$8,0,$C$1),SUMPRODUCT(OFFSET(U$459,0,0,1,-OFFSET(Assumptions!$B$67,0,$C$1)),OFFSET(U$16,0,0,1,-OFFSET(Assumptions!$B$67,0,$C$1)))/OFFSET(Assumptions!$B$67,0,$C$1)-U$459/U$14,(U$459/U$14-T$459/T$14)/U$2),0))*V$14</f>
        <v>0.45083423185537141</v>
      </c>
      <c r="W459" s="7">
        <f ca="1">(V$459/V$14+ IF(W$2&gt;0,W$2*IF(W$6=OFFSET(Assumptions!$B$8,0,$C$1),SUMPRODUCT(OFFSET(V$459,0,0,1,-OFFSET(Assumptions!$B$67,0,$C$1)),OFFSET(V$16,0,0,1,-OFFSET(Assumptions!$B$67,0,$C$1)))/OFFSET(Assumptions!$B$67,0,$C$1)-V$459/V$14,(V$459/V$14-U$459/U$14)/V$2),0))*W$14</f>
        <v>0.46883532484805973</v>
      </c>
      <c r="X459" s="7">
        <f ca="1">(W$459/W$14+ IF(X$2&gt;0,X$2*IF(X$6=OFFSET(Assumptions!$B$8,0,$C$1),SUMPRODUCT(OFFSET(W$459,0,0,1,-OFFSET(Assumptions!$B$67,0,$C$1)),OFFSET(W$16,0,0,1,-OFFSET(Assumptions!$B$67,0,$C$1)))/OFFSET(Assumptions!$B$67,0,$C$1)-W$459/W$14,(W$459/W$14-V$459/V$14)/W$2),0))*X$14</f>
        <v>0.4875303372040814</v>
      </c>
      <c r="Y459" s="7">
        <f ca="1">(X$459/X$14+ IF(Y$2&gt;0,Y$2*IF(Y$6=OFFSET(Assumptions!$B$8,0,$C$1),SUMPRODUCT(OFFSET(X$459,0,0,1,-OFFSET(Assumptions!$B$67,0,$C$1)),OFFSET(X$16,0,0,1,-OFFSET(Assumptions!$B$67,0,$C$1)))/OFFSET(Assumptions!$B$67,0,$C$1)-X$459/X$14,(X$459/X$14-W$459/W$14)/X$2),0))*Y$14</f>
        <v>0.50691735767416646</v>
      </c>
      <c r="Z459" s="7">
        <f ca="1">(Y$459/Y$14+ IF(Z$2&gt;0,Z$2*IF(Z$6=OFFSET(Assumptions!$B$8,0,$C$1),SUMPRODUCT(OFFSET(Y$459,0,0,1,-OFFSET(Assumptions!$B$67,0,$C$1)),OFFSET(Y$16,0,0,1,-OFFSET(Assumptions!$B$67,0,$C$1)))/OFFSET(Assumptions!$B$67,0,$C$1)-Y$459/Y$14,(Y$459/Y$14-X$459/X$14)/Y$2),0))*Z$14</f>
        <v>0.52709451642300764</v>
      </c>
      <c r="AA459" s="7">
        <f ca="1">(Z$459/Z$14+ IF(AA$2&gt;0,AA$2*IF(AA$6=OFFSET(Assumptions!$B$8,0,$C$1),SUMPRODUCT(OFFSET(Z$459,0,0,1,-OFFSET(Assumptions!$B$67,0,$C$1)),OFFSET(Z$16,0,0,1,-OFFSET(Assumptions!$B$67,0,$C$1)))/OFFSET(Assumptions!$B$67,0,$C$1)-Z$459/Z$14,(Z$459/Z$14-Y$459/Y$14)/Z$2),0))*AA$14</f>
        <v>0.54809446016304142</v>
      </c>
      <c r="AB459" s="7">
        <f ca="1">(AA$459/AA$14+ IF(AB$2&gt;0,AB$2*IF(AB$6=OFFSET(Assumptions!$B$8,0,$C$1),SUMPRODUCT(OFFSET(AA$459,0,0,1,-OFFSET(Assumptions!$B$67,0,$C$1)),OFFSET(AA$16,0,0,1,-OFFSET(Assumptions!$B$67,0,$C$1)))/OFFSET(Assumptions!$B$67,0,$C$1)-AA$459/AA$14,(AA$459/AA$14-Z$459/Z$14)/AA$2),0))*AB$14</f>
        <v>0.5699802536646903</v>
      </c>
      <c r="AC459" s="7">
        <f ca="1">(AB$459/AB$14+ IF(AC$2&gt;0,AC$2*IF(AC$6=OFFSET(Assumptions!$B$8,0,$C$1),SUMPRODUCT(OFFSET(AB$459,0,0,1,-OFFSET(Assumptions!$B$67,0,$C$1)),OFFSET(AB$16,0,0,1,-OFFSET(Assumptions!$B$67,0,$C$1)))/OFFSET(Assumptions!$B$67,0,$C$1)-AB$459/AB$14,(AB$459/AB$14-AA$459/AA$14)/AB$2),0))*AC$14</f>
        <v>0.59283451876837756</v>
      </c>
      <c r="AD459" s="7">
        <f ca="1">(AC$459/AC$14+ IF(AD$2&gt;0,AD$2*IF(AD$6=OFFSET(Assumptions!$B$8,0,$C$1),SUMPRODUCT(OFFSET(AC$459,0,0,1,-OFFSET(Assumptions!$B$67,0,$C$1)),OFFSET(AC$16,0,0,1,-OFFSET(Assumptions!$B$67,0,$C$1)))/OFFSET(Assumptions!$B$67,0,$C$1)-AC$459/AC$14,(AC$459/AC$14-AB$459/AB$14)/AC$2),0))*AD$14</f>
        <v>0.61668134415144582</v>
      </c>
      <c r="AE459" s="7">
        <f ca="1">(AD$459/AD$14+ IF(AE$2&gt;0,AE$2*IF(AE$6=OFFSET(Assumptions!$B$8,0,$C$1),SUMPRODUCT(OFFSET(AD$459,0,0,1,-OFFSET(Assumptions!$B$67,0,$C$1)),OFFSET(AD$16,0,0,1,-OFFSET(Assumptions!$B$67,0,$C$1)))/OFFSET(Assumptions!$B$67,0,$C$1)-AD$459/AD$14,(AD$459/AD$14-AC$459/AC$14)/AD$2),0))*AE$14</f>
        <v>0.6414988296832379</v>
      </c>
      <c r="AF459" s="7">
        <f ca="1">(AE$459/AE$14+ IF(AF$2&gt;0,AF$2*IF(AF$6=OFFSET(Assumptions!$B$8,0,$C$1),SUMPRODUCT(OFFSET(AE$459,0,0,1,-OFFSET(Assumptions!$B$67,0,$C$1)),OFFSET(AE$16,0,0,1,-OFFSET(Assumptions!$B$67,0,$C$1)))/OFFSET(Assumptions!$B$67,0,$C$1)-AE$459/AE$14,(AE$459/AE$14-AD$459/AD$14)/AE$2),0))*AF$14</f>
        <v>0.66735563540927445</v>
      </c>
      <c r="AG459" s="7">
        <f ca="1">(AF$459/AF$14+ IF(AG$2&gt;0,AG$2*IF(AG$6=OFFSET(Assumptions!$B$8,0,$C$1),SUMPRODUCT(OFFSET(AF$459,0,0,1,-OFFSET(Assumptions!$B$67,0,$C$1)),OFFSET(AF$16,0,0,1,-OFFSET(Assumptions!$B$67,0,$C$1)))/OFFSET(Assumptions!$B$67,0,$C$1)-AF$459/AF$14,(AF$459/AF$14-AE$459/AE$14)/AF$2),0))*AG$14</f>
        <v>0.6942662193741046</v>
      </c>
      <c r="AH459" s="7">
        <f ca="1">(AG$459/AG$14+ IF(AH$2&gt;0,AH$2*IF(AH$6=OFFSET(Assumptions!$B$8,0,$C$1),SUMPRODUCT(OFFSET(AG$459,0,0,1,-OFFSET(Assumptions!$B$67,0,$C$1)),OFFSET(AG$16,0,0,1,-OFFSET(Assumptions!$B$67,0,$C$1)))/OFFSET(Assumptions!$B$67,0,$C$1)-AG$459/AG$14,(AG$459/AG$14-AF$459/AF$14)/AG$2),0))*AH$14</f>
        <v>0.72227373456634181</v>
      </c>
      <c r="AI459" s="7">
        <f ca="1">(AH$459/AH$14+ IF(AI$2&gt;0,AI$2*IF(AI$6=OFFSET(Assumptions!$B$8,0,$C$1),SUMPRODUCT(OFFSET(AH$459,0,0,1,-OFFSET(Assumptions!$B$67,0,$C$1)),OFFSET(AH$16,0,0,1,-OFFSET(Assumptions!$B$67,0,$C$1)))/OFFSET(Assumptions!$B$67,0,$C$1)-AH$459/AH$14,(AH$459/AH$14-AG$459/AG$14)/AH$2),0))*AI$14</f>
        <v>0.75132924258551714</v>
      </c>
      <c r="AJ459" s="7">
        <f ca="1">(AI$459/AI$14+ IF(AJ$2&gt;0,AJ$2*IF(AJ$6=OFFSET(Assumptions!$B$8,0,$C$1),SUMPRODUCT(OFFSET(AI$459,0,0,1,-OFFSET(Assumptions!$B$67,0,$C$1)),OFFSET(AI$16,0,0,1,-OFFSET(Assumptions!$B$67,0,$C$1)))/OFFSET(Assumptions!$B$67,0,$C$1)-AI$459/AI$14,(AI$459/AI$14-AH$459/AH$14)/AI$2),0))*AJ$14</f>
        <v>0.7815258227002434</v>
      </c>
      <c r="AK459" s="7">
        <f ca="1">(AJ$459/AJ$14+ IF(AK$2&gt;0,AK$2*IF(AK$6=OFFSET(Assumptions!$B$8,0,$C$1),SUMPRODUCT(OFFSET(AJ$459,0,0,1,-OFFSET(Assumptions!$B$67,0,$C$1)),OFFSET(AJ$16,0,0,1,-OFFSET(Assumptions!$B$67,0,$C$1)))/OFFSET(Assumptions!$B$67,0,$C$1)-AJ$459/AJ$14,(AJ$459/AJ$14-AI$459/AI$14)/AJ$2),0))*AK$14</f>
        <v>0.81283863427355552</v>
      </c>
      <c r="AL459" s="7">
        <f ca="1">(AK$459/AK$14+ IF(AL$2&gt;0,AL$2*IF(AL$6=OFFSET(Assumptions!$B$8,0,$C$1),SUMPRODUCT(OFFSET(AK$459,0,0,1,-OFFSET(Assumptions!$B$67,0,$C$1)),OFFSET(AK$16,0,0,1,-OFFSET(Assumptions!$B$67,0,$C$1)))/OFFSET(Assumptions!$B$67,0,$C$1)-AK$459/AK$14,(AK$459/AK$14-AJ$459/AJ$14)/AK$2),0))*AL$14</f>
        <v>0.84524301133991386</v>
      </c>
      <c r="AM459" s="7">
        <f ca="1">(AL$459/AL$14+ IF(AM$2&gt;0,AM$2*IF(AM$6=OFFSET(Assumptions!$B$8,0,$C$1),SUMPRODUCT(OFFSET(AL$459,0,0,1,-OFFSET(Assumptions!$B$67,0,$C$1)),OFFSET(AL$16,0,0,1,-OFFSET(Assumptions!$B$67,0,$C$1)))/OFFSET(Assumptions!$B$67,0,$C$1)-AL$459/AL$14,(AL$459/AL$14-AK$459/AK$14)/AL$2),0))*AM$14</f>
        <v>0.87878322249809826</v>
      </c>
      <c r="AN459" s="7">
        <f ca="1">(AM$459/AM$14+ IF(AN$2&gt;0,AN$2*IF(AN$6=OFFSET(Assumptions!$B$8,0,$C$1),SUMPRODUCT(OFFSET(AM$459,0,0,1,-OFFSET(Assumptions!$B$67,0,$C$1)),OFFSET(AM$16,0,0,1,-OFFSET(Assumptions!$B$67,0,$C$1)))/OFFSET(Assumptions!$B$67,0,$C$1)-AM$459/AM$14,(AM$459/AM$14-AL$459/AL$14)/AM$2),0))*AN$14</f>
        <v>0.91350592185702328</v>
      </c>
      <c r="AO459" s="7">
        <f ca="1">(AN$459/AN$14+ IF(AO$2&gt;0,AO$2*IF(AO$6=OFFSET(Assumptions!$B$8,0,$C$1),SUMPRODUCT(OFFSET(AN$459,0,0,1,-OFFSET(Assumptions!$B$67,0,$C$1)),OFFSET(AN$16,0,0,1,-OFFSET(Assumptions!$B$67,0,$C$1)))/OFFSET(Assumptions!$B$67,0,$C$1)-AN$459/AN$14,(AN$459/AN$14-AM$459/AM$14)/AN$2),0))*AO$14</f>
        <v>0.9492747653839726</v>
      </c>
      <c r="AP459" s="7">
        <f ca="1">(AO$459/AO$14+ IF(AP$2&gt;0,AP$2*IF(AP$6=OFFSET(Assumptions!$B$8,0,$C$1),SUMPRODUCT(OFFSET(AO$459,0,0,1,-OFFSET(Assumptions!$B$67,0,$C$1)),OFFSET(AO$16,0,0,1,-OFFSET(Assumptions!$B$67,0,$C$1)))/OFFSET(Assumptions!$B$67,0,$C$1)-AO$459/AO$14,(AO$459/AO$14-AN$459/AN$14)/AO$2),0))*AP$14</f>
        <v>0.98624164529837255</v>
      </c>
      <c r="AQ459" s="7">
        <f ca="1">(AP$459/AP$14+ IF(AQ$2&gt;0,AQ$2*IF(AQ$6=OFFSET(Assumptions!$B$8,0,$C$1),SUMPRODUCT(OFFSET(AP$459,0,0,1,-OFFSET(Assumptions!$B$67,0,$C$1)),OFFSET(AP$16,0,0,1,-OFFSET(Assumptions!$B$67,0,$C$1)))/OFFSET(Assumptions!$B$67,0,$C$1)-AP$459/AP$14,(AP$459/AP$14-AO$459/AO$14)/AP$2),0))*AQ$14</f>
        <v>1.0243029805193604</v>
      </c>
      <c r="AR459" s="7">
        <f ca="1">(AQ$459/AQ$14+ IF(AR$2&gt;0,AR$2*IF(AR$6=OFFSET(Assumptions!$B$8,0,$C$1),SUMPRODUCT(OFFSET(AQ$459,0,0,1,-OFFSET(Assumptions!$B$67,0,$C$1)),OFFSET(AQ$16,0,0,1,-OFFSET(Assumptions!$B$67,0,$C$1)))/OFFSET(Assumptions!$B$67,0,$C$1)-AQ$459/AQ$14,(AQ$459/AQ$14-AP$459/AP$14)/AQ$2),0))*AR$14</f>
        <v>1.06350186328746</v>
      </c>
      <c r="AS459" s="7">
        <f ca="1">(AR$459/AR$14+ IF(AS$2&gt;0,AS$2*IF(AS$6=OFFSET(Assumptions!$B$8,0,$C$1),SUMPRODUCT(OFFSET(AR$459,0,0,1,-OFFSET(Assumptions!$B$67,0,$C$1)),OFFSET(AR$16,0,0,1,-OFFSET(Assumptions!$B$67,0,$C$1)))/OFFSET(Assumptions!$B$67,0,$C$1)-AR$459/AR$14,(AR$459/AR$14-AQ$459/AQ$14)/AR$2),0))*AS$14</f>
        <v>1.1039297434655215</v>
      </c>
      <c r="AT459" s="7">
        <f ca="1">(AS$459/AS$14+ IF(AT$2&gt;0,AT$2*IF(AT$6=OFFSET(Assumptions!$B$8,0,$C$1),SUMPRODUCT(OFFSET(AS$459,0,0,1,-OFFSET(Assumptions!$B$67,0,$C$1)),OFFSET(AS$16,0,0,1,-OFFSET(Assumptions!$B$67,0,$C$1)))/OFFSET(Assumptions!$B$67,0,$C$1)-AS$459/AS$14,(AS$459/AS$14-AR$459/AR$14)/AS$2),0))*AT$14</f>
        <v>1.1456189094778706</v>
      </c>
      <c r="AU459" s="7">
        <f ca="1">(AT$459/AT$14+ IF(AU$2&gt;0,AU$2*IF(AU$6=OFFSET(Assumptions!$B$8,0,$C$1),SUMPRODUCT(OFFSET(AT$459,0,0,1,-OFFSET(Assumptions!$B$67,0,$C$1)),OFFSET(AT$16,0,0,1,-OFFSET(Assumptions!$B$67,0,$C$1)))/OFFSET(Assumptions!$B$67,0,$C$1)-AT$459/AT$14,(AT$459/AT$14-AS$459/AS$14)/AT$2),0))*AU$14</f>
        <v>1.1886247986084222</v>
      </c>
      <c r="AV459" s="7">
        <f ca="1">(AU$459/AU$14+ IF(AV$2&gt;0,AV$2*IF(AV$6=OFFSET(Assumptions!$B$8,0,$C$1),SUMPRODUCT(OFFSET(AU$459,0,0,1,-OFFSET(Assumptions!$B$67,0,$C$1)),OFFSET(AU$16,0,0,1,-OFFSET(Assumptions!$B$67,0,$C$1)))/OFFSET(Assumptions!$B$67,0,$C$1)-AU$459/AU$14,(AU$459/AU$14-AT$459/AT$14)/AU$2),0))*AV$14</f>
        <v>1.2330803806825474</v>
      </c>
      <c r="AW459" s="7">
        <f ca="1">(AV$459/AV$14+ IF(AW$2&gt;0,AW$2*IF(AW$6=OFFSET(Assumptions!$B$8,0,$C$1),SUMPRODUCT(OFFSET(AV$459,0,0,1,-OFFSET(Assumptions!$B$67,0,$C$1)),OFFSET(AV$16,0,0,1,-OFFSET(Assumptions!$B$67,0,$C$1)))/OFFSET(Assumptions!$B$67,0,$C$1)-AV$459/AV$14,(AV$459/AV$14-AU$459/AU$14)/AV$2),0))*AW$14</f>
        <v>1.2789605580267398</v>
      </c>
    </row>
    <row r="460" spans="1:49" ht="15" x14ac:dyDescent="0.25">
      <c r="A460" s="2" t="s">
        <v>679</v>
      </c>
      <c r="B460" s="4"/>
      <c r="D460" s="40">
        <f t="shared" ref="D460:I460" si="268">SUM(D$457:D$459)</f>
        <v>36.431000000000004</v>
      </c>
      <c r="E460" s="39">
        <f t="shared" si="268"/>
        <v>39.325000000000003</v>
      </c>
      <c r="F460" s="39">
        <f t="shared" si="268"/>
        <v>39.281000000000006</v>
      </c>
      <c r="G460" s="39">
        <f t="shared" si="268"/>
        <v>39.76</v>
      </c>
      <c r="H460" s="39">
        <f t="shared" si="268"/>
        <v>40.957000000000001</v>
      </c>
      <c r="I460" s="39">
        <f t="shared" si="268"/>
        <v>42.372</v>
      </c>
      <c r="J460" s="43">
        <f t="shared" ref="J460:AW460" ca="1" si="269">SUM(J$457:J$459)</f>
        <v>44.172254085530184</v>
      </c>
      <c r="K460" s="43">
        <f t="shared" ca="1" si="269"/>
        <v>46.059001827877175</v>
      </c>
      <c r="L460" s="43">
        <f t="shared" ca="1" si="269"/>
        <v>48.030468764823546</v>
      </c>
      <c r="M460" s="43">
        <f t="shared" ca="1" si="269"/>
        <v>50.071991151788076</v>
      </c>
      <c r="N460" s="43">
        <f t="shared" ca="1" si="269"/>
        <v>52.218410906409829</v>
      </c>
      <c r="O460" s="43">
        <f t="shared" ca="1" si="269"/>
        <v>54.372222659578306</v>
      </c>
      <c r="P460" s="43">
        <f t="shared" ca="1" si="269"/>
        <v>56.599753552360916</v>
      </c>
      <c r="Q460" s="43">
        <f t="shared" ca="1" si="269"/>
        <v>58.881915984463568</v>
      </c>
      <c r="R460" s="43">
        <f t="shared" ca="1" si="269"/>
        <v>61.223923199462043</v>
      </c>
      <c r="S460" s="43">
        <f t="shared" ca="1" si="269"/>
        <v>63.651441584057565</v>
      </c>
      <c r="T460" s="43">
        <f t="shared" ca="1" si="269"/>
        <v>66.168522864539085</v>
      </c>
      <c r="U460" s="43">
        <f t="shared" ca="1" si="269"/>
        <v>68.774613123747102</v>
      </c>
      <c r="V460" s="43">
        <f t="shared" ca="1" si="269"/>
        <v>71.468568004660952</v>
      </c>
      <c r="W460" s="43">
        <f t="shared" ca="1" si="269"/>
        <v>74.243665324304644</v>
      </c>
      <c r="X460" s="43">
        <f t="shared" ca="1" si="269"/>
        <v>77.120083831169509</v>
      </c>
      <c r="Y460" s="43">
        <f t="shared" ca="1" si="269"/>
        <v>80.109712926364594</v>
      </c>
      <c r="Z460" s="43">
        <f t="shared" ca="1" si="269"/>
        <v>83.214621993181751</v>
      </c>
      <c r="AA460" s="43">
        <f t="shared" ca="1" si="269"/>
        <v>86.437245342629708</v>
      </c>
      <c r="AB460" s="43">
        <f t="shared" ca="1" si="269"/>
        <v>89.77740804414546</v>
      </c>
      <c r="AC460" s="43">
        <f t="shared" ca="1" si="269"/>
        <v>93.262288844237517</v>
      </c>
      <c r="AD460" s="43">
        <f t="shared" ca="1" si="269"/>
        <v>96.937633474760048</v>
      </c>
      <c r="AE460" s="43">
        <f t="shared" ca="1" si="269"/>
        <v>100.81816705175433</v>
      </c>
      <c r="AF460" s="43">
        <f t="shared" ca="1" si="269"/>
        <v>104.86832773192899</v>
      </c>
      <c r="AG460" s="43">
        <f t="shared" ca="1" si="269"/>
        <v>109.07873485580383</v>
      </c>
      <c r="AH460" s="43">
        <f t="shared" ca="1" si="269"/>
        <v>113.45730224105145</v>
      </c>
      <c r="AI460" s="43">
        <f t="shared" ca="1" si="269"/>
        <v>118.01225935387254</v>
      </c>
      <c r="AJ460" s="43">
        <f t="shared" ca="1" si="269"/>
        <v>122.75241851710905</v>
      </c>
      <c r="AK460" s="43">
        <f t="shared" ca="1" si="269"/>
        <v>127.68692798196652</v>
      </c>
      <c r="AL460" s="43">
        <f t="shared" ca="1" si="269"/>
        <v>132.8254208879504</v>
      </c>
      <c r="AM460" s="43">
        <f t="shared" ca="1" si="269"/>
        <v>138.17811428088933</v>
      </c>
      <c r="AN460" s="43">
        <f t="shared" ca="1" si="269"/>
        <v>143.75576857877638</v>
      </c>
      <c r="AO460" s="43">
        <f t="shared" ca="1" si="269"/>
        <v>149.56952477785072</v>
      </c>
      <c r="AP460" s="43">
        <f t="shared" ca="1" si="269"/>
        <v>155.63142862699786</v>
      </c>
      <c r="AQ460" s="43">
        <f t="shared" ca="1" si="269"/>
        <v>161.95389775541656</v>
      </c>
      <c r="AR460" s="43">
        <f t="shared" ca="1" si="269"/>
        <v>168.55017780519697</v>
      </c>
      <c r="AS460" s="43">
        <f t="shared" ca="1" si="269"/>
        <v>175.43427859201086</v>
      </c>
      <c r="AT460" s="43">
        <f t="shared" ca="1" si="269"/>
        <v>182.57042904836146</v>
      </c>
      <c r="AU460" s="43">
        <f t="shared" ca="1" si="269"/>
        <v>189.99659812741041</v>
      </c>
      <c r="AV460" s="43">
        <f t="shared" ca="1" si="269"/>
        <v>197.72467134721708</v>
      </c>
      <c r="AW460" s="43">
        <f t="shared" ca="1" si="269"/>
        <v>205.76684734634102</v>
      </c>
    </row>
    <row r="461" spans="1:49" ht="15" x14ac:dyDescent="0.25">
      <c r="A461" s="2"/>
      <c r="B461" s="4"/>
      <c r="D461" s="55"/>
      <c r="E461" s="56"/>
      <c r="F461" s="56"/>
      <c r="G461" s="56"/>
      <c r="H461" s="56"/>
      <c r="I461" s="56"/>
      <c r="J461" s="57"/>
      <c r="K461" s="57"/>
      <c r="L461" s="57"/>
      <c r="M461" s="57"/>
      <c r="N461" s="57"/>
      <c r="O461" s="57"/>
      <c r="P461" s="57"/>
      <c r="Q461" s="57"/>
      <c r="R461" s="57"/>
      <c r="S461" s="57"/>
    </row>
    <row r="462" spans="1:49" ht="15" x14ac:dyDescent="0.25">
      <c r="A462" s="22" t="s">
        <v>681</v>
      </c>
      <c r="B462" s="4"/>
      <c r="D462" s="55"/>
      <c r="E462" s="56"/>
      <c r="F462" s="56"/>
      <c r="G462" s="56"/>
      <c r="H462" s="56"/>
      <c r="I462" s="56"/>
      <c r="J462" s="57"/>
      <c r="K462" s="57"/>
      <c r="L462" s="57"/>
      <c r="M462" s="57"/>
      <c r="N462" s="57"/>
      <c r="O462" s="57"/>
      <c r="P462" s="57"/>
      <c r="Q462" s="57"/>
      <c r="R462" s="57"/>
      <c r="S462" s="57"/>
    </row>
    <row r="463" spans="1:49" x14ac:dyDescent="0.2">
      <c r="A463" s="1" t="s">
        <v>682</v>
      </c>
      <c r="B463" s="4" t="str">
        <f t="shared" ref="B463:B464" si="270">$B$43</f>
        <v>From Fiscal</v>
      </c>
      <c r="D463" s="18">
        <f>Fiscal!D$182</f>
        <v>10.843999999999999</v>
      </c>
      <c r="E463" s="19">
        <f>Fiscal!E$182</f>
        <v>11.297000000000001</v>
      </c>
      <c r="F463" s="19">
        <f>Fiscal!F$182</f>
        <v>10.792</v>
      </c>
      <c r="G463" s="19">
        <f>Fiscal!G$182</f>
        <v>10.287000000000001</v>
      </c>
      <c r="H463" s="19">
        <f>Fiscal!H$182</f>
        <v>9.7899999999999991</v>
      </c>
      <c r="I463" s="19">
        <f>Fiscal!I$182</f>
        <v>9.2989999999999995</v>
      </c>
      <c r="J463" s="7">
        <f>I$463*(Exogenous!Q$34-Exogenous!Q$33)/(Exogenous!P$34-Exogenous!P$33)</f>
        <v>9.0222089930335638</v>
      </c>
      <c r="K463" s="7">
        <f>J$463*(Exogenous!R$34-Exogenous!R$33)/(Exogenous!Q$34-Exogenous!Q$33)</f>
        <v>8.730695060164658</v>
      </c>
      <c r="L463" s="7">
        <f>K$463*(Exogenous!S$34-Exogenous!S$33)/(Exogenous!R$34-Exogenous!R$33)</f>
        <v>8.4323104285412693</v>
      </c>
      <c r="M463" s="7">
        <f>L$463*(Exogenous!T$34-Exogenous!T$33)/(Exogenous!S$34-Exogenous!S$33)</f>
        <v>8.1378519104918681</v>
      </c>
      <c r="N463" s="7">
        <f>M$463*(Exogenous!U$34-Exogenous!U$33)/(Exogenous!T$34-Exogenous!T$33)</f>
        <v>7.8483010344099622</v>
      </c>
      <c r="O463" s="7">
        <f>N$463*(Exogenous!V$34-Exogenous!V$33)/(Exogenous!U$34-Exogenous!U$33)</f>
        <v>7.5675839138695364</v>
      </c>
      <c r="P463" s="7">
        <f>O$463*(Exogenous!W$34-Exogenous!W$33)/(Exogenous!V$34-Exogenous!V$33)</f>
        <v>7.2927559636900963</v>
      </c>
      <c r="Q463" s="7">
        <f>P$463*(Exogenous!X$34-Exogenous!X$33)/(Exogenous!W$34-Exogenous!W$33)</f>
        <v>7.0208725986911533</v>
      </c>
      <c r="R463" s="7">
        <f>Q$463*(Exogenous!Y$34-Exogenous!Y$33)/(Exogenous!X$34-Exogenous!X$33)</f>
        <v>6.7421185349377222</v>
      </c>
      <c r="S463" s="7">
        <f>R$463*(Exogenous!Z$34-Exogenous!Z$33)/(Exogenous!Y$34-Exogenous!Y$33)</f>
        <v>6.4584568292168028</v>
      </c>
      <c r="T463" s="7">
        <f>S$463*(Exogenous!AA$34-Exogenous!AA$33)/(Exogenous!Z$34-Exogenous!Z$33)</f>
        <v>6.1689059531348942</v>
      </c>
      <c r="U463" s="7">
        <f>T$463*(Exogenous!AB$34-Exogenous!AB$33)/(Exogenous!AA$34-Exogenous!AA$33)</f>
        <v>5.876410491872492</v>
      </c>
      <c r="V463" s="7">
        <f>U$463*(Exogenous!AC$34-Exogenous!AC$33)/(Exogenous!AB$34-Exogenous!AB$33)</f>
        <v>5.5780258602491006</v>
      </c>
      <c r="W463" s="7">
        <f>V$463*(Exogenous!AD$34-Exogenous!AD$33)/(Exogenous!AC$34-Exogenous!AC$33)</f>
        <v>5.2776781718387147</v>
      </c>
      <c r="X463" s="7">
        <f>W$463*(Exogenous!AE$34-Exogenous!AE$33)/(Exogenous!AD$34-Exogenous!AD$33)</f>
        <v>4.978312011821826</v>
      </c>
      <c r="Y463" s="7">
        <f>X$463*(Exogenous!AF$34-Exogenous!AF$33)/(Exogenous!AE$34-Exogenous!AE$33)</f>
        <v>4.6887611357399184</v>
      </c>
      <c r="Z463" s="7">
        <f>Y$463*(Exogenous!AG$34-Exogenous!AG$33)/(Exogenous!AF$34-Exogenous!AF$33)</f>
        <v>4.4041179016254999</v>
      </c>
      <c r="AA463" s="7">
        <f>Z$463*(Exogenous!AH$34-Exogenous!AH$33)/(Exogenous!AG$34-Exogenous!AG$33)</f>
        <v>4.1234007810850741</v>
      </c>
      <c r="AB463" s="7">
        <f>AA$463*(Exogenous!AI$34-Exogenous!AI$33)/(Exogenous!AH$34-Exogenous!AH$33)</f>
        <v>3.8485728309056353</v>
      </c>
      <c r="AC463" s="7">
        <f>AB$463*(Exogenous!AJ$34-Exogenous!AJ$33)/(Exogenous!AI$34-Exogenous!AI$33)</f>
        <v>3.5815971078741806</v>
      </c>
      <c r="AD463" s="7">
        <f>AC$463*(Exogenous!AK$34-Exogenous!AK$33)/(Exogenous!AJ$34-Exogenous!AJ$33)</f>
        <v>3.3214920835972124</v>
      </c>
      <c r="AE463" s="7">
        <f>AD$463*(Exogenous!AL$34-Exogenous!AL$33)/(Exogenous!AK$34-Exogenous!AK$33)</f>
        <v>3.0692392864682287</v>
      </c>
      <c r="AF463" s="7">
        <f>AE$463*(Exogenous!AM$34-Exogenous!AM$33)/(Exogenous!AL$34-Exogenous!AL$33)</f>
        <v>2.8277833016677216</v>
      </c>
      <c r="AG463" s="7">
        <f>AF$463*(Exogenous!AN$34-Exogenous!AN$33)/(Exogenous!AM$34-Exogenous!AM$33)</f>
        <v>2.5961426008021946</v>
      </c>
      <c r="AH463" s="7">
        <f>AG$463*(Exogenous!AO$34-Exogenous!AO$33)/(Exogenous!AN$34-Exogenous!AN$33)</f>
        <v>2.3743171838716481</v>
      </c>
      <c r="AI463" s="7">
        <f>AH$463*(Exogenous!AP$34-Exogenous!AP$33)/(Exogenous!AO$34-Exogenous!AO$33)</f>
        <v>2.1642701076630773</v>
      </c>
      <c r="AJ463" s="7">
        <f>AI$463*(Exogenous!AQ$34-Exogenous!AQ$33)/(Exogenous!AP$34-Exogenous!AP$33)</f>
        <v>1.9640383153894867</v>
      </c>
      <c r="AK463" s="7">
        <f>AJ$463*(Exogenous!AR$34-Exogenous!AR$33)/(Exogenous!AQ$34-Exogenous!AQ$33)</f>
        <v>1.7765663922313697</v>
      </c>
      <c r="AL463" s="7">
        <f>AK$463*(Exogenous!AS$34-Exogenous!AS$33)/(Exogenous!AR$34-Exogenous!AR$33)</f>
        <v>1.6008728097952285</v>
      </c>
      <c r="AM463" s="7">
        <f>AL$463*(Exogenous!AT$34-Exogenous!AT$33)/(Exogenous!AS$34-Exogenous!AS$33)</f>
        <v>1.4359760396875656</v>
      </c>
      <c r="AN463" s="7">
        <f>AM$463*(Exogenous!AU$34-Exogenous!AU$33)/(Exogenous!AT$34-Exogenous!AT$33)</f>
        <v>1.2838391386953767</v>
      </c>
      <c r="AO463" s="7">
        <f>AN$463*(Exogenous!AV$34-Exogenous!AV$33)/(Exogenous!AU$34-Exogenous!AU$33)</f>
        <v>1.1424990500316656</v>
      </c>
      <c r="AP463" s="7">
        <f>AO$463*(Exogenous!AW$34-Exogenous!AW$33)/(Exogenous!AV$34-Exogenous!AV$33)</f>
        <v>1.0119557736964322</v>
      </c>
      <c r="AQ463" s="7">
        <f>AP$463*(Exogenous!AX$34-Exogenous!AX$33)/(Exogenous!AW$34-Exogenous!AW$33)</f>
        <v>0.89220930968967704</v>
      </c>
      <c r="AR463" s="7">
        <f>AQ$463*(Exogenous!AY$34-Exogenous!AY$33)/(Exogenous!AX$34-Exogenous!AX$33)</f>
        <v>0.78325965801139941</v>
      </c>
      <c r="AS463" s="7">
        <f>AR$463*(Exogenous!AZ$34-Exogenous!AZ$33)/(Exogenous!AY$34-Exogenous!AY$33)</f>
        <v>0.68314376187460413</v>
      </c>
      <c r="AT463" s="7">
        <f>AS$463*(Exogenous!BA$34-Exogenous!BA$33)/(Exogenous!AZ$34-Exogenous!AZ$33)</f>
        <v>0.59382467806628669</v>
      </c>
      <c r="AU463" s="7">
        <f>AT$463*(Exogenous!BB$34-Exogenous!BB$33)/(Exogenous!BA$34-Exogenous!BA$33)</f>
        <v>0.51333934979945117</v>
      </c>
      <c r="AV463" s="7">
        <f>AU$463*(Exogenous!BC$34-Exogenous!BC$33)/(Exogenous!BB$34-Exogenous!BB$33)</f>
        <v>0.44266930546759553</v>
      </c>
      <c r="AW463" s="7">
        <f>AV$463*(Exogenous!BD$34-Exogenous!BD$33)/(Exogenous!BC$34-Exogenous!BC$33)</f>
        <v>0.37886995989022587</v>
      </c>
    </row>
    <row r="464" spans="1:49" x14ac:dyDescent="0.2">
      <c r="A464" s="1" t="s">
        <v>683</v>
      </c>
      <c r="B464" s="4" t="str">
        <f t="shared" si="270"/>
        <v>From Fiscal</v>
      </c>
      <c r="D464" s="18">
        <f>Fiscal!D$132-D$463</f>
        <v>-9.9999999999997868E-3</v>
      </c>
      <c r="E464" s="19">
        <f>Fiscal!E$132-E$463</f>
        <v>-9.9999999999997868E-3</v>
      </c>
      <c r="F464" s="19">
        <f>Fiscal!F$132-F$463</f>
        <v>-9.9999999999997868E-3</v>
      </c>
      <c r="G464" s="19">
        <f>Fiscal!G$132-G$463</f>
        <v>-1.0000000000001563E-2</v>
      </c>
      <c r="H464" s="19">
        <f>Fiscal!H$132-H$463</f>
        <v>-9.9999999999997868E-3</v>
      </c>
      <c r="I464" s="19">
        <f>Fiscal!I$132-I$463</f>
        <v>-9.9999999999997868E-3</v>
      </c>
      <c r="J464" s="7">
        <f ca="1">IF(J$6=OFFSET(Assumptions!$B$8,0,$C$1),AVERAGE(G$464/G$463,H$464/H$463,I$464/I$463),I$464/I$463)*J$463</f>
        <v>-9.2295261809441833E-3</v>
      </c>
      <c r="K464" s="7">
        <f ca="1">IF(K$6=OFFSET(Assumptions!$B$8,0,$C$1),AVERAGE(H$464/H$463,I$464/I$463,J$464/J$463),J$464/J$463)*K$463</f>
        <v>-8.9313136835833876E-3</v>
      </c>
      <c r="L464" s="7">
        <f ca="1">IF(L$6=OFFSET(Assumptions!$B$8,0,$C$1),AVERAGE(I$464/I$463,J$464/J$463,K$464/K$463),K$464/K$463)*L$463</f>
        <v>-8.6260726088437205E-3</v>
      </c>
      <c r="M464" s="7">
        <f ca="1">IF(M$6=OFFSET(Assumptions!$B$8,0,$C$1),AVERAGE(J$464/J$463,K$464/K$463,L$464/L$463),L$464/L$463)*M$463</f>
        <v>-8.3248478640348348E-3</v>
      </c>
      <c r="N464" s="7">
        <f ca="1">IF(N$6=OFFSET(Assumptions!$B$8,0,$C$1),AVERAGE(K$464/K$463,L$464/L$463,M$464/M$463),M$464/M$463)*N$463</f>
        <v>-8.0286435316394341E-3</v>
      </c>
      <c r="O464" s="7">
        <f ca="1">IF(O$6=OFFSET(Assumptions!$B$8,0,$C$1),AVERAGE(L$464/L$463,M$464/M$463,N$464/N$463),N$464/N$463)*O$463</f>
        <v>-7.7414759415882998E-3</v>
      </c>
      <c r="P464" s="7">
        <f ca="1">IF(P$6=OFFSET(Assumptions!$B$8,0,$C$1),AVERAGE(M$464/M$463,N$464/N$463,O$464/O$463),O$464/O$463)*P$463</f>
        <v>-7.4603328464333402E-3</v>
      </c>
      <c r="Q464" s="7">
        <f ca="1">IF(Q$6=OFFSET(Assumptions!$B$8,0,$C$1),AVERAGE(N$464/N$463,O$464/O$463,P$464/P$463),P$464/P$463)*Q$463</f>
        <v>-7.1822019987264731E-3</v>
      </c>
      <c r="R464" s="7">
        <f ca="1">IF(R$6=OFFSET(Assumptions!$B$8,0,$C$1),AVERAGE(O$464/O$463,P$464/P$463,Q$464/Q$463),Q$464/Q$463)*R$463</f>
        <v>-6.8970425736407295E-3</v>
      </c>
      <c r="S464" s="7">
        <f ca="1">IF(S$6=OFFSET(Assumptions!$B$8,0,$C$1),AVERAGE(P$464/P$463,Q$464/Q$463,R$464/R$463),R$464/R$463)*S$463</f>
        <v>-6.6068627361415061E-3</v>
      </c>
      <c r="T464" s="7">
        <f ca="1">IF(T$6=OFFSET(Assumptions!$B$8,0,$C$1),AVERAGE(Q$464/Q$463,R$464/R$463,S$464/S$463),S$464/S$463)*T$463</f>
        <v>-6.3106584037461045E-3</v>
      </c>
      <c r="U464" s="7">
        <f ca="1">IF(U$6=OFFSET(Assumptions!$B$8,0,$C$1),AVERAGE(R$464/R$463,S$464/S$463,T$464/T$463),T$464/T$463)*U$463</f>
        <v>-6.0114418239026138E-3</v>
      </c>
      <c r="V464" s="7">
        <f ca="1">IF(V$6=OFFSET(Assumptions!$B$8,0,$C$1),AVERAGE(S$464/S$463,T$464/T$463,U$464/U$463),U$464/U$463)*V$463</f>
        <v>-5.7062007491629442E-3</v>
      </c>
      <c r="W464" s="7">
        <f ca="1">IF(W$6=OFFSET(Assumptions!$B$8,0,$C$1),AVERAGE(T$464/T$463,U$464/U$463,V$464/V$463),V$464/V$463)*W$463</f>
        <v>-5.3989515094578838E-3</v>
      </c>
      <c r="X464" s="7">
        <f ca="1">IF(X$6=OFFSET(Assumptions!$B$8,0,$C$1),AVERAGE(U$464/U$463,V$464/V$463,W$464/W$463),W$464/W$463)*X$463</f>
        <v>-5.0927063522355183E-3</v>
      </c>
      <c r="Y464" s="7">
        <f ca="1">IF(Y$6=OFFSET(Assumptions!$B$8,0,$C$1),AVERAGE(V$464/V$463,W$464/W$463,X$464/X$463),X$464/X$463)*Y$463</f>
        <v>-4.7965020198401176E-3</v>
      </c>
      <c r="Z464" s="7">
        <f ca="1">IF(Z$6=OFFSET(Assumptions!$B$8,0,$C$1),AVERAGE(W$464/W$463,X$464/X$463,Y$464/Y$463),Y$464/Y$463)*Z$463</f>
        <v>-4.5053180998581967E-3</v>
      </c>
      <c r="AA464" s="7">
        <f ca="1">IF(AA$6=OFFSET(Assumptions!$B$8,0,$C$1),AVERAGE(X$464/X$463,Y$464/Y$463,Z$464/Z$463),Z$464/Z$463)*AA$463</f>
        <v>-4.2181505098070615E-3</v>
      </c>
      <c r="AB464" s="7">
        <f ca="1">IF(AB$6=OFFSET(Assumptions!$B$8,0,$C$1),AVERAGE(Y$464/Y$463,Z$464/Z$463,AA$464/AA$463),AA$464/AA$463)*AB$463</f>
        <v>-3.9370074146521036E-3</v>
      </c>
      <c r="AC464" s="7">
        <f ca="1">IF(AC$6=OFFSET(Assumptions!$B$8,0,$C$1),AVERAGE(Z$464/Z$463,AA$464/AA$463,AB$464/AB$463),AB$464/AB$463)*AC$463</f>
        <v>-3.6638969793587159E-3</v>
      </c>
      <c r="AD464" s="7">
        <f ca="1">IF(AD$6=OFFSET(Assumptions!$B$8,0,$C$1),AVERAGE(AA$464/AA$463,AB$464/AB$463,AC$464/AC$463),AC$464/AC$463)*AD$463</f>
        <v>-3.3978151214442026E-3</v>
      </c>
      <c r="AE464" s="7">
        <f ca="1">IF(AE$6=OFFSET(Assumptions!$B$8,0,$C$1),AVERAGE(AB$464/AB$463,AC$464/AC$463,AD$464/AD$463),AD$464/AD$463)*AE$463</f>
        <v>-3.1397659233912602E-3</v>
      </c>
      <c r="AF464" s="7">
        <f ca="1">IF(AF$6=OFFSET(Assumptions!$B$8,0,$C$1),AVERAGE(AC$464/AC$463,AD$464/AD$463,AE$464/AE$463),AE$464/AE$463)*AF$463</f>
        <v>-2.8927616326479754E-3</v>
      </c>
      <c r="AG464" s="7">
        <f ca="1">IF(AG$6=OFFSET(Assumptions!$B$8,0,$C$1),AVERAGE(AD$464/AD$463,AE$464/AE$463,AF$464/AF$463),AF$464/AF$463)*AG$463</f>
        <v>-2.6557981667316537E-3</v>
      </c>
      <c r="AH464" s="7">
        <f ca="1">IF(AH$6=OFFSET(Assumptions!$B$8,0,$C$1),AVERAGE(AE$464/AE$463,AF$464/AF$463,AG$464/AG$463),AG$464/AG$463)*AH$463</f>
        <v>-2.4288755256422954E-3</v>
      </c>
      <c r="AI464" s="7">
        <f ca="1">IF(AI$6=OFFSET(Assumptions!$B$8,0,$C$1),AVERAGE(AF$464/AF$463,AG$464/AG$463,AH$464/AH$463),AH$464/AH$463)*AI$463</f>
        <v>-2.2140018743452916E-3</v>
      </c>
      <c r="AJ464" s="7">
        <f ca="1">IF(AJ$6=OFFSET(Assumptions!$B$8,0,$C$1),AVERAGE(AG$464/AG$463,AH$464/AH$463,AI$464/AI$463),AI$464/AI$463)*AJ$463</f>
        <v>-2.0091690478752514E-3</v>
      </c>
      <c r="AK464" s="7">
        <f ca="1">IF(AK$6=OFFSET(Assumptions!$B$8,0,$C$1),AVERAGE(AH$464/AH$463,AI$464/AI$463,AJ$464/AJ$463),AJ$464/AJ$463)*AK$463</f>
        <v>-1.8173892936802624E-3</v>
      </c>
      <c r="AL464" s="7">
        <f ca="1">IF(AL$6=OFFSET(Assumptions!$B$8,0,$C$1),AVERAGE(AI$464/AI$463,AJ$464/AJ$463,AK$464/AK$463),AK$464/AK$463)*AL$463</f>
        <v>-1.6376585292776284E-3</v>
      </c>
      <c r="AM464" s="7">
        <f ca="1">IF(AM$6=OFFSET(Assumptions!$B$8,0,$C$1),AVERAGE(AJ$464/AJ$463,AK$464/AK$463,AL$464/AL$463),AL$464/AL$463)*AM$463</f>
        <v>-1.4689726721846539E-3</v>
      </c>
      <c r="AN464" s="7">
        <f ca="1">IF(AN$6=OFFSET(Assumptions!$B$8,0,$C$1),AVERAGE(AK$464/AK$463,AL$464/AL$463,AM$464/AM$463),AM$464/AM$463)*AN$463</f>
        <v>-1.313339887366731E-3</v>
      </c>
      <c r="AO464" s="7">
        <f ca="1">IF(AO$6=OFFSET(Assumptions!$B$8,0,$C$1),AVERAGE(AL$464/AL$463,AM$464/AM$463,AN$464/AN$463),AN$464/AN$463)*AO$463</f>
        <v>-1.1687520098584672E-3</v>
      </c>
      <c r="AP464" s="7">
        <f ca="1">IF(AP$6=OFFSET(Assumptions!$B$8,0,$C$1),AVERAGE(AM$464/AM$463,AN$464/AN$463,AO$464/AO$463),AO$464/AO$463)*AP$463</f>
        <v>-1.0352090396598622E-3</v>
      </c>
      <c r="AQ464" s="7">
        <f ca="1">IF(AQ$6=OFFSET(Assumptions!$B$8,0,$C$1),AVERAGE(AN$464/AN$463,AO$464/AO$463,AP$464/AP$463),AP$464/AP$463)*AQ$463</f>
        <v>-9.1271097677091649E-4</v>
      </c>
      <c r="AR464" s="7">
        <f ca="1">IF(AR$6=OFFSET(Assumptions!$B$8,0,$C$1),AVERAGE(AO$464/AO$463,AP$464/AP$463,AQ$464/AQ$463),AQ$464/AQ$463)*AR$463</f>
        <v>-8.0125782119162944E-4</v>
      </c>
      <c r="AS464" s="7">
        <f ca="1">IF(AS$6=OFFSET(Assumptions!$B$8,0,$C$1),AVERAGE(AP$464/AP$463,AQ$464/AQ$463,AR$464/AR$463),AR$464/AR$463)*AS$463</f>
        <v>-6.9884140795660921E-4</v>
      </c>
      <c r="AT464" s="7">
        <f ca="1">IF(AT$6=OFFSET(Assumptions!$B$8,0,$C$1),AVERAGE(AQ$464/AQ$463,AR$464/AR$463,AS$464/AS$463),AS$464/AS$463)*AT$463</f>
        <v>-6.07469902031248E-4</v>
      </c>
      <c r="AU464" s="7">
        <f ca="1">IF(AU$6=OFFSET(Assumptions!$B$8,0,$C$1),AVERAGE(AR$464/AR$463,AS$464/AS$463,AT$464/AT$463),AT$464/AT$463)*AU$463</f>
        <v>-5.2513513845015328E-4</v>
      </c>
      <c r="AV464" s="7">
        <f ca="1">IF(AV$6=OFFSET(Assumptions!$B$8,0,$C$1),AVERAGE(AS$464/AS$463,AT$464/AT$463,AU$464/AU$463),AU$464/AU$463)*AV$463</f>
        <v>-4.5284119969602127E-4</v>
      </c>
      <c r="AW464" s="7">
        <f ca="1">IF(AW$6=OFFSET(Assumptions!$B$8,0,$C$1),AVERAGE(AT$464/AT$463,AU$464/AU$463,AV$464/AV$463),AV$464/AV$463)*AW$463</f>
        <v>-3.8757583832076321E-4</v>
      </c>
    </row>
    <row r="465" spans="1:49" ht="15" x14ac:dyDescent="0.25">
      <c r="A465" s="2" t="s">
        <v>684</v>
      </c>
      <c r="B465" s="4"/>
      <c r="D465" s="40">
        <f t="shared" ref="D465:I465" si="271">SUM(D$463:D$464)</f>
        <v>10.834</v>
      </c>
      <c r="E465" s="39">
        <f t="shared" si="271"/>
        <v>11.287000000000001</v>
      </c>
      <c r="F465" s="39">
        <f t="shared" si="271"/>
        <v>10.782</v>
      </c>
      <c r="G465" s="39">
        <f t="shared" si="271"/>
        <v>10.276999999999999</v>
      </c>
      <c r="H465" s="39">
        <f t="shared" si="271"/>
        <v>9.7799999999999994</v>
      </c>
      <c r="I465" s="39">
        <f t="shared" si="271"/>
        <v>9.2889999999999997</v>
      </c>
      <c r="J465" s="43">
        <f t="shared" ref="J465:AW465" ca="1" si="272">SUM(J$463:J$464)</f>
        <v>9.0129794668526202</v>
      </c>
      <c r="K465" s="43">
        <f t="shared" ca="1" si="272"/>
        <v>8.7217637464810753</v>
      </c>
      <c r="L465" s="43">
        <f t="shared" ca="1" si="272"/>
        <v>8.4236843559324264</v>
      </c>
      <c r="M465" s="43">
        <f t="shared" ca="1" si="272"/>
        <v>8.1295270626278331</v>
      </c>
      <c r="N465" s="43">
        <f t="shared" ca="1" si="272"/>
        <v>7.8402723908783232</v>
      </c>
      <c r="O465" s="43">
        <f t="shared" ca="1" si="272"/>
        <v>7.5598424379279479</v>
      </c>
      <c r="P465" s="43">
        <f t="shared" ca="1" si="272"/>
        <v>7.2852956308436632</v>
      </c>
      <c r="Q465" s="43">
        <f t="shared" ca="1" si="272"/>
        <v>7.0136903966924269</v>
      </c>
      <c r="R465" s="43">
        <f t="shared" ca="1" si="272"/>
        <v>6.7352214923640812</v>
      </c>
      <c r="S465" s="43">
        <f t="shared" ca="1" si="272"/>
        <v>6.451849966480661</v>
      </c>
      <c r="T465" s="43">
        <f t="shared" ca="1" si="272"/>
        <v>6.1625952947311484</v>
      </c>
      <c r="U465" s="43">
        <f t="shared" ca="1" si="272"/>
        <v>5.8703990500485892</v>
      </c>
      <c r="V465" s="43">
        <f t="shared" ca="1" si="272"/>
        <v>5.5723196594999376</v>
      </c>
      <c r="W465" s="43">
        <f t="shared" ca="1" si="272"/>
        <v>5.2722792203292572</v>
      </c>
      <c r="X465" s="43">
        <f t="shared" ca="1" si="272"/>
        <v>4.9732193054695903</v>
      </c>
      <c r="Y465" s="43">
        <f t="shared" ca="1" si="272"/>
        <v>4.6839646337200787</v>
      </c>
      <c r="Z465" s="43">
        <f t="shared" ca="1" si="272"/>
        <v>4.3996125835256414</v>
      </c>
      <c r="AA465" s="43">
        <f t="shared" ca="1" si="272"/>
        <v>4.119182630575267</v>
      </c>
      <c r="AB465" s="43">
        <f t="shared" ca="1" si="272"/>
        <v>3.8446358234909832</v>
      </c>
      <c r="AC465" s="43">
        <f t="shared" ca="1" si="272"/>
        <v>3.5779332108948219</v>
      </c>
      <c r="AD465" s="43">
        <f t="shared" ca="1" si="272"/>
        <v>3.3180942684757682</v>
      </c>
      <c r="AE465" s="43">
        <f t="shared" ca="1" si="272"/>
        <v>3.0660995205448374</v>
      </c>
      <c r="AF465" s="43">
        <f t="shared" ca="1" si="272"/>
        <v>2.8248905400350734</v>
      </c>
      <c r="AG465" s="43">
        <f t="shared" ca="1" si="272"/>
        <v>2.5934868026354629</v>
      </c>
      <c r="AH465" s="43">
        <f t="shared" ca="1" si="272"/>
        <v>2.3718883083460058</v>
      </c>
      <c r="AI465" s="43">
        <f t="shared" ca="1" si="272"/>
        <v>2.1620561057887318</v>
      </c>
      <c r="AJ465" s="43">
        <f t="shared" ca="1" si="272"/>
        <v>1.9620291463416115</v>
      </c>
      <c r="AK465" s="43">
        <f t="shared" ca="1" si="272"/>
        <v>1.7747490029376893</v>
      </c>
      <c r="AL465" s="43">
        <f t="shared" ca="1" si="272"/>
        <v>1.5992351512659508</v>
      </c>
      <c r="AM465" s="43">
        <f t="shared" ca="1" si="272"/>
        <v>1.434507067015381</v>
      </c>
      <c r="AN465" s="43">
        <f t="shared" ca="1" si="272"/>
        <v>1.2825257988080099</v>
      </c>
      <c r="AO465" s="43">
        <f t="shared" ca="1" si="272"/>
        <v>1.1413302980218072</v>
      </c>
      <c r="AP465" s="43">
        <f t="shared" ca="1" si="272"/>
        <v>1.0109205646567723</v>
      </c>
      <c r="AQ465" s="43">
        <f t="shared" ca="1" si="272"/>
        <v>0.89129659871290612</v>
      </c>
      <c r="AR465" s="43">
        <f t="shared" ca="1" si="272"/>
        <v>0.78245840019020774</v>
      </c>
      <c r="AS465" s="43">
        <f t="shared" ca="1" si="272"/>
        <v>0.68244492046664751</v>
      </c>
      <c r="AT465" s="43">
        <f t="shared" ca="1" si="272"/>
        <v>0.59321720816425549</v>
      </c>
      <c r="AU465" s="43">
        <f t="shared" ca="1" si="272"/>
        <v>0.51281421466100097</v>
      </c>
      <c r="AV465" s="43">
        <f t="shared" ca="1" si="272"/>
        <v>0.44221646426789951</v>
      </c>
      <c r="AW465" s="43">
        <f t="shared" ca="1" si="272"/>
        <v>0.3784823840519051</v>
      </c>
    </row>
    <row r="466" spans="1:49" ht="15" x14ac:dyDescent="0.25">
      <c r="A466" s="2"/>
      <c r="B466" s="4"/>
      <c r="D466" s="55"/>
      <c r="E466" s="56"/>
      <c r="F466" s="56"/>
      <c r="G466" s="56"/>
      <c r="H466" s="56"/>
      <c r="I466" s="56"/>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row>
    <row r="467" spans="1:49" ht="15" x14ac:dyDescent="0.25">
      <c r="A467" s="22" t="s">
        <v>251</v>
      </c>
      <c r="B467" s="4"/>
      <c r="D467" s="55"/>
      <c r="E467" s="56"/>
      <c r="F467" s="56"/>
      <c r="G467" s="56"/>
      <c r="H467" s="56"/>
      <c r="I467" s="56"/>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row>
    <row r="468" spans="1:49" ht="15" x14ac:dyDescent="0.25">
      <c r="A468" s="2" t="s">
        <v>685</v>
      </c>
      <c r="B468" s="4" t="str">
        <f t="shared" ref="B468:B469" si="273">$B$43</f>
        <v>From Fiscal</v>
      </c>
      <c r="D468" s="55">
        <f>Fiscal!D$183</f>
        <v>4.8550000000000004</v>
      </c>
      <c r="E468" s="44">
        <f>Fiscal!E$183</f>
        <v>4.9889999999999999</v>
      </c>
      <c r="F468" s="44">
        <f>Fiscal!F$183</f>
        <v>4.1740000000000004</v>
      </c>
      <c r="G468" s="44">
        <f>Fiscal!G$183</f>
        <v>3.8050000000000002</v>
      </c>
      <c r="H468" s="44">
        <f>Fiscal!H$183</f>
        <v>3.4729999999999999</v>
      </c>
      <c r="I468" s="44">
        <f>Fiscal!I$183</f>
        <v>3.0710000000000002</v>
      </c>
      <c r="J468" s="8">
        <f ca="1">(I$468/I$14+ IF(J$2&gt;0,J$2*IF(J$6=OFFSET(Assumptions!$B$8,0,$C$1),SUMPRODUCT(OFFSET(I$468,0,0,1,-OFFSET(Assumptions!$B$67,0,$C$1)),OFFSET(I$16,0,0,1,-OFFSET(Assumptions!$B$67,0,$C$1)))/OFFSET(Assumptions!$B$67,0,$C$1)-I$468/I$14,(I$468/I$14-H$468/H$14)/I$2),0))*J$14</f>
        <v>3.3895472414420542</v>
      </c>
      <c r="K468" s="8">
        <f ca="1">(J$468/J$14+ IF(K$2&gt;0,K$2*IF(K$6=OFFSET(Assumptions!$B$8,0,$C$1),SUMPRODUCT(OFFSET(J$468,0,0,1,-OFFSET(Assumptions!$B$67,0,$C$1)),OFFSET(J$16,0,0,1,-OFFSET(Assumptions!$B$67,0,$C$1)))/OFFSET(Assumptions!$B$67,0,$C$1)-J$468/J$14,(J$468/J$14-I$468/I$14)/J$2),0))*K$14</f>
        <v>3.688835844074148</v>
      </c>
      <c r="L468" s="8">
        <f ca="1">(K$468/K$14+ IF(L$2&gt;0,L$2*IF(L$6=OFFSET(Assumptions!$B$8,0,$C$1),SUMPRODUCT(OFFSET(K$468,0,0,1,-OFFSET(Assumptions!$B$67,0,$C$1)),OFFSET(K$16,0,0,1,-OFFSET(Assumptions!$B$67,0,$C$1)))/OFFSET(Assumptions!$B$67,0,$C$1)-K$468/K$14,(K$468/K$14-J$468/J$14)/K$2),0))*L$14</f>
        <v>3.9720832437425213</v>
      </c>
      <c r="M468" s="8">
        <f ca="1">(L$468/L$14+ IF(M$2&gt;0,M$2*IF(M$6=OFFSET(Assumptions!$B$8,0,$C$1),SUMPRODUCT(OFFSET(L$468,0,0,1,-OFFSET(Assumptions!$B$67,0,$C$1)),OFFSET(L$16,0,0,1,-OFFSET(Assumptions!$B$67,0,$C$1)))/OFFSET(Assumptions!$B$67,0,$C$1)-L$468/L$14,(L$468/L$14-K$468/K$14)/L$2),0))*M$14</f>
        <v>4.2294918189421882</v>
      </c>
      <c r="N468" s="8">
        <f ca="1">(M$468/M$14+ IF(N$2&gt;0,N$2*IF(N$6=OFFSET(Assumptions!$B$8,0,$C$1),SUMPRODUCT(OFFSET(M$468,0,0,1,-OFFSET(Assumptions!$B$67,0,$C$1)),OFFSET(M$16,0,0,1,-OFFSET(Assumptions!$B$67,0,$C$1)))/OFFSET(Assumptions!$B$67,0,$C$1)-M$468/M$14,(M$468/M$14-L$468/L$14)/M$2),0))*N$14</f>
        <v>4.4566435306097043</v>
      </c>
      <c r="O468" s="8">
        <f ca="1">(N$468/N$14+ IF(O$2&gt;0,O$2*IF(O$6=OFFSET(Assumptions!$B$8,0,$C$1),SUMPRODUCT(OFFSET(N$468,0,0,1,-OFFSET(Assumptions!$B$67,0,$C$1)),OFFSET(N$16,0,0,1,-OFFSET(Assumptions!$B$67,0,$C$1)))/OFFSET(Assumptions!$B$67,0,$C$1)-N$468/N$14,(N$468/N$14-M$468/M$14)/N$2),0))*O$14</f>
        <v>4.6468830834489188</v>
      </c>
      <c r="P468" s="8">
        <f ca="1">(O$468/O$14+ IF(P$2&gt;0,P$2*IF(P$6=OFFSET(Assumptions!$B$8,0,$C$1),SUMPRODUCT(OFFSET(O$468,0,0,1,-OFFSET(Assumptions!$B$67,0,$C$1)),OFFSET(O$16,0,0,1,-OFFSET(Assumptions!$B$67,0,$C$1)))/OFFSET(Assumptions!$B$67,0,$C$1)-O$468/O$14,(O$468/O$14-N$468/N$14)/O$2),0))*P$14</f>
        <v>4.8433946631554141</v>
      </c>
      <c r="Q468" s="8">
        <f ca="1">(P$468/P$14+ IF(Q$2&gt;0,Q$2*IF(Q$6=OFFSET(Assumptions!$B$8,0,$C$1),SUMPRODUCT(OFFSET(P$468,0,0,1,-OFFSET(Assumptions!$B$67,0,$C$1)),OFFSET(P$16,0,0,1,-OFFSET(Assumptions!$B$67,0,$C$1)))/OFFSET(Assumptions!$B$67,0,$C$1)-P$468/P$14,(P$468/P$14-O$468/O$14)/P$2),0))*Q$14</f>
        <v>5.0459660011398935</v>
      </c>
      <c r="R468" s="8">
        <f ca="1">(Q$468/Q$14+ IF(R$2&gt;0,R$2*IF(R$6=OFFSET(Assumptions!$B$8,0,$C$1),SUMPRODUCT(OFFSET(Q$468,0,0,1,-OFFSET(Assumptions!$B$67,0,$C$1)),OFFSET(Q$16,0,0,1,-OFFSET(Assumptions!$B$67,0,$C$1)))/OFFSET(Assumptions!$B$67,0,$C$1)-Q$468/Q$14,(Q$468/Q$14-P$468/P$14)/Q$2),0))*R$14</f>
        <v>5.2544467454089885</v>
      </c>
      <c r="S468" s="8">
        <f ca="1">(R$468/R$14+ IF(S$2&gt;0,S$2*IF(S$6=OFFSET(Assumptions!$B$8,0,$C$1),SUMPRODUCT(OFFSET(R$468,0,0,1,-OFFSET(Assumptions!$B$67,0,$C$1)),OFFSET(R$16,0,0,1,-OFFSET(Assumptions!$B$67,0,$C$1)))/OFFSET(Assumptions!$B$67,0,$C$1)-R$468/R$14,(R$468/R$14-Q$468/Q$14)/R$2),0))*S$14</f>
        <v>5.4694994392667367</v>
      </c>
      <c r="T468" s="8">
        <f ca="1">(S$468/S$14+ IF(T$2&gt;0,T$2*IF(T$6=OFFSET(Assumptions!$B$8,0,$C$1),SUMPRODUCT(OFFSET(S$468,0,0,1,-OFFSET(Assumptions!$B$67,0,$C$1)),OFFSET(S$16,0,0,1,-OFFSET(Assumptions!$B$67,0,$C$1)))/OFFSET(Assumptions!$B$67,0,$C$1)-S$468/S$14,(S$468/S$14-R$468/R$14)/S$2),0))*T$14</f>
        <v>5.6912025051496071</v>
      </c>
      <c r="U468" s="8">
        <f ca="1">(T$468/T$14+ IF(U$2&gt;0,U$2*IF(U$6=OFFSET(Assumptions!$B$8,0,$C$1),SUMPRODUCT(OFFSET(T$468,0,0,1,-OFFSET(Assumptions!$B$67,0,$C$1)),OFFSET(T$16,0,0,1,-OFFSET(Assumptions!$B$67,0,$C$1)))/OFFSET(Assumptions!$B$67,0,$C$1)-T$468/T$14,(T$468/T$14-S$468/S$14)/T$2),0))*U$14</f>
        <v>5.9203516295170342</v>
      </c>
      <c r="V468" s="8">
        <f ca="1">(U$468/U$14+ IF(V$2&gt;0,V$2*IF(V$6=OFFSET(Assumptions!$B$8,0,$C$1),SUMPRODUCT(OFFSET(U$468,0,0,1,-OFFSET(Assumptions!$B$67,0,$C$1)),OFFSET(U$16,0,0,1,-OFFSET(Assumptions!$B$67,0,$C$1)))/OFFSET(Assumptions!$B$67,0,$C$1)-U$468/U$14,(U$468/U$14-T$468/T$14)/U$2),0))*V$14</f>
        <v>6.1575124682913653</v>
      </c>
      <c r="W468" s="8">
        <f ca="1">(V$468/V$14+ IF(W$2&gt;0,W$2*IF(W$6=OFFSET(Assumptions!$B$8,0,$C$1),SUMPRODUCT(OFFSET(V$468,0,0,1,-OFFSET(Assumptions!$B$67,0,$C$1)),OFFSET(V$16,0,0,1,-OFFSET(Assumptions!$B$67,0,$C$1)))/OFFSET(Assumptions!$B$67,0,$C$1)-V$468/V$14,(V$468/V$14-U$468/U$14)/V$2),0))*W$14</f>
        <v>6.4033721362433518</v>
      </c>
      <c r="X468" s="8">
        <f ca="1">(W$468/W$14+ IF(X$2&gt;0,X$2*IF(X$6=OFFSET(Assumptions!$B$8,0,$C$1),SUMPRODUCT(OFFSET(W$468,0,0,1,-OFFSET(Assumptions!$B$67,0,$C$1)),OFFSET(W$16,0,0,1,-OFFSET(Assumptions!$B$67,0,$C$1)))/OFFSET(Assumptions!$B$67,0,$C$1)-W$468/W$14,(W$468/W$14-V$468/V$14)/W$2),0))*X$14</f>
        <v>6.6587093833803292</v>
      </c>
      <c r="Y468" s="8">
        <f ca="1">(X$468/X$14+ IF(Y$2&gt;0,Y$2*IF(Y$6=OFFSET(Assumptions!$B$8,0,$C$1),SUMPRODUCT(OFFSET(X$468,0,0,1,-OFFSET(Assumptions!$B$67,0,$C$1)),OFFSET(X$16,0,0,1,-OFFSET(Assumptions!$B$67,0,$C$1)))/OFFSET(Assumptions!$B$67,0,$C$1)-X$468/X$14,(X$468/X$14-W$468/W$14)/X$2),0))*Y$14</f>
        <v>6.9234981057812162</v>
      </c>
      <c r="Z468" s="8">
        <f ca="1">(Y$468/Y$14+ IF(Z$2&gt;0,Z$2*IF(Z$6=OFFSET(Assumptions!$B$8,0,$C$1),SUMPRODUCT(OFFSET(Y$468,0,0,1,-OFFSET(Assumptions!$B$67,0,$C$1)),OFFSET(Y$16,0,0,1,-OFFSET(Assumptions!$B$67,0,$C$1)))/OFFSET(Assumptions!$B$67,0,$C$1)-Y$468/Y$14,(Y$468/Y$14-X$468/X$14)/Y$2),0))*Z$14</f>
        <v>7.1990785692686048</v>
      </c>
      <c r="AA468" s="8">
        <f ca="1">(Z$468/Z$14+ IF(AA$2&gt;0,AA$2*IF(AA$6=OFFSET(Assumptions!$B$8,0,$C$1),SUMPRODUCT(OFFSET(Z$468,0,0,1,-OFFSET(Assumptions!$B$67,0,$C$1)),OFFSET(Z$16,0,0,1,-OFFSET(Assumptions!$B$67,0,$C$1)))/OFFSET(Assumptions!$B$67,0,$C$1)-Z$468/Z$14,(Z$468/Z$14-Y$468/Y$14)/Z$2),0))*AA$14</f>
        <v>7.4858966639827553</v>
      </c>
      <c r="AB468" s="8">
        <f ca="1">(AA$468/AA$14+ IF(AB$2&gt;0,AB$2*IF(AB$6=OFFSET(Assumptions!$B$8,0,$C$1),SUMPRODUCT(OFFSET(AA$468,0,0,1,-OFFSET(Assumptions!$B$67,0,$C$1)),OFFSET(AA$16,0,0,1,-OFFSET(Assumptions!$B$67,0,$C$1)))/OFFSET(Assumptions!$B$67,0,$C$1)-AA$468/AA$14,(AA$468/AA$14-Z$468/Z$14)/AA$2),0))*AB$14</f>
        <v>7.7848137311501073</v>
      </c>
      <c r="AC468" s="8">
        <f ca="1">(AB$468/AB$14+ IF(AC$2&gt;0,AC$2*IF(AC$6=OFFSET(Assumptions!$B$8,0,$C$1),SUMPRODUCT(OFFSET(AB$468,0,0,1,-OFFSET(Assumptions!$B$67,0,$C$1)),OFFSET(AB$16,0,0,1,-OFFSET(Assumptions!$B$67,0,$C$1)))/OFFSET(Assumptions!$B$67,0,$C$1)-AB$468/AB$14,(AB$468/AB$14-AA$468/AA$14)/AB$2),0))*AC$14</f>
        <v>8.0969582232629769</v>
      </c>
      <c r="AD468" s="8">
        <f ca="1">(AC$468/AC$14+ IF(AD$2&gt;0,AD$2*IF(AD$6=OFFSET(Assumptions!$B$8,0,$C$1),SUMPRODUCT(OFFSET(AC$468,0,0,1,-OFFSET(Assumptions!$B$67,0,$C$1)),OFFSET(AC$16,0,0,1,-OFFSET(Assumptions!$B$67,0,$C$1)))/OFFSET(Assumptions!$B$67,0,$C$1)-AC$468/AC$14,(AC$468/AC$14-AB$468/AB$14)/AC$2),0))*AD$14</f>
        <v>8.4226591444665733</v>
      </c>
      <c r="AE468" s="8">
        <f ca="1">(AD$468/AD$14+ IF(AE$2&gt;0,AE$2*IF(AE$6=OFFSET(Assumptions!$B$8,0,$C$1),SUMPRODUCT(OFFSET(AD$468,0,0,1,-OFFSET(Assumptions!$B$67,0,$C$1)),OFFSET(AD$16,0,0,1,-OFFSET(Assumptions!$B$67,0,$C$1)))/OFFSET(Assumptions!$B$67,0,$C$1)-AD$468/AD$14,(AD$468/AD$14-AC$468/AC$14)/AD$2),0))*AE$14</f>
        <v>8.7616173818762686</v>
      </c>
      <c r="AF468" s="8">
        <f ca="1">(AE$468/AE$14+ IF(AF$2&gt;0,AF$2*IF(AF$6=OFFSET(Assumptions!$B$8,0,$C$1),SUMPRODUCT(OFFSET(AE$468,0,0,1,-OFFSET(Assumptions!$B$67,0,$C$1)),OFFSET(AE$16,0,0,1,-OFFSET(Assumptions!$B$67,0,$C$1)))/OFFSET(Assumptions!$B$67,0,$C$1)-AE$468/AE$14,(AE$468/AE$14-AD$468/AD$14)/AE$2),0))*AF$14</f>
        <v>9.1147706972157607</v>
      </c>
      <c r="AG468" s="8">
        <f ca="1">(AF$468/AF$14+ IF(AG$2&gt;0,AG$2*IF(AG$6=OFFSET(Assumptions!$B$8,0,$C$1),SUMPRODUCT(OFFSET(AF$468,0,0,1,-OFFSET(Assumptions!$B$67,0,$C$1)),OFFSET(AF$16,0,0,1,-OFFSET(Assumptions!$B$67,0,$C$1)))/OFFSET(Assumptions!$B$67,0,$C$1)-AF$468/AF$14,(AF$468/AF$14-AE$468/AE$14)/AF$2),0))*AG$14</f>
        <v>9.4823165590517373</v>
      </c>
      <c r="AH468" s="8">
        <f ca="1">(AG$468/AG$14+ IF(AH$2&gt;0,AH$2*IF(AH$6=OFFSET(Assumptions!$B$8,0,$C$1),SUMPRODUCT(OFFSET(AG$468,0,0,1,-OFFSET(Assumptions!$B$67,0,$C$1)),OFFSET(AG$16,0,0,1,-OFFSET(Assumptions!$B$67,0,$C$1)))/OFFSET(Assumptions!$B$67,0,$C$1)-AG$468/AG$14,(AG$468/AG$14-AF$468/AF$14)/AG$2),0))*AH$14</f>
        <v>9.8648443526763021</v>
      </c>
      <c r="AI468" s="8">
        <f ca="1">(AH$468/AH$14+ IF(AI$2&gt;0,AI$2*IF(AI$6=OFFSET(Assumptions!$B$8,0,$C$1),SUMPRODUCT(OFFSET(AH$468,0,0,1,-OFFSET(Assumptions!$B$67,0,$C$1)),OFFSET(AH$16,0,0,1,-OFFSET(Assumptions!$B$67,0,$C$1)))/OFFSET(Assumptions!$B$67,0,$C$1)-AH$468/AH$14,(AH$468/AH$14-AG$468/AG$14)/AH$2),0))*AI$14</f>
        <v>10.261685675404445</v>
      </c>
      <c r="AJ468" s="8">
        <f ca="1">(AI$468/AI$14+ IF(AJ$2&gt;0,AJ$2*IF(AJ$6=OFFSET(Assumptions!$B$8,0,$C$1),SUMPRODUCT(OFFSET(AI$468,0,0,1,-OFFSET(Assumptions!$B$67,0,$C$1)),OFFSET(AI$16,0,0,1,-OFFSET(Assumptions!$B$67,0,$C$1)))/OFFSET(Assumptions!$B$67,0,$C$1)-AI$468/AI$14,(AI$468/AI$14-AH$468/AH$14)/AI$2),0))*AJ$14</f>
        <v>10.674111807712505</v>
      </c>
      <c r="AK468" s="8">
        <f ca="1">(AJ$468/AJ$14+ IF(AK$2&gt;0,AK$2*IF(AK$6=OFFSET(Assumptions!$B$8,0,$C$1),SUMPRODUCT(OFFSET(AJ$468,0,0,1,-OFFSET(Assumptions!$B$67,0,$C$1)),OFFSET(AJ$16,0,0,1,-OFFSET(Assumptions!$B$67,0,$C$1)))/OFFSET(Assumptions!$B$67,0,$C$1)-AJ$468/AJ$14,(AJ$468/AJ$14-AI$468/AI$14)/AJ$2),0))*AK$14</f>
        <v>11.101783475159845</v>
      </c>
      <c r="AL468" s="8">
        <f ca="1">(AK$468/AK$14+ IF(AL$2&gt;0,AL$2*IF(AL$6=OFFSET(Assumptions!$B$8,0,$C$1),SUMPRODUCT(OFFSET(AK$468,0,0,1,-OFFSET(Assumptions!$B$67,0,$C$1)),OFFSET(AK$16,0,0,1,-OFFSET(Assumptions!$B$67,0,$C$1)))/OFFSET(Assumptions!$B$67,0,$C$1)-AK$468/AK$14,(AK$468/AK$14-AJ$468/AJ$14)/AK$2),0))*AL$14</f>
        <v>11.544363788975337</v>
      </c>
      <c r="AM468" s="8">
        <f ca="1">(AL$468/AL$14+ IF(AM$2&gt;0,AM$2*IF(AM$6=OFFSET(Assumptions!$B$8,0,$C$1),SUMPRODUCT(OFFSET(AL$468,0,0,1,-OFFSET(Assumptions!$B$67,0,$C$1)),OFFSET(AL$16,0,0,1,-OFFSET(Assumptions!$B$67,0,$C$1)))/OFFSET(Assumptions!$B$67,0,$C$1)-AL$468/AL$14,(AL$468/AL$14-AK$468/AK$14)/AL$2),0))*AM$14</f>
        <v>12.002457371500585</v>
      </c>
      <c r="AN468" s="8">
        <f ca="1">(AM$468/AM$14+ IF(AN$2&gt;0,AN$2*IF(AN$6=OFFSET(Assumptions!$B$8,0,$C$1),SUMPRODUCT(OFFSET(AM$468,0,0,1,-OFFSET(Assumptions!$B$67,0,$C$1)),OFFSET(AM$16,0,0,1,-OFFSET(Assumptions!$B$67,0,$C$1)))/OFFSET(Assumptions!$B$67,0,$C$1)-AM$468/AM$14,(AM$468/AM$14-AL$468/AL$14)/AM$2),0))*AN$14</f>
        <v>12.476701426472665</v>
      </c>
      <c r="AO468" s="8">
        <f ca="1">(AN$468/AN$14+ IF(AO$2&gt;0,AO$2*IF(AO$6=OFFSET(Assumptions!$B$8,0,$C$1),SUMPRODUCT(OFFSET(AN$468,0,0,1,-OFFSET(Assumptions!$B$67,0,$C$1)),OFFSET(AN$16,0,0,1,-OFFSET(Assumptions!$B$67,0,$C$1)))/OFFSET(Assumptions!$B$67,0,$C$1)-AN$468/AN$14,(AN$468/AN$14-AM$468/AM$14)/AN$2),0))*AO$14</f>
        <v>12.965233761488895</v>
      </c>
      <c r="AP468" s="8">
        <f ca="1">(AO$468/AO$14+ IF(AP$2&gt;0,AP$2*IF(AP$6=OFFSET(Assumptions!$B$8,0,$C$1),SUMPRODUCT(OFFSET(AO$468,0,0,1,-OFFSET(Assumptions!$B$67,0,$C$1)),OFFSET(AO$16,0,0,1,-OFFSET(Assumptions!$B$67,0,$C$1)))/OFFSET(Assumptions!$B$67,0,$C$1)-AO$468/AO$14,(AO$468/AO$14-AN$468/AN$14)/AO$2),0))*AP$14</f>
        <v>13.470128926725081</v>
      </c>
      <c r="AQ468" s="8">
        <f ca="1">(AP$468/AP$14+ IF(AQ$2&gt;0,AQ$2*IF(AQ$6=OFFSET(Assumptions!$B$8,0,$C$1),SUMPRODUCT(OFFSET(AP$468,0,0,1,-OFFSET(Assumptions!$B$67,0,$C$1)),OFFSET(AP$16,0,0,1,-OFFSET(Assumptions!$B$67,0,$C$1)))/OFFSET(Assumptions!$B$67,0,$C$1)-AP$468/AP$14,(AP$468/AP$14-AO$468/AO$14)/AP$2),0))*AQ$14</f>
        <v>13.989972207521546</v>
      </c>
      <c r="AR468" s="8">
        <f ca="1">(AQ$468/AQ$14+ IF(AR$2&gt;0,AR$2*IF(AR$6=OFFSET(Assumptions!$B$8,0,$C$1),SUMPRODUCT(OFFSET(AQ$468,0,0,1,-OFFSET(Assumptions!$B$67,0,$C$1)),OFFSET(AQ$16,0,0,1,-OFFSET(Assumptions!$B$67,0,$C$1)))/OFFSET(Assumptions!$B$67,0,$C$1)-AQ$468/AQ$14,(AQ$468/AQ$14-AP$468/AP$14)/AQ$2),0))*AR$14</f>
        <v>14.525352159470485</v>
      </c>
      <c r="AS468" s="8">
        <f ca="1">(AR$468/AR$14+ IF(AS$2&gt;0,AS$2*IF(AS$6=OFFSET(Assumptions!$B$8,0,$C$1),SUMPRODUCT(OFFSET(AR$468,0,0,1,-OFFSET(Assumptions!$B$67,0,$C$1)),OFFSET(AR$16,0,0,1,-OFFSET(Assumptions!$B$67,0,$C$1)))/OFFSET(Assumptions!$B$67,0,$C$1)-AR$468/AR$14,(AR$468/AR$14-AQ$468/AQ$14)/AR$2),0))*AS$14</f>
        <v>15.077517808557358</v>
      </c>
      <c r="AT468" s="8">
        <f ca="1">(AS$468/AS$14+ IF(AT$2&gt;0,AT$2*IF(AT$6=OFFSET(Assumptions!$B$8,0,$C$1),SUMPRODUCT(OFFSET(AS$468,0,0,1,-OFFSET(Assumptions!$B$67,0,$C$1)),OFFSET(AS$16,0,0,1,-OFFSET(Assumptions!$B$67,0,$C$1)))/OFFSET(Assumptions!$B$67,0,$C$1)-AS$468/AS$14,(AS$468/AS$14-AR$468/AR$14)/AS$2),0))*AT$14</f>
        <v>15.646910151408685</v>
      </c>
      <c r="AU468" s="8">
        <f ca="1">(AT$468/AT$14+ IF(AU$2&gt;0,AU$2*IF(AU$6=OFFSET(Assumptions!$B$8,0,$C$1),SUMPRODUCT(OFFSET(AT$468,0,0,1,-OFFSET(Assumptions!$B$67,0,$C$1)),OFFSET(AT$16,0,0,1,-OFFSET(Assumptions!$B$67,0,$C$1)))/OFFSET(Assumptions!$B$67,0,$C$1)-AT$468/AT$14,(AT$468/AT$14-AS$468/AS$14)/AT$2),0))*AU$14</f>
        <v>16.234286352726688</v>
      </c>
      <c r="AV468" s="8">
        <f ca="1">(AU$468/AU$14+ IF(AV$2&gt;0,AV$2*IF(AV$6=OFFSET(Assumptions!$B$8,0,$C$1),SUMPRODUCT(OFFSET(AU$468,0,0,1,-OFFSET(Assumptions!$B$67,0,$C$1)),OFFSET(AU$16,0,0,1,-OFFSET(Assumptions!$B$67,0,$C$1)))/OFFSET(Assumptions!$B$67,0,$C$1)-AU$468/AU$14,(AU$468/AU$14-AT$468/AT$14)/AU$2),0))*AV$14</f>
        <v>16.841462519851436</v>
      </c>
      <c r="AW468" s="8">
        <f ca="1">(AV$468/AV$14+ IF(AW$2&gt;0,AW$2*IF(AW$6=OFFSET(Assumptions!$B$8,0,$C$1),SUMPRODUCT(OFFSET(AV$468,0,0,1,-OFFSET(Assumptions!$B$67,0,$C$1)),OFFSET(AV$16,0,0,1,-OFFSET(Assumptions!$B$67,0,$C$1)))/OFFSET(Assumptions!$B$67,0,$C$1)-AV$468/AV$14,(AV$468/AV$14-AU$468/AU$14)/AV$2),0))*AW$14</f>
        <v>17.468095867726657</v>
      </c>
    </row>
    <row r="469" spans="1:49" ht="15" x14ac:dyDescent="0.25">
      <c r="A469" s="2" t="s">
        <v>686</v>
      </c>
      <c r="B469" s="4" t="str">
        <f t="shared" si="273"/>
        <v>From Fiscal</v>
      </c>
      <c r="D469" s="55">
        <f>Fiscal!D$133</f>
        <v>7.2210000000000001</v>
      </c>
      <c r="E469" s="44">
        <f>Fiscal!E$133</f>
        <v>7.3520000000000003</v>
      </c>
      <c r="F469" s="44">
        <f>Fiscal!F$133</f>
        <v>6.9189999999999996</v>
      </c>
      <c r="G469" s="44">
        <f>Fiscal!G$133</f>
        <v>6.7460000000000004</v>
      </c>
      <c r="H469" s="44">
        <f>Fiscal!H$133</f>
        <v>6.4530000000000003</v>
      </c>
      <c r="I469" s="44">
        <f>Fiscal!I$133</f>
        <v>6.2240000000000002</v>
      </c>
      <c r="J469" s="8">
        <f ca="1">((I$469-I$468)/I$14+ IF(J$2&gt;0,J$2*IF(J$6=OFFSET(Assumptions!$B$8,0,$C$1),(SUMPRODUCT(OFFSET(I$469,0,0,1,-OFFSET(Assumptions!$B$67,0,$C$1)),OFFSET(I$16,0,0,1,-OFFSET(Assumptions!$B$67,0,$C$1)))-SUMPRODUCT(OFFSET(I$468,0,0,1,-OFFSET(Assumptions!$B$67,0,$C$1)),OFFSET(I$16,0,0,1,-OFFSET(Assumptions!$B$67,0,$C$1))))/OFFSET(Assumptions!$B$67,0,$C$1)-(I$469-I$468)/I$14,((I$469-I$468)/I$14-(H$469-H$468)/H$14)/I$2),0))*J$14 +J$468</f>
        <v>6.6767467491093075</v>
      </c>
      <c r="K469" s="8">
        <f ca="1">((J$469-J$468)/J$14+ IF(K$2&gt;0,K$2*IF(K$6=OFFSET(Assumptions!$B$8,0,$C$1),(SUMPRODUCT(OFFSET(J$469,0,0,1,-OFFSET(Assumptions!$B$67,0,$C$1)),OFFSET(J$16,0,0,1,-OFFSET(Assumptions!$B$67,0,$C$1)))-SUMPRODUCT(OFFSET(J$468,0,0,1,-OFFSET(Assumptions!$B$67,0,$C$1)),OFFSET(J$16,0,0,1,-OFFSET(Assumptions!$B$67,0,$C$1))))/OFFSET(Assumptions!$B$67,0,$C$1)-(J$469-J$468)/J$14,((J$469-J$468)/J$14-(I$469-I$468)/I$14)/J$2),0))*K$14 +K$468</f>
        <v>7.1145257799131745</v>
      </c>
      <c r="L469" s="8">
        <f ca="1">((K$469-K$468)/K$14+ IF(L$2&gt;0,L$2*IF(L$6=OFFSET(Assumptions!$B$8,0,$C$1),(SUMPRODUCT(OFFSET(K$469,0,0,1,-OFFSET(Assumptions!$B$67,0,$C$1)),OFFSET(K$16,0,0,1,-OFFSET(Assumptions!$B$67,0,$C$1)))-SUMPRODUCT(OFFSET(K$468,0,0,1,-OFFSET(Assumptions!$B$67,0,$C$1)),OFFSET(K$16,0,0,1,-OFFSET(Assumptions!$B$67,0,$C$1))))/OFFSET(Assumptions!$B$67,0,$C$1)-(K$469-K$468)/K$14,((K$469-K$468)/K$14-(J$469-J$468)/J$14)/K$2),0))*L$14 +L$468</f>
        <v>7.5471353240900587</v>
      </c>
      <c r="M469" s="8">
        <f ca="1">((L$469-L$468)/L$14+ IF(M$2&gt;0,M$2*IF(M$6=OFFSET(Assumptions!$B$8,0,$C$1),(SUMPRODUCT(OFFSET(L$469,0,0,1,-OFFSET(Assumptions!$B$67,0,$C$1)),OFFSET(L$16,0,0,1,-OFFSET(Assumptions!$B$67,0,$C$1)))-SUMPRODUCT(OFFSET(L$468,0,0,1,-OFFSET(Assumptions!$B$67,0,$C$1)),OFFSET(L$16,0,0,1,-OFFSET(Assumptions!$B$67,0,$C$1))))/OFFSET(Assumptions!$B$67,0,$C$1)-(L$469-L$468)/L$14,((L$469-L$468)/L$14-(K$469-K$468)/K$14)/L$2),0))*M$14 +M$468</f>
        <v>7.9596174940654354</v>
      </c>
      <c r="N469" s="8">
        <f ca="1">((M$469-M$468)/M$14+ IF(N$2&gt;0,N$2*IF(N$6=OFFSET(Assumptions!$B$8,0,$C$1),(SUMPRODUCT(OFFSET(M$469,0,0,1,-OFFSET(Assumptions!$B$67,0,$C$1)),OFFSET(M$16,0,0,1,-OFFSET(Assumptions!$B$67,0,$C$1)))-SUMPRODUCT(OFFSET(M$468,0,0,1,-OFFSET(Assumptions!$B$67,0,$C$1)),OFFSET(M$16,0,0,1,-OFFSET(Assumptions!$B$67,0,$C$1))))/OFFSET(Assumptions!$B$67,0,$C$1)-(M$469-M$468)/M$14,((M$469-M$468)/M$14-(L$469-L$468)/L$14)/M$2),0))*N$14 +N$468</f>
        <v>8.3479573661241009</v>
      </c>
      <c r="O469" s="8">
        <f ca="1">((N$469-N$468)/N$14+ IF(O$2&gt;0,O$2*IF(O$6=OFFSET(Assumptions!$B$8,0,$C$1),(SUMPRODUCT(OFFSET(N$469,0,0,1,-OFFSET(Assumptions!$B$67,0,$C$1)),OFFSET(N$16,0,0,1,-OFFSET(Assumptions!$B$67,0,$C$1)))-SUMPRODUCT(OFFSET(N$468,0,0,1,-OFFSET(Assumptions!$B$67,0,$C$1)),OFFSET(N$16,0,0,1,-OFFSET(Assumptions!$B$67,0,$C$1))))/OFFSET(Assumptions!$B$67,0,$C$1)-(N$469-N$468)/N$14,((N$469-N$468)/N$14-(M$469-M$468)/M$14)/N$2),0))*O$14 +O$468</f>
        <v>8.7043043940038487</v>
      </c>
      <c r="P469" s="8">
        <f ca="1">((O$469-O$468)/O$14+ IF(P$2&gt;0,P$2*IF(P$6=OFFSET(Assumptions!$B$8,0,$C$1),(SUMPRODUCT(OFFSET(O$469,0,0,1,-OFFSET(Assumptions!$B$67,0,$C$1)),OFFSET(O$16,0,0,1,-OFFSET(Assumptions!$B$67,0,$C$1)))-SUMPRODUCT(OFFSET(O$468,0,0,1,-OFFSET(Assumptions!$B$67,0,$C$1)),OFFSET(O$16,0,0,1,-OFFSET(Assumptions!$B$67,0,$C$1))))/OFFSET(Assumptions!$B$67,0,$C$1)-(O$469-O$468)/O$14,((O$469-O$468)/O$14-(N$469-N$468)/N$14)/O$2),0))*P$14 +P$468</f>
        <v>9.0723998627287372</v>
      </c>
      <c r="Q469" s="8">
        <f ca="1">((P$469-P$468)/P$14+ IF(Q$2&gt;0,Q$2*IF(Q$6=OFFSET(Assumptions!$B$8,0,$C$1),(SUMPRODUCT(OFFSET(P$469,0,0,1,-OFFSET(Assumptions!$B$67,0,$C$1)),OFFSET(P$16,0,0,1,-OFFSET(Assumptions!$B$67,0,$C$1)))-SUMPRODUCT(OFFSET(P$468,0,0,1,-OFFSET(Assumptions!$B$67,0,$C$1)),OFFSET(P$16,0,0,1,-OFFSET(Assumptions!$B$67,0,$C$1))))/OFFSET(Assumptions!$B$67,0,$C$1)-(P$469-P$468)/P$14,((P$469-P$468)/P$14-(O$469-O$468)/O$14)/P$2),0))*Q$14 +Q$468</f>
        <v>9.4518461616033065</v>
      </c>
      <c r="R469" s="8">
        <f ca="1">((Q$469-Q$468)/Q$14+ IF(R$2&gt;0,R$2*IF(R$6=OFFSET(Assumptions!$B$8,0,$C$1),(SUMPRODUCT(OFFSET(Q$469,0,0,1,-OFFSET(Assumptions!$B$67,0,$C$1)),OFFSET(Q$16,0,0,1,-OFFSET(Assumptions!$B$67,0,$C$1)))-SUMPRODUCT(OFFSET(Q$468,0,0,1,-OFFSET(Assumptions!$B$67,0,$C$1)),OFFSET(Q$16,0,0,1,-OFFSET(Assumptions!$B$67,0,$C$1))))/OFFSET(Assumptions!$B$67,0,$C$1)-(Q$469-Q$468)/Q$14,((Q$469-Q$468)/Q$14-(P$469-P$468)/P$14)/Q$2),0))*R$14 +R$468</f>
        <v>9.8423616589417549</v>
      </c>
      <c r="S469" s="8">
        <f ca="1">((R$469-R$468)/R$14+ IF(S$2&gt;0,S$2*IF(S$6=OFFSET(Assumptions!$B$8,0,$C$1),(SUMPRODUCT(OFFSET(R$469,0,0,1,-OFFSET(Assumptions!$B$67,0,$C$1)),OFFSET(R$16,0,0,1,-OFFSET(Assumptions!$B$67,0,$C$1)))-SUMPRODUCT(OFFSET(R$468,0,0,1,-OFFSET(Assumptions!$B$67,0,$C$1)),OFFSET(R$16,0,0,1,-OFFSET(Assumptions!$B$67,0,$C$1))))/OFFSET(Assumptions!$B$67,0,$C$1)-(R$469-R$468)/R$14,((R$469-R$468)/R$14-(Q$469-Q$468)/Q$14)/R$2),0))*S$14 +S$468</f>
        <v>10.245187397070517</v>
      </c>
      <c r="T469" s="8">
        <f ca="1">((S$469-S$468)/S$14+ IF(T$2&gt;0,T$2*IF(T$6=OFFSET(Assumptions!$B$8,0,$C$1),(SUMPRODUCT(OFFSET(S$469,0,0,1,-OFFSET(Assumptions!$B$67,0,$C$1)),OFFSET(S$16,0,0,1,-OFFSET(Assumptions!$B$67,0,$C$1)))-SUMPRODUCT(OFFSET(S$468,0,0,1,-OFFSET(Assumptions!$B$67,0,$C$1)),OFFSET(S$16,0,0,1,-OFFSET(Assumptions!$B$67,0,$C$1))))/OFFSET(Assumptions!$B$67,0,$C$1)-(S$469-S$468)/S$14,((S$469-S$468)/S$14-(R$469-R$468)/R$14)/S$2),0))*T$14 +T$468</f>
        <v>10.660470272897925</v>
      </c>
      <c r="U469" s="8">
        <f ca="1">((T$469-T$468)/T$14+ IF(U$2&gt;0,U$2*IF(U$6=OFFSET(Assumptions!$B$8,0,$C$1),(SUMPRODUCT(OFFSET(T$469,0,0,1,-OFFSET(Assumptions!$B$67,0,$C$1)),OFFSET(T$16,0,0,1,-OFFSET(Assumptions!$B$67,0,$C$1)))-SUMPRODUCT(OFFSET(T$468,0,0,1,-OFFSET(Assumptions!$B$67,0,$C$1)),OFFSET(T$16,0,0,1,-OFFSET(Assumptions!$B$67,0,$C$1))))/OFFSET(Assumptions!$B$67,0,$C$1)-(T$469-T$468)/T$14,((T$469-T$468)/T$14-(S$469-S$468)/S$14)/T$2),0))*U$14 +U$468</f>
        <v>11.089700725718604</v>
      </c>
      <c r="V469" s="8">
        <f ca="1">((U$469-U$468)/U$14+ IF(V$2&gt;0,V$2*IF(V$6=OFFSET(Assumptions!$B$8,0,$C$1),(SUMPRODUCT(OFFSET(U$469,0,0,1,-OFFSET(Assumptions!$B$67,0,$C$1)),OFFSET(U$16,0,0,1,-OFFSET(Assumptions!$B$67,0,$C$1)))-SUMPRODUCT(OFFSET(U$468,0,0,1,-OFFSET(Assumptions!$B$67,0,$C$1)),OFFSET(U$16,0,0,1,-OFFSET(Assumptions!$B$67,0,$C$1))))/OFFSET(Assumptions!$B$67,0,$C$1)-(U$469-U$468)/U$14,((U$469-U$468)/U$14-(T$469-T$468)/T$14)/U$2),0))*V$14 +V$468</f>
        <v>11.533938313357005</v>
      </c>
      <c r="W469" s="8">
        <f ca="1">((V$469-V$468)/V$14+ IF(W$2&gt;0,W$2*IF(W$6=OFFSET(Assumptions!$B$8,0,$C$1),(SUMPRODUCT(OFFSET(V$469,0,0,1,-OFFSET(Assumptions!$B$67,0,$C$1)),OFFSET(V$16,0,0,1,-OFFSET(Assumptions!$B$67,0,$C$1)))-SUMPRODUCT(OFFSET(V$468,0,0,1,-OFFSET(Assumptions!$B$67,0,$C$1)),OFFSET(V$16,0,0,1,-OFFSET(Assumptions!$B$67,0,$C$1))))/OFFSET(Assumptions!$B$67,0,$C$1)-(V$469-V$468)/V$14,((V$469-V$468)/V$14-(U$469-U$468)/U$14)/V$2),0))*W$14 +W$468</f>
        <v>11.994470104157834</v>
      </c>
      <c r="X469" s="8">
        <f ca="1">((W$469-W$468)/W$14+ IF(X$2&gt;0,X$2*IF(X$6=OFFSET(Assumptions!$B$8,0,$C$1),(SUMPRODUCT(OFFSET(W$469,0,0,1,-OFFSET(Assumptions!$B$67,0,$C$1)),OFFSET(W$16,0,0,1,-OFFSET(Assumptions!$B$67,0,$C$1)))-SUMPRODUCT(OFFSET(W$468,0,0,1,-OFFSET(Assumptions!$B$67,0,$C$1)),OFFSET(W$16,0,0,1,-OFFSET(Assumptions!$B$67,0,$C$1))))/OFFSET(Assumptions!$B$67,0,$C$1)-(W$469-W$468)/W$14,((W$469-W$468)/W$14-(V$469-V$468)/V$14)/W$2),0))*X$14 +X$468</f>
        <v>12.472754812917426</v>
      </c>
      <c r="Y469" s="8">
        <f ca="1">((X$469-X$468)/X$14+ IF(Y$2&gt;0,Y$2*IF(Y$6=OFFSET(Assumptions!$B$8,0,$C$1),(SUMPRODUCT(OFFSET(X$469,0,0,1,-OFFSET(Assumptions!$B$67,0,$C$1)),OFFSET(X$16,0,0,1,-OFFSET(Assumptions!$B$67,0,$C$1)))-SUMPRODUCT(OFFSET(X$468,0,0,1,-OFFSET(Assumptions!$B$67,0,$C$1)),OFFSET(X$16,0,0,1,-OFFSET(Assumptions!$B$67,0,$C$1))))/OFFSET(Assumptions!$B$67,0,$C$1)-(X$469-X$468)/X$14,((X$469-X$468)/X$14-(W$469-W$468)/W$14)/X$2),0))*Y$14 +Y$468</f>
        <v>12.96874354310215</v>
      </c>
      <c r="Z469" s="8">
        <f ca="1">((Y$469-Y$468)/Y$14+ IF(Z$2&gt;0,Z$2*IF(Z$6=OFFSET(Assumptions!$B$8,0,$C$1),(SUMPRODUCT(OFFSET(Y$469,0,0,1,-OFFSET(Assumptions!$B$67,0,$C$1)),OFFSET(Y$16,0,0,1,-OFFSET(Assumptions!$B$67,0,$C$1)))-SUMPRODUCT(OFFSET(Y$468,0,0,1,-OFFSET(Assumptions!$B$67,0,$C$1)),OFFSET(Y$16,0,0,1,-OFFSET(Assumptions!$B$67,0,$C$1))))/OFFSET(Assumptions!$B$67,0,$C$1)-(Y$469-Y$468)/Y$14,((Y$469-Y$468)/Y$14-(X$469-X$468)/X$14)/Y$2),0))*Z$14 +Z$468</f>
        <v>13.484946812295346</v>
      </c>
      <c r="AA469" s="8">
        <f ca="1">((Z$469-Z$468)/Z$14+ IF(AA$2&gt;0,AA$2*IF(AA$6=OFFSET(Assumptions!$B$8,0,$C$1),(SUMPRODUCT(OFFSET(Z$469,0,0,1,-OFFSET(Assumptions!$B$67,0,$C$1)),OFFSET(Z$16,0,0,1,-OFFSET(Assumptions!$B$67,0,$C$1)))-SUMPRODUCT(OFFSET(Z$468,0,0,1,-OFFSET(Assumptions!$B$67,0,$C$1)),OFFSET(Z$16,0,0,1,-OFFSET(Assumptions!$B$67,0,$C$1))))/OFFSET(Assumptions!$B$67,0,$C$1)-(Z$469-Z$468)/Z$14,((Z$469-Z$468)/Z$14-(Y$469-Y$468)/Y$14)/Z$2),0))*AA$14 +AA$468</f>
        <v>14.022199839166696</v>
      </c>
      <c r="AB469" s="8">
        <f ca="1">((AA$469-AA$468)/AA$14+ IF(AB$2&gt;0,AB$2*IF(AB$6=OFFSET(Assumptions!$B$8,0,$C$1),(SUMPRODUCT(OFFSET(AA$469,0,0,1,-OFFSET(Assumptions!$B$67,0,$C$1)),OFFSET(AA$16,0,0,1,-OFFSET(Assumptions!$B$67,0,$C$1)))-SUMPRODUCT(OFFSET(AA$468,0,0,1,-OFFSET(Assumptions!$B$67,0,$C$1)),OFFSET(AA$16,0,0,1,-OFFSET(Assumptions!$B$67,0,$C$1))))/OFFSET(Assumptions!$B$67,0,$C$1)-(AA$469-AA$468)/AA$14,((AA$469-AA$468)/AA$14-(Z$469-Z$468)/Z$14)/AA$2),0))*AB$14 +AB$468</f>
        <v>14.582116044171883</v>
      </c>
      <c r="AC469" s="8">
        <f ca="1">((AB$469-AB$468)/AB$14+ IF(AC$2&gt;0,AC$2*IF(AC$6=OFFSET(Assumptions!$B$8,0,$C$1),(SUMPRODUCT(OFFSET(AB$469,0,0,1,-OFFSET(Assumptions!$B$67,0,$C$1)),OFFSET(AB$16,0,0,1,-OFFSET(Assumptions!$B$67,0,$C$1)))-SUMPRODUCT(OFFSET(AB$468,0,0,1,-OFFSET(Assumptions!$B$67,0,$C$1)),OFFSET(AB$16,0,0,1,-OFFSET(Assumptions!$B$67,0,$C$1))))/OFFSET(Assumptions!$B$67,0,$C$1)-(AB$469-AB$468)/AB$14,((AB$469-AB$468)/AB$14-(AA$469-AA$468)/AA$14)/AB$2),0))*AC$14 +AC$468</f>
        <v>15.166809186966773</v>
      </c>
      <c r="AD469" s="8">
        <f ca="1">((AC$469-AC$468)/AC$14+ IF(AD$2&gt;0,AD$2*IF(AD$6=OFFSET(Assumptions!$B$8,0,$C$1),(SUMPRODUCT(OFFSET(AC$469,0,0,1,-OFFSET(Assumptions!$B$67,0,$C$1)),OFFSET(AC$16,0,0,1,-OFFSET(Assumptions!$B$67,0,$C$1)))-SUMPRODUCT(OFFSET(AC$468,0,0,1,-OFFSET(Assumptions!$B$67,0,$C$1)),OFFSET(AC$16,0,0,1,-OFFSET(Assumptions!$B$67,0,$C$1))))/OFFSET(Assumptions!$B$67,0,$C$1)-(AC$469-AC$468)/AC$14,((AC$469-AC$468)/AC$14-(AB$469-AB$468)/AB$14)/AC$2),0))*AD$14 +AD$468</f>
        <v>15.776895541336469</v>
      </c>
      <c r="AE469" s="8">
        <f ca="1">((AD$469-AD$468)/AD$14+ IF(AE$2&gt;0,AE$2*IF(AE$6=OFFSET(Assumptions!$B$8,0,$C$1),(SUMPRODUCT(OFFSET(AD$469,0,0,1,-OFFSET(Assumptions!$B$67,0,$C$1)),OFFSET(AD$16,0,0,1,-OFFSET(Assumptions!$B$67,0,$C$1)))-SUMPRODUCT(OFFSET(AD$468,0,0,1,-OFFSET(Assumptions!$B$67,0,$C$1)),OFFSET(AD$16,0,0,1,-OFFSET(Assumptions!$B$67,0,$C$1))))/OFFSET(Assumptions!$B$67,0,$C$1)-(AD$469-AD$468)/AD$14,((AD$469-AD$468)/AD$14-(AC$469-AC$468)/AC$14)/AD$2),0))*AE$14 +AE$468</f>
        <v>16.41181482428069</v>
      </c>
      <c r="AF469" s="8">
        <f ca="1">((AE$469-AE$468)/AE$14+ IF(AF$2&gt;0,AF$2*IF(AF$6=OFFSET(Assumptions!$B$8,0,$C$1),(SUMPRODUCT(OFFSET(AE$469,0,0,1,-OFFSET(Assumptions!$B$67,0,$C$1)),OFFSET(AE$16,0,0,1,-OFFSET(Assumptions!$B$67,0,$C$1)))-SUMPRODUCT(OFFSET(AE$468,0,0,1,-OFFSET(Assumptions!$B$67,0,$C$1)),OFFSET(AE$16,0,0,1,-OFFSET(Assumptions!$B$67,0,$C$1))))/OFFSET(Assumptions!$B$67,0,$C$1)-(AE$469-AE$468)/AE$14,((AE$469-AE$468)/AE$14-(AD$469-AD$468)/AD$14)/AE$2),0))*AF$14 +AF$468</f>
        <v>17.073323603233028</v>
      </c>
      <c r="AG469" s="8">
        <f ca="1">((AF$469-AF$468)/AF$14+ IF(AG$2&gt;0,AG$2*IF(AG$6=OFFSET(Assumptions!$B$8,0,$C$1),(SUMPRODUCT(OFFSET(AF$469,0,0,1,-OFFSET(Assumptions!$B$67,0,$C$1)),OFFSET(AF$16,0,0,1,-OFFSET(Assumptions!$B$67,0,$C$1)))-SUMPRODUCT(OFFSET(AF$468,0,0,1,-OFFSET(Assumptions!$B$67,0,$C$1)),OFFSET(AF$16,0,0,1,-OFFSET(Assumptions!$B$67,0,$C$1))))/OFFSET(Assumptions!$B$67,0,$C$1)-(AF$469-AF$468)/AF$14,((AF$469-AF$468)/AF$14-(AE$469-AE$468)/AE$14)/AF$2),0))*AG$14 +AG$468</f>
        <v>17.761791766241416</v>
      </c>
      <c r="AH469" s="8">
        <f ca="1">((AG$469-AG$468)/AG$14+ IF(AH$2&gt;0,AH$2*IF(AH$6=OFFSET(Assumptions!$B$8,0,$C$1),(SUMPRODUCT(OFFSET(AG$469,0,0,1,-OFFSET(Assumptions!$B$67,0,$C$1)),OFFSET(AG$16,0,0,1,-OFFSET(Assumptions!$B$67,0,$C$1)))-SUMPRODUCT(OFFSET(AG$468,0,0,1,-OFFSET(Assumptions!$B$67,0,$C$1)),OFFSET(AG$16,0,0,1,-OFFSET(Assumptions!$B$67,0,$C$1))))/OFFSET(Assumptions!$B$67,0,$C$1)-(AG$469-AG$468)/AG$14,((AG$469-AG$468)/AG$14-(AF$469-AF$468)/AF$14)/AG$2),0))*AH$14 +AH$468</f>
        <v>18.478323319775498</v>
      </c>
      <c r="AI469" s="8">
        <f ca="1">((AH$469-AH$468)/AH$14+ IF(AI$2&gt;0,AI$2*IF(AI$6=OFFSET(Assumptions!$B$8,0,$C$1),(SUMPRODUCT(OFFSET(AH$469,0,0,1,-OFFSET(Assumptions!$B$67,0,$C$1)),OFFSET(AH$16,0,0,1,-OFFSET(Assumptions!$B$67,0,$C$1)))-SUMPRODUCT(OFFSET(AH$468,0,0,1,-OFFSET(Assumptions!$B$67,0,$C$1)),OFFSET(AH$16,0,0,1,-OFFSET(Assumptions!$B$67,0,$C$1))))/OFFSET(Assumptions!$B$67,0,$C$1)-(AH$469-AH$468)/AH$14,((AH$469-AH$468)/AH$14-(AG$469-AG$468)/AG$14)/AH$2),0))*AI$14 +AI$468</f>
        <v>19.221666246015239</v>
      </c>
      <c r="AJ469" s="8">
        <f ca="1">((AI$469-AI$468)/AI$14+ IF(AJ$2&gt;0,AJ$2*IF(AJ$6=OFFSET(Assumptions!$B$8,0,$C$1),(SUMPRODUCT(OFFSET(AI$469,0,0,1,-OFFSET(Assumptions!$B$67,0,$C$1)),OFFSET(AI$16,0,0,1,-OFFSET(Assumptions!$B$67,0,$C$1)))-SUMPRODUCT(OFFSET(AI$468,0,0,1,-OFFSET(Assumptions!$B$67,0,$C$1)),OFFSET(AI$16,0,0,1,-OFFSET(Assumptions!$B$67,0,$C$1))))/OFFSET(Assumptions!$B$67,0,$C$1)-(AI$469-AI$468)/AI$14,((AI$469-AI$468)/AI$14-(AH$469-AH$468)/AH$14)/AI$2),0))*AJ$14 +AJ$468</f>
        <v>19.994201842711732</v>
      </c>
      <c r="AK469" s="8">
        <f ca="1">((AJ$469-AJ$468)/AJ$14+ IF(AK$2&gt;0,AK$2*IF(AK$6=OFFSET(Assumptions!$B$8,0,$C$1),(SUMPRODUCT(OFFSET(AJ$469,0,0,1,-OFFSET(Assumptions!$B$67,0,$C$1)),OFFSET(AJ$16,0,0,1,-OFFSET(Assumptions!$B$67,0,$C$1)))-SUMPRODUCT(OFFSET(AJ$468,0,0,1,-OFFSET(Assumptions!$B$67,0,$C$1)),OFFSET(AJ$16,0,0,1,-OFFSET(Assumptions!$B$67,0,$C$1))))/OFFSET(Assumptions!$B$67,0,$C$1)-(AJ$469-AJ$468)/AJ$14,((AJ$469-AJ$468)/AJ$14-(AI$469-AI$468)/AI$14)/AJ$2),0))*AK$14 +AK$468</f>
        <v>20.795294598286276</v>
      </c>
      <c r="AL469" s="8">
        <f ca="1">((AK$469-AK$468)/AK$14+ IF(AL$2&gt;0,AL$2*IF(AL$6=OFFSET(Assumptions!$B$8,0,$C$1),(SUMPRODUCT(OFFSET(AK$469,0,0,1,-OFFSET(Assumptions!$B$67,0,$C$1)),OFFSET(AK$16,0,0,1,-OFFSET(Assumptions!$B$67,0,$C$1)))-SUMPRODUCT(OFFSET(AK$468,0,0,1,-OFFSET(Assumptions!$B$67,0,$C$1)),OFFSET(AK$16,0,0,1,-OFFSET(Assumptions!$B$67,0,$C$1))))/OFFSET(Assumptions!$B$67,0,$C$1)-(AK$469-AK$468)/AK$14,((AK$469-AK$468)/AK$14-(AJ$469-AJ$468)/AJ$14)/AK$2),0))*AL$14 +AL$468</f>
        <v>21.624313469874622</v>
      </c>
      <c r="AM469" s="8">
        <f ca="1">((AL$469-AL$468)/AL$14+ IF(AM$2&gt;0,AM$2*IF(AM$6=OFFSET(Assumptions!$B$8,0,$C$1),(SUMPRODUCT(OFFSET(AL$469,0,0,1,-OFFSET(Assumptions!$B$67,0,$C$1)),OFFSET(AL$16,0,0,1,-OFFSET(Assumptions!$B$67,0,$C$1)))-SUMPRODUCT(OFFSET(AL$468,0,0,1,-OFFSET(Assumptions!$B$67,0,$C$1)),OFFSET(AL$16,0,0,1,-OFFSET(Assumptions!$B$67,0,$C$1))))/OFFSET(Assumptions!$B$67,0,$C$1)-(AL$469-AL$468)/AL$14,((AL$469-AL$468)/AL$14-(AK$469-AK$468)/AK$14)/AL$2),0))*AM$14 +AM$468</f>
        <v>22.482391005210424</v>
      </c>
      <c r="AN469" s="8">
        <f ca="1">((AM$469-AM$468)/AM$14+ IF(AN$2&gt;0,AN$2*IF(AN$6=OFFSET(Assumptions!$B$8,0,$C$1),(SUMPRODUCT(OFFSET(AM$469,0,0,1,-OFFSET(Assumptions!$B$67,0,$C$1)),OFFSET(AM$16,0,0,1,-OFFSET(Assumptions!$B$67,0,$C$1)))-SUMPRODUCT(OFFSET(AM$468,0,0,1,-OFFSET(Assumptions!$B$67,0,$C$1)),OFFSET(AM$16,0,0,1,-OFFSET(Assumptions!$B$67,0,$C$1))))/OFFSET(Assumptions!$B$67,0,$C$1)-(AM$469-AM$468)/AM$14,((AM$469-AM$468)/AM$14-(AL$469-AL$468)/AL$14)/AM$2),0))*AN$14 +AN$468</f>
        <v>23.370720781835644</v>
      </c>
      <c r="AO469" s="8">
        <f ca="1">((AN$469-AN$468)/AN$14+ IF(AO$2&gt;0,AO$2*IF(AO$6=OFFSET(Assumptions!$B$8,0,$C$1),(SUMPRODUCT(OFFSET(AN$469,0,0,1,-OFFSET(Assumptions!$B$67,0,$C$1)),OFFSET(AN$16,0,0,1,-OFFSET(Assumptions!$B$67,0,$C$1)))-SUMPRODUCT(OFFSET(AN$468,0,0,1,-OFFSET(Assumptions!$B$67,0,$C$1)),OFFSET(AN$16,0,0,1,-OFFSET(Assumptions!$B$67,0,$C$1))))/OFFSET(Assumptions!$B$67,0,$C$1)-(AN$469-AN$468)/AN$14,((AN$469-AN$468)/AN$14-(AM$469-AM$468)/AM$14)/AN$2),0))*AO$14 +AO$468</f>
        <v>24.28581463591614</v>
      </c>
      <c r="AP469" s="8">
        <f ca="1">((AO$469-AO$468)/AO$14+ IF(AP$2&gt;0,AP$2*IF(AP$6=OFFSET(Assumptions!$B$8,0,$C$1),(SUMPRODUCT(OFFSET(AO$469,0,0,1,-OFFSET(Assumptions!$B$67,0,$C$1)),OFFSET(AO$16,0,0,1,-OFFSET(Assumptions!$B$67,0,$C$1)))-SUMPRODUCT(OFFSET(AO$468,0,0,1,-OFFSET(Assumptions!$B$67,0,$C$1)),OFFSET(AO$16,0,0,1,-OFFSET(Assumptions!$B$67,0,$C$1))))/OFFSET(Assumptions!$B$67,0,$C$1)-(AO$469-AO$468)/AO$14,((AO$469-AO$468)/AO$14-(AN$469-AN$468)/AN$14)/AO$2),0))*AP$14 +AP$468</f>
        <v>25.231558509036109</v>
      </c>
      <c r="AQ469" s="8">
        <f ca="1">((AP$469-AP$468)/AP$14+ IF(AQ$2&gt;0,AQ$2*IF(AQ$6=OFFSET(Assumptions!$B$8,0,$C$1),(SUMPRODUCT(OFFSET(AP$469,0,0,1,-OFFSET(Assumptions!$B$67,0,$C$1)),OFFSET(AP$16,0,0,1,-OFFSET(Assumptions!$B$67,0,$C$1)))-SUMPRODUCT(OFFSET(AP$468,0,0,1,-OFFSET(Assumptions!$B$67,0,$C$1)),OFFSET(AP$16,0,0,1,-OFFSET(Assumptions!$B$67,0,$C$1))))/OFFSET(Assumptions!$B$67,0,$C$1)-(AP$469-AP$468)/AP$14,((AP$469-AP$468)/AP$14-(AO$469-AO$468)/AO$14)/AP$2),0))*AQ$14 +AQ$468</f>
        <v>26.205302429847578</v>
      </c>
      <c r="AR469" s="8">
        <f ca="1">((AQ$469-AQ$468)/AQ$14+ IF(AR$2&gt;0,AR$2*IF(AR$6=OFFSET(Assumptions!$B$8,0,$C$1),(SUMPRODUCT(OFFSET(AQ$469,0,0,1,-OFFSET(Assumptions!$B$67,0,$C$1)),OFFSET(AQ$16,0,0,1,-OFFSET(Assumptions!$B$67,0,$C$1)))-SUMPRODUCT(OFFSET(AQ$468,0,0,1,-OFFSET(Assumptions!$B$67,0,$C$1)),OFFSET(AQ$16,0,0,1,-OFFSET(Assumptions!$B$67,0,$C$1))))/OFFSET(Assumptions!$B$67,0,$C$1)-(AQ$469-AQ$468)/AQ$14,((AQ$469-AQ$468)/AQ$14-(AP$469-AP$468)/AP$14)/AQ$2),0))*AR$14 +AR$468</f>
        <v>27.208148850668643</v>
      </c>
      <c r="AS469" s="8">
        <f ca="1">((AR$469-AR$468)/AR$14+ IF(AS$2&gt;0,AS$2*IF(AS$6=OFFSET(Assumptions!$B$8,0,$C$1),(SUMPRODUCT(OFFSET(AR$469,0,0,1,-OFFSET(Assumptions!$B$67,0,$C$1)),OFFSET(AR$16,0,0,1,-OFFSET(Assumptions!$B$67,0,$C$1)))-SUMPRODUCT(OFFSET(AR$468,0,0,1,-OFFSET(Assumptions!$B$67,0,$C$1)),OFFSET(AR$16,0,0,1,-OFFSET(Assumptions!$B$67,0,$C$1))))/OFFSET(Assumptions!$B$67,0,$C$1)-(AR$469-AR$468)/AR$14,((AR$469-AR$468)/AR$14-(AQ$469-AQ$468)/AQ$14)/AR$2),0))*AS$14 +AS$468</f>
        <v>28.242437383273099</v>
      </c>
      <c r="AT469" s="8">
        <f ca="1">((AS$469-AS$468)/AS$14+ IF(AT$2&gt;0,AT$2*IF(AT$6=OFFSET(Assumptions!$B$8,0,$C$1),(SUMPRODUCT(OFFSET(AS$469,0,0,1,-OFFSET(Assumptions!$B$67,0,$C$1)),OFFSET(AS$16,0,0,1,-OFFSET(Assumptions!$B$67,0,$C$1)))-SUMPRODUCT(OFFSET(AS$468,0,0,1,-OFFSET(Assumptions!$B$67,0,$C$1)),OFFSET(AS$16,0,0,1,-OFFSET(Assumptions!$B$67,0,$C$1))))/OFFSET(Assumptions!$B$67,0,$C$1)-(AS$469-AS$468)/AS$14,((AS$469-AS$468)/AS$14-(AR$469-AR$468)/AR$14)/AS$2),0))*AT$14 +AT$468</f>
        <v>29.308994080050262</v>
      </c>
      <c r="AU469" s="8">
        <f ca="1">((AT$469-AT$468)/AT$14+ IF(AU$2&gt;0,AU$2*IF(AU$6=OFFSET(Assumptions!$B$8,0,$C$1),(SUMPRODUCT(OFFSET(AT$469,0,0,1,-OFFSET(Assumptions!$B$67,0,$C$1)),OFFSET(AT$16,0,0,1,-OFFSET(Assumptions!$B$67,0,$C$1)))-SUMPRODUCT(OFFSET(AT$468,0,0,1,-OFFSET(Assumptions!$B$67,0,$C$1)),OFFSET(AT$16,0,0,1,-OFFSET(Assumptions!$B$67,0,$C$1))))/OFFSET(Assumptions!$B$67,0,$C$1)-(AT$469-AT$468)/AT$14,((AT$469-AT$468)/AT$14-(AS$469-AS$468)/AS$14)/AT$2),0))*AU$14 +AU$468</f>
        <v>30.409237223303812</v>
      </c>
      <c r="AV469" s="8">
        <f ca="1">((AU$469-AU$468)/AU$14+ IF(AV$2&gt;0,AV$2*IF(AV$6=OFFSET(Assumptions!$B$8,0,$C$1),(SUMPRODUCT(OFFSET(AU$469,0,0,1,-OFFSET(Assumptions!$B$67,0,$C$1)),OFFSET(AU$16,0,0,1,-OFFSET(Assumptions!$B$67,0,$C$1)))-SUMPRODUCT(OFFSET(AU$468,0,0,1,-OFFSET(Assumptions!$B$67,0,$C$1)),OFFSET(AU$16,0,0,1,-OFFSET(Assumptions!$B$67,0,$C$1))))/OFFSET(Assumptions!$B$67,0,$C$1)-(AU$469-AU$468)/AU$14,((AU$469-AU$468)/AU$14-(AT$469-AT$468)/AT$14)/AU$2),0))*AV$14 +AV$468</f>
        <v>31.546568652679007</v>
      </c>
      <c r="AW469" s="8">
        <f ca="1">((AV$469-AV$468)/AV$14+ IF(AW$2&gt;0,AW$2*IF(AW$6=OFFSET(Assumptions!$B$8,0,$C$1),(SUMPRODUCT(OFFSET(AV$469,0,0,1,-OFFSET(Assumptions!$B$67,0,$C$1)),OFFSET(AV$16,0,0,1,-OFFSET(Assumptions!$B$67,0,$C$1)))-SUMPRODUCT(OFFSET(AV$468,0,0,1,-OFFSET(Assumptions!$B$67,0,$C$1)),OFFSET(AV$16,0,0,1,-OFFSET(Assumptions!$B$67,0,$C$1))))/OFFSET(Assumptions!$B$67,0,$C$1)-(AV$469-AV$468)/AV$14,((AV$469-AV$468)/AV$14-(AU$469-AU$468)/AU$14)/AV$2),0))*AW$14 +AW$468</f>
        <v>32.720346280690976</v>
      </c>
    </row>
    <row r="471" spans="1:49" x14ac:dyDescent="0.2">
      <c r="A471" s="22" t="s">
        <v>609</v>
      </c>
    </row>
    <row r="472" spans="1:49" x14ac:dyDescent="0.2">
      <c r="A472" s="1" t="s">
        <v>418</v>
      </c>
      <c r="B472" s="4" t="str">
        <f t="shared" ref="B472:B478" si="274">$B$43</f>
        <v>From Fiscal</v>
      </c>
      <c r="D472" s="18">
        <f>Fiscal!D$358</f>
        <v>66.347999999999999</v>
      </c>
      <c r="E472" s="19">
        <f>Fiscal!E$358</f>
        <v>69.018000000000001</v>
      </c>
      <c r="F472" s="19">
        <f>Fiscal!F$358</f>
        <v>71.177000000000007</v>
      </c>
      <c r="G472" s="19">
        <f>Fiscal!G$358</f>
        <v>74.840999999999994</v>
      </c>
      <c r="H472" s="19">
        <f>Fiscal!H$358</f>
        <v>79.722999999999999</v>
      </c>
      <c r="I472" s="19">
        <f>Fiscal!I$358</f>
        <v>83.831000000000003</v>
      </c>
      <c r="J472" s="7">
        <f ca="1">IF(J$6=OFFSET(Assumptions!$B$8,0,$C$1),AVERAGE((G$472-G$364)/G$139,(H$472-H$364)/H$139,(I$472-I$364)/I$139),(I$472-I$364)/I$139) *J$139+J$364</f>
        <v>87.574916021414197</v>
      </c>
      <c r="K472" s="7">
        <f ca="1">IF(K$6=OFFSET(Assumptions!$B$8,0,$C$1),AVERAGE((H$472-H$364)/H$139,(I$472-I$364)/I$139,(J$472-J$364)/J$139),(J$472-J$364)/J$139) *K$139+K$364</f>
        <v>91.696326660941139</v>
      </c>
      <c r="L472" s="7">
        <f ca="1">IF(L$6=OFFSET(Assumptions!$B$8,0,$C$1),AVERAGE((I$472-I$364)/I$139,(J$472-J$364)/J$139,(K$472-K$364)/K$139),(K$472-K$364)/K$139) *L$139+L$364</f>
        <v>95.904141749592156</v>
      </c>
      <c r="M472" s="7">
        <f ca="1">IF(M$6=OFFSET(Assumptions!$B$8,0,$C$1),AVERAGE((J$472-J$364)/J$139,(K$472-K$364)/K$139,(L$472-L$364)/L$139),(L$472-L$364)/L$139) *M$139+M$364</f>
        <v>100.13190692503412</v>
      </c>
      <c r="N472" s="7">
        <f ca="1">IF(N$6=OFFSET(Assumptions!$B$8,0,$C$1),AVERAGE((K$472-K$364)/K$139,(L$472-L$364)/L$139,(M$472-M$364)/M$139),(M$472-M$364)/M$139) *N$139+N$364</f>
        <v>104.53056343872431</v>
      </c>
      <c r="O472" s="7">
        <f ca="1">IF(O$6=OFFSET(Assumptions!$B$8,0,$C$1),AVERAGE((L$472-L$364)/L$139,(M$472-M$364)/M$139,(N$472-N$364)/N$139),(N$472-N$364)/N$139) *O$139+O$364</f>
        <v>109.05937215209713</v>
      </c>
      <c r="P472" s="7">
        <f ca="1">IF(P$6=OFFSET(Assumptions!$B$8,0,$C$1),AVERAGE((M$472-M$364)/M$139,(N$472-N$364)/N$139,(O$472-O$364)/O$139),(O$472-O$364)/O$139) *P$139+P$364</f>
        <v>113.92371235341248</v>
      </c>
      <c r="Q472" s="7">
        <f ca="1">IF(Q$6=OFFSET(Assumptions!$B$8,0,$C$1),AVERAGE((N$472-N$364)/N$139,(O$472-O$364)/O$139,(P$472-P$364)/P$139),(P$472-P$364)/P$139) *Q$139+Q$364</f>
        <v>118.83469583446397</v>
      </c>
      <c r="R472" s="7">
        <f ca="1">IF(R$6=OFFSET(Assumptions!$B$8,0,$C$1),AVERAGE((O$472-O$364)/O$139,(P$472-P$364)/P$139,(Q$472-Q$364)/Q$139),(Q$472-Q$364)/Q$139) *R$139+R$364</f>
        <v>123.79308341938008</v>
      </c>
      <c r="S472" s="7">
        <f ca="1">IF(S$6=OFFSET(Assumptions!$B$8,0,$C$1),AVERAGE((P$472-P$364)/P$139,(Q$472-Q$364)/Q$139,(R$472-R$364)/R$139),(R$472-R$364)/R$139) *S$139+S$364</f>
        <v>128.90518751254081</v>
      </c>
      <c r="T472" s="7">
        <f ca="1">IF(T$6=OFFSET(Assumptions!$B$8,0,$C$1),AVERAGE((Q$472-Q$364)/Q$139,(R$472-R$364)/R$139,(S$472-S$364)/S$139),(S$472-S$364)/S$139) *T$139+T$364</f>
        <v>134.17329996138392</v>
      </c>
      <c r="U472" s="7">
        <f ca="1">IF(U$6=OFFSET(Assumptions!$B$8,0,$C$1),AVERAGE((R$472-R$364)/R$139,(S$472-S$364)/S$139,(T$472-T$364)/T$139),(T$472-T$364)/T$139) *U$139+U$364</f>
        <v>139.61597200979301</v>
      </c>
      <c r="V472" s="7">
        <f ca="1">IF(V$6=OFFSET(Assumptions!$B$8,0,$C$1),AVERAGE((S$472-S$364)/S$139,(T$472-T$364)/T$139,(U$472-U$364)/U$139),(U$472-U$364)/U$139) *V$139+V$364</f>
        <v>145.24617568974898</v>
      </c>
      <c r="W472" s="7">
        <f ca="1">IF(W$6=OFFSET(Assumptions!$B$8,0,$C$1),AVERAGE((T$472-T$364)/T$139,(U$472-U$364)/U$139,(V$472-V$364)/V$139),(V$472-V$364)/V$139) *W$139+W$364</f>
        <v>151.07968623899814</v>
      </c>
      <c r="X472" s="7">
        <f ca="1">IF(X$6=OFFSET(Assumptions!$B$8,0,$C$1),AVERAGE((U$472-U$364)/U$139,(V$472-V$364)/V$139,(W$472-W$364)/W$139),(W$472-W$364)/W$139) *X$139+X$364</f>
        <v>157.13463764681197</v>
      </c>
      <c r="Y472" s="7">
        <f ca="1">IF(Y$6=OFFSET(Assumptions!$B$8,0,$C$1),AVERAGE((V$472-V$364)/V$139,(W$472-W$364)/W$139,(X$472-X$364)/X$139),(X$472-X$364)/X$139) *Y$139+Y$364</f>
        <v>163.41025924269485</v>
      </c>
      <c r="Z472" s="7">
        <f ca="1">IF(Z$6=OFFSET(Assumptions!$B$8,0,$C$1),AVERAGE((W$472-W$364)/W$139,(X$472-X$364)/X$139,(Y$472-Y$364)/Y$139),(Y$472-Y$364)/Y$139) *Z$139+Z$364</f>
        <v>169.93773750826321</v>
      </c>
      <c r="AA472" s="7">
        <f ca="1">IF(AA$6=OFFSET(Assumptions!$B$8,0,$C$1),AVERAGE((X$472-X$364)/X$139,(Y$472-Y$364)/Y$139,(Z$472-Z$364)/Z$139),(Z$472-Z$364)/Z$139) *AA$139+AA$364</f>
        <v>176.72842176145193</v>
      </c>
      <c r="AB472" s="7">
        <f ca="1">IF(AB$6=OFFSET(Assumptions!$B$8,0,$C$1),AVERAGE((Y$472-Y$364)/Y$139,(Z$472-Z$364)/Z$139,(AA$472-AA$364)/AA$139),(AA$472-AA$364)/AA$139) *AB$139+AB$364</f>
        <v>183.80383364842115</v>
      </c>
      <c r="AC472" s="7">
        <f ca="1">IF(AC$6=OFFSET(Assumptions!$B$8,0,$C$1),AVERAGE((Z$472-Z$364)/Z$139,(AA$472-AA$364)/AA$139,(AB$472-AB$364)/AB$139),(AB$472-AB$364)/AB$139) *AC$139+AC$364</f>
        <v>191.1920769593616</v>
      </c>
      <c r="AD472" s="7">
        <f ca="1">IF(AD$6=OFFSET(Assumptions!$B$8,0,$C$1),AVERAGE((AA$472-AA$364)/AA$139,(AB$472-AB$364)/AB$139,(AC$472-AC$364)/AC$139),(AC$472-AC$364)/AC$139) *AD$139+AD$364</f>
        <v>198.90296076804992</v>
      </c>
      <c r="AE472" s="7">
        <f ca="1">IF(AE$6=OFFSET(Assumptions!$B$8,0,$C$1),AVERAGE((AB$472-AB$364)/AB$139,(AC$472-AC$364)/AC$139,(AD$472-AD$364)/AD$139),(AD$472-AD$364)/AD$139) *AE$139+AE$364</f>
        <v>206.93126200000984</v>
      </c>
      <c r="AF472" s="7">
        <f ca="1">IF(AF$6=OFFSET(Assumptions!$B$8,0,$C$1),AVERAGE((AC$472-AC$364)/AC$139,(AD$472-AD$364)/AD$139,(AE$472-AE$364)/AE$139),(AE$472-AE$364)/AE$139) *AF$139+AF$364</f>
        <v>215.30029175671817</v>
      </c>
      <c r="AG472" s="7">
        <f ca="1">IF(AG$6=OFFSET(Assumptions!$B$8,0,$C$1),AVERAGE((AD$472-AD$364)/AD$139,(AE$472-AE$364)/AE$139,(AF$472-AF$364)/AF$139),(AF$472-AF$364)/AF$139) *AG$139+AG$364</f>
        <v>224.01589218553517</v>
      </c>
      <c r="AH472" s="7">
        <f ca="1">IF(AH$6=OFFSET(Assumptions!$B$8,0,$C$1),AVERAGE((AE$472-AE$364)/AE$139,(AF$472-AF$364)/AF$139,(AG$472-AG$364)/AG$139),(AG$472-AG$364)/AG$139) *AH$139+AH$364</f>
        <v>233.09264662538834</v>
      </c>
      <c r="AI472" s="7">
        <f ca="1">IF(AI$6=OFFSET(Assumptions!$B$8,0,$C$1),AVERAGE((AF$472-AF$364)/AF$139,(AG$472-AG$364)/AG$139,(AH$472-AH$364)/AH$139),(AH$472-AH$364)/AH$139) *AI$139+AI$364</f>
        <v>242.51611970212363</v>
      </c>
      <c r="AJ472" s="7">
        <f ca="1">IF(AJ$6=OFFSET(Assumptions!$B$8,0,$C$1),AVERAGE((AG$472-AG$364)/AG$139,(AH$472-AH$364)/AH$139,(AI$472-AI$364)/AI$139),(AI$472-AI$364)/AI$139) *AJ$139+AJ$364</f>
        <v>252.31686666061594</v>
      </c>
      <c r="AK472" s="7">
        <f ca="1">IF(AK$6=OFFSET(Assumptions!$B$8,0,$C$1),AVERAGE((AH$472-AH$364)/AH$139,(AI$472-AI$364)/AI$139,(AJ$472-AJ$364)/AJ$139),(AJ$472-AJ$364)/AJ$139) *AK$139+AK$364</f>
        <v>262.48766947478612</v>
      </c>
      <c r="AL472" s="7">
        <f ca="1">IF(AL$6=OFFSET(Assumptions!$B$8,0,$C$1),AVERAGE((AI$472-AI$364)/AI$139,(AJ$472-AJ$364)/AJ$139,(AK$472-AK$364)/AK$139),(AK$472-AK$364)/AK$139) *AL$139+AL$364</f>
        <v>273.02135172111161</v>
      </c>
      <c r="AM472" s="7">
        <f ca="1">IF(AM$6=OFFSET(Assumptions!$B$8,0,$C$1),AVERAGE((AJ$472-AJ$364)/AJ$139,(AK$472-AK$364)/AK$139,(AL$472-AL$364)/AL$139),(AL$472-AL$364)/AL$139) *AM$139+AM$364</f>
        <v>283.93295304208584</v>
      </c>
      <c r="AN472" s="7">
        <f ca="1">IF(AN$6=OFFSET(Assumptions!$B$8,0,$C$1),AVERAGE((AK$472-AK$364)/AK$139,(AL$472-AL$364)/AL$139,(AM$472-AM$364)/AM$139),(AM$472-AM$364)/AM$139) *AN$139+AN$364</f>
        <v>295.23789583135056</v>
      </c>
      <c r="AO472" s="7">
        <f ca="1">IF(AO$6=OFFSET(Assumptions!$B$8,0,$C$1),AVERAGE((AL$472-AL$364)/AL$139,(AM$472-AM$364)/AM$139,(AN$472-AN$364)/AN$139),(AN$472-AN$364)/AN$139) *AO$139+AO$364</f>
        <v>306.89284903543614</v>
      </c>
      <c r="AP472" s="7">
        <f ca="1">IF(AP$6=OFFSET(Assumptions!$B$8,0,$C$1),AVERAGE((AM$472-AM$364)/AM$139,(AN$472-AN$364)/AN$139,(AO$472-AO$364)/AO$139),(AO$472-AO$364)/AO$139) *AP$139+AP$364</f>
        <v>318.9452245534539</v>
      </c>
      <c r="AQ472" s="7">
        <f ca="1">IF(AQ$6=OFFSET(Assumptions!$B$8,0,$C$1),AVERAGE((AN$472-AN$364)/AN$139,(AO$472-AO$364)/AO$139,(AP$472-AP$364)/AP$139),(AP$472-AP$364)/AP$139) *AQ$139+AQ$364</f>
        <v>331.36068448942478</v>
      </c>
      <c r="AR472" s="7">
        <f ca="1">IF(AR$6=OFFSET(Assumptions!$B$8,0,$C$1),AVERAGE((AO$472-AO$364)/AO$139,(AP$472-AP$364)/AP$139,(AQ$472-AQ$364)/AQ$139),(AQ$472-AQ$364)/AQ$139) *AR$139+AR$364</f>
        <v>344.15098903838998</v>
      </c>
      <c r="AS472" s="7">
        <f ca="1">IF(AS$6=OFFSET(Assumptions!$B$8,0,$C$1),AVERAGE((AP$472-AP$364)/AP$139,(AQ$472-AQ$364)/AQ$139,(AR$472-AR$364)/AR$139),(AR$472-AR$364)/AR$139) *AS$139+AS$364</f>
        <v>357.3427222692884</v>
      </c>
      <c r="AT472" s="7">
        <f ca="1">IF(AT$6=OFFSET(Assumptions!$B$8,0,$C$1),AVERAGE((AQ$472-AQ$364)/AQ$139,(AR$472-AR$364)/AR$139,(AS$472-AS$364)/AS$139),(AS$472-AS$364)/AS$139) *AT$139+AT$364</f>
        <v>370.94522291870231</v>
      </c>
      <c r="AU472" s="7">
        <f ca="1">IF(AU$6=OFFSET(Assumptions!$B$8,0,$C$1),AVERAGE((AR$472-AR$364)/AR$139,(AS$472-AS$364)/AS$139,(AT$472-AT$364)/AT$139),(AT$472-AT$364)/AT$139) *AU$139+AU$364</f>
        <v>384.97633638852517</v>
      </c>
      <c r="AV472" s="7">
        <f ca="1">IF(AV$6=OFFSET(Assumptions!$B$8,0,$C$1),AVERAGE((AS$472-AS$364)/AS$139,(AT$472-AT$364)/AT$139,(AU$472-AU$364)/AU$139),(AU$472-AU$364)/AU$139) *AV$139+AV$364</f>
        <v>399.4783911065544</v>
      </c>
      <c r="AW472" s="7">
        <f ca="1">IF(AW$6=OFFSET(Assumptions!$B$8,0,$C$1),AVERAGE((AT$472-AT$364)/AT$139,(AU$472-AU$364)/AU$139,(AV$472-AV$364)/AV$139),(AV$472-AV$364)/AV$139) *AW$139+AW$364</f>
        <v>414.44334894014287</v>
      </c>
    </row>
    <row r="473" spans="1:49" x14ac:dyDescent="0.2">
      <c r="A473" s="1" t="s">
        <v>193</v>
      </c>
      <c r="B473" s="4" t="str">
        <f t="shared" si="274"/>
        <v>From Fiscal</v>
      </c>
      <c r="D473" s="18">
        <f>Fiscal!D$359</f>
        <v>0.88900000000000001</v>
      </c>
      <c r="E473" s="19">
        <f>Fiscal!E$359</f>
        <v>0.82899999999999996</v>
      </c>
      <c r="F473" s="19">
        <f>Fiscal!F$359</f>
        <v>0.84599999999999997</v>
      </c>
      <c r="G473" s="19">
        <f>Fiscal!G$359</f>
        <v>0.85299999999999998</v>
      </c>
      <c r="H473" s="19">
        <f>Fiscal!H$359</f>
        <v>0.86099999999999999</v>
      </c>
      <c r="I473" s="19">
        <f>Fiscal!I$359</f>
        <v>0.82399999999999995</v>
      </c>
      <c r="J473" s="7">
        <f ca="1">IF(J$6=OFFSET(Assumptions!$B$8,0,$C$1),AVERAGE(G$473/G$142,H$473/H$142,I$473/I$142),I$473/I$142) *J$142</f>
        <v>0.92125581839256898</v>
      </c>
      <c r="K473" s="7">
        <f ca="1">IF(K$6=OFFSET(Assumptions!$B$8,0,$C$1),AVERAGE(H$473/H$142,I$473/I$142,J$473/J$142),J$473/J$142) *K$142</f>
        <v>0.95975528084507</v>
      </c>
      <c r="L473" s="7">
        <f ca="1">IF(L$6=OFFSET(Assumptions!$B$8,0,$C$1),AVERAGE(I$473/I$142,J$473/J$142,K$473/K$142),K$473/K$142) *L$142</f>
        <v>1.0013561521277632</v>
      </c>
      <c r="M473" s="7">
        <f ca="1">IF(M$6=OFFSET(Assumptions!$B$8,0,$C$1),AVERAGE(J$473/J$142,K$473/K$142,L$473/L$142),L$473/L$142) *M$142</f>
        <v>1.0446212003466144</v>
      </c>
      <c r="N473" s="7">
        <f ca="1">IF(N$6=OFFSET(Assumptions!$B$8,0,$C$1),AVERAGE(K$473/K$142,L$473/L$142,M$473/M$142),M$473/M$142) *N$142</f>
        <v>1.0896730766324685</v>
      </c>
      <c r="O473" s="7">
        <f ca="1">IF(O$6=OFFSET(Assumptions!$B$8,0,$C$1),AVERAGE(L$473/L$142,M$473/M$142,N$473/N$142),N$473/N$142) *O$142</f>
        <v>1.1361876604028991</v>
      </c>
      <c r="P473" s="7">
        <f ca="1">IF(P$6=OFFSET(Assumptions!$B$8,0,$C$1),AVERAGE(M$473/M$142,N$473/N$142,O$473/O$142),O$473/O$142) *P$142</f>
        <v>1.1842357881434156</v>
      </c>
      <c r="Q473" s="7">
        <f ca="1">IF(Q$6=OFFSET(Assumptions!$B$8,0,$C$1),AVERAGE(N$473/N$142,O$473/O$142,P$473/P$142),P$473/P$142) *Q$142</f>
        <v>1.2337655590535213</v>
      </c>
      <c r="R473" s="7">
        <f ca="1">IF(R$6=OFFSET(Assumptions!$B$8,0,$C$1),AVERAGE(O$473/O$142,P$473/P$142,Q$473/Q$142),Q$473/Q$142) *R$142</f>
        <v>1.2847402112701531</v>
      </c>
      <c r="S473" s="7">
        <f ca="1">IF(S$6=OFFSET(Assumptions!$B$8,0,$C$1),AVERAGE(P$473/P$142,Q$473/Q$142,R$473/R$142),R$473/R$142) *S$142</f>
        <v>1.3373217401594546</v>
      </c>
      <c r="T473" s="7">
        <f ca="1">IF(T$6=OFFSET(Assumptions!$B$8,0,$C$1),AVERAGE(Q$473/Q$142,R$473/R$142,S$473/S$142),S$473/S$142) *T$142</f>
        <v>1.3915293204247734</v>
      </c>
      <c r="U473" s="7">
        <f ca="1">IF(U$6=OFFSET(Assumptions!$B$8,0,$C$1),AVERAGE(R$473/R$142,S$473/S$142,T$473/T$142),T$473/T$142) *U$142</f>
        <v>1.4475575016427875</v>
      </c>
      <c r="V473" s="7">
        <f ca="1">IF(V$6=OFFSET(Assumptions!$B$8,0,$C$1),AVERAGE(S$473/S$142,T$473/T$142,U$473/U$142),U$473/U$142) *V$142</f>
        <v>1.5055445896988533</v>
      </c>
      <c r="W473" s="7">
        <f ca="1">IF(W$6=OFFSET(Assumptions!$B$8,0,$C$1),AVERAGE(T$473/T$142,U$473/U$142,V$473/V$142),V$473/V$142) *W$142</f>
        <v>1.5656585878135796</v>
      </c>
      <c r="X473" s="7">
        <f ca="1">IF(X$6=OFFSET(Assumptions!$B$8,0,$C$1),AVERAGE(U$473/U$142,V$473/V$142,W$473/W$142),W$473/W$142) *X$142</f>
        <v>1.6280899045109125</v>
      </c>
      <c r="Y473" s="7">
        <f ca="1">IF(Y$6=OFFSET(Assumptions!$B$8,0,$C$1),AVERAGE(V$473/V$142,W$473/W$142,X$473/X$142),X$473/X$142) *Y$142</f>
        <v>1.6928321572431344</v>
      </c>
      <c r="Z473" s="7">
        <f ca="1">IF(Z$6=OFFSET(Assumptions!$B$8,0,$C$1),AVERAGE(W$473/W$142,X$473/X$142,Y$473/Y$142),Y$473/Y$142) *Z$142</f>
        <v>1.7602130481413172</v>
      </c>
      <c r="AA473" s="7">
        <f ca="1">IF(AA$6=OFFSET(Assumptions!$B$8,0,$C$1),AVERAGE(X$473/X$142,Y$473/Y$142,Z$473/Z$142),Z$473/Z$142) *AA$142</f>
        <v>1.8303415997192967</v>
      </c>
      <c r="AB473" s="7">
        <f ca="1">IF(AB$6=OFFSET(Assumptions!$B$8,0,$C$1),AVERAGE(Y$473/Y$142,Z$473/Z$142,AA$473/AA$142),AA$473/AA$142) *AB$142</f>
        <v>1.9034284144939217</v>
      </c>
      <c r="AC473" s="7">
        <f ca="1">IF(AC$6=OFFSET(Assumptions!$B$8,0,$C$1),AVERAGE(Z$473/Z$142,AA$473/AA$142,AB$473/AB$142),AB$473/AB$142) *AC$142</f>
        <v>1.9797494051090219</v>
      </c>
      <c r="AD473" s="7">
        <f ca="1">IF(AD$6=OFFSET(Assumptions!$B$8,0,$C$1),AVERAGE(AA$473/AA$142,AB$473/AB$142,AC$473/AC$142),AC$473/AC$142) *AD$142</f>
        <v>2.0593850148301782</v>
      </c>
      <c r="AE473" s="7">
        <f ca="1">IF(AE$6=OFFSET(Assumptions!$B$8,0,$C$1),AVERAGE(AB$473/AB$142,AC$473/AC$142,AD$473/AD$142),AD$473/AD$142) *AE$142</f>
        <v>2.1422621089642049</v>
      </c>
      <c r="AF473" s="7">
        <f ca="1">IF(AF$6=OFFSET(Assumptions!$B$8,0,$C$1),AVERAGE(AC$473/AC$142,AD$473/AD$142,AE$473/AE$142),AE$473/AE$142) *AF$142</f>
        <v>2.2286099752464996</v>
      </c>
      <c r="AG473" s="7">
        <f ca="1">IF(AG$6=OFFSET(Assumptions!$B$8,0,$C$1),AVERAGE(AD$473/AD$142,AE$473/AE$142,AF$473/AF$142),AF$473/AF$142) *AG$142</f>
        <v>2.318476895793216</v>
      </c>
      <c r="AH473" s="7">
        <f ca="1">IF(AH$6=OFFSET(Assumptions!$B$8,0,$C$1),AVERAGE(AE$473/AE$142,AF$473/AF$142,AG$473/AG$142),AG$473/AG$142) *AH$142</f>
        <v>2.4120069784469842</v>
      </c>
      <c r="AI473" s="7">
        <f ca="1">IF(AI$6=OFFSET(Assumptions!$B$8,0,$C$1),AVERAGE(AF$473/AF$142,AG$473/AG$142,AH$473/AH$142),AH$473/AH$142) *AI$142</f>
        <v>2.5090367951918102</v>
      </c>
      <c r="AJ473" s="7">
        <f ca="1">IF(AJ$6=OFFSET(Assumptions!$B$8,0,$C$1),AVERAGE(AG$473/AG$142,AH$473/AH$142,AI$473/AI$142),AI$473/AI$142) *AJ$142</f>
        <v>2.6098771808742325</v>
      </c>
      <c r="AK473" s="7">
        <f ca="1">IF(AK$6=OFFSET(Assumptions!$B$8,0,$C$1),AVERAGE(AH$473/AH$142,AI$473/AI$142,AJ$473/AJ$142),AJ$473/AJ$142) *AK$142</f>
        <v>2.7144451810867429</v>
      </c>
      <c r="AL473" s="7">
        <f ca="1">IF(AL$6=OFFSET(Assumptions!$B$8,0,$C$1),AVERAGE(AI$473/AI$142,AJ$473/AJ$142,AK$473/AK$142),AK$473/AK$142) *AL$142</f>
        <v>2.8226584247307351</v>
      </c>
      <c r="AM473" s="7">
        <f ca="1">IF(AM$6=OFFSET(Assumptions!$B$8,0,$C$1),AVERAGE(AJ$473/AJ$142,AK$473/AK$142,AL$473/AL$142),AL$473/AL$142) *AM$142</f>
        <v>2.9346647451885861</v>
      </c>
      <c r="AN473" s="7">
        <f ca="1">IF(AN$6=OFFSET(Assumptions!$B$8,0,$C$1),AVERAGE(AK$473/AK$142,AL$473/AL$142,AM$473/AM$142),AM$473/AM$142) *AN$142</f>
        <v>3.0506199421673728</v>
      </c>
      <c r="AO473" s="7">
        <f ca="1">IF(AO$6=OFFSET(Assumptions!$B$8,0,$C$1),AVERAGE(AL$473/AL$142,AM$473/AM$142,AN$473/AN$142),AN$473/AN$142) *AO$142</f>
        <v>3.1700686997077248</v>
      </c>
      <c r="AP473" s="7">
        <f ca="1">IF(AP$6=OFFSET(Assumptions!$B$8,0,$C$1),AVERAGE(AM$473/AM$142,AN$473/AN$142,AO$473/AO$142),AO$473/AO$142) *AP$142</f>
        <v>3.2935182563754322</v>
      </c>
      <c r="AQ473" s="7">
        <f ca="1">IF(AQ$6=OFFSET(Assumptions!$B$8,0,$C$1),AVERAGE(AN$473/AN$142,AO$473/AO$142,AP$473/AP$142),AP$473/AP$142) *AQ$142</f>
        <v>3.420622706902285</v>
      </c>
      <c r="AR473" s="7">
        <f ca="1">IF(AR$6=OFFSET(Assumptions!$B$8,0,$C$1),AVERAGE(AO$473/AO$142,AP$473/AP$142,AQ$473/AQ$142),AQ$473/AQ$142) *AR$142</f>
        <v>3.551525956264868</v>
      </c>
      <c r="AS473" s="7">
        <f ca="1">IF(AS$6=OFFSET(Assumptions!$B$8,0,$C$1),AVERAGE(AP$473/AP$142,AQ$473/AQ$142,AR$473/AR$142),AR$473/AR$142) *AS$142</f>
        <v>3.6865333979681858</v>
      </c>
      <c r="AT473" s="7">
        <f ca="1">IF(AT$6=OFFSET(Assumptions!$B$8,0,$C$1),AVERAGE(AQ$473/AQ$142,AR$473/AR$142,AS$473/AS$142),AS$473/AS$142) *AT$142</f>
        <v>3.8257528580359037</v>
      </c>
      <c r="AU473" s="7">
        <f ca="1">IF(AU$6=OFFSET(Assumptions!$B$8,0,$C$1),AVERAGE(AR$473/AR$142,AS$473/AS$142,AT$473/AT$142),AT$473/AT$142) *AU$142</f>
        <v>3.9693694672699196</v>
      </c>
      <c r="AV473" s="7">
        <f ca="1">IF(AV$6=OFFSET(Assumptions!$B$8,0,$C$1),AVERAGE(AS$473/AS$142,AT$473/AT$142,AU$473/AU$142),AU$473/AU$142) *AV$142</f>
        <v>4.117827273586375</v>
      </c>
      <c r="AW473" s="7">
        <f ca="1">IF(AW$6=OFFSET(Assumptions!$B$8,0,$C$1),AVERAGE(AT$473/AT$142,AU$473/AU$142,AV$473/AV$142),AV$473/AV$142) *AW$142</f>
        <v>4.2710424642135409</v>
      </c>
    </row>
    <row r="474" spans="1:49" x14ac:dyDescent="0.2">
      <c r="A474" s="1" t="s">
        <v>610</v>
      </c>
      <c r="B474" s="4" t="str">
        <f t="shared" si="274"/>
        <v>From Fiscal</v>
      </c>
      <c r="D474" s="18">
        <f>Fiscal!D$360</f>
        <v>1.806</v>
      </c>
      <c r="E474" s="19">
        <f>Fiscal!E$360</f>
        <v>1.66</v>
      </c>
      <c r="F474" s="19">
        <f>Fiscal!F$360</f>
        <v>2.0299999999999998</v>
      </c>
      <c r="G474" s="19">
        <f>Fiscal!G$360</f>
        <v>1.714</v>
      </c>
      <c r="H474" s="19">
        <f>Fiscal!H$360</f>
        <v>1.9</v>
      </c>
      <c r="I474" s="19">
        <f>Fiscal!I$360</f>
        <v>2.085</v>
      </c>
      <c r="J474" s="7">
        <f ca="1">IF(J$6=OFFSET(Assumptions!$B$8,0,$C$1),AVERAGE(G$474/G$154,H$474/H$154,I$474/I$154),I$474/I$154) *J$154</f>
        <v>1.58423183892763</v>
      </c>
      <c r="K474" s="7">
        <f ca="1">IF(K$6=OFFSET(Assumptions!$B$8,0,$C$1),AVERAGE(H$474/H$154,I$474/I$154,J$474/J$154),J$474/J$154) *K$154</f>
        <v>1.729567677804692</v>
      </c>
      <c r="L474" s="7">
        <f ca="1">IF(L$6=OFFSET(Assumptions!$B$8,0,$C$1),AVERAGE(I$474/I$154,J$474/J$154,K$474/K$154),K$474/K$154) *L$154</f>
        <v>1.8844688700711183</v>
      </c>
      <c r="M474" s="7">
        <f ca="1">IF(M$6=OFFSET(Assumptions!$B$8,0,$C$1),AVERAGE(J$474/J$154,K$474/K$154,L$474/L$154),L$474/L$154) *M$154</f>
        <v>2.0495747064490124</v>
      </c>
      <c r="N474" s="7">
        <f ca="1">IF(N$6=OFFSET(Assumptions!$B$8,0,$C$1),AVERAGE(K$474/K$154,L$474/L$154,M$474/M$154),M$474/M$154) *N$154</f>
        <v>2.2029674634004635</v>
      </c>
      <c r="O474" s="7">
        <f ca="1">IF(O$6=OFFSET(Assumptions!$B$8,0,$C$1),AVERAGE(L$474/L$154,M$474/M$154,N$474/N$154),N$474/N$154) *O$154</f>
        <v>2.2983874569383054</v>
      </c>
      <c r="P474" s="7">
        <f ca="1">IF(P$6=OFFSET(Assumptions!$B$8,0,$C$1),AVERAGE(M$474/M$154,N$474/N$154,O$474/O$154),O$474/O$154) *P$154</f>
        <v>2.3960313689830075</v>
      </c>
      <c r="Q474" s="7">
        <f ca="1">IF(Q$6=OFFSET(Assumptions!$B$8,0,$C$1),AVERAGE(N$474/N$154,O$474/O$154,P$474/P$154),P$474/P$154) *Q$154</f>
        <v>2.4967887140412146</v>
      </c>
      <c r="R474" s="7">
        <f ca="1">IF(R$6=OFFSET(Assumptions!$B$8,0,$C$1),AVERAGE(O$474/O$154,P$474/P$154,Q$474/Q$154),Q$474/Q$154) *R$154</f>
        <v>2.6005679404940705</v>
      </c>
      <c r="S474" s="7">
        <f ca="1">IF(S$6=OFFSET(Assumptions!$B$8,0,$C$1),AVERAGE(P$474/P$154,Q$474/Q$154,R$474/R$154),R$474/R$154) *S$154</f>
        <v>2.7074983624122533</v>
      </c>
      <c r="T474" s="7">
        <f ca="1">IF(T$6=OFFSET(Assumptions!$B$8,0,$C$1),AVERAGE(Q$474/Q$154,R$474/R$154,S$474/S$154),S$474/S$154) *T$154</f>
        <v>2.8177670530516776</v>
      </c>
      <c r="U474" s="7">
        <f ca="1">IF(U$6=OFFSET(Assumptions!$B$8,0,$C$1),AVERAGE(R$474/R$154,S$474/S$154,T$474/T$154),T$474/T$154) *U$154</f>
        <v>2.9315947006145655</v>
      </c>
      <c r="V474" s="7">
        <f ca="1">IF(V$6=OFFSET(Assumptions!$B$8,0,$C$1),AVERAGE(S$474/S$154,T$474/T$154,U$474/U$154),U$474/U$154) *V$154</f>
        <v>3.0493250062167094</v>
      </c>
      <c r="W474" s="7">
        <f ca="1">IF(W$6=OFFSET(Assumptions!$B$8,0,$C$1),AVERAGE(T$474/T$154,U$474/U$154,V$474/V$154),V$474/V$154) *W$154</f>
        <v>3.1712742596400272</v>
      </c>
      <c r="X474" s="7">
        <f ca="1">IF(X$6=OFFSET(Assumptions!$B$8,0,$C$1),AVERAGE(U$474/U$154,V$474/V$154,W$474/W$154),W$474/W$154) *X$154</f>
        <v>3.2978125510003991</v>
      </c>
      <c r="Y474" s="7">
        <f ca="1">IF(Y$6=OFFSET(Assumptions!$B$8,0,$C$1),AVERAGE(V$474/V$154,W$474/W$154,X$474/X$154),X$474/X$154) *Y$154</f>
        <v>3.4291299025164101</v>
      </c>
      <c r="Z474" s="7">
        <f ca="1">IF(Z$6=OFFSET(Assumptions!$B$8,0,$C$1),AVERAGE(W$474/W$154,X$474/X$154,Y$474/Y$154),Y$474/Y$154) *Z$154</f>
        <v>3.5655581035438653</v>
      </c>
      <c r="AA474" s="7">
        <f ca="1">IF(AA$6=OFFSET(Assumptions!$B$8,0,$C$1),AVERAGE(X$474/X$154,Y$474/Y$154,Z$474/Z$154),Z$474/Z$154) *AA$154</f>
        <v>3.7075481088209874</v>
      </c>
      <c r="AB474" s="7">
        <f ca="1">IF(AB$6=OFFSET(Assumptions!$B$8,0,$C$1),AVERAGE(Y$474/Y$154,Z$474/Z$154,AA$474/AA$154),AA$474/AA$154) *AB$154</f>
        <v>3.8554299579361611</v>
      </c>
      <c r="AC474" s="7">
        <f ca="1">IF(AC$6=OFFSET(Assumptions!$B$8,0,$C$1),AVERAGE(Z$474/Z$154,AA$474/AA$154,AB$474/AB$154),AB$474/AB$154) *AC$154</f>
        <v>4.0097060185012969</v>
      </c>
      <c r="AD474" s="7">
        <f ca="1">IF(AD$6=OFFSET(Assumptions!$B$8,0,$C$1),AVERAGE(AA$474/AA$154,AB$474/AB$154,AC$474/AC$154),AC$474/AC$154) *AD$154</f>
        <v>4.1707442578104681</v>
      </c>
      <c r="AE474" s="7">
        <f ca="1">IF(AE$6=OFFSET(Assumptions!$B$8,0,$C$1),AVERAGE(AB$474/AB$154,AC$474/AC$154,AD$474/AD$154),AD$474/AD$154) *AE$154</f>
        <v>4.3385522225762108</v>
      </c>
      <c r="AF474" s="7">
        <f ca="1">IF(AF$6=OFFSET(Assumptions!$B$8,0,$C$1),AVERAGE(AC$474/AC$154,AD$474/AD$154,AE$474/AE$154),AE$474/AE$154) *AF$154</f>
        <v>4.5132911538805089</v>
      </c>
      <c r="AG474" s="7">
        <f ca="1">IF(AG$6=OFFSET(Assumptions!$B$8,0,$C$1),AVERAGE(AD$474/AD$154,AE$474/AE$154,AF$474/AF$154),AF$474/AF$154) *AG$154</f>
        <v>4.695247665820375</v>
      </c>
      <c r="AH474" s="7">
        <f ca="1">IF(AH$6=OFFSET(Assumptions!$B$8,0,$C$1),AVERAGE(AE$474/AE$154,AF$474/AF$154,AG$474/AG$154),AG$474/AG$154) *AH$154</f>
        <v>4.8846204171262313</v>
      </c>
      <c r="AI474" s="7">
        <f ca="1">IF(AI$6=OFFSET(Assumptions!$B$8,0,$C$1),AVERAGE(AF$474/AF$154,AG$474/AG$154,AH$474/AH$154),AH$474/AH$154) *AI$154</f>
        <v>5.081389458102489</v>
      </c>
      <c r="AJ474" s="7">
        <f ca="1">IF(AJ$6=OFFSET(Assumptions!$B$8,0,$C$1),AVERAGE(AG$474/AG$154,AH$474/AH$154,AI$474/AI$154),AI$474/AI$154) *AJ$154</f>
        <v>5.2857069986357539</v>
      </c>
      <c r="AK474" s="7">
        <f ca="1">IF(AK$6=OFFSET(Assumptions!$B$8,0,$C$1),AVERAGE(AH$474/AH$154,AI$474/AI$154,AJ$474/AJ$154),AJ$474/AJ$154) *AK$154</f>
        <v>5.4978083443469243</v>
      </c>
      <c r="AL474" s="7">
        <f ca="1">IF(AL$6=OFFSET(Assumptions!$B$8,0,$C$1),AVERAGE(AI$474/AI$154,AJ$474/AJ$154,AK$474/AK$154),AK$474/AK$154) *AL$154</f>
        <v>5.7175227828175421</v>
      </c>
      <c r="AM474" s="7">
        <f ca="1">IF(AM$6=OFFSET(Assumptions!$B$8,0,$C$1),AVERAGE(AJ$474/AJ$154,AK$474/AK$154,AL$474/AL$154),AL$474/AL$154) *AM$154</f>
        <v>5.944917909333066</v>
      </c>
      <c r="AN474" s="7">
        <f ca="1">IF(AN$6=OFFSET(Assumptions!$B$8,0,$C$1),AVERAGE(AK$474/AK$154,AL$474/AL$154,AM$474/AM$154),AM$474/AM$154) *AN$154</f>
        <v>6.1803072504644581</v>
      </c>
      <c r="AO474" s="7">
        <f ca="1">IF(AO$6=OFFSET(Assumptions!$B$8,0,$C$1),AVERAGE(AL$474/AL$154,AM$474/AM$154,AN$474/AN$154),AN$474/AN$154) *AO$154</f>
        <v>6.4233815306196007</v>
      </c>
      <c r="AP474" s="7">
        <f ca="1">IF(AP$6=OFFSET(Assumptions!$B$8,0,$C$1),AVERAGE(AM$474/AM$154,AN$474/AN$154,AO$474/AO$154),AO$474/AO$154) *AP$154</f>
        <v>6.6741943642341761</v>
      </c>
      <c r="AQ474" s="7">
        <f ca="1">IF(AQ$6=OFFSET(Assumptions!$B$8,0,$C$1),AVERAGE(AN$474/AN$154,AO$474/AO$154,AP$474/AP$154),AP$474/AP$154) *AQ$154</f>
        <v>6.9329123414372837</v>
      </c>
      <c r="AR474" s="7">
        <f ca="1">IF(AR$6=OFFSET(Assumptions!$B$8,0,$C$1),AVERAGE(AO$474/AO$154,AP$474/AP$154,AQ$474/AQ$154),AQ$474/AQ$154) *AR$154</f>
        <v>7.1993268800257111</v>
      </c>
      <c r="AS474" s="7">
        <f ca="1">IF(AS$6=OFFSET(Assumptions!$B$8,0,$C$1),AVERAGE(AP$474/AP$154,AQ$474/AQ$154,AR$474/AR$154),AR$474/AR$154) *AS$154</f>
        <v>7.4739019182761597</v>
      </c>
      <c r="AT474" s="7">
        <f ca="1">IF(AT$6=OFFSET(Assumptions!$B$8,0,$C$1),AVERAGE(AQ$474/AQ$154,AR$474/AR$154,AS$474/AS$154),AS$474/AS$154) *AT$154</f>
        <v>7.757064139927583</v>
      </c>
      <c r="AU474" s="7">
        <f ca="1">IF(AU$6=OFFSET(Assumptions!$B$8,0,$C$1),AVERAGE(AR$474/AR$154,AS$474/AS$154,AT$474/AT$154),AT$474/AT$154) *AU$154</f>
        <v>8.0491160474151418</v>
      </c>
      <c r="AV474" s="7">
        <f ca="1">IF(AV$6=OFFSET(Assumptions!$B$8,0,$C$1),AVERAGE(AS$474/AS$154,AT$474/AT$154,AU$474/AU$154),AU$474/AU$154) *AV$154</f>
        <v>8.3507073204109066</v>
      </c>
      <c r="AW474" s="7">
        <f ca="1">IF(AW$6=OFFSET(Assumptions!$B$8,0,$C$1),AVERAGE(AT$474/AT$154,AU$474/AU$154,AV$474/AV$154),AV$474/AV$154) *AW$154</f>
        <v>8.662209931843682</v>
      </c>
    </row>
    <row r="475" spans="1:49" x14ac:dyDescent="0.2">
      <c r="A475" s="1" t="s">
        <v>420</v>
      </c>
      <c r="B475" s="4" t="str">
        <f t="shared" si="274"/>
        <v>From Fiscal</v>
      </c>
      <c r="D475" s="18">
        <f>Fiscal!D$361</f>
        <v>2.4329999999999998</v>
      </c>
      <c r="E475" s="19">
        <f>Fiscal!E$361</f>
        <v>2.0459999999999998</v>
      </c>
      <c r="F475" s="19">
        <f>Fiscal!F$361</f>
        <v>2.3130000000000002</v>
      </c>
      <c r="G475" s="19">
        <f>Fiscal!G$361</f>
        <v>2.028</v>
      </c>
      <c r="H475" s="19">
        <f>Fiscal!H$361</f>
        <v>1.994</v>
      </c>
      <c r="I475" s="19">
        <f>Fiscal!I$361</f>
        <v>1.99</v>
      </c>
      <c r="J475" s="7">
        <f ca="1">IF(J$6=OFFSET(Assumptions!$B$8,0,$C$1),AVERAGE((G$475-(G$453-F$453))/(G$148+G$162),(H$475-(H$453-G$453))/(H$148+H$162),(I$475-(I$453-H$453))/(I$148+I$162)),(I$475-(I$453-H$453))/(I$148+I$162)) *(J$148+J$162) +J$453-I$453</f>
        <v>2.245718868496446</v>
      </c>
      <c r="K475" s="7">
        <f ca="1">IF(K$6=OFFSET(Assumptions!$B$8,0,$C$1),AVERAGE((H$475-(H$453-G$453))/(H$148+H$162),(I$475-(I$453-H$453))/(I$148+I$162),(J$475-(J$453-I$453))/(J$148+J$162)),(J$475-(J$453-I$453))/(J$148+J$162)) *(K$148+K$162) +K$453-J$453</f>
        <v>2.3366351854409921</v>
      </c>
      <c r="L475" s="7">
        <f ca="1">IF(L$6=OFFSET(Assumptions!$B$8,0,$C$1),AVERAGE((I$475-(I$453-H$453))/(I$148+I$162),(J$475-(J$453-I$453))/(J$148+J$162),(K$475-(K$453-J$453))/(K$148+K$162)),(K$475-(K$453-J$453))/(K$148+K$162)) *(L$148+L$162) +L$453-K$453</f>
        <v>2.4355891052885643</v>
      </c>
      <c r="M475" s="7">
        <f ca="1">IF(M$6=OFFSET(Assumptions!$B$8,0,$C$1),AVERAGE((J$475-(J$453-I$453))/(J$148+J$162),(K$475-(K$453-J$453))/(K$148+K$162),(L$475-(L$453-K$453))/(L$148+L$162)),(L$475-(L$453-K$453))/(L$148+L$162)) *(M$148+M$162) +M$453-L$453</f>
        <v>2.5374313162970337</v>
      </c>
      <c r="N475" s="7">
        <f ca="1">IF(N$6=OFFSET(Assumptions!$B$8,0,$C$1),AVERAGE((K$475-(K$453-J$453))/(K$148+K$162),(L$475-(L$453-K$453))/(L$148+L$162),(M$475-(M$453-L$453))/(M$148+M$162)),(M$475-(M$453-L$453))/(M$148+M$162)) *(N$148+N$162) +N$453-M$453</f>
        <v>2.643192089800189</v>
      </c>
      <c r="O475" s="7">
        <f ca="1">IF(O$6=OFFSET(Assumptions!$B$8,0,$C$1),AVERAGE((L$475-(L$453-K$453))/(L$148+L$162),(M$475-(M$453-L$453))/(M$148+M$162),(N$475-(N$453-M$453))/(N$148+N$162)),(N$475-(N$453-M$453))/(N$148+N$162)) *(O$148+O$162) +O$453-N$453</f>
        <v>2.7518210448678069</v>
      </c>
      <c r="P475" s="7">
        <f ca="1">IF(P$6=OFFSET(Assumptions!$B$8,0,$C$1),AVERAGE((M$475-(M$453-L$453))/(M$148+M$162),(N$475-(N$453-M$453))/(N$148+N$162),(O$475-(O$453-N$453))/(O$148+O$162)),(O$475-(O$453-N$453))/(O$148+O$162)) *(P$148+P$162) +P$453-O$453</f>
        <v>2.8679634372768295</v>
      </c>
      <c r="Q475" s="7">
        <f ca="1">IF(Q$6=OFFSET(Assumptions!$B$8,0,$C$1),AVERAGE((N$475-(N$453-M$453))/(N$148+N$162),(O$475-(O$453-N$453))/(O$148+O$162),(P$475-(P$453-O$453))/(P$148+P$162)),(P$475-(P$453-O$453))/(P$148+P$162)) *(Q$148+Q$162) +Q$453-P$453</f>
        <v>2.9876348525052769</v>
      </c>
      <c r="R475" s="7">
        <f ca="1">IF(R$6=OFFSET(Assumptions!$B$8,0,$C$1),AVERAGE((O$475-(O$453-N$453))/(O$148+O$162),(P$475-(P$453-O$453))/(P$148+P$162),(Q$475-(Q$453-P$453))/(Q$148+Q$162)),(Q$475-(Q$453-P$453))/(Q$148+Q$162)) *(R$148+R$162) +R$453-Q$453</f>
        <v>3.1107550499923242</v>
      </c>
      <c r="S475" s="7">
        <f ca="1">IF(S$6=OFFSET(Assumptions!$B$8,0,$C$1),AVERAGE((P$475-(P$453-O$453))/(P$148+P$162),(Q$475-(Q$453-P$453))/(Q$148+Q$162),(R$475-(R$453-Q$453))/(R$148+R$162)),(R$475-(R$453-Q$453))/(R$148+R$162)) *(S$148+S$162) +S$453-R$453</f>
        <v>3.2378179116229973</v>
      </c>
      <c r="T475" s="7">
        <f ca="1">IF(T$6=OFFSET(Assumptions!$B$8,0,$C$1),AVERAGE((Q$475-(Q$453-P$453))/(Q$148+Q$162),(R$475-(R$453-Q$453))/(R$148+R$162),(S$475-(S$453-R$453))/(S$148+S$162)),(S$475-(S$453-R$453))/(S$148+S$162)) *(T$148+T$162) +T$453-S$453</f>
        <v>3.3687939865945378</v>
      </c>
      <c r="U475" s="7">
        <f ca="1">IF(U$6=OFFSET(Assumptions!$B$8,0,$C$1),AVERAGE((R$475-(R$453-Q$453))/(R$148+R$162),(S$475-(S$453-R$453))/(S$148+S$162),(T$475-(T$453-S$453))/(T$148+T$162)),(T$475-(T$453-S$453))/(T$148+T$162)) *(U$148+U$162) +U$453-T$453</f>
        <v>3.5042429411339793</v>
      </c>
      <c r="V475" s="7">
        <f ca="1">IF(V$6=OFFSET(Assumptions!$B$8,0,$C$1),AVERAGE((S$475-(S$453-R$453))/(S$148+S$162),(T$475-(T$453-S$453))/(T$148+T$162),(U$475-(U$453-T$453))/(U$148+U$162)),(U$475-(U$453-T$453))/(U$148+U$162)) *(V$148+V$162) +V$453-U$453</f>
        <v>3.6444670335311753</v>
      </c>
      <c r="W475" s="7">
        <f ca="1">IF(W$6=OFFSET(Assumptions!$B$8,0,$C$1),AVERAGE((T$475-(T$453-S$453))/(T$148+T$162),(U$475-(U$453-T$453))/(U$148+U$162),(V$475-(V$453-U$453))/(V$148+V$162)),(V$475-(V$453-U$453))/(V$148+V$162)) *(W$148+W$162) +W$453-V$453</f>
        <v>3.7898852232358045</v>
      </c>
      <c r="X475" s="7">
        <f ca="1">IF(X$6=OFFSET(Assumptions!$B$8,0,$C$1),AVERAGE((U$475-(U$453-T$453))/(U$148+U$162),(V$475-(V$453-U$453))/(V$148+V$162),(W$475-(W$453-V$453))/(W$148+W$162)),(W$475-(W$453-V$453))/(W$148+W$162)) *(X$148+X$162) +X$453-W$453</f>
        <v>3.9409663964656803</v>
      </c>
      <c r="Y475" s="7">
        <f ca="1">IF(Y$6=OFFSET(Assumptions!$B$8,0,$C$1),AVERAGE((V$475-(V$453-U$453))/(V$148+V$162),(W$475-(W$453-V$453))/(W$148+W$162),(X$475-(X$453-W$453))/(X$148+X$162)),(X$475-(X$453-W$453))/(X$148+X$162)) *(Y$148+Y$162) +Y$453-X$453</f>
        <v>4.0975912344395011</v>
      </c>
      <c r="Z475" s="7">
        <f ca="1">IF(Z$6=OFFSET(Assumptions!$B$8,0,$C$1),AVERAGE((W$475-(W$453-V$453))/(W$148+W$162),(X$475-(X$453-W$453))/(X$148+X$162),(Y$475-(Y$453-X$453))/(Y$148+Y$162)),(Y$475-(Y$453-X$453))/(Y$148+Y$162)) *(Z$148+Z$162) +Z$453-Y$453</f>
        <v>4.2607228887216229</v>
      </c>
      <c r="AA475" s="7">
        <f ca="1">IF(AA$6=OFFSET(Assumptions!$B$8,0,$C$1),AVERAGE((X$475-(X$453-W$453))/(X$148+X$162),(Y$475-(Y$453-X$453))/(Y$148+Y$162),(Z$475-(Z$453-Y$453))/(Z$148+Z$162)),(Z$475-(Z$453-Y$453))/(Z$148+Z$162)) *(AA$148+AA$162) +AA$453-Z$453</f>
        <v>4.4305074847192287</v>
      </c>
      <c r="AB475" s="7">
        <f ca="1">IF(AB$6=OFFSET(Assumptions!$B$8,0,$C$1),AVERAGE((Y$475-(Y$453-X$453))/(Y$148+Y$162),(Z$475-(Z$453-Y$453))/(Z$148+Z$162),(AA$475-(AA$453-Z$453))/(AA$148+AA$162)),(AA$475-(AA$453-Z$453))/(AA$148+AA$162)) *(AB$148+AB$162) +AB$453-AA$453</f>
        <v>4.6075042227231933</v>
      </c>
      <c r="AC475" s="7">
        <f ca="1">IF(AC$6=OFFSET(Assumptions!$B$8,0,$C$1),AVERAGE((Z$475-(Z$453-Y$453))/(Z$148+Z$162),(AA$475-(AA$453-Z$453))/(AA$148+AA$162),(AB$475-(AB$453-AA$453))/(AB$148+AB$162)),(AB$475-(AB$453-AA$453))/(AB$148+AB$162)) *(AC$148+AC$162) +AC$453-AB$453</f>
        <v>4.7924099020936923</v>
      </c>
      <c r="AD475" s="7">
        <f ca="1">IF(AD$6=OFFSET(Assumptions!$B$8,0,$C$1),AVERAGE((AA$475-(AA$453-Z$453))/(AA$148+AA$162),(AB$475-(AB$453-AA$453))/(AB$148+AB$162),(AC$475-(AC$453-AB$453))/(AC$148+AC$162)),(AC$475-(AC$453-AB$453))/(AC$148+AC$162)) *(AD$148+AD$162) +AD$453-AC$453</f>
        <v>4.9853143142075034</v>
      </c>
      <c r="AE475" s="7">
        <f ca="1">IF(AE$6=OFFSET(Assumptions!$B$8,0,$C$1),AVERAGE((AB$475-(AB$453-AA$453))/(AB$148+AB$162),(AC$475-(AC$453-AB$453))/(AC$148+AC$162),(AD$475-(AD$453-AC$453))/(AD$148+AD$162)),(AD$475-(AD$453-AC$453))/(AD$148+AD$162)) *(AE$148+AE$162) +AE$453-AD$453</f>
        <v>5.1859607491790225</v>
      </c>
      <c r="AF475" s="7">
        <f ca="1">IF(AF$6=OFFSET(Assumptions!$B$8,0,$C$1),AVERAGE((AC$475-(AC$453-AB$453))/(AC$148+AC$162),(AD$475-(AD$453-AC$453))/(AD$148+AD$162),(AE$475-(AE$453-AD$453))/(AE$148+AE$162)),(AE$475-(AE$453-AD$453))/(AE$148+AE$162)) *(AF$148+AF$162) +AF$453-AE$453</f>
        <v>5.3950593977280557</v>
      </c>
      <c r="AG475" s="7">
        <f ca="1">IF(AG$6=OFFSET(Assumptions!$B$8,0,$C$1),AVERAGE((AD$475-(AD$453-AC$453))/(AD$148+AD$162),(AE$475-(AE$453-AD$453))/(AE$148+AE$162),(AF$475-(AF$453-AE$453))/(AF$148+AF$162)),(AF$475-(AF$453-AE$453))/(AF$148+AF$162)) *(AG$148+AG$162) +AG$453-AF$453</f>
        <v>5.6126304971459593</v>
      </c>
      <c r="AH475" s="7">
        <f ca="1">IF(AH$6=OFFSET(Assumptions!$B$8,0,$C$1),AVERAGE((AE$475-(AE$453-AD$453))/(AE$148+AE$162),(AF$475-(AF$453-AE$453))/(AF$148+AF$162),(AG$475-(AG$453-AF$453))/(AG$148+AG$162)),(AG$475-(AG$453-AF$453))/(AG$148+AG$162)) *(AH$148+AH$162) +AH$453-AG$453</f>
        <v>5.8390705967665752</v>
      </c>
      <c r="AI475" s="7">
        <f ca="1">IF(AI$6=OFFSET(Assumptions!$B$8,0,$C$1),AVERAGE((AF$475-(AF$453-AE$453))/(AF$148+AF$162),(AG$475-(AG$453-AF$453))/(AG$148+AG$162),(AH$475-(AH$453-AG$453))/(AH$148+AH$162)),(AH$475-(AH$453-AG$453))/(AH$148+AH$162)) *(AI$148+AI$162) +AI$453-AH$453</f>
        <v>6.0738248894444968</v>
      </c>
      <c r="AJ475" s="7">
        <f ca="1">IF(AJ$6=OFFSET(Assumptions!$B$8,0,$C$1),AVERAGE((AG$475-(AG$453-AF$453))/(AG$148+AG$162),(AH$475-(AH$453-AG$453))/(AH$148+AH$162),(AI$475-(AI$453-AH$453))/(AI$148+AI$162)),(AI$475-(AI$453-AH$453))/(AI$148+AI$162)) *(AJ$148+AJ$162) +AJ$453-AI$453</f>
        <v>6.3178901196670569</v>
      </c>
      <c r="AK475" s="7">
        <f ca="1">IF(AK$6=OFFSET(Assumptions!$B$8,0,$C$1),AVERAGE((AH$475-(AH$453-AG$453))/(AH$148+AH$162),(AI$475-(AI$453-AH$453))/(AI$148+AI$162),(AJ$475-(AJ$453-AI$453))/(AJ$148+AJ$162)),(AJ$475-(AJ$453-AI$453))/(AJ$148+AJ$162)) *(AK$148+AK$162) +AK$453-AJ$453</f>
        <v>6.5708590620380321</v>
      </c>
      <c r="AL475" s="7">
        <f ca="1">IF(AL$6=OFFSET(Assumptions!$B$8,0,$C$1),AVERAGE((AI$475-(AI$453-AH$453))/(AI$148+AI$162),(AJ$475-(AJ$453-AI$453))/(AJ$148+AJ$162),(AK$475-(AK$453-AJ$453))/(AK$148+AK$162)),(AK$475-(AK$453-AJ$453))/(AK$148+AK$162)) *(AL$148+AL$162) +AL$453-AK$453</f>
        <v>6.8325343059793875</v>
      </c>
      <c r="AM475" s="7">
        <f ca="1">IF(AM$6=OFFSET(Assumptions!$B$8,0,$C$1),AVERAGE((AJ$475-(AJ$453-AI$453))/(AJ$148+AJ$162),(AK$475-(AK$453-AJ$453))/(AK$148+AK$162),(AL$475-(AL$453-AK$453))/(AL$148+AL$162)),(AL$475-(AL$453-AK$453))/(AL$148+AL$162)) *(AM$148+AM$162) +AM$453-AL$453</f>
        <v>7.1033923587437968</v>
      </c>
      <c r="AN475" s="7">
        <f ca="1">IF(AN$6=OFFSET(Assumptions!$B$8,0,$C$1),AVERAGE((AK$475-(AK$453-AJ$453))/(AK$148+AK$162),(AL$475-(AL$453-AK$453))/(AL$148+AL$162),(AM$475-(AM$453-AL$453))/(AM$148+AM$162)),(AM$475-(AM$453-AL$453))/(AM$148+AM$162)) *(AN$148+AN$162) +AN$453-AM$453</f>
        <v>7.3838114029493402</v>
      </c>
      <c r="AO475" s="7">
        <f ca="1">IF(AO$6=OFFSET(Assumptions!$B$8,0,$C$1),AVERAGE((AL$475-(AL$453-AK$453))/(AL$148+AL$162),(AM$475-(AM$453-AL$453))/(AM$148+AM$162),(AN$475-(AN$453-AM$453))/(AN$148+AN$162)),(AN$475-(AN$453-AM$453))/(AN$148+AN$162)) *(AO$148+AO$162) +AO$453-AN$453</f>
        <v>7.6723755671556084</v>
      </c>
      <c r="AP475" s="7">
        <f ca="1">IF(AP$6=OFFSET(Assumptions!$B$8,0,$C$1),AVERAGE((AM$475-(AM$453-AL$453))/(AM$148+AM$162),(AN$475-(AN$453-AM$453))/(AN$148+AN$162),(AO$475-(AO$453-AN$453))/(AO$148+AO$162)),(AO$475-(AO$453-AN$453))/(AO$148+AO$162)) *(AP$148+AP$162) +AP$453-AO$453</f>
        <v>7.9708110802726662</v>
      </c>
      <c r="AQ475" s="7">
        <f ca="1">IF(AQ$6=OFFSET(Assumptions!$B$8,0,$C$1),AVERAGE((AN$475-(AN$453-AM$453))/(AN$148+AN$162),(AO$475-(AO$453-AN$453))/(AO$148+AO$162),(AP$475-(AP$453-AO$453))/(AP$148+AP$162)),(AP$475-(AP$453-AO$453))/(AP$148+AP$162)) *(AQ$148+AQ$162) +AQ$453-AP$453</f>
        <v>8.2778367889813538</v>
      </c>
      <c r="AR475" s="7">
        <f ca="1">IF(AR$6=OFFSET(Assumptions!$B$8,0,$C$1),AVERAGE((AO$475-(AO$453-AN$453))/(AO$148+AO$162),(AP$475-(AP$453-AO$453))/(AP$148+AP$162),(AQ$475-(AQ$453-AP$453))/(AQ$148+AQ$162)),(AQ$475-(AQ$453-AP$453))/(AQ$148+AQ$162)) *(AR$148+AR$162) +AR$453-AQ$453</f>
        <v>8.5940569652741097</v>
      </c>
      <c r="AS475" s="7">
        <f ca="1">IF(AS$6=OFFSET(Assumptions!$B$8,0,$C$1),AVERAGE((AP$475-(AP$453-AO$453))/(AP$148+AP$162),(AQ$475-(AQ$453-AP$453))/(AQ$148+AQ$162),(AR$475-(AR$453-AQ$453))/(AR$148+AR$162)),(AR$475-(AR$453-AQ$453))/(AR$148+AR$162)) *(AS$148+AS$162) +AS$453-AR$453</f>
        <v>8.9202900002203336</v>
      </c>
      <c r="AT475" s="7">
        <f ca="1">IF(AT$6=OFFSET(Assumptions!$B$8,0,$C$1),AVERAGE((AQ$475-(AQ$453-AP$453))/(AQ$148+AQ$162),(AR$475-(AR$453-AQ$453))/(AR$148+AR$162),(AS$475-(AS$453-AR$453))/(AS$148+AS$162)),(AS$475-(AS$453-AR$453))/(AS$148+AS$162)) *(AT$148+AT$162) +AT$453-AS$453</f>
        <v>9.256690304404172</v>
      </c>
      <c r="AU475" s="7">
        <f ca="1">IF(AU$6=OFFSET(Assumptions!$B$8,0,$C$1),AVERAGE((AR$475-(AR$453-AQ$453))/(AR$148+AR$162),(AS$475-(AS$453-AR$453))/(AS$148+AS$162),(AT$475-(AT$453-AS$453))/(AT$148+AT$162)),(AT$475-(AT$453-AS$453))/(AT$148+AT$162)) *(AU$148+AU$162) +AU$453-AT$453</f>
        <v>9.603743108513692</v>
      </c>
      <c r="AV475" s="7">
        <f ca="1">IF(AV$6=OFFSET(Assumptions!$B$8,0,$C$1),AVERAGE((AS$475-(AS$453-AR$453))/(AS$148+AS$162),(AT$475-(AT$453-AS$453))/(AT$148+AT$162),(AU$475-(AU$453-AT$453))/(AU$148+AU$162)),(AU$475-(AU$453-AT$453))/(AU$148+AU$162)) *(AV$148+AV$162) +AV$453-AU$453</f>
        <v>9.9626511099148658</v>
      </c>
      <c r="AW475" s="7">
        <f ca="1">IF(AW$6=OFFSET(Assumptions!$B$8,0,$C$1),AVERAGE((AT$475-(AT$453-AS$453))/(AT$148+AT$162),(AU$475-(AU$453-AT$453))/(AU$148+AU$162),(AV$475-(AV$453-AU$453))/(AV$148+AV$162)),(AV$475-(AV$453-AU$453))/(AV$148+AV$162)) *(AW$148+AW$162) +AW$453-AV$453</f>
        <v>10.332934169905847</v>
      </c>
    </row>
    <row r="476" spans="1:49" x14ac:dyDescent="0.2">
      <c r="A476" s="1" t="s">
        <v>615</v>
      </c>
      <c r="B476" s="4" t="str">
        <f t="shared" si="274"/>
        <v>From Fiscal</v>
      </c>
      <c r="D476" s="18">
        <f>-Fiscal!D$362</f>
        <v>23.895</v>
      </c>
      <c r="E476" s="19">
        <f>-Fiscal!E$362</f>
        <v>24.449000000000002</v>
      </c>
      <c r="F476" s="19">
        <f>-Fiscal!F$362</f>
        <v>25.384</v>
      </c>
      <c r="G476" s="19">
        <f>-Fiscal!G$362</f>
        <v>26.039000000000001</v>
      </c>
      <c r="H476" s="19">
        <f>-Fiscal!H$362</f>
        <v>26.815000000000001</v>
      </c>
      <c r="I476" s="19">
        <f>-Fiscal!I$362</f>
        <v>27.829000000000001</v>
      </c>
      <c r="J476" s="7">
        <f t="shared" ref="J476:AW476" ca="1" si="275">J$178</f>
        <v>29.68333610928552</v>
      </c>
      <c r="K476" s="7">
        <f t="shared" ca="1" si="275"/>
        <v>31.772385841837348</v>
      </c>
      <c r="L476" s="7">
        <f t="shared" ca="1" si="275"/>
        <v>33.983950794995771</v>
      </c>
      <c r="M476" s="7">
        <f t="shared" ca="1" si="275"/>
        <v>36.2937738783315</v>
      </c>
      <c r="N476" s="7">
        <f t="shared" ca="1" si="275"/>
        <v>38.733875764795172</v>
      </c>
      <c r="O476" s="7">
        <f t="shared" ca="1" si="275"/>
        <v>41.235254289084693</v>
      </c>
      <c r="P476" s="7">
        <f t="shared" ca="1" si="275"/>
        <v>43.784210719566552</v>
      </c>
      <c r="Q476" s="7">
        <f t="shared" ca="1" si="275"/>
        <v>46.430691657400104</v>
      </c>
      <c r="R476" s="7">
        <f t="shared" ca="1" si="275"/>
        <v>49.160235948216403</v>
      </c>
      <c r="S476" s="7">
        <f t="shared" ca="1" si="275"/>
        <v>51.939510564326909</v>
      </c>
      <c r="T476" s="7">
        <f t="shared" ca="1" si="275"/>
        <v>54.807576101995245</v>
      </c>
      <c r="U476" s="7">
        <f t="shared" ca="1" si="275"/>
        <v>57.795919425224959</v>
      </c>
      <c r="V476" s="7">
        <f t="shared" ca="1" si="275"/>
        <v>60.918297992108464</v>
      </c>
      <c r="W476" s="7">
        <f t="shared" ca="1" si="275"/>
        <v>63.993070743986749</v>
      </c>
      <c r="X476" s="7">
        <f t="shared" ca="1" si="275"/>
        <v>67.093851455952759</v>
      </c>
      <c r="Y476" s="7">
        <f t="shared" ca="1" si="275"/>
        <v>70.35306656449373</v>
      </c>
      <c r="Z476" s="7">
        <f t="shared" ca="1" si="275"/>
        <v>73.698061862357577</v>
      </c>
      <c r="AA476" s="7">
        <f t="shared" ca="1" si="275"/>
        <v>77.096349300327816</v>
      </c>
      <c r="AB476" s="7">
        <f t="shared" ca="1" si="275"/>
        <v>80.538880960475211</v>
      </c>
      <c r="AC476" s="7">
        <f t="shared" ca="1" si="275"/>
        <v>84.020279546922168</v>
      </c>
      <c r="AD476" s="7">
        <f t="shared" ca="1" si="275"/>
        <v>87.533165051181413</v>
      </c>
      <c r="AE476" s="7">
        <f t="shared" ca="1" si="275"/>
        <v>91.162382565072733</v>
      </c>
      <c r="AF476" s="7">
        <f t="shared" ca="1" si="275"/>
        <v>94.871275417606284</v>
      </c>
      <c r="AG476" s="7">
        <f t="shared" ca="1" si="275"/>
        <v>98.757767288900766</v>
      </c>
      <c r="AH476" s="7">
        <f t="shared" ca="1" si="275"/>
        <v>102.78524262264594</v>
      </c>
      <c r="AI476" s="7">
        <f t="shared" ca="1" si="275"/>
        <v>106.97099062379525</v>
      </c>
      <c r="AJ476" s="7">
        <f t="shared" ca="1" si="275"/>
        <v>111.33052832691722</v>
      </c>
      <c r="AK476" s="7">
        <f t="shared" ca="1" si="275"/>
        <v>115.9098097394203</v>
      </c>
      <c r="AL476" s="7">
        <f t="shared" ca="1" si="275"/>
        <v>120.65934366807859</v>
      </c>
      <c r="AM476" s="7">
        <f t="shared" ca="1" si="275"/>
        <v>125.60317878851941</v>
      </c>
      <c r="AN476" s="7">
        <f t="shared" ca="1" si="275"/>
        <v>130.78949566218435</v>
      </c>
      <c r="AO476" s="7">
        <f t="shared" ca="1" si="275"/>
        <v>136.24072925513516</v>
      </c>
      <c r="AP476" s="7">
        <f t="shared" ca="1" si="275"/>
        <v>142.05013988359156</v>
      </c>
      <c r="AQ476" s="7">
        <f t="shared" ca="1" si="275"/>
        <v>148.19594097787495</v>
      </c>
      <c r="AR476" s="7">
        <f t="shared" ca="1" si="275"/>
        <v>154.75226859319369</v>
      </c>
      <c r="AS476" s="7">
        <f t="shared" ca="1" si="275"/>
        <v>161.71833891017457</v>
      </c>
      <c r="AT476" s="7">
        <f t="shared" ca="1" si="275"/>
        <v>168.88747588696103</v>
      </c>
      <c r="AU476" s="7">
        <f t="shared" ca="1" si="275"/>
        <v>176.34189330529401</v>
      </c>
      <c r="AV476" s="7">
        <f t="shared" ca="1" si="275"/>
        <v>184.0460498973458</v>
      </c>
      <c r="AW476" s="7">
        <f t="shared" ca="1" si="275"/>
        <v>192.07702097990114</v>
      </c>
    </row>
    <row r="477" spans="1:49" x14ac:dyDescent="0.2">
      <c r="A477" s="1" t="s">
        <v>616</v>
      </c>
      <c r="B477" s="4" t="str">
        <f t="shared" si="274"/>
        <v>From Fiscal</v>
      </c>
      <c r="D477" s="18">
        <f>-Fiscal!D$363</f>
        <v>42.064</v>
      </c>
      <c r="E477" s="19">
        <f ca="1">-Fiscal!E$363 +IF(OR(OFFSET(Assumptions!$B$72,0,$C$1)="BU",OFFSET(Assumptions!$B$113,0,$C$1)="SND"),Allocate!C$25,0)</f>
        <v>43.344000000000001</v>
      </c>
      <c r="F477" s="19">
        <f ca="1">-Fiscal!F$363 +IF(OR(OFFSET(Assumptions!$B$72,0,$C$1)="BU",OFFSET(Assumptions!$B$113,0,$C$1)="SND"),Allocate!D$25,0)</f>
        <v>45.237000000000002</v>
      </c>
      <c r="G477" s="19">
        <f ca="1">-Fiscal!G$363 +IF(OR(OFFSET(Assumptions!$B$72,0,$C$1)="BU",OFFSET(Assumptions!$B$113,0,$C$1)="SND"),Allocate!E$25,0)</f>
        <v>46.833999999999996</v>
      </c>
      <c r="H477" s="19">
        <f ca="1">-Fiscal!H$363 +IF(OR(OFFSET(Assumptions!$B$72,0,$C$1)="BU",OFFSET(Assumptions!$B$113,0,$C$1)="SND"),Allocate!F$25,0)</f>
        <v>47.817</v>
      </c>
      <c r="I477" s="19">
        <f ca="1">-Fiscal!I$363 +IF(OR(OFFSET(Assumptions!$B$72,0,$C$1)="BU",OFFSET(Assumptions!$B$113,0,$C$1)="SND"),Allocate!G$25,0)</f>
        <v>49.519999999999996</v>
      </c>
      <c r="J477" s="7">
        <f t="shared" ref="J477:AW477" ca="1" si="276">SUM(J$192,J$205-(J$142-J$473),J$221)-SUM(J$269,J$387,J$390)+SUM(J$395-I$395,J$399-I$399)-SUM(J$448-I$448,J$457-I$457,J$463-I$463,J$468-I$468)</f>
        <v>52.368370672543278</v>
      </c>
      <c r="K477" s="7">
        <f t="shared" ca="1" si="276"/>
        <v>56.009645502544537</v>
      </c>
      <c r="L477" s="7">
        <f t="shared" ca="1" si="276"/>
        <v>59.291888261628465</v>
      </c>
      <c r="M477" s="7">
        <f t="shared" ca="1" si="276"/>
        <v>62.351187482113552</v>
      </c>
      <c r="N477" s="7">
        <f t="shared" ca="1" si="276"/>
        <v>65.23459356440641</v>
      </c>
      <c r="O477" s="7">
        <f t="shared" ca="1" si="276"/>
        <v>68.45349366505242</v>
      </c>
      <c r="P477" s="7">
        <f t="shared" ca="1" si="276"/>
        <v>71.767713401576202</v>
      </c>
      <c r="Q477" s="7">
        <f t="shared" ca="1" si="276"/>
        <v>75.169773150904049</v>
      </c>
      <c r="R477" s="7">
        <f t="shared" ca="1" si="276"/>
        <v>78.724719217230003</v>
      </c>
      <c r="S477" s="7">
        <f t="shared" ca="1" si="276"/>
        <v>82.42485813471778</v>
      </c>
      <c r="T477" s="7">
        <f t="shared" ca="1" si="276"/>
        <v>86.288413999420925</v>
      </c>
      <c r="U477" s="7">
        <f t="shared" ca="1" si="276"/>
        <v>90.349464986213945</v>
      </c>
      <c r="V477" s="7">
        <f t="shared" ca="1" si="276"/>
        <v>94.576735623191595</v>
      </c>
      <c r="W477" s="7">
        <f t="shared" ca="1" si="276"/>
        <v>98.981536697265199</v>
      </c>
      <c r="X477" s="7">
        <f t="shared" ca="1" si="276"/>
        <v>103.57157879125361</v>
      </c>
      <c r="Y477" s="7">
        <f t="shared" ca="1" si="276"/>
        <v>108.35091430460626</v>
      </c>
      <c r="Z477" s="7">
        <f t="shared" ca="1" si="276"/>
        <v>113.33426369830198</v>
      </c>
      <c r="AA477" s="7">
        <f t="shared" ca="1" si="276"/>
        <v>118.52938568820279</v>
      </c>
      <c r="AB477" s="7">
        <f t="shared" ca="1" si="276"/>
        <v>123.94644261851826</v>
      </c>
      <c r="AC477" s="7">
        <f t="shared" ca="1" si="276"/>
        <v>129.59240973477273</v>
      </c>
      <c r="AD477" s="7">
        <f t="shared" ca="1" si="276"/>
        <v>135.47157135556543</v>
      </c>
      <c r="AE477" s="7">
        <f t="shared" ca="1" si="276"/>
        <v>141.5960222249991</v>
      </c>
      <c r="AF477" s="7">
        <f t="shared" ca="1" si="276"/>
        <v>147.96608389341918</v>
      </c>
      <c r="AG477" s="7">
        <f t="shared" ca="1" si="276"/>
        <v>154.60981323963932</v>
      </c>
      <c r="AH477" s="7">
        <f t="shared" ca="1" si="276"/>
        <v>161.53744043252252</v>
      </c>
      <c r="AI477" s="7">
        <f t="shared" ca="1" si="276"/>
        <v>168.74645935271084</v>
      </c>
      <c r="AJ477" s="7">
        <f t="shared" ca="1" si="276"/>
        <v>176.24741224967005</v>
      </c>
      <c r="AK477" s="7">
        <f t="shared" ca="1" si="276"/>
        <v>184.06626875564683</v>
      </c>
      <c r="AL477" s="7">
        <f t="shared" ca="1" si="276"/>
        <v>192.21158398983931</v>
      </c>
      <c r="AM477" s="7">
        <f t="shared" ca="1" si="276"/>
        <v>200.69740032806672</v>
      </c>
      <c r="AN477" s="7">
        <f t="shared" ca="1" si="276"/>
        <v>209.56234537815277</v>
      </c>
      <c r="AO477" s="7">
        <f t="shared" ca="1" si="276"/>
        <v>218.8254392901504</v>
      </c>
      <c r="AP477" s="7">
        <f t="shared" ca="1" si="276"/>
        <v>228.51611439797017</v>
      </c>
      <c r="AQ477" s="7">
        <f t="shared" ca="1" si="276"/>
        <v>238.64381277395438</v>
      </c>
      <c r="AR477" s="7">
        <f t="shared" ca="1" si="276"/>
        <v>249.23133527778759</v>
      </c>
      <c r="AS477" s="7">
        <f t="shared" ca="1" si="276"/>
        <v>260.2891992697684</v>
      </c>
      <c r="AT477" s="7">
        <f t="shared" ca="1" si="276"/>
        <v>271.80557264308004</v>
      </c>
      <c r="AU477" s="7">
        <f t="shared" ca="1" si="276"/>
        <v>283.8178590551708</v>
      </c>
      <c r="AV477" s="7">
        <f t="shared" ca="1" si="276"/>
        <v>296.32961508809433</v>
      </c>
      <c r="AW477" s="7">
        <f t="shared" ca="1" si="276"/>
        <v>309.3896475501333</v>
      </c>
    </row>
    <row r="478" spans="1:49" x14ac:dyDescent="0.2">
      <c r="A478" s="1" t="s">
        <v>617</v>
      </c>
      <c r="B478" s="4" t="str">
        <f t="shared" si="274"/>
        <v>From Fiscal</v>
      </c>
      <c r="D478" s="18">
        <f>-Fiscal!D$364</f>
        <v>3.9220000000000002</v>
      </c>
      <c r="E478" s="19">
        <f>-Fiscal!E$364</f>
        <v>3.6269999999999998</v>
      </c>
      <c r="F478" s="19">
        <f>-Fiscal!F$364</f>
        <v>3.819</v>
      </c>
      <c r="G478" s="19">
        <f>-Fiscal!G$364</f>
        <v>3.7959999999999998</v>
      </c>
      <c r="H478" s="19">
        <f>-Fiscal!H$364</f>
        <v>3.835</v>
      </c>
      <c r="I478" s="19">
        <f>-Fiscal!I$364</f>
        <v>3.5680000000000001</v>
      </c>
      <c r="J478" s="7">
        <f ca="1">IF(J$6=OFFSET(Assumptions!$B$8,0,$C$1),AVERAGE(G$478/G$212,H$478/H$212,I$478/I$212),I$478/I$212)*J$212</f>
        <v>3.9255458153364859</v>
      </c>
      <c r="K478" s="7">
        <f ca="1">IF(K$6=OFFSET(Assumptions!$B$8,0,$C$1),AVERAGE(H$478/H$212,I$478/I$212,J$478/J$212),J$478/J$212)*K$212</f>
        <v>4.2816159230805928</v>
      </c>
      <c r="L478" s="7">
        <f ca="1">IF(L$6=OFFSET(Assumptions!$B$8,0,$C$1),AVERAGE(I$478/I$212,J$478/J$212,K$478/K$212),K$478/K$212)*L$212</f>
        <v>4.7145920815030378</v>
      </c>
      <c r="M478" s="7">
        <f ca="1">IF(M$6=OFFSET(Assumptions!$B$8,0,$C$1),AVERAGE(J$478/J$212,K$478/K$212,L$478/L$212),L$478/L$212)*M$212</f>
        <v>5.2387208962795659</v>
      </c>
      <c r="N478" s="7">
        <f ca="1">IF(N$6=OFFSET(Assumptions!$B$8,0,$C$1),AVERAGE(K$478/K$212,L$478/L$212,M$478/M$212),M$478/M$212)*N$212</f>
        <v>5.8543632987034622</v>
      </c>
      <c r="O478" s="7">
        <f ca="1">IF(O$6=OFFSET(Assumptions!$B$8,0,$C$1),AVERAGE(L$478/L$212,M$478/M$212,N$478/N$212),N$478/N$212)*O$212</f>
        <v>6.575003580947274</v>
      </c>
      <c r="P478" s="7">
        <f ca="1">IF(P$6=OFFSET(Assumptions!$B$8,0,$C$1),AVERAGE(M$478/M$212,N$478/N$212,O$478/O$212),O$478/O$212)*P$212</f>
        <v>7.4166785836033631</v>
      </c>
      <c r="Q478" s="7">
        <f ca="1">IF(Q$6=OFFSET(Assumptions!$B$8,0,$C$1),AVERAGE(N$478/N$212,O$478/O$212,P$478/P$212),P$478/P$212)*Q$212</f>
        <v>8.1149823242690537</v>
      </c>
      <c r="R478" s="7">
        <f ca="1">IF(R$6=OFFSET(Assumptions!$B$8,0,$C$1),AVERAGE(O$478/O$212,P$478/P$212,Q$478/Q$212),Q$478/Q$212)*R$212</f>
        <v>8.8965260877441832</v>
      </c>
      <c r="S478" s="7">
        <f ca="1">IF(S$6=OFFSET(Assumptions!$B$8,0,$C$1),AVERAGE(P$478/P$212,Q$478/Q$212,R$478/R$212),R$478/R$212)*S$212</f>
        <v>9.7788572487304251</v>
      </c>
      <c r="T478" s="7">
        <f ca="1">IF(T$6=OFFSET(Assumptions!$B$8,0,$C$1),AVERAGE(Q$478/Q$212,R$478/R$212,S$478/S$212),S$478/S$212)*T$212</f>
        <v>10.772752632768675</v>
      </c>
      <c r="U478" s="7">
        <f ca="1">IF(U$6=OFFSET(Assumptions!$B$8,0,$C$1),AVERAGE(R$478/R$212,S$478/S$212,T$478/T$212),T$478/T$212)*U$212</f>
        <v>11.890782770578639</v>
      </c>
      <c r="V478" s="7">
        <f ca="1">IF(V$6=OFFSET(Assumptions!$B$8,0,$C$1),AVERAGE(S$478/S$212,T$478/T$212,U$478/U$212),U$478/U$212)*V$212</f>
        <v>13.146106274072672</v>
      </c>
      <c r="W478" s="7">
        <f ca="1">IF(W$6=OFFSET(Assumptions!$B$8,0,$C$1),AVERAGE(T$478/T$212,U$478/U$212,V$478/V$212),V$478/V$212)*W$212</f>
        <v>14.546578003694304</v>
      </c>
      <c r="X478" s="7">
        <f ca="1">IF(X$6=OFFSET(Assumptions!$B$8,0,$C$1),AVERAGE(U$478/U$212,V$478/V$212,W$478/W$212),W$478/W$212)*X$212</f>
        <v>16.097850193470432</v>
      </c>
      <c r="Y478" s="7">
        <f ca="1">IF(Y$6=OFFSET(Assumptions!$B$8,0,$C$1),AVERAGE(V$478/V$212,W$478/W$212,X$478/X$212),X$478/X$212)*Y$212</f>
        <v>17.810378137158217</v>
      </c>
      <c r="Z478" s="7">
        <f ca="1">IF(Z$6=OFFSET(Assumptions!$B$8,0,$C$1),AVERAGE(W$478/W$212,X$478/X$212,Y$478/Y$212),Y$478/Y$212)*Z$212</f>
        <v>19.697895778130182</v>
      </c>
      <c r="AA478" s="7">
        <f ca="1">IF(AA$6=OFFSET(Assumptions!$B$8,0,$C$1),AVERAGE(X$478/X$212,Y$478/Y$212,Z$478/Z$212),Z$478/Z$212)*AA$212</f>
        <v>21.775233215745633</v>
      </c>
      <c r="AB478" s="7">
        <f ca="1">IF(AB$6=OFFSET(Assumptions!$B$8,0,$C$1),AVERAGE(Y$478/Y$212,Z$478/Z$212,AA$478/AA$212),AA$478/AA$212)*AB$212</f>
        <v>24.057183996751327</v>
      </c>
      <c r="AC478" s="7">
        <f ca="1">IF(AC$6=OFFSET(Assumptions!$B$8,0,$C$1),AVERAGE(Z$478/Z$212,AA$478/AA$212,AB$478/AB$212),AB$478/AB$212)*AC$212</f>
        <v>26.558788976680518</v>
      </c>
      <c r="AD478" s="7">
        <f ca="1">IF(AD$6=OFFSET(Assumptions!$B$8,0,$C$1),AVERAGE(AA$478/AA$212,AB$478/AB$212,AC$478/AC$212),AC$478/AC$212)*AD$212</f>
        <v>29.295357838176063</v>
      </c>
      <c r="AE478" s="7">
        <f ca="1">IF(AE$6=OFFSET(Assumptions!$B$8,0,$C$1),AVERAGE(AB$478/AB$212,AC$478/AC$212,AD$478/AD$212),AD$478/AD$212)*AE$212</f>
        <v>32.28317470584016</v>
      </c>
      <c r="AF478" s="7">
        <f ca="1">IF(AF$6=OFFSET(Assumptions!$B$8,0,$C$1),AVERAGE(AC$478/AC$212,AD$478/AD$212,AE$478/AE$212),AE$478/AE$212)*AF$212</f>
        <v>35.540075944646944</v>
      </c>
      <c r="AG478" s="7">
        <f ca="1">IF(AG$6=OFFSET(Assumptions!$B$8,0,$C$1),AVERAGE(AD$478/AD$212,AE$478/AE$212,AF$478/AF$212),AF$478/AF$212)*AG$212</f>
        <v>39.084610101900502</v>
      </c>
      <c r="AH478" s="7">
        <f ca="1">IF(AH$6=OFFSET(Assumptions!$B$8,0,$C$1),AVERAGE(AE$478/AE$212,AF$478/AF$212,AG$478/AG$212),AG$478/AG$212)*AH$212</f>
        <v>42.936988654958874</v>
      </c>
      <c r="AI478" s="7">
        <f ca="1">IF(AI$6=OFFSET(Assumptions!$B$8,0,$C$1),AVERAGE(AF$478/AF$212,AG$478/AG$212,AH$478/AH$212),AH$478/AH$212)*AI$212</f>
        <v>47.118963554505683</v>
      </c>
      <c r="AJ478" s="7">
        <f ca="1">IF(AJ$6=OFFSET(Assumptions!$B$8,0,$C$1),AVERAGE(AG$478/AG$212,AH$478/AH$212,AI$478/AI$212),AI$478/AI$212)*AJ$212</f>
        <v>51.65387998318915</v>
      </c>
      <c r="AK478" s="7">
        <f ca="1">IF(AK$6=OFFSET(Assumptions!$B$8,0,$C$1),AVERAGE(AH$478/AH$212,AI$478/AI$212,AJ$478/AJ$212),AJ$478/AJ$212)*AK$212</f>
        <v>56.568073625532769</v>
      </c>
      <c r="AL478" s="7">
        <f ca="1">IF(AL$6=OFFSET(Assumptions!$B$8,0,$C$1),AVERAGE(AI$478/AI$212,AJ$478/AJ$212,AK$478/AK$212),AK$478/AK$212)*AL$212</f>
        <v>61.889239126999264</v>
      </c>
      <c r="AM478" s="7">
        <f ca="1">IF(AM$6=OFFSET(Assumptions!$B$8,0,$C$1),AVERAGE(AJ$478/AJ$212,AK$478/AK$212,AL$478/AL$212),AL$478/AL$212)*AM$212</f>
        <v>67.647141004415843</v>
      </c>
      <c r="AN478" s="7">
        <f ca="1">IF(AN$6=OFFSET(Assumptions!$B$8,0,$C$1),AVERAGE(AK$478/AK$212,AL$478/AL$212,AM$478/AM$212),AM$478/AM$212)*AN$212</f>
        <v>73.874500295546483</v>
      </c>
      <c r="AO478" s="7">
        <f ca="1">IF(AO$6=OFFSET(Assumptions!$B$8,0,$C$1),AVERAGE(AL$478/AL$212,AM$478/AM$212,AN$478/AN$212),AN$478/AN$212)*AO$212</f>
        <v>80.608582213603</v>
      </c>
      <c r="AP478" s="7">
        <f ca="1">IF(AP$6=OFFSET(Assumptions!$B$8,0,$C$1),AVERAGE(AM$478/AM$212,AN$478/AN$212,AO$478/AO$212),AO$478/AO$212)*AP$212</f>
        <v>87.889850675248837</v>
      </c>
      <c r="AQ478" s="7">
        <f ca="1">IF(AQ$6=OFFSET(Assumptions!$B$8,0,$C$1),AVERAGE(AN$478/AN$212,AO$478/AO$212,AP$478/AP$212),AP$478/AP$212)*AQ$212</f>
        <v>95.762884885514353</v>
      </c>
      <c r="AR478" s="7">
        <f ca="1">IF(AR$6=OFFSET(Assumptions!$B$8,0,$C$1),AVERAGE(AO$478/AO$212,AP$478/AP$212,AQ$478/AQ$212),AQ$478/AQ$212)*AR$212</f>
        <v>104.27497752003674</v>
      </c>
      <c r="AS478" s="7">
        <f ca="1">IF(AS$6=OFFSET(Assumptions!$B$8,0,$C$1),AVERAGE(AP$478/AP$212,AQ$478/AQ$212,AR$478/AR$212),AR$478/AR$212)*AS$212</f>
        <v>113.47828405605964</v>
      </c>
      <c r="AT478" s="7">
        <f ca="1">IF(AT$6=OFFSET(Assumptions!$B$8,0,$C$1),AVERAGE(AQ$478/AQ$212,AR$478/AR$212,AS$478/AS$212),AS$478/AS$212)*AT$212</f>
        <v>123.42642451468002</v>
      </c>
      <c r="AU478" s="7">
        <f ca="1">IF(AU$6=OFFSET(Assumptions!$B$8,0,$C$1),AVERAGE(AR$478/AR$212,AS$478/AS$212,AT$478/AT$212),AT$478/AT$212)*AU$212</f>
        <v>134.17431761245047</v>
      </c>
      <c r="AV478" s="7">
        <f ca="1">IF(AV$6=OFFSET(Assumptions!$B$8,0,$C$1),AVERAGE(AS$478/AS$212,AT$478/AT$212,AU$478/AU$212),AU$478/AU$212)*AV$212</f>
        <v>145.78207264986401</v>
      </c>
      <c r="AW478" s="7">
        <f ca="1">IF(AW$6=OFFSET(Assumptions!$B$8,0,$C$1),AVERAGE(AT$478/AT$212,AU$478/AU$212,AV$478/AV$212),AV$478/AV$212)*AW$212</f>
        <v>158.31450222719073</v>
      </c>
    </row>
    <row r="479" spans="1:49" x14ac:dyDescent="0.2">
      <c r="A479" s="1" t="s">
        <v>732</v>
      </c>
      <c r="D479" s="18">
        <f t="shared" ref="D479" si="277">SUM(D$229,D$231)</f>
        <v>0</v>
      </c>
      <c r="E479" s="19">
        <f t="shared" ref="E479:AW479" ca="1" si="278">SUM(E$229,E$231)</f>
        <v>0</v>
      </c>
      <c r="F479" s="19">
        <f t="shared" ca="1" si="278"/>
        <v>0</v>
      </c>
      <c r="G479" s="19">
        <f t="shared" ca="1" si="278"/>
        <v>0</v>
      </c>
      <c r="H479" s="19">
        <f t="shared" ca="1" si="278"/>
        <v>0</v>
      </c>
      <c r="I479" s="19">
        <f t="shared" ca="1" si="278"/>
        <v>0</v>
      </c>
      <c r="J479" s="7">
        <f t="shared" ca="1" si="278"/>
        <v>0</v>
      </c>
      <c r="K479" s="7">
        <f t="shared" ca="1" si="278"/>
        <v>0</v>
      </c>
      <c r="L479" s="7">
        <f t="shared" ca="1" si="278"/>
        <v>0</v>
      </c>
      <c r="M479" s="7">
        <f t="shared" ca="1" si="278"/>
        <v>0</v>
      </c>
      <c r="N479" s="7">
        <f t="shared" ca="1" si="278"/>
        <v>0</v>
      </c>
      <c r="O479" s="7">
        <f t="shared" ca="1" si="278"/>
        <v>0</v>
      </c>
      <c r="P479" s="7">
        <f t="shared" ca="1" si="278"/>
        <v>0</v>
      </c>
      <c r="Q479" s="7">
        <f t="shared" ca="1" si="278"/>
        <v>0</v>
      </c>
      <c r="R479" s="7">
        <f t="shared" ca="1" si="278"/>
        <v>0</v>
      </c>
      <c r="S479" s="7">
        <f t="shared" ca="1" si="278"/>
        <v>0</v>
      </c>
      <c r="T479" s="7">
        <f t="shared" ca="1" si="278"/>
        <v>0</v>
      </c>
      <c r="U479" s="7">
        <f t="shared" ca="1" si="278"/>
        <v>0</v>
      </c>
      <c r="V479" s="7">
        <f t="shared" ca="1" si="278"/>
        <v>0</v>
      </c>
      <c r="W479" s="7">
        <f t="shared" ca="1" si="278"/>
        <v>0</v>
      </c>
      <c r="X479" s="7">
        <f t="shared" ca="1" si="278"/>
        <v>0</v>
      </c>
      <c r="Y479" s="7">
        <f t="shared" ca="1" si="278"/>
        <v>0</v>
      </c>
      <c r="Z479" s="7">
        <f t="shared" ca="1" si="278"/>
        <v>0</v>
      </c>
      <c r="AA479" s="7">
        <f t="shared" ca="1" si="278"/>
        <v>0</v>
      </c>
      <c r="AB479" s="7">
        <f t="shared" ca="1" si="278"/>
        <v>0</v>
      </c>
      <c r="AC479" s="7">
        <f t="shared" ca="1" si="278"/>
        <v>0</v>
      </c>
      <c r="AD479" s="7">
        <f t="shared" ca="1" si="278"/>
        <v>0</v>
      </c>
      <c r="AE479" s="7">
        <f t="shared" ca="1" si="278"/>
        <v>0</v>
      </c>
      <c r="AF479" s="7">
        <f t="shared" ca="1" si="278"/>
        <v>0</v>
      </c>
      <c r="AG479" s="7">
        <f t="shared" ca="1" si="278"/>
        <v>0</v>
      </c>
      <c r="AH479" s="7">
        <f t="shared" ca="1" si="278"/>
        <v>0</v>
      </c>
      <c r="AI479" s="7">
        <f t="shared" ca="1" si="278"/>
        <v>0</v>
      </c>
      <c r="AJ479" s="7">
        <f t="shared" ca="1" si="278"/>
        <v>0</v>
      </c>
      <c r="AK479" s="7">
        <f t="shared" ca="1" si="278"/>
        <v>0</v>
      </c>
      <c r="AL479" s="7">
        <f t="shared" ca="1" si="278"/>
        <v>0</v>
      </c>
      <c r="AM479" s="7">
        <f t="shared" ca="1" si="278"/>
        <v>0</v>
      </c>
      <c r="AN479" s="7">
        <f t="shared" ca="1" si="278"/>
        <v>0</v>
      </c>
      <c r="AO479" s="7">
        <f t="shared" ca="1" si="278"/>
        <v>0</v>
      </c>
      <c r="AP479" s="7">
        <f t="shared" ca="1" si="278"/>
        <v>0</v>
      </c>
      <c r="AQ479" s="7">
        <f t="shared" ca="1" si="278"/>
        <v>0</v>
      </c>
      <c r="AR479" s="7">
        <f t="shared" ca="1" si="278"/>
        <v>0</v>
      </c>
      <c r="AS479" s="7">
        <f t="shared" ca="1" si="278"/>
        <v>0</v>
      </c>
      <c r="AT479" s="7">
        <f t="shared" ca="1" si="278"/>
        <v>0</v>
      </c>
      <c r="AU479" s="7">
        <f t="shared" ca="1" si="278"/>
        <v>0</v>
      </c>
      <c r="AV479" s="7">
        <f t="shared" ca="1" si="278"/>
        <v>0</v>
      </c>
      <c r="AW479" s="7">
        <f t="shared" ca="1" si="278"/>
        <v>0</v>
      </c>
    </row>
    <row r="480" spans="1:49" ht="15" x14ac:dyDescent="0.25">
      <c r="A480" s="2" t="s">
        <v>611</v>
      </c>
      <c r="D480" s="40">
        <f t="shared" ref="D480" si="279">SUM(D$472:D$475)-SUM(D$476:D$479)</f>
        <v>1.5949999999999989</v>
      </c>
      <c r="E480" s="39">
        <f t="shared" ref="E480:AW480" ca="1" si="280">SUM(E$472:E$475)-SUM(E$476:E$479)</f>
        <v>2.1329999999999956</v>
      </c>
      <c r="F480" s="39">
        <f t="shared" ca="1" si="280"/>
        <v>1.9260000000000019</v>
      </c>
      <c r="G480" s="39">
        <f t="shared" ca="1" si="280"/>
        <v>2.7669999999999959</v>
      </c>
      <c r="H480" s="39">
        <f t="shared" ca="1" si="280"/>
        <v>6.0110000000000099</v>
      </c>
      <c r="I480" s="39">
        <f t="shared" ca="1" si="280"/>
        <v>7.8130000000000024</v>
      </c>
      <c r="J480" s="43">
        <f t="shared" ca="1" si="280"/>
        <v>6.3488699500655486</v>
      </c>
      <c r="K480" s="43">
        <f t="shared" ca="1" si="280"/>
        <v>4.6586375375694189</v>
      </c>
      <c r="L480" s="43">
        <f t="shared" ca="1" si="280"/>
        <v>3.2351247389523365</v>
      </c>
      <c r="M480" s="43">
        <f t="shared" ca="1" si="280"/>
        <v>1.8798518914021543</v>
      </c>
      <c r="N480" s="43">
        <f t="shared" ca="1" si="280"/>
        <v>0.64356344065240023</v>
      </c>
      <c r="O480" s="43">
        <f t="shared" ca="1" si="280"/>
        <v>-1.0179832207782482</v>
      </c>
      <c r="P480" s="43">
        <f t="shared" ca="1" si="280"/>
        <v>-2.5966597569303786</v>
      </c>
      <c r="Q480" s="43">
        <f t="shared" ca="1" si="280"/>
        <v>-4.1625621725092259</v>
      </c>
      <c r="R480" s="43">
        <f t="shared" ca="1" si="280"/>
        <v>-5.9923346320539395</v>
      </c>
      <c r="S480" s="43">
        <f t="shared" ca="1" si="280"/>
        <v>-7.9554004210395703</v>
      </c>
      <c r="T480" s="43">
        <f t="shared" ca="1" si="280"/>
        <v>-10.117352412729929</v>
      </c>
      <c r="U480" s="43">
        <f t="shared" ca="1" si="280"/>
        <v>-12.536800028833198</v>
      </c>
      <c r="V480" s="43">
        <f t="shared" ca="1" si="280"/>
        <v>-15.19562757017701</v>
      </c>
      <c r="W480" s="43">
        <f t="shared" ca="1" si="280"/>
        <v>-17.914681135258689</v>
      </c>
      <c r="X480" s="43">
        <f t="shared" ca="1" si="280"/>
        <v>-20.761773941887839</v>
      </c>
      <c r="Y480" s="43">
        <f t="shared" ca="1" si="280"/>
        <v>-23.884546469364295</v>
      </c>
      <c r="Z480" s="43">
        <f t="shared" ca="1" si="280"/>
        <v>-27.205989790119702</v>
      </c>
      <c r="AA480" s="43">
        <f t="shared" ca="1" si="280"/>
        <v>-30.704149249564807</v>
      </c>
      <c r="AB480" s="43">
        <f t="shared" ca="1" si="280"/>
        <v>-34.372311332170369</v>
      </c>
      <c r="AC480" s="43">
        <f t="shared" ca="1" si="280"/>
        <v>-38.197535973309783</v>
      </c>
      <c r="AD480" s="43">
        <f t="shared" ca="1" si="280"/>
        <v>-42.181689890024842</v>
      </c>
      <c r="AE480" s="43">
        <f t="shared" ca="1" si="280"/>
        <v>-46.443542415182719</v>
      </c>
      <c r="AF480" s="43">
        <f t="shared" ca="1" si="280"/>
        <v>-50.940182972099166</v>
      </c>
      <c r="AG480" s="43">
        <f t="shared" ca="1" si="280"/>
        <v>-55.809943386145875</v>
      </c>
      <c r="AH480" s="43">
        <f t="shared" ca="1" si="280"/>
        <v>-61.031327092399238</v>
      </c>
      <c r="AI480" s="43">
        <f t="shared" ca="1" si="280"/>
        <v>-66.656042686149362</v>
      </c>
      <c r="AJ480" s="43">
        <f t="shared" ca="1" si="280"/>
        <v>-72.701479599983372</v>
      </c>
      <c r="AK480" s="43">
        <f t="shared" ca="1" si="280"/>
        <v>-79.273370058342039</v>
      </c>
      <c r="AL480" s="43">
        <f t="shared" ca="1" si="280"/>
        <v>-86.366099550277909</v>
      </c>
      <c r="AM480" s="43">
        <f t="shared" ca="1" si="280"/>
        <v>-94.031792065650734</v>
      </c>
      <c r="AN480" s="43">
        <f t="shared" ca="1" si="280"/>
        <v>-102.37370690895187</v>
      </c>
      <c r="AO480" s="43">
        <f t="shared" ca="1" si="280"/>
        <v>-111.51607592596946</v>
      </c>
      <c r="AP480" s="43">
        <f t="shared" ca="1" si="280"/>
        <v>-121.57235670247445</v>
      </c>
      <c r="AQ480" s="43">
        <f t="shared" ca="1" si="280"/>
        <v>-132.61058231059803</v>
      </c>
      <c r="AR480" s="43">
        <f t="shared" ca="1" si="280"/>
        <v>-144.76268255106334</v>
      </c>
      <c r="AS480" s="43">
        <f t="shared" ca="1" si="280"/>
        <v>-158.06237465024952</v>
      </c>
      <c r="AT480" s="43">
        <f t="shared" ca="1" si="280"/>
        <v>-172.33474282365108</v>
      </c>
      <c r="AU480" s="43">
        <f t="shared" ca="1" si="280"/>
        <v>-187.7355049611914</v>
      </c>
      <c r="AV480" s="43">
        <f t="shared" ca="1" si="280"/>
        <v>-204.24816082483756</v>
      </c>
      <c r="AW480" s="43">
        <f t="shared" ca="1" si="280"/>
        <v>-222.07163525111918</v>
      </c>
    </row>
    <row r="481" spans="1:49" x14ac:dyDescent="0.2">
      <c r="A481" s="1" t="s">
        <v>746</v>
      </c>
      <c r="B481" s="4" t="str">
        <f t="shared" ref="B481:B483" si="281">$B$43</f>
        <v>From Fiscal</v>
      </c>
      <c r="D481" s="18">
        <f>-Fiscal!D$366</f>
        <v>1.9550000000000001</v>
      </c>
      <c r="E481" s="19">
        <f ca="1">-Fiscal!E$366  +IF(OFFSET(Assumptions!$B$109,0,$C$1)="BU",Allocate!C$37-Allocate!B$37,0)</f>
        <v>2.2669999999999999</v>
      </c>
      <c r="F481" s="19">
        <f ca="1">-Fiscal!F$366  +IF(OFFSET(Assumptions!$B$109,0,$C$1)="BU",Allocate!D$37-Allocate!C$37,0)</f>
        <v>3.3920000000000003</v>
      </c>
      <c r="G481" s="19">
        <f ca="1">-Fiscal!G$366  +IF(OFFSET(Assumptions!$B$109,0,$C$1)="BU",Allocate!E$37-Allocate!D$37,0)</f>
        <v>2.931</v>
      </c>
      <c r="H481" s="19">
        <f ca="1">-Fiscal!H$366  +IF(OFFSET(Assumptions!$B$109,0,$C$1)="BU",Allocate!F$37-Allocate!E$37,0)</f>
        <v>2.4279999999999999</v>
      </c>
      <c r="I481" s="19">
        <f ca="1">-Fiscal!I$366  +IF(OFFSET(Assumptions!$B$109,0,$C$1)="BU",Allocate!G$37-Allocate!F$37,0)</f>
        <v>2.5390000000000001</v>
      </c>
      <c r="J481" s="7">
        <f t="shared" ref="J481:AW481" ca="1" si="282">SUM(J$404-I$404,J$411) +SUM(J$424-I$424,J$199-J$411)</f>
        <v>3.5180758974946937</v>
      </c>
      <c r="K481" s="7">
        <f t="shared" ca="1" si="282"/>
        <v>3.6628572754996078</v>
      </c>
      <c r="L481" s="7">
        <f t="shared" ca="1" si="282"/>
        <v>3.820107339390665</v>
      </c>
      <c r="M481" s="7">
        <f t="shared" ca="1" si="282"/>
        <v>3.9803734011156426</v>
      </c>
      <c r="N481" s="7">
        <f t="shared" ca="1" si="282"/>
        <v>4.1470097196958831</v>
      </c>
      <c r="O481" s="7">
        <f t="shared" ca="1" si="282"/>
        <v>4.3185128393890668</v>
      </c>
      <c r="P481" s="7">
        <f t="shared" ca="1" si="282"/>
        <v>4.5014830913959631</v>
      </c>
      <c r="Q481" s="7">
        <f t="shared" ca="1" si="282"/>
        <v>4.6906519607684185</v>
      </c>
      <c r="R481" s="7">
        <f t="shared" ca="1" si="282"/>
        <v>4.8860222309002168</v>
      </c>
      <c r="S481" s="7">
        <f t="shared" ca="1" si="282"/>
        <v>5.0884499730029376</v>
      </c>
      <c r="T481" s="7">
        <f t="shared" ca="1" si="282"/>
        <v>5.2978223582191859</v>
      </c>
      <c r="U481" s="7">
        <f t="shared" ca="1" si="282"/>
        <v>5.515032322365272</v>
      </c>
      <c r="V481" s="7">
        <f t="shared" ca="1" si="282"/>
        <v>5.7403524085103825</v>
      </c>
      <c r="W481" s="7">
        <f t="shared" ca="1" si="282"/>
        <v>5.9744119526597377</v>
      </c>
      <c r="X481" s="7">
        <f t="shared" ca="1" si="282"/>
        <v>6.2177076184365117</v>
      </c>
      <c r="Y481" s="7">
        <f t="shared" ca="1" si="282"/>
        <v>6.4700743603342987</v>
      </c>
      <c r="Z481" s="7">
        <f t="shared" ca="1" si="282"/>
        <v>6.7329614764480779</v>
      </c>
      <c r="AA481" s="7">
        <f t="shared" ca="1" si="282"/>
        <v>7.006438795553902</v>
      </c>
      <c r="AB481" s="7">
        <f t="shared" ca="1" si="282"/>
        <v>7.2913184152325305</v>
      </c>
      <c r="AC481" s="7">
        <f t="shared" ca="1" si="282"/>
        <v>7.5885700651954426</v>
      </c>
      <c r="AD481" s="7">
        <f t="shared" ca="1" si="282"/>
        <v>7.8982470304630317</v>
      </c>
      <c r="AE481" s="7">
        <f t="shared" ca="1" si="282"/>
        <v>8.2201469585076445</v>
      </c>
      <c r="AF481" s="7">
        <f t="shared" ca="1" si="282"/>
        <v>8.5555617097310392</v>
      </c>
      <c r="AG481" s="7">
        <f t="shared" ca="1" si="282"/>
        <v>8.9045517148615083</v>
      </c>
      <c r="AH481" s="7">
        <f t="shared" ca="1" si="282"/>
        <v>9.2678148893009524</v>
      </c>
      <c r="AI481" s="7">
        <f t="shared" ca="1" si="282"/>
        <v>9.6446188724517938</v>
      </c>
      <c r="AJ481" s="7">
        <f t="shared" ca="1" si="282"/>
        <v>10.036874910010532</v>
      </c>
      <c r="AK481" s="7">
        <f t="shared" ca="1" si="282"/>
        <v>10.443865683814478</v>
      </c>
      <c r="AL481" s="7">
        <f t="shared" ca="1" si="282"/>
        <v>10.865598985327479</v>
      </c>
      <c r="AM481" s="7">
        <f t="shared" ca="1" si="282"/>
        <v>11.303132927731863</v>
      </c>
      <c r="AN481" s="7">
        <f t="shared" ca="1" si="282"/>
        <v>11.757137309141399</v>
      </c>
      <c r="AO481" s="7">
        <f t="shared" ca="1" si="282"/>
        <v>12.225517284124063</v>
      </c>
      <c r="AP481" s="7">
        <f t="shared" ca="1" si="282"/>
        <v>12.711616509328184</v>
      </c>
      <c r="AQ481" s="7">
        <f t="shared" ca="1" si="282"/>
        <v>13.213134063107606</v>
      </c>
      <c r="AR481" s="7">
        <f t="shared" ca="1" si="282"/>
        <v>13.731575195995205</v>
      </c>
      <c r="AS481" s="7">
        <f t="shared" ca="1" si="282"/>
        <v>14.268151056540141</v>
      </c>
      <c r="AT481" s="7">
        <f t="shared" ca="1" si="282"/>
        <v>14.822882580602585</v>
      </c>
      <c r="AU481" s="7">
        <f t="shared" ca="1" si="282"/>
        <v>15.396600434962886</v>
      </c>
      <c r="AV481" s="7">
        <f t="shared" ca="1" si="282"/>
        <v>15.991097708632292</v>
      </c>
      <c r="AW481" s="7">
        <f t="shared" ca="1" si="282"/>
        <v>16.605446030490487</v>
      </c>
    </row>
    <row r="482" spans="1:49" x14ac:dyDescent="0.2">
      <c r="A482" s="1" t="s">
        <v>759</v>
      </c>
      <c r="B482" s="4" t="str">
        <f t="shared" si="281"/>
        <v>From Fiscal</v>
      </c>
      <c r="D482" s="18">
        <f>-Fiscal!D$367</f>
        <v>0.56999999999999995</v>
      </c>
      <c r="E482" s="19">
        <f>-Fiscal!E$367</f>
        <v>6.4000000000000001E-2</v>
      </c>
      <c r="F482" s="19">
        <f>-Fiscal!F$367</f>
        <v>0.61599999999999999</v>
      </c>
      <c r="G482" s="19">
        <f>-Fiscal!G$367</f>
        <v>0.39100000000000001</v>
      </c>
      <c r="H482" s="19">
        <f>-Fiscal!H$367</f>
        <v>0.252</v>
      </c>
      <c r="I482" s="19">
        <f>-Fiscal!I$367</f>
        <v>0.125</v>
      </c>
      <c r="J482" s="7">
        <f t="shared" ref="J482:AW482" ca="1" si="283">SUM(J$378,J$379)-SUM(I$378,I$379)-(J$389-J$387-J$390)</f>
        <v>0.64291752854102646</v>
      </c>
      <c r="K482" s="7">
        <f t="shared" ca="1" si="283"/>
        <v>0.61096467821343237</v>
      </c>
      <c r="L482" s="7">
        <f t="shared" ca="1" si="283"/>
        <v>0.60223876617469108</v>
      </c>
      <c r="M482" s="7">
        <f t="shared" ca="1" si="283"/>
        <v>0.59020057346182098</v>
      </c>
      <c r="N482" s="7">
        <f t="shared" ca="1" si="283"/>
        <v>0.58114106505154506</v>
      </c>
      <c r="O482" s="7">
        <f t="shared" ca="1" si="283"/>
        <v>0.5730032781168779</v>
      </c>
      <c r="P482" s="7">
        <f t="shared" ca="1" si="283"/>
        <v>0.5976963016332667</v>
      </c>
      <c r="Q482" s="7">
        <f t="shared" ca="1" si="283"/>
        <v>0.61706127737955163</v>
      </c>
      <c r="R482" s="7">
        <f t="shared" ca="1" si="283"/>
        <v>0.63519389356515499</v>
      </c>
      <c r="S482" s="7">
        <f t="shared" ca="1" si="283"/>
        <v>0.65035042880636218</v>
      </c>
      <c r="T482" s="7">
        <f t="shared" ca="1" si="283"/>
        <v>0.66662816099665623</v>
      </c>
      <c r="U482" s="7">
        <f t="shared" ca="1" si="283"/>
        <v>0.69046557662519781</v>
      </c>
      <c r="V482" s="7">
        <f t="shared" ca="1" si="283"/>
        <v>0.70718707794739033</v>
      </c>
      <c r="W482" s="7">
        <f t="shared" ca="1" si="283"/>
        <v>0.72498066898341273</v>
      </c>
      <c r="X482" s="7">
        <f t="shared" ca="1" si="283"/>
        <v>0.73198827214490669</v>
      </c>
      <c r="Y482" s="7">
        <f t="shared" ca="1" si="283"/>
        <v>0.7449663513335153</v>
      </c>
      <c r="Z482" s="7">
        <f t="shared" ca="1" si="283"/>
        <v>0.76802686969302836</v>
      </c>
      <c r="AA482" s="7">
        <f t="shared" ca="1" si="283"/>
        <v>0.8107879600669623</v>
      </c>
      <c r="AB482" s="7">
        <f t="shared" ca="1" si="283"/>
        <v>0.8528920203148691</v>
      </c>
      <c r="AC482" s="7">
        <f t="shared" ca="1" si="283"/>
        <v>0.90275220875184314</v>
      </c>
      <c r="AD482" s="7">
        <f t="shared" ca="1" si="283"/>
        <v>0.94713339345109526</v>
      </c>
      <c r="AE482" s="7">
        <f t="shared" ca="1" si="283"/>
        <v>1.0020652352318697</v>
      </c>
      <c r="AF482" s="7">
        <f t="shared" ca="1" si="283"/>
        <v>1.0604596336188308</v>
      </c>
      <c r="AG482" s="7">
        <f t="shared" ca="1" si="283"/>
        <v>1.0981729111860188</v>
      </c>
      <c r="AH482" s="7">
        <f t="shared" ca="1" si="283"/>
        <v>1.1288111617299048</v>
      </c>
      <c r="AI482" s="7">
        <f t="shared" ca="1" si="283"/>
        <v>1.1484309763967393</v>
      </c>
      <c r="AJ482" s="7">
        <f t="shared" ca="1" si="283"/>
        <v>1.1860304498165566</v>
      </c>
      <c r="AK482" s="7">
        <f t="shared" ca="1" si="283"/>
        <v>1.2231210197789089</v>
      </c>
      <c r="AL482" s="7">
        <f t="shared" ca="1" si="283"/>
        <v>1.2467068359024969</v>
      </c>
      <c r="AM482" s="7">
        <f t="shared" ca="1" si="283"/>
        <v>1.27424342106438</v>
      </c>
      <c r="AN482" s="7">
        <f t="shared" ca="1" si="283"/>
        <v>1.2837816186602626</v>
      </c>
      <c r="AO482" s="7">
        <f t="shared" ca="1" si="283"/>
        <v>1.3204592745901365</v>
      </c>
      <c r="AP482" s="7">
        <f t="shared" ca="1" si="283"/>
        <v>1.3503608979952699</v>
      </c>
      <c r="AQ482" s="7">
        <f t="shared" ca="1" si="283"/>
        <v>1.3760945856821103</v>
      </c>
      <c r="AR482" s="7">
        <f t="shared" ca="1" si="283"/>
        <v>1.407756818487546</v>
      </c>
      <c r="AS482" s="7">
        <f t="shared" ca="1" si="283"/>
        <v>1.4573688809965044</v>
      </c>
      <c r="AT482" s="7">
        <f t="shared" ca="1" si="283"/>
        <v>1.4806826007501068</v>
      </c>
      <c r="AU482" s="7">
        <f t="shared" ca="1" si="283"/>
        <v>1.5011871993876318</v>
      </c>
      <c r="AV482" s="7">
        <f t="shared" ca="1" si="283"/>
        <v>1.5485198280854147</v>
      </c>
      <c r="AW482" s="7">
        <f t="shared" ca="1" si="283"/>
        <v>1.6093446947735395</v>
      </c>
    </row>
    <row r="483" spans="1:49" x14ac:dyDescent="0.2">
      <c r="A483" s="1" t="s">
        <v>760</v>
      </c>
      <c r="B483" s="4" t="str">
        <f t="shared" si="281"/>
        <v>From Fiscal</v>
      </c>
      <c r="D483" s="18">
        <f>-Fiscal!D$368</f>
        <v>0.89699999999999991</v>
      </c>
      <c r="E483" s="19">
        <f>-Fiscal!E$368</f>
        <v>1.917</v>
      </c>
      <c r="F483" s="19">
        <f>-Fiscal!F$368</f>
        <v>2.08</v>
      </c>
      <c r="G483" s="19">
        <f>-Fiscal!G$368</f>
        <v>1.5169999999999999</v>
      </c>
      <c r="H483" s="19">
        <f>-Fiscal!H$368</f>
        <v>1.3720000000000001</v>
      </c>
      <c r="I483" s="19">
        <f>-Fiscal!I$368</f>
        <v>1.2490000000000001</v>
      </c>
      <c r="J483" s="7">
        <f t="shared" ref="J483:AW483" ca="1" si="284">J$419-I$419-J$328</f>
        <v>1.1552933109363457</v>
      </c>
      <c r="K483" s="7">
        <f t="shared" ca="1" si="284"/>
        <v>1.2463527088859176</v>
      </c>
      <c r="L483" s="7">
        <f t="shared" ca="1" si="284"/>
        <v>1.3003762288915044</v>
      </c>
      <c r="M483" s="7">
        <f t="shared" ca="1" si="284"/>
        <v>1.3565608742108473</v>
      </c>
      <c r="N483" s="7">
        <f t="shared" ca="1" si="284"/>
        <v>1.4150659214556298</v>
      </c>
      <c r="O483" s="7">
        <f t="shared" ca="1" si="284"/>
        <v>1.4754704627402879</v>
      </c>
      <c r="P483" s="7">
        <f t="shared" ca="1" si="284"/>
        <v>1.537866487395195</v>
      </c>
      <c r="Q483" s="7">
        <f t="shared" ca="1" si="284"/>
        <v>1.6021865962566575</v>
      </c>
      <c r="R483" s="7">
        <f t="shared" ca="1" si="284"/>
        <v>1.6683830498138326</v>
      </c>
      <c r="S483" s="7">
        <f t="shared" ca="1" si="284"/>
        <v>1.7366662176968386</v>
      </c>
      <c r="T483" s="7">
        <f t="shared" ca="1" si="284"/>
        <v>1.8070610004651422</v>
      </c>
      <c r="U483" s="7">
        <f t="shared" ca="1" si="284"/>
        <v>1.8798200431385383</v>
      </c>
      <c r="V483" s="7">
        <f t="shared" ca="1" si="284"/>
        <v>1.955122951829438</v>
      </c>
      <c r="W483" s="7">
        <f t="shared" ca="1" si="284"/>
        <v>2.0331878980585358</v>
      </c>
      <c r="X483" s="7">
        <f t="shared" ca="1" si="284"/>
        <v>2.1142621492119371</v>
      </c>
      <c r="Y483" s="7">
        <f t="shared" ca="1" si="284"/>
        <v>2.1983374168167327</v>
      </c>
      <c r="Z483" s="7">
        <f t="shared" ca="1" si="284"/>
        <v>2.2858392598117114</v>
      </c>
      <c r="AA483" s="7">
        <f t="shared" ca="1" si="284"/>
        <v>2.3769092564805496</v>
      </c>
      <c r="AB483" s="7">
        <f t="shared" ca="1" si="284"/>
        <v>2.4718208984336814</v>
      </c>
      <c r="AC483" s="7">
        <f t="shared" ca="1" si="284"/>
        <v>2.5709324899992354</v>
      </c>
      <c r="AD483" s="7">
        <f t="shared" ca="1" si="284"/>
        <v>2.674348496017291</v>
      </c>
      <c r="AE483" s="7">
        <f t="shared" ca="1" si="284"/>
        <v>2.7819739426703025</v>
      </c>
      <c r="AF483" s="7">
        <f t="shared" ca="1" si="284"/>
        <v>2.8941065864758184</v>
      </c>
      <c r="AG483" s="7">
        <f t="shared" ca="1" si="284"/>
        <v>3.0108091273193609</v>
      </c>
      <c r="AH483" s="7">
        <f t="shared" ca="1" si="284"/>
        <v>3.1322687058227605</v>
      </c>
      <c r="AI483" s="7">
        <f t="shared" ca="1" si="284"/>
        <v>3.2582730918951617</v>
      </c>
      <c r="AJ483" s="7">
        <f t="shared" ca="1" si="284"/>
        <v>3.3892259403647476</v>
      </c>
      <c r="AK483" s="7">
        <f t="shared" ca="1" si="284"/>
        <v>3.5250195253845455</v>
      </c>
      <c r="AL483" s="7">
        <f t="shared" ca="1" si="284"/>
        <v>3.6655468786013636</v>
      </c>
      <c r="AM483" s="7">
        <f t="shared" ca="1" si="284"/>
        <v>3.8109999786791997</v>
      </c>
      <c r="AN483" s="7">
        <f t="shared" ca="1" si="284"/>
        <v>3.9615811494716655</v>
      </c>
      <c r="AO483" s="7">
        <f t="shared" ca="1" si="284"/>
        <v>4.1166991107944693</v>
      </c>
      <c r="AP483" s="7">
        <f t="shared" ca="1" si="284"/>
        <v>4.2770125703131123</v>
      </c>
      <c r="AQ483" s="7">
        <f t="shared" ca="1" si="284"/>
        <v>4.4420723302199674</v>
      </c>
      <c r="AR483" s="7">
        <f t="shared" ca="1" si="284"/>
        <v>4.612065267691861</v>
      </c>
      <c r="AS483" s="7">
        <f t="shared" ca="1" si="284"/>
        <v>4.7873879713486893</v>
      </c>
      <c r="AT483" s="7">
        <f t="shared" ca="1" si="284"/>
        <v>4.9681804656939672</v>
      </c>
      <c r="AU483" s="7">
        <f t="shared" ca="1" si="284"/>
        <v>5.1546831643842301</v>
      </c>
      <c r="AV483" s="7">
        <f t="shared" ca="1" si="284"/>
        <v>5.3474727147525956</v>
      </c>
      <c r="AW483" s="7">
        <f t="shared" ca="1" si="284"/>
        <v>5.5464402762673242</v>
      </c>
    </row>
    <row r="484" spans="1:49" x14ac:dyDescent="0.2">
      <c r="A484" s="1" t="s">
        <v>618</v>
      </c>
      <c r="D484" s="18">
        <f t="shared" ref="D484:AW484" si="285">D$368</f>
        <v>0</v>
      </c>
      <c r="E484" s="19">
        <f t="shared" si="285"/>
        <v>0</v>
      </c>
      <c r="F484" s="19">
        <f t="shared" si="285"/>
        <v>0</v>
      </c>
      <c r="G484" s="19">
        <f t="shared" si="285"/>
        <v>0</v>
      </c>
      <c r="H484" s="19">
        <f t="shared" si="285"/>
        <v>0</v>
      </c>
      <c r="I484" s="19">
        <f t="shared" si="285"/>
        <v>0</v>
      </c>
      <c r="J484" s="7">
        <f t="shared" si="285"/>
        <v>2.964</v>
      </c>
      <c r="K484" s="7">
        <f t="shared" si="285"/>
        <v>2.8650000000000002</v>
      </c>
      <c r="L484" s="7">
        <f t="shared" si="285"/>
        <v>2.7120000000000002</v>
      </c>
      <c r="M484" s="7">
        <f t="shared" si="285"/>
        <v>2.5110000000000001</v>
      </c>
      <c r="N484" s="7">
        <f t="shared" si="285"/>
        <v>2.2930000000000001</v>
      </c>
      <c r="O484" s="7">
        <f t="shared" si="285"/>
        <v>2.0219999999999998</v>
      </c>
      <c r="P484" s="7">
        <f t="shared" si="285"/>
        <v>1.71</v>
      </c>
      <c r="Q484" s="7">
        <f t="shared" si="285"/>
        <v>1.387</v>
      </c>
      <c r="R484" s="7">
        <f t="shared" si="285"/>
        <v>1.0680000000000001</v>
      </c>
      <c r="S484" s="7">
        <f t="shared" si="285"/>
        <v>0.78500000000000003</v>
      </c>
      <c r="T484" s="7">
        <f t="shared" si="285"/>
        <v>0.51</v>
      </c>
      <c r="U484" s="7">
        <f t="shared" si="285"/>
        <v>0.222</v>
      </c>
      <c r="V484" s="7">
        <f t="shared" si="285"/>
        <v>-8.2000000000000003E-2</v>
      </c>
      <c r="W484" s="7">
        <f t="shared" si="285"/>
        <v>-0.4</v>
      </c>
      <c r="X484" s="7">
        <f t="shared" si="285"/>
        <v>-0.70699999999999996</v>
      </c>
      <c r="Y484" s="7">
        <f t="shared" si="285"/>
        <v>-1.0509999999999999</v>
      </c>
      <c r="Z484" s="7">
        <f t="shared" si="285"/>
        <v>-1.359</v>
      </c>
      <c r="AA484" s="7">
        <f t="shared" si="285"/>
        <v>-1.601</v>
      </c>
      <c r="AB484" s="7">
        <f t="shared" si="285"/>
        <v>-1.7589999999999999</v>
      </c>
      <c r="AC484" s="7">
        <f t="shared" si="285"/>
        <v>-1.821</v>
      </c>
      <c r="AD484" s="7">
        <f t="shared" si="285"/>
        <v>-1.778</v>
      </c>
      <c r="AE484" s="7">
        <f t="shared" si="285"/>
        <v>-1.702</v>
      </c>
      <c r="AF484" s="7">
        <f t="shared" si="285"/>
        <v>-1.5529999999999999</v>
      </c>
      <c r="AG484" s="7">
        <f t="shared" si="285"/>
        <v>-1.413</v>
      </c>
      <c r="AH484" s="7">
        <f t="shared" si="285"/>
        <v>-1.2430000000000001</v>
      </c>
      <c r="AI484" s="7">
        <f t="shared" si="285"/>
        <v>-1.0640000000000001</v>
      </c>
      <c r="AJ484" s="7">
        <f t="shared" si="285"/>
        <v>-0.876</v>
      </c>
      <c r="AK484" s="7">
        <f t="shared" si="285"/>
        <v>-0.72</v>
      </c>
      <c r="AL484" s="7">
        <f t="shared" si="285"/>
        <v>-0.55700000000000005</v>
      </c>
      <c r="AM484" s="7">
        <f t="shared" si="285"/>
        <v>-0.39900000000000002</v>
      </c>
      <c r="AN484" s="7">
        <f t="shared" si="285"/>
        <v>-0.28199999999999997</v>
      </c>
      <c r="AO484" s="7">
        <f t="shared" si="285"/>
        <v>-0.23899999999999999</v>
      </c>
      <c r="AP484" s="7">
        <f t="shared" si="285"/>
        <v>-0.33</v>
      </c>
      <c r="AQ484" s="7">
        <f t="shared" si="285"/>
        <v>-0.54800000000000004</v>
      </c>
      <c r="AR484" s="7">
        <f t="shared" si="285"/>
        <v>-0.94899999999999995</v>
      </c>
      <c r="AS484" s="7">
        <f t="shared" si="285"/>
        <v>-1.52</v>
      </c>
      <c r="AT484" s="7">
        <f t="shared" si="285"/>
        <v>-2.0819999999999999</v>
      </c>
      <c r="AU484" s="7">
        <f t="shared" si="285"/>
        <v>-2.6949999999999998</v>
      </c>
      <c r="AV484" s="7">
        <f t="shared" si="285"/>
        <v>-3.3119999999999998</v>
      </c>
      <c r="AW484" s="7">
        <f t="shared" si="285"/>
        <v>-4.0010000000000003</v>
      </c>
    </row>
    <row r="485" spans="1:49" x14ac:dyDescent="0.2">
      <c r="A485" s="1" t="s">
        <v>731</v>
      </c>
      <c r="D485" s="18">
        <f t="shared" ref="D485:AW485" si="286">SUM(D$439-C$439,D$440-C$440)</f>
        <v>0</v>
      </c>
      <c r="E485" s="19">
        <f t="shared" ca="1" si="286"/>
        <v>0</v>
      </c>
      <c r="F485" s="19">
        <f t="shared" ca="1" si="286"/>
        <v>0</v>
      </c>
      <c r="G485" s="19">
        <f t="shared" ca="1" si="286"/>
        <v>0</v>
      </c>
      <c r="H485" s="19">
        <f t="shared" ca="1" si="286"/>
        <v>0</v>
      </c>
      <c r="I485" s="19">
        <f t="shared" ca="1" si="286"/>
        <v>0</v>
      </c>
      <c r="J485" s="7">
        <f t="shared" ca="1" si="286"/>
        <v>0</v>
      </c>
      <c r="K485" s="7">
        <f t="shared" ca="1" si="286"/>
        <v>0</v>
      </c>
      <c r="L485" s="7">
        <f t="shared" ca="1" si="286"/>
        <v>0</v>
      </c>
      <c r="M485" s="7">
        <f t="shared" ca="1" si="286"/>
        <v>0</v>
      </c>
      <c r="N485" s="7">
        <f t="shared" ca="1" si="286"/>
        <v>0</v>
      </c>
      <c r="O485" s="7">
        <f t="shared" ca="1" si="286"/>
        <v>0</v>
      </c>
      <c r="P485" s="7">
        <f t="shared" ca="1" si="286"/>
        <v>0</v>
      </c>
      <c r="Q485" s="7">
        <f t="shared" ca="1" si="286"/>
        <v>0</v>
      </c>
      <c r="R485" s="7">
        <f t="shared" ca="1" si="286"/>
        <v>0</v>
      </c>
      <c r="S485" s="7">
        <f t="shared" ca="1" si="286"/>
        <v>0</v>
      </c>
      <c r="T485" s="7">
        <f t="shared" ca="1" si="286"/>
        <v>0</v>
      </c>
      <c r="U485" s="7">
        <f t="shared" ca="1" si="286"/>
        <v>0</v>
      </c>
      <c r="V485" s="7">
        <f t="shared" ca="1" si="286"/>
        <v>0</v>
      </c>
      <c r="W485" s="7">
        <f t="shared" ca="1" si="286"/>
        <v>0</v>
      </c>
      <c r="X485" s="7">
        <f t="shared" ca="1" si="286"/>
        <v>0</v>
      </c>
      <c r="Y485" s="7">
        <f t="shared" ca="1" si="286"/>
        <v>0</v>
      </c>
      <c r="Z485" s="7">
        <f t="shared" ca="1" si="286"/>
        <v>0</v>
      </c>
      <c r="AA485" s="7">
        <f t="shared" ca="1" si="286"/>
        <v>0</v>
      </c>
      <c r="AB485" s="7">
        <f t="shared" ca="1" si="286"/>
        <v>0</v>
      </c>
      <c r="AC485" s="7">
        <f t="shared" ca="1" si="286"/>
        <v>0</v>
      </c>
      <c r="AD485" s="7">
        <f t="shared" ca="1" si="286"/>
        <v>0</v>
      </c>
      <c r="AE485" s="7">
        <f t="shared" ca="1" si="286"/>
        <v>0</v>
      </c>
      <c r="AF485" s="7">
        <f t="shared" ca="1" si="286"/>
        <v>0</v>
      </c>
      <c r="AG485" s="7">
        <f t="shared" ca="1" si="286"/>
        <v>0</v>
      </c>
      <c r="AH485" s="7">
        <f t="shared" ca="1" si="286"/>
        <v>0</v>
      </c>
      <c r="AI485" s="7">
        <f t="shared" ca="1" si="286"/>
        <v>0</v>
      </c>
      <c r="AJ485" s="7">
        <f t="shared" ca="1" si="286"/>
        <v>0</v>
      </c>
      <c r="AK485" s="7">
        <f t="shared" ca="1" si="286"/>
        <v>0</v>
      </c>
      <c r="AL485" s="7">
        <f t="shared" ca="1" si="286"/>
        <v>0</v>
      </c>
      <c r="AM485" s="7">
        <f t="shared" ca="1" si="286"/>
        <v>0</v>
      </c>
      <c r="AN485" s="7">
        <f t="shared" ca="1" si="286"/>
        <v>0</v>
      </c>
      <c r="AO485" s="7">
        <f t="shared" ca="1" si="286"/>
        <v>0</v>
      </c>
      <c r="AP485" s="7">
        <f t="shared" ca="1" si="286"/>
        <v>0</v>
      </c>
      <c r="AQ485" s="7">
        <f t="shared" ca="1" si="286"/>
        <v>0</v>
      </c>
      <c r="AR485" s="7">
        <f t="shared" ca="1" si="286"/>
        <v>0</v>
      </c>
      <c r="AS485" s="7">
        <f t="shared" ca="1" si="286"/>
        <v>0</v>
      </c>
      <c r="AT485" s="7">
        <f t="shared" ca="1" si="286"/>
        <v>0</v>
      </c>
      <c r="AU485" s="7">
        <f t="shared" ca="1" si="286"/>
        <v>0</v>
      </c>
      <c r="AV485" s="7">
        <f t="shared" ca="1" si="286"/>
        <v>0</v>
      </c>
      <c r="AW485" s="7">
        <f t="shared" ca="1" si="286"/>
        <v>0</v>
      </c>
    </row>
    <row r="486" spans="1:49" ht="15" x14ac:dyDescent="0.25">
      <c r="A486" s="2" t="s">
        <v>612</v>
      </c>
      <c r="D486" s="40">
        <f t="shared" ref="D486" si="287">-SUM(D$481:D$485)</f>
        <v>-3.4219999999999997</v>
      </c>
      <c r="E486" s="39">
        <f t="shared" ref="E486:AW486" ca="1" si="288">-SUM(E$481:E$485)</f>
        <v>-4.2480000000000002</v>
      </c>
      <c r="F486" s="39">
        <f t="shared" ca="1" si="288"/>
        <v>-6.0880000000000001</v>
      </c>
      <c r="G486" s="39">
        <f t="shared" ca="1" si="288"/>
        <v>-4.8390000000000004</v>
      </c>
      <c r="H486" s="39">
        <f t="shared" ca="1" si="288"/>
        <v>-4.0519999999999996</v>
      </c>
      <c r="I486" s="39">
        <f t="shared" ca="1" si="288"/>
        <v>-3.9130000000000003</v>
      </c>
      <c r="J486" s="43">
        <f t="shared" ca="1" si="288"/>
        <v>-8.2802867369720659</v>
      </c>
      <c r="K486" s="43">
        <f t="shared" ca="1" si="288"/>
        <v>-8.3851746625989581</v>
      </c>
      <c r="L486" s="43">
        <f t="shared" ca="1" si="288"/>
        <v>-8.4347223344568611</v>
      </c>
      <c r="M486" s="43">
        <f t="shared" ca="1" si="288"/>
        <v>-8.4381348487883123</v>
      </c>
      <c r="N486" s="43">
        <f t="shared" ca="1" si="288"/>
        <v>-8.4362167062030586</v>
      </c>
      <c r="O486" s="43">
        <f t="shared" ca="1" si="288"/>
        <v>-8.3889865802462324</v>
      </c>
      <c r="P486" s="43">
        <f t="shared" ca="1" si="288"/>
        <v>-8.3470458804244245</v>
      </c>
      <c r="Q486" s="43">
        <f t="shared" ca="1" si="288"/>
        <v>-8.2968998344046287</v>
      </c>
      <c r="R486" s="43">
        <f t="shared" ca="1" si="288"/>
        <v>-8.2575991742792052</v>
      </c>
      <c r="S486" s="43">
        <f t="shared" ca="1" si="288"/>
        <v>-8.260466619506138</v>
      </c>
      <c r="T486" s="43">
        <f t="shared" ca="1" si="288"/>
        <v>-8.2815115196809845</v>
      </c>
      <c r="U486" s="43">
        <f t="shared" ca="1" si="288"/>
        <v>-8.3073179421290071</v>
      </c>
      <c r="V486" s="43">
        <f t="shared" ca="1" si="288"/>
        <v>-8.3206624382872096</v>
      </c>
      <c r="W486" s="43">
        <f t="shared" ca="1" si="288"/>
        <v>-8.3325805197016862</v>
      </c>
      <c r="X486" s="43">
        <f t="shared" ca="1" si="288"/>
        <v>-8.3569580397933549</v>
      </c>
      <c r="Y486" s="43">
        <f t="shared" ca="1" si="288"/>
        <v>-8.3623781284845453</v>
      </c>
      <c r="Z486" s="43">
        <f t="shared" ca="1" si="288"/>
        <v>-8.4278276059528174</v>
      </c>
      <c r="AA486" s="43">
        <f t="shared" ca="1" si="288"/>
        <v>-8.5931360121014144</v>
      </c>
      <c r="AB486" s="43">
        <f t="shared" ca="1" si="288"/>
        <v>-8.8570313339810802</v>
      </c>
      <c r="AC486" s="43">
        <f t="shared" ca="1" si="288"/>
        <v>-9.2412547639465217</v>
      </c>
      <c r="AD486" s="43">
        <f t="shared" ca="1" si="288"/>
        <v>-9.7417289199314183</v>
      </c>
      <c r="AE486" s="43">
        <f t="shared" ca="1" si="288"/>
        <v>-10.302186136409818</v>
      </c>
      <c r="AF486" s="43">
        <f t="shared" ca="1" si="288"/>
        <v>-10.957127929825688</v>
      </c>
      <c r="AG486" s="43">
        <f t="shared" ca="1" si="288"/>
        <v>-11.600533753366888</v>
      </c>
      <c r="AH486" s="43">
        <f t="shared" ca="1" si="288"/>
        <v>-12.285894756853617</v>
      </c>
      <c r="AI486" s="43">
        <f t="shared" ca="1" si="288"/>
        <v>-12.987322940743695</v>
      </c>
      <c r="AJ486" s="43">
        <f t="shared" ca="1" si="288"/>
        <v>-13.736131300191836</v>
      </c>
      <c r="AK486" s="43">
        <f t="shared" ca="1" si="288"/>
        <v>-14.47200622897793</v>
      </c>
      <c r="AL486" s="43">
        <f t="shared" ca="1" si="288"/>
        <v>-15.220852699831338</v>
      </c>
      <c r="AM486" s="43">
        <f t="shared" ca="1" si="288"/>
        <v>-15.989376327475441</v>
      </c>
      <c r="AN486" s="43">
        <f t="shared" ca="1" si="288"/>
        <v>-16.720500077273325</v>
      </c>
      <c r="AO486" s="43">
        <f t="shared" ca="1" si="288"/>
        <v>-17.423675669508668</v>
      </c>
      <c r="AP486" s="43">
        <f t="shared" ca="1" si="288"/>
        <v>-18.008989977636567</v>
      </c>
      <c r="AQ486" s="43">
        <f t="shared" ca="1" si="288"/>
        <v>-18.483300979009684</v>
      </c>
      <c r="AR486" s="43">
        <f t="shared" ca="1" si="288"/>
        <v>-18.80239728217461</v>
      </c>
      <c r="AS486" s="43">
        <f t="shared" ca="1" si="288"/>
        <v>-18.992907908885336</v>
      </c>
      <c r="AT486" s="43">
        <f t="shared" ca="1" si="288"/>
        <v>-19.189745647046657</v>
      </c>
      <c r="AU486" s="43">
        <f t="shared" ca="1" si="288"/>
        <v>-19.357470798734749</v>
      </c>
      <c r="AV486" s="43">
        <f t="shared" ca="1" si="288"/>
        <v>-19.5750902514703</v>
      </c>
      <c r="AW486" s="43">
        <f t="shared" ca="1" si="288"/>
        <v>-19.760231001531348</v>
      </c>
    </row>
    <row r="487" spans="1:49" ht="15" x14ac:dyDescent="0.25">
      <c r="A487" s="2" t="s">
        <v>613</v>
      </c>
      <c r="D487" s="41">
        <f t="shared" ref="D487" si="289">SUM(D$480,D$486)</f>
        <v>-1.8270000000000008</v>
      </c>
      <c r="E487" s="42">
        <f t="shared" ref="E487:AW487" ca="1" si="290">SUM(E$480,E$486)</f>
        <v>-2.1150000000000047</v>
      </c>
      <c r="F487" s="42">
        <f t="shared" ca="1" si="290"/>
        <v>-4.1619999999999981</v>
      </c>
      <c r="G487" s="42">
        <f t="shared" ca="1" si="290"/>
        <v>-2.0720000000000045</v>
      </c>
      <c r="H487" s="42">
        <f t="shared" ca="1" si="290"/>
        <v>1.9590000000000103</v>
      </c>
      <c r="I487" s="42">
        <f t="shared" ca="1" si="290"/>
        <v>3.9000000000000021</v>
      </c>
      <c r="J487" s="31">
        <f t="shared" ca="1" si="290"/>
        <v>-1.9314167869065173</v>
      </c>
      <c r="K487" s="31">
        <f t="shared" ca="1" si="290"/>
        <v>-3.7265371250295392</v>
      </c>
      <c r="L487" s="31">
        <f t="shared" ca="1" si="290"/>
        <v>-5.1995975955045246</v>
      </c>
      <c r="M487" s="31">
        <f t="shared" ca="1" si="290"/>
        <v>-6.5582829573861581</v>
      </c>
      <c r="N487" s="31">
        <f t="shared" ca="1" si="290"/>
        <v>-7.7926532655506584</v>
      </c>
      <c r="O487" s="31">
        <f t="shared" ca="1" si="290"/>
        <v>-9.4069698010244807</v>
      </c>
      <c r="P487" s="31">
        <f t="shared" ca="1" si="290"/>
        <v>-10.943705637354803</v>
      </c>
      <c r="Q487" s="31">
        <f t="shared" ca="1" si="290"/>
        <v>-12.459462006913855</v>
      </c>
      <c r="R487" s="31">
        <f t="shared" ca="1" si="290"/>
        <v>-14.249933806333145</v>
      </c>
      <c r="S487" s="31">
        <f t="shared" ca="1" si="290"/>
        <v>-16.21586704054571</v>
      </c>
      <c r="T487" s="31">
        <f t="shared" ca="1" si="290"/>
        <v>-18.398863932410912</v>
      </c>
      <c r="U487" s="31">
        <f t="shared" ca="1" si="290"/>
        <v>-20.844117970962206</v>
      </c>
      <c r="V487" s="31">
        <f t="shared" ca="1" si="290"/>
        <v>-23.516290008464217</v>
      </c>
      <c r="W487" s="31">
        <f t="shared" ca="1" si="290"/>
        <v>-26.247261654960376</v>
      </c>
      <c r="X487" s="31">
        <f t="shared" ca="1" si="290"/>
        <v>-29.118731981681194</v>
      </c>
      <c r="Y487" s="31">
        <f t="shared" ca="1" si="290"/>
        <v>-32.246924597848839</v>
      </c>
      <c r="Z487" s="31">
        <f t="shared" ca="1" si="290"/>
        <v>-35.633817396072516</v>
      </c>
      <c r="AA487" s="31">
        <f t="shared" ca="1" si="290"/>
        <v>-39.297285261666218</v>
      </c>
      <c r="AB487" s="31">
        <f t="shared" ca="1" si="290"/>
        <v>-43.229342666151453</v>
      </c>
      <c r="AC487" s="31">
        <f t="shared" ca="1" si="290"/>
        <v>-47.438790737256305</v>
      </c>
      <c r="AD487" s="31">
        <f t="shared" ca="1" si="290"/>
        <v>-51.92341880995626</v>
      </c>
      <c r="AE487" s="31">
        <f t="shared" ca="1" si="290"/>
        <v>-56.745728551592535</v>
      </c>
      <c r="AF487" s="31">
        <f t="shared" ca="1" si="290"/>
        <v>-61.897310901924854</v>
      </c>
      <c r="AG487" s="31">
        <f t="shared" ca="1" si="290"/>
        <v>-67.410477139512764</v>
      </c>
      <c r="AH487" s="31">
        <f t="shared" ca="1" si="290"/>
        <v>-73.31722184925286</v>
      </c>
      <c r="AI487" s="31">
        <f t="shared" ca="1" si="290"/>
        <v>-79.643365626893058</v>
      </c>
      <c r="AJ487" s="31">
        <f t="shared" ca="1" si="290"/>
        <v>-86.437610900175201</v>
      </c>
      <c r="AK487" s="31">
        <f t="shared" ca="1" si="290"/>
        <v>-93.745376287319971</v>
      </c>
      <c r="AL487" s="31">
        <f t="shared" ca="1" si="290"/>
        <v>-101.58695225010925</v>
      </c>
      <c r="AM487" s="31">
        <f t="shared" ca="1" si="290"/>
        <v>-110.02116839312617</v>
      </c>
      <c r="AN487" s="31">
        <f t="shared" ca="1" si="290"/>
        <v>-119.0942069862252</v>
      </c>
      <c r="AO487" s="31">
        <f t="shared" ca="1" si="290"/>
        <v>-128.93975159547813</v>
      </c>
      <c r="AP487" s="31">
        <f t="shared" ca="1" si="290"/>
        <v>-139.58134668011101</v>
      </c>
      <c r="AQ487" s="31">
        <f t="shared" ca="1" si="290"/>
        <v>-151.09388328960773</v>
      </c>
      <c r="AR487" s="31">
        <f t="shared" ca="1" si="290"/>
        <v>-163.56507983323795</v>
      </c>
      <c r="AS487" s="31">
        <f t="shared" ca="1" si="290"/>
        <v>-177.05528255913487</v>
      </c>
      <c r="AT487" s="31">
        <f t="shared" ca="1" si="290"/>
        <v>-191.52448847069775</v>
      </c>
      <c r="AU487" s="31">
        <f t="shared" ca="1" si="290"/>
        <v>-207.09297575992613</v>
      </c>
      <c r="AV487" s="31">
        <f t="shared" ca="1" si="290"/>
        <v>-223.82325107630786</v>
      </c>
      <c r="AW487" s="31">
        <f t="shared" ca="1" si="290"/>
        <v>-241.83186625265051</v>
      </c>
    </row>
    <row r="488" spans="1:49" ht="15" x14ac:dyDescent="0.25">
      <c r="A488" s="2" t="s">
        <v>724</v>
      </c>
      <c r="B488" s="4" t="str">
        <f>$B$65</f>
        <v>Projected Years only</v>
      </c>
      <c r="J488" s="6" t="str">
        <f t="shared" ref="J488:AW488" ca="1" si="291">IF(ROUND(J$487+(J$82-I$82+J$443-I$443+J$154-J$474-(J$212-J$478)+J$321-J$366),3)=0,"OK","ERROR")</f>
        <v>OK</v>
      </c>
      <c r="K488" s="6" t="str">
        <f t="shared" ca="1" si="291"/>
        <v>OK</v>
      </c>
      <c r="L488" s="6" t="str">
        <f t="shared" ca="1" si="291"/>
        <v>OK</v>
      </c>
      <c r="M488" s="6" t="str">
        <f t="shared" ca="1" si="291"/>
        <v>OK</v>
      </c>
      <c r="N488" s="6" t="str">
        <f t="shared" ca="1" si="291"/>
        <v>OK</v>
      </c>
      <c r="O488" s="6" t="str">
        <f t="shared" ca="1" si="291"/>
        <v>OK</v>
      </c>
      <c r="P488" s="6" t="str">
        <f t="shared" ca="1" si="291"/>
        <v>OK</v>
      </c>
      <c r="Q488" s="6" t="str">
        <f t="shared" ca="1" si="291"/>
        <v>OK</v>
      </c>
      <c r="R488" s="6" t="str">
        <f t="shared" ca="1" si="291"/>
        <v>OK</v>
      </c>
      <c r="S488" s="6" t="str">
        <f t="shared" ca="1" si="291"/>
        <v>OK</v>
      </c>
      <c r="T488" s="6" t="str">
        <f t="shared" ca="1" si="291"/>
        <v>OK</v>
      </c>
      <c r="U488" s="6" t="str">
        <f t="shared" ca="1" si="291"/>
        <v>OK</v>
      </c>
      <c r="V488" s="6" t="str">
        <f t="shared" ca="1" si="291"/>
        <v>OK</v>
      </c>
      <c r="W488" s="6" t="str">
        <f t="shared" ca="1" si="291"/>
        <v>OK</v>
      </c>
      <c r="X488" s="6" t="str">
        <f t="shared" ca="1" si="291"/>
        <v>OK</v>
      </c>
      <c r="Y488" s="6" t="str">
        <f t="shared" ca="1" si="291"/>
        <v>OK</v>
      </c>
      <c r="Z488" s="6" t="str">
        <f t="shared" ca="1" si="291"/>
        <v>OK</v>
      </c>
      <c r="AA488" s="6" t="str">
        <f t="shared" ca="1" si="291"/>
        <v>OK</v>
      </c>
      <c r="AB488" s="6" t="str">
        <f t="shared" ca="1" si="291"/>
        <v>OK</v>
      </c>
      <c r="AC488" s="6" t="str">
        <f t="shared" ca="1" si="291"/>
        <v>OK</v>
      </c>
      <c r="AD488" s="6" t="str">
        <f t="shared" ca="1" si="291"/>
        <v>OK</v>
      </c>
      <c r="AE488" s="6" t="str">
        <f t="shared" ca="1" si="291"/>
        <v>OK</v>
      </c>
      <c r="AF488" s="6" t="str">
        <f t="shared" ca="1" si="291"/>
        <v>OK</v>
      </c>
      <c r="AG488" s="6" t="str">
        <f t="shared" ca="1" si="291"/>
        <v>OK</v>
      </c>
      <c r="AH488" s="6" t="str">
        <f t="shared" ca="1" si="291"/>
        <v>OK</v>
      </c>
      <c r="AI488" s="6" t="str">
        <f t="shared" ca="1" si="291"/>
        <v>OK</v>
      </c>
      <c r="AJ488" s="6" t="str">
        <f t="shared" ca="1" si="291"/>
        <v>OK</v>
      </c>
      <c r="AK488" s="6" t="str">
        <f t="shared" ca="1" si="291"/>
        <v>OK</v>
      </c>
      <c r="AL488" s="6" t="str">
        <f t="shared" ca="1" si="291"/>
        <v>OK</v>
      </c>
      <c r="AM488" s="6" t="str">
        <f t="shared" ca="1" si="291"/>
        <v>OK</v>
      </c>
      <c r="AN488" s="6" t="str">
        <f t="shared" ca="1" si="291"/>
        <v>OK</v>
      </c>
      <c r="AO488" s="6" t="str">
        <f t="shared" ca="1" si="291"/>
        <v>OK</v>
      </c>
      <c r="AP488" s="6" t="str">
        <f t="shared" ca="1" si="291"/>
        <v>OK</v>
      </c>
      <c r="AQ488" s="6" t="str">
        <f t="shared" ca="1" si="291"/>
        <v>OK</v>
      </c>
      <c r="AR488" s="6" t="str">
        <f t="shared" ca="1" si="291"/>
        <v>OK</v>
      </c>
      <c r="AS488" s="6" t="str">
        <f t="shared" ca="1" si="291"/>
        <v>OK</v>
      </c>
      <c r="AT488" s="6" t="str">
        <f t="shared" ca="1" si="291"/>
        <v>OK</v>
      </c>
      <c r="AU488" s="6" t="str">
        <f t="shared" ca="1" si="291"/>
        <v>OK</v>
      </c>
      <c r="AV488" s="6" t="str">
        <f t="shared" ca="1" si="291"/>
        <v>OK</v>
      </c>
      <c r="AW488" s="6" t="str">
        <f t="shared" ca="1" si="291"/>
        <v>OK</v>
      </c>
    </row>
    <row r="489" spans="1:49" ht="15" x14ac:dyDescent="0.25">
      <c r="A489" s="2" t="s">
        <v>791</v>
      </c>
      <c r="B489" s="4"/>
    </row>
    <row r="490" spans="1:49" ht="15" x14ac:dyDescent="0.25">
      <c r="A490" s="2"/>
      <c r="B490" s="4"/>
    </row>
    <row r="491" spans="1:49" ht="15" x14ac:dyDescent="0.25">
      <c r="A491" s="2" t="s">
        <v>425</v>
      </c>
      <c r="B491" s="4" t="str">
        <f t="shared" ref="B491:B494" si="292">$B$43</f>
        <v>From Fiscal</v>
      </c>
      <c r="D491" s="47">
        <f>Fiscal!D$372</f>
        <v>3.0409999999999999</v>
      </c>
      <c r="E491" s="44">
        <f>Fiscal!E$372</f>
        <v>2.4809999999999999</v>
      </c>
      <c r="F491" s="44">
        <f>Fiscal!F$372</f>
        <v>7.5970000000000004</v>
      </c>
      <c r="G491" s="44">
        <f>Fiscal!G$372</f>
        <v>-4.3899999999999997</v>
      </c>
      <c r="H491" s="44">
        <f>Fiscal!H$372</f>
        <v>-4.8120000000000003</v>
      </c>
      <c r="I491" s="44">
        <f>Fiscal!I$372</f>
        <v>-0.85499999999999998</v>
      </c>
      <c r="J491" s="8">
        <f t="shared" ref="J491:AW491" ca="1" si="293">-SUM(J$480,J$486,J$495)</f>
        <v>2.8219307210901121</v>
      </c>
      <c r="K491" s="8">
        <f t="shared" ca="1" si="293"/>
        <v>4.6466663998055227</v>
      </c>
      <c r="L491" s="8">
        <f t="shared" ca="1" si="293"/>
        <v>6.1950003463201471</v>
      </c>
      <c r="M491" s="8">
        <f t="shared" ca="1" si="293"/>
        <v>7.5933034485338773</v>
      </c>
      <c r="N491" s="8">
        <f t="shared" ca="1" si="293"/>
        <v>8.8700581616423904</v>
      </c>
      <c r="O491" s="8">
        <f t="shared" ca="1" si="293"/>
        <v>10.518134969471479</v>
      </c>
      <c r="P491" s="8">
        <f t="shared" ca="1" si="293"/>
        <v>12.091134216088792</v>
      </c>
      <c r="Q491" s="8">
        <f t="shared" ca="1" si="293"/>
        <v>13.64181790996386</v>
      </c>
      <c r="R491" s="8">
        <f t="shared" ca="1" si="293"/>
        <v>15.466256827497919</v>
      </c>
      <c r="S491" s="8">
        <f t="shared" ca="1" si="293"/>
        <v>17.470109284715129</v>
      </c>
      <c r="T491" s="8">
        <f t="shared" ca="1" si="293"/>
        <v>19.69144292656868</v>
      </c>
      <c r="U491" s="8">
        <f t="shared" ca="1" si="293"/>
        <v>22.179783848332519</v>
      </c>
      <c r="V491" s="8">
        <f t="shared" ca="1" si="293"/>
        <v>24.898396385349404</v>
      </c>
      <c r="W491" s="8">
        <f t="shared" ca="1" si="293"/>
        <v>27.67989108705325</v>
      </c>
      <c r="X491" s="8">
        <f t="shared" ca="1" si="293"/>
        <v>30.606514748096657</v>
      </c>
      <c r="Y491" s="8">
        <f t="shared" ca="1" si="293"/>
        <v>33.789621868798903</v>
      </c>
      <c r="Z491" s="8">
        <f t="shared" ca="1" si="293"/>
        <v>37.23944534880539</v>
      </c>
      <c r="AA491" s="8">
        <f t="shared" ca="1" si="293"/>
        <v>40.968445321542795</v>
      </c>
      <c r="AB491" s="8">
        <f t="shared" ca="1" si="293"/>
        <v>44.971142347237993</v>
      </c>
      <c r="AC491" s="8">
        <f t="shared" ca="1" si="293"/>
        <v>49.257943906260707</v>
      </c>
      <c r="AD491" s="8">
        <f t="shared" ca="1" si="293"/>
        <v>53.821799888590064</v>
      </c>
      <c r="AE491" s="8">
        <f t="shared" ca="1" si="293"/>
        <v>58.721414440337604</v>
      </c>
      <c r="AF491" s="8">
        <f t="shared" ca="1" si="293"/>
        <v>63.955853513518363</v>
      </c>
      <c r="AG491" s="8">
        <f t="shared" ca="1" si="293"/>
        <v>69.552947954012708</v>
      </c>
      <c r="AH491" s="8">
        <f t="shared" ca="1" si="293"/>
        <v>75.547058381403843</v>
      </c>
      <c r="AI491" s="8">
        <f t="shared" ca="1" si="293"/>
        <v>81.956401548541464</v>
      </c>
      <c r="AJ491" s="8">
        <f t="shared" ca="1" si="293"/>
        <v>88.841404002714413</v>
      </c>
      <c r="AK491" s="8">
        <f t="shared" ca="1" si="293"/>
        <v>96.237743476874641</v>
      </c>
      <c r="AL491" s="8">
        <f t="shared" ca="1" si="293"/>
        <v>104.16572774968408</v>
      </c>
      <c r="AM491" s="8">
        <f t="shared" ca="1" si="293"/>
        <v>112.68987735286748</v>
      </c>
      <c r="AN491" s="8">
        <f t="shared" ca="1" si="293"/>
        <v>121.85656621805074</v>
      </c>
      <c r="AO491" s="8">
        <f t="shared" ca="1" si="293"/>
        <v>131.78437260988096</v>
      </c>
      <c r="AP491" s="8">
        <f t="shared" ca="1" si="293"/>
        <v>142.52064035665791</v>
      </c>
      <c r="AQ491" s="8">
        <f t="shared" ca="1" si="293"/>
        <v>154.11916271225755</v>
      </c>
      <c r="AR491" s="8">
        <f t="shared" ca="1" si="293"/>
        <v>166.67977274866135</v>
      </c>
      <c r="AS491" s="8">
        <f t="shared" ca="1" si="293"/>
        <v>180.26680184070878</v>
      </c>
      <c r="AT491" s="8">
        <f t="shared" ca="1" si="293"/>
        <v>194.83535467341633</v>
      </c>
      <c r="AU491" s="8">
        <f t="shared" ca="1" si="293"/>
        <v>210.50761576118376</v>
      </c>
      <c r="AV491" s="8">
        <f t="shared" ca="1" si="293"/>
        <v>227.35248276642236</v>
      </c>
      <c r="AW491" s="8">
        <f t="shared" ca="1" si="293"/>
        <v>245.47344924808073</v>
      </c>
    </row>
    <row r="492" spans="1:49" x14ac:dyDescent="0.2">
      <c r="A492" s="1" t="s">
        <v>773</v>
      </c>
      <c r="B492" s="4" t="str">
        <f t="shared" si="292"/>
        <v>From Fiscal</v>
      </c>
      <c r="D492" s="18">
        <f>-Fiscal!D$373</f>
        <v>-0.79500000000000004</v>
      </c>
      <c r="E492" s="19">
        <f>-Fiscal!E$373</f>
        <v>-0.49099999999999999</v>
      </c>
      <c r="F492" s="19">
        <f>-Fiscal!F$373</f>
        <v>3.6030000000000002</v>
      </c>
      <c r="G492" s="19">
        <f>-Fiscal!G$373</f>
        <v>-6.2809999999999997</v>
      </c>
      <c r="H492" s="19">
        <f>-Fiscal!H$373</f>
        <v>-2.6760000000000002</v>
      </c>
      <c r="I492" s="19">
        <f>-Fiscal!I$373</f>
        <v>3.2309999999999999</v>
      </c>
      <c r="J492" s="7">
        <f t="shared" ref="J492:AW492" ca="1" si="294">J$346-I$346+J$355-I$355-(J$321-J$366)-(J$154-J$474)</f>
        <v>0.68055658967770416</v>
      </c>
      <c r="K492" s="7">
        <f t="shared" ca="1" si="294"/>
        <v>0.71998223394743222</v>
      </c>
      <c r="L492" s="7">
        <f t="shared" ca="1" si="294"/>
        <v>0.80173080495844395</v>
      </c>
      <c r="M492" s="7">
        <f t="shared" ca="1" si="294"/>
        <v>0.8545213713302986</v>
      </c>
      <c r="N492" s="7">
        <f t="shared" ca="1" si="294"/>
        <v>0.91246424440286944</v>
      </c>
      <c r="O492" s="7">
        <f t="shared" ca="1" si="294"/>
        <v>0.96579566529440841</v>
      </c>
      <c r="P492" s="7">
        <f t="shared" ca="1" si="294"/>
        <v>0.99726637387532024</v>
      </c>
      <c r="Q492" s="7">
        <f t="shared" ca="1" si="294"/>
        <v>1.0275631992391041</v>
      </c>
      <c r="R492" s="7">
        <f t="shared" ca="1" si="294"/>
        <v>1.0570147082562844</v>
      </c>
      <c r="S492" s="7">
        <f t="shared" ca="1" si="294"/>
        <v>1.0899120468410608</v>
      </c>
      <c r="T492" s="7">
        <f t="shared" ca="1" si="294"/>
        <v>1.1231669867502547</v>
      </c>
      <c r="U492" s="7">
        <f t="shared" ca="1" si="294"/>
        <v>1.1605640446547056</v>
      </c>
      <c r="V492" s="7">
        <f t="shared" ca="1" si="294"/>
        <v>1.2008824789872876</v>
      </c>
      <c r="W492" s="7">
        <f t="shared" ca="1" si="294"/>
        <v>1.2447584176690296</v>
      </c>
      <c r="X492" s="7">
        <f t="shared" ca="1" si="294"/>
        <v>1.2926695620440078</v>
      </c>
      <c r="Y492" s="7">
        <f t="shared" ca="1" si="294"/>
        <v>1.3403618236608321</v>
      </c>
      <c r="Z492" s="7">
        <f t="shared" ca="1" si="294"/>
        <v>1.3950461128481852</v>
      </c>
      <c r="AA492" s="7">
        <f t="shared" ca="1" si="294"/>
        <v>1.4519911052533097</v>
      </c>
      <c r="AB492" s="7">
        <f t="shared" ca="1" si="294"/>
        <v>1.5133854271134264</v>
      </c>
      <c r="AC492" s="7">
        <f t="shared" ca="1" si="294"/>
        <v>1.5806313208763392</v>
      </c>
      <c r="AD492" s="7">
        <f t="shared" ca="1" si="294"/>
        <v>1.6495002313805252</v>
      </c>
      <c r="AE492" s="7">
        <f t="shared" ca="1" si="294"/>
        <v>1.7166746062523606</v>
      </c>
      <c r="AF492" s="7">
        <f t="shared" ca="1" si="294"/>
        <v>1.7886843133510739</v>
      </c>
      <c r="AG492" s="7">
        <f t="shared" ca="1" si="294"/>
        <v>1.8616146070316493</v>
      </c>
      <c r="AH492" s="7">
        <f t="shared" ca="1" si="294"/>
        <v>1.9375320430405711</v>
      </c>
      <c r="AI492" s="7">
        <f t="shared" ca="1" si="294"/>
        <v>2.0097939036009711</v>
      </c>
      <c r="AJ492" s="7">
        <f t="shared" ca="1" si="294"/>
        <v>2.088642120285602</v>
      </c>
      <c r="AK492" s="7">
        <f t="shared" ca="1" si="294"/>
        <v>2.165566496000662</v>
      </c>
      <c r="AL492" s="7">
        <f t="shared" ca="1" si="294"/>
        <v>2.2405825246425826</v>
      </c>
      <c r="AM492" s="7">
        <f t="shared" ca="1" si="294"/>
        <v>2.3186616877874711</v>
      </c>
      <c r="AN492" s="7">
        <f t="shared" ca="1" si="294"/>
        <v>2.3999707504847168</v>
      </c>
      <c r="AO492" s="7">
        <f t="shared" ca="1" si="294"/>
        <v>2.4713142979215119</v>
      </c>
      <c r="AP492" s="7">
        <f t="shared" ca="1" si="294"/>
        <v>2.5534834797758696</v>
      </c>
      <c r="AQ492" s="7">
        <f t="shared" ca="1" si="294"/>
        <v>2.6280467845429296</v>
      </c>
      <c r="AR492" s="7">
        <f t="shared" ca="1" si="294"/>
        <v>2.7055880975706623</v>
      </c>
      <c r="AS492" s="7">
        <f t="shared" ca="1" si="294"/>
        <v>2.7895878542354193</v>
      </c>
      <c r="AT492" s="7">
        <f t="shared" ca="1" si="294"/>
        <v>2.8757711830769805</v>
      </c>
      <c r="AU492" s="7">
        <f t="shared" ca="1" si="294"/>
        <v>2.9658028100694134</v>
      </c>
      <c r="AV492" s="7">
        <f t="shared" ca="1" si="294"/>
        <v>3.0652645685368949</v>
      </c>
      <c r="AW492" s="7">
        <f t="shared" ca="1" si="294"/>
        <v>3.1627478789681032</v>
      </c>
    </row>
    <row r="493" spans="1:49" x14ac:dyDescent="0.2">
      <c r="A493" s="1" t="s">
        <v>206</v>
      </c>
      <c r="B493" s="4"/>
      <c r="D493" s="18">
        <f t="shared" ref="D493:I493" si="295">D$105</f>
        <v>0.372</v>
      </c>
      <c r="E493" s="19">
        <f t="shared" si="295"/>
        <v>0.56399999999999995</v>
      </c>
      <c r="F493" s="19">
        <f t="shared" si="295"/>
        <v>0.17499999999999999</v>
      </c>
      <c r="G493" s="19">
        <f t="shared" si="295"/>
        <v>0.18</v>
      </c>
      <c r="H493" s="19">
        <f t="shared" si="295"/>
        <v>0.185</v>
      </c>
      <c r="I493" s="19">
        <f t="shared" si="295"/>
        <v>0.191</v>
      </c>
      <c r="J493" s="7">
        <f t="shared" ref="J493:AW493" ca="1" si="296">J$443-I$443</f>
        <v>0.31196918107785532</v>
      </c>
      <c r="K493" s="7">
        <f t="shared" ca="1" si="296"/>
        <v>0.31727608552365094</v>
      </c>
      <c r="L493" s="7">
        <f t="shared" ca="1" si="296"/>
        <v>0.33591472411964229</v>
      </c>
      <c r="M493" s="7">
        <f t="shared" ca="1" si="296"/>
        <v>0.34294607977441061</v>
      </c>
      <c r="N493" s="7">
        <f t="shared" ca="1" si="296"/>
        <v>0.35006240349795092</v>
      </c>
      <c r="O493" s="7">
        <f t="shared" ca="1" si="296"/>
        <v>0.35379483540001466</v>
      </c>
      <c r="P493" s="7">
        <f t="shared" ca="1" si="296"/>
        <v>0.36545913275572417</v>
      </c>
      <c r="Q493" s="7">
        <f t="shared" ca="1" si="296"/>
        <v>0.37672866714290443</v>
      </c>
      <c r="R493" s="7">
        <f t="shared" ca="1" si="296"/>
        <v>0.38771858691812788</v>
      </c>
      <c r="S493" s="7">
        <f t="shared" ca="1" si="296"/>
        <v>0.39994066055252198</v>
      </c>
      <c r="T493" s="7">
        <f t="shared" ca="1" si="296"/>
        <v>0.41230857900513485</v>
      </c>
      <c r="U493" s="7">
        <f t="shared" ca="1" si="296"/>
        <v>0.42615626207948054</v>
      </c>
      <c r="V493" s="7">
        <f t="shared" ca="1" si="296"/>
        <v>0.44105591432087188</v>
      </c>
      <c r="W493" s="7">
        <f t="shared" ca="1" si="296"/>
        <v>0.45723341679683038</v>
      </c>
      <c r="X493" s="7">
        <f t="shared" ca="1" si="296"/>
        <v>0.47485918661021209</v>
      </c>
      <c r="Y493" s="7">
        <f t="shared" ca="1" si="296"/>
        <v>0.49243641009174688</v>
      </c>
      <c r="Z493" s="7">
        <f t="shared" ca="1" si="296"/>
        <v>0.51250617058264325</v>
      </c>
      <c r="AA493" s="7">
        <f t="shared" ca="1" si="296"/>
        <v>0.53340516782491854</v>
      </c>
      <c r="AB493" s="7">
        <f t="shared" ca="1" si="296"/>
        <v>0.55590603004681149</v>
      </c>
      <c r="AC493" s="7">
        <f t="shared" ca="1" si="296"/>
        <v>0.58050551296990704</v>
      </c>
      <c r="AD493" s="7">
        <f t="shared" ca="1" si="296"/>
        <v>0.60571685586461399</v>
      </c>
      <c r="AE493" s="7">
        <f t="shared" ca="1" si="296"/>
        <v>0.63037192856102386</v>
      </c>
      <c r="AF493" s="7">
        <f t="shared" ca="1" si="296"/>
        <v>0.65677098798221323</v>
      </c>
      <c r="AG493" s="7">
        <f t="shared" ca="1" si="296"/>
        <v>0.68353728627673149</v>
      </c>
      <c r="AH493" s="7">
        <f t="shared" ca="1" si="296"/>
        <v>0.71139968403792508</v>
      </c>
      <c r="AI493" s="7">
        <f t="shared" ca="1" si="296"/>
        <v>0.73801903105391631</v>
      </c>
      <c r="AJ493" s="7">
        <f t="shared" ca="1" si="296"/>
        <v>0.76700262073217829</v>
      </c>
      <c r="AK493" s="7">
        <f t="shared" ca="1" si="296"/>
        <v>0.79535525042819799</v>
      </c>
      <c r="AL493" s="7">
        <f t="shared" ca="1" si="296"/>
        <v>0.82308135685105199</v>
      </c>
      <c r="AM493" s="7">
        <f t="shared" ca="1" si="296"/>
        <v>0.85193189958926041</v>
      </c>
      <c r="AN493" s="7">
        <f t="shared" ca="1" si="296"/>
        <v>0.88196747134960773</v>
      </c>
      <c r="AO493" s="7">
        <f t="shared" ca="1" si="296"/>
        <v>0.90853986184845681</v>
      </c>
      <c r="AP493" s="7">
        <f t="shared" ca="1" si="296"/>
        <v>0.9389703624354766</v>
      </c>
      <c r="AQ493" s="7">
        <f t="shared" ca="1" si="296"/>
        <v>0.96676987103008472</v>
      </c>
      <c r="AR493" s="7">
        <f t="shared" ca="1" si="296"/>
        <v>0.99566393607080528</v>
      </c>
      <c r="AS493" s="7">
        <f t="shared" ca="1" si="296"/>
        <v>1.026880856355568</v>
      </c>
      <c r="AT493" s="7">
        <f t="shared" ca="1" si="296"/>
        <v>1.0589179127611388</v>
      </c>
      <c r="AU493" s="7">
        <f t="shared" ca="1" si="296"/>
        <v>1.0923630935929758</v>
      </c>
      <c r="AV493" s="7">
        <f t="shared" ca="1" si="296"/>
        <v>1.1291857497597739</v>
      </c>
      <c r="AW493" s="7">
        <f t="shared" ca="1" si="296"/>
        <v>1.1653709171354478</v>
      </c>
    </row>
    <row r="494" spans="1:49" x14ac:dyDescent="0.2">
      <c r="A494" s="1" t="s">
        <v>743</v>
      </c>
      <c r="B494" s="4" t="str">
        <f t="shared" si="292"/>
        <v>From Fiscal</v>
      </c>
      <c r="D494" s="18">
        <f>-Fiscal!D$374</f>
        <v>2.3809999999999998</v>
      </c>
      <c r="E494" s="19">
        <f>-Fiscal!E$374</f>
        <v>1.421</v>
      </c>
      <c r="F494" s="19">
        <f>-Fiscal!F$374</f>
        <v>7.0000000000000001E-3</v>
      </c>
      <c r="G494" s="19">
        <f>-Fiscal!G$374</f>
        <v>-1E-3</v>
      </c>
      <c r="H494" s="19">
        <f>-Fiscal!H$374</f>
        <v>8.0000000000000002E-3</v>
      </c>
      <c r="I494" s="19">
        <f>-Fiscal!I$374</f>
        <v>5.0000000000000001E-3</v>
      </c>
      <c r="J494" s="7">
        <f t="shared" ref="J494:AW494" ca="1" si="297">J$333-I$333</f>
        <v>0.52192652558374597</v>
      </c>
      <c r="K494" s="7">
        <f t="shared" ca="1" si="297"/>
        <v>0.51742312635220244</v>
      </c>
      <c r="L494" s="7">
        <f t="shared" ca="1" si="297"/>
        <v>0.5295866699768208</v>
      </c>
      <c r="M494" s="7">
        <f t="shared" ca="1" si="297"/>
        <v>0.52344519959183167</v>
      </c>
      <c r="N494" s="7">
        <f t="shared" ca="1" si="297"/>
        <v>0.51500305518681344</v>
      </c>
      <c r="O494" s="7">
        <f t="shared" ca="1" si="297"/>
        <v>0.499164338552605</v>
      </c>
      <c r="P494" s="7">
        <f t="shared" ca="1" si="297"/>
        <v>0.51562133761439277</v>
      </c>
      <c r="Q494" s="7">
        <f t="shared" ca="1" si="297"/>
        <v>0.53152137095380603</v>
      </c>
      <c r="R494" s="7">
        <f t="shared" ca="1" si="297"/>
        <v>0.54702689982661745</v>
      </c>
      <c r="S494" s="7">
        <f t="shared" ca="1" si="297"/>
        <v>0.56427085788087972</v>
      </c>
      <c r="T494" s="7">
        <f t="shared" ca="1" si="297"/>
        <v>0.58172058641264712</v>
      </c>
      <c r="U494" s="7">
        <f t="shared" ca="1" si="297"/>
        <v>0.60125809479508696</v>
      </c>
      <c r="V494" s="7">
        <f t="shared" ca="1" si="297"/>
        <v>0.62227981221877116</v>
      </c>
      <c r="W494" s="7">
        <f t="shared" ca="1" si="297"/>
        <v>0.64510443122067329</v>
      </c>
      <c r="X494" s="7">
        <f t="shared" ca="1" si="297"/>
        <v>0.66997239098166972</v>
      </c>
      <c r="Y494" s="7">
        <f t="shared" ca="1" si="297"/>
        <v>0.69477185738097802</v>
      </c>
      <c r="Z494" s="7">
        <f t="shared" ca="1" si="297"/>
        <v>0.72308801046733251</v>
      </c>
      <c r="AA494" s="7">
        <f t="shared" ca="1" si="297"/>
        <v>0.75257412244818411</v>
      </c>
      <c r="AB494" s="7">
        <f t="shared" ca="1" si="297"/>
        <v>0.78432028401992326</v>
      </c>
      <c r="AC494" s="7">
        <f t="shared" ca="1" si="297"/>
        <v>0.81902736109796592</v>
      </c>
      <c r="AD494" s="7">
        <f t="shared" ca="1" si="297"/>
        <v>0.8545977031178893</v>
      </c>
      <c r="AE494" s="7">
        <f t="shared" ca="1" si="297"/>
        <v>0.88938321105373319</v>
      </c>
      <c r="AF494" s="7">
        <f t="shared" ca="1" si="297"/>
        <v>0.92662928622464591</v>
      </c>
      <c r="AG494" s="7">
        <f t="shared" ca="1" si="297"/>
        <v>0.96439349374502825</v>
      </c>
      <c r="AH494" s="7">
        <f t="shared" ca="1" si="297"/>
        <v>1.0037041731483356</v>
      </c>
      <c r="AI494" s="7">
        <f t="shared" ca="1" si="297"/>
        <v>1.0412610491013581</v>
      </c>
      <c r="AJ494" s="7">
        <f t="shared" ca="1" si="297"/>
        <v>1.082153602985791</v>
      </c>
      <c r="AK494" s="7">
        <f t="shared" ca="1" si="297"/>
        <v>1.1221559439822038</v>
      </c>
      <c r="AL494" s="7">
        <f t="shared" ca="1" si="297"/>
        <v>1.1612743317833072</v>
      </c>
      <c r="AM494" s="7">
        <f t="shared" ca="1" si="297"/>
        <v>1.2019791715430976</v>
      </c>
      <c r="AN494" s="7">
        <f t="shared" ca="1" si="297"/>
        <v>1.2443559526904338</v>
      </c>
      <c r="AO494" s="7">
        <f t="shared" ca="1" si="297"/>
        <v>1.2818465783297839</v>
      </c>
      <c r="AP494" s="7">
        <f t="shared" ca="1" si="297"/>
        <v>1.3247805592065021</v>
      </c>
      <c r="AQ494" s="7">
        <f t="shared" ca="1" si="297"/>
        <v>1.3640025091369665</v>
      </c>
      <c r="AR494" s="7">
        <f t="shared" ca="1" si="297"/>
        <v>1.4047687539235554</v>
      </c>
      <c r="AS494" s="7">
        <f t="shared" ca="1" si="297"/>
        <v>1.4488122836940533</v>
      </c>
      <c r="AT494" s="7">
        <f t="shared" ca="1" si="297"/>
        <v>1.4940129324027396</v>
      </c>
      <c r="AU494" s="7">
        <f t="shared" ca="1" si="297"/>
        <v>1.5412002847811763</v>
      </c>
      <c r="AV494" s="7">
        <f t="shared" ca="1" si="297"/>
        <v>1.5931528713373737</v>
      </c>
      <c r="AW494" s="7">
        <f t="shared" ca="1" si="297"/>
        <v>1.6442060335975555</v>
      </c>
    </row>
    <row r="495" spans="1:49" ht="15" x14ac:dyDescent="0.25">
      <c r="A495" s="2" t="s">
        <v>614</v>
      </c>
      <c r="D495" s="40">
        <f t="shared" ref="D495:I495" si="298">D$493-D$492-D$494</f>
        <v>-1.2139999999999997</v>
      </c>
      <c r="E495" s="39">
        <f t="shared" si="298"/>
        <v>-0.3660000000000001</v>
      </c>
      <c r="F495" s="39">
        <f t="shared" si="298"/>
        <v>-3.4350000000000005</v>
      </c>
      <c r="G495" s="39">
        <f t="shared" si="298"/>
        <v>6.4619999999999997</v>
      </c>
      <c r="H495" s="39">
        <f t="shared" si="298"/>
        <v>2.8530000000000002</v>
      </c>
      <c r="I495" s="39">
        <f t="shared" si="298"/>
        <v>-3.0449999999999999</v>
      </c>
      <c r="J495" s="43">
        <f t="shared" ref="J495:AW495" ca="1" si="299">J$493-J$492-J$494</f>
        <v>-0.89051393418359481</v>
      </c>
      <c r="K495" s="43">
        <f t="shared" ca="1" si="299"/>
        <v>-0.92012927477598372</v>
      </c>
      <c r="L495" s="43">
        <f t="shared" ca="1" si="299"/>
        <v>-0.99540275081562246</v>
      </c>
      <c r="M495" s="43">
        <f t="shared" ca="1" si="299"/>
        <v>-1.0350204911477197</v>
      </c>
      <c r="N495" s="43">
        <f t="shared" ca="1" si="299"/>
        <v>-1.077404896091732</v>
      </c>
      <c r="O495" s="43">
        <f t="shared" ca="1" si="299"/>
        <v>-1.1111651684469988</v>
      </c>
      <c r="P495" s="43">
        <f t="shared" ca="1" si="299"/>
        <v>-1.1474285787339888</v>
      </c>
      <c r="Q495" s="43">
        <f t="shared" ca="1" si="299"/>
        <v>-1.1823559030500057</v>
      </c>
      <c r="R495" s="43">
        <f t="shared" ca="1" si="299"/>
        <v>-1.216323021164774</v>
      </c>
      <c r="S495" s="43">
        <f t="shared" ca="1" si="299"/>
        <v>-1.2542422441694185</v>
      </c>
      <c r="T495" s="43">
        <f t="shared" ca="1" si="299"/>
        <v>-1.292578994157767</v>
      </c>
      <c r="U495" s="43">
        <f t="shared" ca="1" si="299"/>
        <v>-1.3356658773703121</v>
      </c>
      <c r="V495" s="43">
        <f t="shared" ca="1" si="299"/>
        <v>-1.3821063768851869</v>
      </c>
      <c r="W495" s="43">
        <f t="shared" ca="1" si="299"/>
        <v>-1.4326294320928725</v>
      </c>
      <c r="X495" s="43">
        <f t="shared" ca="1" si="299"/>
        <v>-1.4877827664154655</v>
      </c>
      <c r="Y495" s="43">
        <f t="shared" ca="1" si="299"/>
        <v>-1.5426972709500633</v>
      </c>
      <c r="Z495" s="43">
        <f t="shared" ca="1" si="299"/>
        <v>-1.6056279527328745</v>
      </c>
      <c r="AA495" s="43">
        <f t="shared" ca="1" si="299"/>
        <v>-1.6711600598765752</v>
      </c>
      <c r="AB495" s="43">
        <f t="shared" ca="1" si="299"/>
        <v>-1.7417996810865382</v>
      </c>
      <c r="AC495" s="43">
        <f t="shared" ca="1" si="299"/>
        <v>-1.8191531690043981</v>
      </c>
      <c r="AD495" s="43">
        <f t="shared" ca="1" si="299"/>
        <v>-1.8983810786338005</v>
      </c>
      <c r="AE495" s="43">
        <f t="shared" ca="1" si="299"/>
        <v>-1.9756858887450699</v>
      </c>
      <c r="AF495" s="43">
        <f t="shared" ca="1" si="299"/>
        <v>-2.0585426115935066</v>
      </c>
      <c r="AG495" s="43">
        <f t="shared" ca="1" si="299"/>
        <v>-2.142470814499946</v>
      </c>
      <c r="AH495" s="43">
        <f t="shared" ca="1" si="299"/>
        <v>-2.2298365321509817</v>
      </c>
      <c r="AI495" s="43">
        <f t="shared" ca="1" si="299"/>
        <v>-2.3130359216484129</v>
      </c>
      <c r="AJ495" s="43">
        <f t="shared" ca="1" si="299"/>
        <v>-2.4037931025392147</v>
      </c>
      <c r="AK495" s="43">
        <f t="shared" ca="1" si="299"/>
        <v>-2.4923671895546677</v>
      </c>
      <c r="AL495" s="43">
        <f t="shared" ca="1" si="299"/>
        <v>-2.5787754995748378</v>
      </c>
      <c r="AM495" s="43">
        <f t="shared" ca="1" si="299"/>
        <v>-2.6687089597413083</v>
      </c>
      <c r="AN495" s="43">
        <f t="shared" ca="1" si="299"/>
        <v>-2.7623592318255428</v>
      </c>
      <c r="AO495" s="43">
        <f t="shared" ca="1" si="299"/>
        <v>-2.844621014402839</v>
      </c>
      <c r="AP495" s="43">
        <f t="shared" ca="1" si="299"/>
        <v>-2.9392936765468951</v>
      </c>
      <c r="AQ495" s="43">
        <f t="shared" ca="1" si="299"/>
        <v>-3.0252794226498114</v>
      </c>
      <c r="AR495" s="43">
        <f t="shared" ca="1" si="299"/>
        <v>-3.1146929154234124</v>
      </c>
      <c r="AS495" s="43">
        <f t="shared" ca="1" si="299"/>
        <v>-3.2115192815739046</v>
      </c>
      <c r="AT495" s="43">
        <f t="shared" ca="1" si="299"/>
        <v>-3.3108662027185813</v>
      </c>
      <c r="AU495" s="43">
        <f t="shared" ca="1" si="299"/>
        <v>-3.4146400012576139</v>
      </c>
      <c r="AV495" s="43">
        <f t="shared" ca="1" si="299"/>
        <v>-3.5292316901144947</v>
      </c>
      <c r="AW495" s="43">
        <f t="shared" ca="1" si="299"/>
        <v>-3.6415829954302108</v>
      </c>
    </row>
    <row r="496" spans="1:49" ht="15" x14ac:dyDescent="0.25">
      <c r="A496" s="2" t="s">
        <v>723</v>
      </c>
      <c r="D496" s="6" t="str">
        <f t="shared" ref="D496" si="300">IF(ROUND(D$487+SUM(D$491,D$495),3)=0,"OK","ERROR")</f>
        <v>OK</v>
      </c>
      <c r="E496" s="6" t="str">
        <f t="shared" ref="E496:AW496" ca="1" si="301">IF(ROUND(E$487+SUM(E$491,E$495),3)=0,"OK","ERROR")</f>
        <v>OK</v>
      </c>
      <c r="F496" s="6" t="str">
        <f t="shared" ca="1" si="301"/>
        <v>OK</v>
      </c>
      <c r="G496" s="6" t="str">
        <f t="shared" ca="1" si="301"/>
        <v>OK</v>
      </c>
      <c r="H496" s="6" t="str">
        <f t="shared" ca="1" si="301"/>
        <v>OK</v>
      </c>
      <c r="I496" s="6" t="str">
        <f t="shared" ca="1" si="301"/>
        <v>OK</v>
      </c>
      <c r="J496" s="6" t="str">
        <f t="shared" ca="1" si="301"/>
        <v>OK</v>
      </c>
      <c r="K496" s="6" t="str">
        <f t="shared" ca="1" si="301"/>
        <v>OK</v>
      </c>
      <c r="L496" s="6" t="str">
        <f t="shared" ca="1" si="301"/>
        <v>OK</v>
      </c>
      <c r="M496" s="6" t="str">
        <f t="shared" ca="1" si="301"/>
        <v>OK</v>
      </c>
      <c r="N496" s="6" t="str">
        <f t="shared" ca="1" si="301"/>
        <v>OK</v>
      </c>
      <c r="O496" s="6" t="str">
        <f t="shared" ca="1" si="301"/>
        <v>OK</v>
      </c>
      <c r="P496" s="6" t="str">
        <f t="shared" ca="1" si="301"/>
        <v>OK</v>
      </c>
      <c r="Q496" s="6" t="str">
        <f t="shared" ca="1" si="301"/>
        <v>OK</v>
      </c>
      <c r="R496" s="6" t="str">
        <f t="shared" ca="1" si="301"/>
        <v>OK</v>
      </c>
      <c r="S496" s="6" t="str">
        <f t="shared" ca="1" si="301"/>
        <v>OK</v>
      </c>
      <c r="T496" s="6" t="str">
        <f t="shared" ca="1" si="301"/>
        <v>OK</v>
      </c>
      <c r="U496" s="6" t="str">
        <f t="shared" ca="1" si="301"/>
        <v>OK</v>
      </c>
      <c r="V496" s="6" t="str">
        <f t="shared" ca="1" si="301"/>
        <v>OK</v>
      </c>
      <c r="W496" s="6" t="str">
        <f t="shared" ca="1" si="301"/>
        <v>OK</v>
      </c>
      <c r="X496" s="6" t="str">
        <f t="shared" ca="1" si="301"/>
        <v>OK</v>
      </c>
      <c r="Y496" s="6" t="str">
        <f t="shared" ca="1" si="301"/>
        <v>OK</v>
      </c>
      <c r="Z496" s="6" t="str">
        <f t="shared" ca="1" si="301"/>
        <v>OK</v>
      </c>
      <c r="AA496" s="6" t="str">
        <f t="shared" ca="1" si="301"/>
        <v>OK</v>
      </c>
      <c r="AB496" s="6" t="str">
        <f t="shared" ca="1" si="301"/>
        <v>OK</v>
      </c>
      <c r="AC496" s="6" t="str">
        <f t="shared" ca="1" si="301"/>
        <v>OK</v>
      </c>
      <c r="AD496" s="6" t="str">
        <f t="shared" ca="1" si="301"/>
        <v>OK</v>
      </c>
      <c r="AE496" s="6" t="str">
        <f t="shared" ca="1" si="301"/>
        <v>OK</v>
      </c>
      <c r="AF496" s="6" t="str">
        <f t="shared" ca="1" si="301"/>
        <v>OK</v>
      </c>
      <c r="AG496" s="6" t="str">
        <f t="shared" ca="1" si="301"/>
        <v>OK</v>
      </c>
      <c r="AH496" s="6" t="str">
        <f t="shared" ca="1" si="301"/>
        <v>OK</v>
      </c>
      <c r="AI496" s="6" t="str">
        <f t="shared" ca="1" si="301"/>
        <v>OK</v>
      </c>
      <c r="AJ496" s="6" t="str">
        <f t="shared" ca="1" si="301"/>
        <v>OK</v>
      </c>
      <c r="AK496" s="6" t="str">
        <f t="shared" ca="1" si="301"/>
        <v>OK</v>
      </c>
      <c r="AL496" s="6" t="str">
        <f t="shared" ca="1" si="301"/>
        <v>OK</v>
      </c>
      <c r="AM496" s="6" t="str">
        <f t="shared" ca="1" si="301"/>
        <v>OK</v>
      </c>
      <c r="AN496" s="6" t="str">
        <f t="shared" ca="1" si="301"/>
        <v>OK</v>
      </c>
      <c r="AO496" s="6" t="str">
        <f t="shared" ca="1" si="301"/>
        <v>OK</v>
      </c>
      <c r="AP496" s="6" t="str">
        <f t="shared" ca="1" si="301"/>
        <v>OK</v>
      </c>
      <c r="AQ496" s="6" t="str">
        <f t="shared" ca="1" si="301"/>
        <v>OK</v>
      </c>
      <c r="AR496" s="6" t="str">
        <f t="shared" ca="1" si="301"/>
        <v>OK</v>
      </c>
      <c r="AS496" s="6" t="str">
        <f t="shared" ca="1" si="301"/>
        <v>OK</v>
      </c>
      <c r="AT496" s="6" t="str">
        <f t="shared" ca="1" si="301"/>
        <v>OK</v>
      </c>
      <c r="AU496" s="6" t="str">
        <f t="shared" ca="1" si="301"/>
        <v>OK</v>
      </c>
      <c r="AV496" s="6" t="str">
        <f t="shared" ca="1" si="301"/>
        <v>OK</v>
      </c>
      <c r="AW496" s="6" t="str">
        <f t="shared" ca="1" si="301"/>
        <v>OK</v>
      </c>
    </row>
    <row r="498" spans="1:49" x14ac:dyDescent="0.2">
      <c r="A498" s="22" t="s">
        <v>725</v>
      </c>
      <c r="B498" s="4" t="str">
        <f>$B$65</f>
        <v>Projected Years only</v>
      </c>
    </row>
    <row r="499" spans="1:49" x14ac:dyDescent="0.2">
      <c r="A499" s="1" t="s">
        <v>726</v>
      </c>
      <c r="J499" s="7">
        <f t="shared" ref="J499:AW499" ca="1" si="302">SUM(J$472-J$364,J$473,J$474+J$363-(J$338-I$338)-J$365+J$446-I$446,J$475)-SUM(J$476,J$477,J$478,J$479)</f>
        <v>6.235145035737844</v>
      </c>
      <c r="K499" s="7">
        <f t="shared" ca="1" si="302"/>
        <v>4.6099464338087017</v>
      </c>
      <c r="L499" s="7">
        <f t="shared" ca="1" si="302"/>
        <v>3.1909685780609891</v>
      </c>
      <c r="M499" s="7">
        <f t="shared" ca="1" si="302"/>
        <v>1.8413120014638906</v>
      </c>
      <c r="N499" s="7">
        <f t="shared" ca="1" si="302"/>
        <v>0.61100186622172714</v>
      </c>
      <c r="O499" s="7">
        <f t="shared" ca="1" si="302"/>
        <v>-1.0437023290240006</v>
      </c>
      <c r="P499" s="7">
        <f t="shared" ca="1" si="302"/>
        <v>-2.6146915722857642</v>
      </c>
      <c r="Q499" s="7">
        <f t="shared" ca="1" si="302"/>
        <v>-4.1726771185052343</v>
      </c>
      <c r="R499" s="7">
        <f t="shared" ca="1" si="302"/>
        <v>-5.9946085352025307</v>
      </c>
      <c r="S499" s="7">
        <f t="shared" ca="1" si="302"/>
        <v>-7.9505546865755434</v>
      </c>
      <c r="T499" s="7">
        <f t="shared" ca="1" si="302"/>
        <v>-10.105533493354642</v>
      </c>
      <c r="U499" s="7">
        <f t="shared" ca="1" si="302"/>
        <v>-12.517727078330722</v>
      </c>
      <c r="V499" s="7">
        <f t="shared" ca="1" si="302"/>
        <v>-15.168961137798931</v>
      </c>
      <c r="W499" s="7">
        <f t="shared" ca="1" si="302"/>
        <v>-17.880125070720737</v>
      </c>
      <c r="X499" s="7">
        <f t="shared" ca="1" si="302"/>
        <v>-20.719539998395788</v>
      </c>
      <c r="Y499" s="7">
        <f t="shared" ca="1" si="302"/>
        <v>-23.833872895609375</v>
      </c>
      <c r="Z499" s="7">
        <f t="shared" ca="1" si="302"/>
        <v>-27.147598441727098</v>
      </c>
      <c r="AA499" s="7">
        <f t="shared" ca="1" si="302"/>
        <v>-30.639359439874909</v>
      </c>
      <c r="AB499" s="7">
        <f t="shared" ca="1" si="302"/>
        <v>-34.302789571625652</v>
      </c>
      <c r="AC499" s="7">
        <f t="shared" ca="1" si="302"/>
        <v>-38.125169401307176</v>
      </c>
      <c r="AD499" s="7">
        <f t="shared" ca="1" si="302"/>
        <v>-42.108521467835232</v>
      </c>
      <c r="AE499" s="7">
        <f t="shared" ca="1" si="302"/>
        <v>-46.370129935160122</v>
      </c>
      <c r="AF499" s="7">
        <f t="shared" ca="1" si="302"/>
        <v>-50.86787841032114</v>
      </c>
      <c r="AG499" s="7">
        <f t="shared" ca="1" si="302"/>
        <v>-55.738416445821457</v>
      </c>
      <c r="AH499" s="7">
        <f t="shared" ca="1" si="302"/>
        <v>-60.961029165607044</v>
      </c>
      <c r="AI499" s="7">
        <f t="shared" ca="1" si="302"/>
        <v>-66.586984330998405</v>
      </c>
      <c r="AJ499" s="7">
        <f t="shared" ca="1" si="302"/>
        <v>-72.633659073818308</v>
      </c>
      <c r="AK499" s="7">
        <f t="shared" ca="1" si="302"/>
        <v>-79.205943835239907</v>
      </c>
      <c r="AL499" s="7">
        <f t="shared" ca="1" si="302"/>
        <v>-86.299008427045919</v>
      </c>
      <c r="AM499" s="7">
        <f t="shared" ca="1" si="302"/>
        <v>-93.964720716584736</v>
      </c>
      <c r="AN499" s="7">
        <f t="shared" ca="1" si="302"/>
        <v>-102.3056008257945</v>
      </c>
      <c r="AO499" s="7">
        <f t="shared" ca="1" si="302"/>
        <v>-111.44520997971046</v>
      </c>
      <c r="AP499" s="7">
        <f t="shared" ca="1" si="302"/>
        <v>-121.49579705219713</v>
      </c>
      <c r="AQ499" s="7">
        <f t="shared" ca="1" si="302"/>
        <v>-132.52555528843624</v>
      </c>
      <c r="AR499" s="7">
        <f t="shared" ca="1" si="302"/>
        <v>-144.66530064479292</v>
      </c>
      <c r="AS499" s="7">
        <f t="shared" ca="1" si="302"/>
        <v>-157.94904568951233</v>
      </c>
      <c r="AT499" s="7">
        <f t="shared" ca="1" si="302"/>
        <v>-172.20552424519985</v>
      </c>
      <c r="AU499" s="7">
        <f t="shared" ca="1" si="302"/>
        <v>-187.5892318671419</v>
      </c>
      <c r="AV499" s="7">
        <f t="shared" ca="1" si="302"/>
        <v>-204.08462260111702</v>
      </c>
      <c r="AW499" s="7">
        <f t="shared" ca="1" si="302"/>
        <v>-221.88924003483351</v>
      </c>
    </row>
    <row r="500" spans="1:49" x14ac:dyDescent="0.2">
      <c r="A500" s="1" t="s">
        <v>727</v>
      </c>
      <c r="J500" s="7">
        <f t="shared" ref="J500:AW500" ca="1" si="303">-J$481-(J$403-I$403)-J$482-(J$377-I$377)-J$483-(J$418-I$418)-J$485-J$492-(J$345-I$345+J$354-I$354-J$366)</f>
        <v>-8.9622167456477442</v>
      </c>
      <c r="K500" s="7">
        <f t="shared" ca="1" si="303"/>
        <v>-8.5905018885361386</v>
      </c>
      <c r="L500" s="7">
        <f t="shared" ca="1" si="303"/>
        <v>-8.7078309552942414</v>
      </c>
      <c r="M500" s="7">
        <f t="shared" ca="1" si="303"/>
        <v>-8.7529996076553758</v>
      </c>
      <c r="N500" s="7">
        <f t="shared" ca="1" si="303"/>
        <v>-8.7994769348033053</v>
      </c>
      <c r="O500" s="7">
        <f t="shared" ca="1" si="303"/>
        <v>-8.8063354980943789</v>
      </c>
      <c r="P500" s="7">
        <f t="shared" ca="1" si="303"/>
        <v>-8.8008163158908843</v>
      </c>
      <c r="Q500" s="7">
        <f t="shared" ca="1" si="303"/>
        <v>-8.786980531722989</v>
      </c>
      <c r="R500" s="7">
        <f t="shared" ca="1" si="303"/>
        <v>-8.7825943777931492</v>
      </c>
      <c r="S500" s="7">
        <f t="shared" ca="1" si="303"/>
        <v>-8.8197030799805312</v>
      </c>
      <c r="T500" s="7">
        <f t="shared" ca="1" si="303"/>
        <v>-8.8741345409077201</v>
      </c>
      <c r="U500" s="7">
        <f t="shared" ca="1" si="303"/>
        <v>-8.9385213212497323</v>
      </c>
      <c r="V500" s="7">
        <f t="shared" ca="1" si="303"/>
        <v>-8.994794894846228</v>
      </c>
      <c r="W500" s="7">
        <f t="shared" ca="1" si="303"/>
        <v>-9.0544671045192651</v>
      </c>
      <c r="X500" s="7">
        <f t="shared" ca="1" si="303"/>
        <v>-9.1291894608351605</v>
      </c>
      <c r="Y500" s="7">
        <f t="shared" ca="1" si="303"/>
        <v>-9.1885339145091507</v>
      </c>
      <c r="Z500" s="7">
        <f t="shared" ca="1" si="303"/>
        <v>-9.3107903555146372</v>
      </c>
      <c r="AA500" s="7">
        <f t="shared" ca="1" si="303"/>
        <v>-9.5275448745587674</v>
      </c>
      <c r="AB500" s="7">
        <f t="shared" ca="1" si="303"/>
        <v>-9.8373651846597561</v>
      </c>
      <c r="AC500" s="7">
        <f t="shared" ca="1" si="303"/>
        <v>-10.261596626348437</v>
      </c>
      <c r="AD500" s="7">
        <f t="shared" ca="1" si="303"/>
        <v>-10.790377940115613</v>
      </c>
      <c r="AE500" s="7">
        <f t="shared" ca="1" si="303"/>
        <v>-11.371454519627036</v>
      </c>
      <c r="AF500" s="7">
        <f t="shared" ca="1" si="303"/>
        <v>-12.041122926004407</v>
      </c>
      <c r="AG500" s="7">
        <f t="shared" ca="1" si="303"/>
        <v>-12.697993079111939</v>
      </c>
      <c r="AH500" s="7">
        <f t="shared" ca="1" si="303"/>
        <v>-13.393163917158679</v>
      </c>
      <c r="AI500" s="7">
        <f t="shared" ca="1" si="303"/>
        <v>-14.096078705796296</v>
      </c>
      <c r="AJ500" s="7">
        <f t="shared" ca="1" si="303"/>
        <v>-14.848028823141618</v>
      </c>
      <c r="AK500" s="7">
        <f t="shared" ca="1" si="303"/>
        <v>-15.584449213388135</v>
      </c>
      <c r="AL500" s="7">
        <f t="shared" ca="1" si="303"/>
        <v>-16.326858007280912</v>
      </c>
      <c r="AM500" s="7">
        <f t="shared" ca="1" si="303"/>
        <v>-17.087969932271129</v>
      </c>
      <c r="AN500" s="7">
        <f t="shared" ca="1" si="303"/>
        <v>-17.814612911685757</v>
      </c>
      <c r="AO500" s="7">
        <f t="shared" ca="1" si="303"/>
        <v>-18.506619118232628</v>
      </c>
      <c r="AP500" s="7">
        <f t="shared" ca="1" si="303"/>
        <v>-19.101595229929885</v>
      </c>
      <c r="AQ500" s="7">
        <f t="shared" ca="1" si="303"/>
        <v>-19.587593141733151</v>
      </c>
      <c r="AR500" s="7">
        <f t="shared" ca="1" si="303"/>
        <v>-19.937571524647453</v>
      </c>
      <c r="AS500" s="7">
        <f t="shared" ca="1" si="303"/>
        <v>-20.180898731537919</v>
      </c>
      <c r="AT500" s="7">
        <f t="shared" ca="1" si="303"/>
        <v>-20.429073360678515</v>
      </c>
      <c r="AU500" s="7">
        <f t="shared" ca="1" si="303"/>
        <v>-20.654757222758434</v>
      </c>
      <c r="AV500" s="7">
        <f t="shared" ca="1" si="303"/>
        <v>-20.937428081297572</v>
      </c>
      <c r="AW500" s="7">
        <f t="shared" ca="1" si="303"/>
        <v>-21.190686441160985</v>
      </c>
    </row>
    <row r="501" spans="1:49" x14ac:dyDescent="0.2">
      <c r="A501" s="1" t="s">
        <v>206</v>
      </c>
      <c r="J501" s="7">
        <f t="shared" ref="J501:AW501" ca="1" si="304">J$493</f>
        <v>0.31196918107785532</v>
      </c>
      <c r="K501" s="7">
        <f t="shared" ca="1" si="304"/>
        <v>0.31727608552365094</v>
      </c>
      <c r="L501" s="7">
        <f t="shared" ca="1" si="304"/>
        <v>0.33591472411964229</v>
      </c>
      <c r="M501" s="7">
        <f t="shared" ca="1" si="304"/>
        <v>0.34294607977441061</v>
      </c>
      <c r="N501" s="7">
        <f t="shared" ca="1" si="304"/>
        <v>0.35006240349795092</v>
      </c>
      <c r="O501" s="7">
        <f t="shared" ca="1" si="304"/>
        <v>0.35379483540001466</v>
      </c>
      <c r="P501" s="7">
        <f t="shared" ca="1" si="304"/>
        <v>0.36545913275572417</v>
      </c>
      <c r="Q501" s="7">
        <f t="shared" ca="1" si="304"/>
        <v>0.37672866714290443</v>
      </c>
      <c r="R501" s="7">
        <f t="shared" ca="1" si="304"/>
        <v>0.38771858691812788</v>
      </c>
      <c r="S501" s="7">
        <f t="shared" ca="1" si="304"/>
        <v>0.39994066055252198</v>
      </c>
      <c r="T501" s="7">
        <f t="shared" ca="1" si="304"/>
        <v>0.41230857900513485</v>
      </c>
      <c r="U501" s="7">
        <f t="shared" ca="1" si="304"/>
        <v>0.42615626207948054</v>
      </c>
      <c r="V501" s="7">
        <f t="shared" ca="1" si="304"/>
        <v>0.44105591432087188</v>
      </c>
      <c r="W501" s="7">
        <f t="shared" ca="1" si="304"/>
        <v>0.45723341679683038</v>
      </c>
      <c r="X501" s="7">
        <f t="shared" ca="1" si="304"/>
        <v>0.47485918661021209</v>
      </c>
      <c r="Y501" s="7">
        <f t="shared" ca="1" si="304"/>
        <v>0.49243641009174688</v>
      </c>
      <c r="Z501" s="7">
        <f t="shared" ca="1" si="304"/>
        <v>0.51250617058264325</v>
      </c>
      <c r="AA501" s="7">
        <f t="shared" ca="1" si="304"/>
        <v>0.53340516782491854</v>
      </c>
      <c r="AB501" s="7">
        <f t="shared" ca="1" si="304"/>
        <v>0.55590603004681149</v>
      </c>
      <c r="AC501" s="7">
        <f t="shared" ca="1" si="304"/>
        <v>0.58050551296990704</v>
      </c>
      <c r="AD501" s="7">
        <f t="shared" ca="1" si="304"/>
        <v>0.60571685586461399</v>
      </c>
      <c r="AE501" s="7">
        <f t="shared" ca="1" si="304"/>
        <v>0.63037192856102386</v>
      </c>
      <c r="AF501" s="7">
        <f t="shared" ca="1" si="304"/>
        <v>0.65677098798221323</v>
      </c>
      <c r="AG501" s="7">
        <f t="shared" ca="1" si="304"/>
        <v>0.68353728627673149</v>
      </c>
      <c r="AH501" s="7">
        <f t="shared" ca="1" si="304"/>
        <v>0.71139968403792508</v>
      </c>
      <c r="AI501" s="7">
        <f t="shared" ca="1" si="304"/>
        <v>0.73801903105391631</v>
      </c>
      <c r="AJ501" s="7">
        <f t="shared" ca="1" si="304"/>
        <v>0.76700262073217829</v>
      </c>
      <c r="AK501" s="7">
        <f t="shared" ca="1" si="304"/>
        <v>0.79535525042819799</v>
      </c>
      <c r="AL501" s="7">
        <f t="shared" ca="1" si="304"/>
        <v>0.82308135685105199</v>
      </c>
      <c r="AM501" s="7">
        <f t="shared" ca="1" si="304"/>
        <v>0.85193189958926041</v>
      </c>
      <c r="AN501" s="7">
        <f t="shared" ca="1" si="304"/>
        <v>0.88196747134960773</v>
      </c>
      <c r="AO501" s="7">
        <f t="shared" ca="1" si="304"/>
        <v>0.90853986184845681</v>
      </c>
      <c r="AP501" s="7">
        <f t="shared" ca="1" si="304"/>
        <v>0.9389703624354766</v>
      </c>
      <c r="AQ501" s="7">
        <f t="shared" ca="1" si="304"/>
        <v>0.96676987103008472</v>
      </c>
      <c r="AR501" s="7">
        <f t="shared" ca="1" si="304"/>
        <v>0.99566393607080528</v>
      </c>
      <c r="AS501" s="7">
        <f t="shared" ca="1" si="304"/>
        <v>1.026880856355568</v>
      </c>
      <c r="AT501" s="7">
        <f t="shared" ca="1" si="304"/>
        <v>1.0589179127611388</v>
      </c>
      <c r="AU501" s="7">
        <f t="shared" ca="1" si="304"/>
        <v>1.0923630935929758</v>
      </c>
      <c r="AV501" s="7">
        <f t="shared" ca="1" si="304"/>
        <v>1.1291857497597739</v>
      </c>
      <c r="AW501" s="7">
        <f t="shared" ca="1" si="304"/>
        <v>1.1653709171354478</v>
      </c>
    </row>
    <row r="502" spans="1:49" x14ac:dyDescent="0.2">
      <c r="A502" s="1" t="s">
        <v>742</v>
      </c>
      <c r="J502" s="7">
        <f t="shared" ref="J502:AW502" ca="1" si="305">J$494+J$332-I$332 -(J$499+J$500+J$501)</f>
        <v>3.1702500297357226</v>
      </c>
      <c r="K502" s="7">
        <f t="shared" ca="1" si="305"/>
        <v>4.8943629236486244</v>
      </c>
      <c r="L502" s="7">
        <f t="shared" ca="1" si="305"/>
        <v>6.452532204002015</v>
      </c>
      <c r="M502" s="7">
        <f t="shared" ca="1" si="305"/>
        <v>7.8596864646368019</v>
      </c>
      <c r="N502" s="7">
        <f t="shared" ca="1" si="305"/>
        <v>9.1446943204318742</v>
      </c>
      <c r="O502" s="7">
        <f t="shared" ca="1" si="305"/>
        <v>10.796005890300021</v>
      </c>
      <c r="P502" s="7">
        <f t="shared" ca="1" si="305"/>
        <v>12.370459793665917</v>
      </c>
      <c r="Q502" s="7">
        <f t="shared" ca="1" si="305"/>
        <v>13.922155312064923</v>
      </c>
      <c r="R502" s="7">
        <f t="shared" ca="1" si="305"/>
        <v>15.74785834821501</v>
      </c>
      <c r="S502" s="7">
        <f t="shared" ca="1" si="305"/>
        <v>17.754781055219045</v>
      </c>
      <c r="T502" s="7">
        <f t="shared" ca="1" si="305"/>
        <v>19.97975152735463</v>
      </c>
      <c r="U502" s="7">
        <f t="shared" ca="1" si="305"/>
        <v>22.471319520971647</v>
      </c>
      <c r="V502" s="7">
        <f t="shared" ca="1" si="305"/>
        <v>25.192580829343804</v>
      </c>
      <c r="W502" s="7">
        <f t="shared" ca="1" si="305"/>
        <v>27.9762079288028</v>
      </c>
      <c r="X502" s="7">
        <f t="shared" ca="1" si="305"/>
        <v>30.905619288430604</v>
      </c>
      <c r="Y502" s="7">
        <f t="shared" ca="1" si="305"/>
        <v>34.089899883588032</v>
      </c>
      <c r="Z502" s="7">
        <f t="shared" ca="1" si="305"/>
        <v>37.542697600180674</v>
      </c>
      <c r="AA502" s="7">
        <f t="shared" ca="1" si="305"/>
        <v>41.278021946831885</v>
      </c>
      <c r="AB502" s="7">
        <f t="shared" ca="1" si="305"/>
        <v>45.291457546696918</v>
      </c>
      <c r="AC502" s="7">
        <f t="shared" ca="1" si="305"/>
        <v>49.594250427234556</v>
      </c>
      <c r="AD502" s="7">
        <f t="shared" ca="1" si="305"/>
        <v>54.180094423143295</v>
      </c>
      <c r="AE502" s="7">
        <f t="shared" ca="1" si="305"/>
        <v>59.104586367261959</v>
      </c>
      <c r="AF502" s="7">
        <f t="shared" ca="1" si="305"/>
        <v>64.368886971921825</v>
      </c>
      <c r="AG502" s="7">
        <f t="shared" ca="1" si="305"/>
        <v>69.997178890020265</v>
      </c>
      <c r="AH502" s="7">
        <f t="shared" ca="1" si="305"/>
        <v>76.025777398037903</v>
      </c>
      <c r="AI502" s="7">
        <f t="shared" ca="1" si="305"/>
        <v>82.472084259348662</v>
      </c>
      <c r="AJ502" s="7">
        <f t="shared" ca="1" si="305"/>
        <v>89.396672656915413</v>
      </c>
      <c r="AK502" s="7">
        <f t="shared" ca="1" si="305"/>
        <v>96.833403938007777</v>
      </c>
      <c r="AL502" s="7">
        <f t="shared" ca="1" si="305"/>
        <v>104.80450914030482</v>
      </c>
      <c r="AM502" s="7">
        <f t="shared" ca="1" si="305"/>
        <v>113.37409336212173</v>
      </c>
      <c r="AN502" s="7">
        <f t="shared" ca="1" si="305"/>
        <v>122.58693632481445</v>
      </c>
      <c r="AO502" s="7">
        <f t="shared" ca="1" si="305"/>
        <v>132.56007192564823</v>
      </c>
      <c r="AP502" s="7">
        <f t="shared" ca="1" si="305"/>
        <v>143.33790970836696</v>
      </c>
      <c r="AQ502" s="7">
        <f t="shared" ca="1" si="305"/>
        <v>154.97435689619013</v>
      </c>
      <c r="AR502" s="7">
        <f t="shared" ca="1" si="305"/>
        <v>167.56633758512962</v>
      </c>
      <c r="AS502" s="7">
        <f t="shared" ca="1" si="305"/>
        <v>181.17842010785753</v>
      </c>
      <c r="AT502" s="7">
        <f t="shared" ca="1" si="305"/>
        <v>195.77394315110104</v>
      </c>
      <c r="AU502" s="7">
        <f t="shared" ca="1" si="305"/>
        <v>211.4723193393518</v>
      </c>
      <c r="AV502" s="7">
        <f t="shared" ca="1" si="305"/>
        <v>228.34465593445665</v>
      </c>
      <c r="AW502" s="7">
        <f t="shared" ca="1" si="305"/>
        <v>246.49125657654145</v>
      </c>
    </row>
    <row r="503" spans="1:49" ht="15" x14ac:dyDescent="0.25">
      <c r="A503" s="2" t="s">
        <v>728</v>
      </c>
      <c r="J503" s="43">
        <f t="shared" ref="J503:AW503" ca="1" si="306">SUM(J$499,J$500,J$501,J$502)</f>
        <v>0.75514750090367766</v>
      </c>
      <c r="K503" s="43">
        <f t="shared" ca="1" si="306"/>
        <v>1.2310835544448384</v>
      </c>
      <c r="L503" s="43">
        <f t="shared" ca="1" si="306"/>
        <v>1.2715845508884049</v>
      </c>
      <c r="M503" s="43">
        <f t="shared" ca="1" si="306"/>
        <v>1.2909449382197273</v>
      </c>
      <c r="N503" s="43">
        <f t="shared" ca="1" si="306"/>
        <v>1.306281655348247</v>
      </c>
      <c r="O503" s="43">
        <f t="shared" ca="1" si="306"/>
        <v>1.2997628985816565</v>
      </c>
      <c r="P503" s="43">
        <f t="shared" ca="1" si="306"/>
        <v>1.320411038244993</v>
      </c>
      <c r="Q503" s="43">
        <f t="shared" ca="1" si="306"/>
        <v>1.3392263289796045</v>
      </c>
      <c r="R503" s="43">
        <f t="shared" ca="1" si="306"/>
        <v>1.3583740221374576</v>
      </c>
      <c r="S503" s="43">
        <f t="shared" ca="1" si="306"/>
        <v>1.3844639492154904</v>
      </c>
      <c r="T503" s="43">
        <f t="shared" ca="1" si="306"/>
        <v>1.4123920720974041</v>
      </c>
      <c r="U503" s="43">
        <f t="shared" ca="1" si="306"/>
        <v>1.4412273834706752</v>
      </c>
      <c r="V503" s="43">
        <f t="shared" ca="1" si="306"/>
        <v>1.4698807110195133</v>
      </c>
      <c r="W503" s="43">
        <f t="shared" ca="1" si="306"/>
        <v>1.4988491703596267</v>
      </c>
      <c r="X503" s="43">
        <f t="shared" ca="1" si="306"/>
        <v>1.5317490158098686</v>
      </c>
      <c r="Y503" s="43">
        <f t="shared" ca="1" si="306"/>
        <v>1.5599294835612554</v>
      </c>
      <c r="Z503" s="43">
        <f t="shared" ca="1" si="306"/>
        <v>1.5968149735215746</v>
      </c>
      <c r="AA503" s="43">
        <f t="shared" ca="1" si="306"/>
        <v>1.6445228002231218</v>
      </c>
      <c r="AB503" s="43">
        <f t="shared" ca="1" si="306"/>
        <v>1.7072088204583196</v>
      </c>
      <c r="AC503" s="43">
        <f t="shared" ca="1" si="306"/>
        <v>1.7879899125488521</v>
      </c>
      <c r="AD503" s="43">
        <f t="shared" ca="1" si="306"/>
        <v>1.886911871057066</v>
      </c>
      <c r="AE503" s="43">
        <f t="shared" ca="1" si="306"/>
        <v>1.9933738410358259</v>
      </c>
      <c r="AF503" s="43">
        <f t="shared" ca="1" si="306"/>
        <v>2.1166566235784927</v>
      </c>
      <c r="AG503" s="43">
        <f t="shared" ca="1" si="306"/>
        <v>2.2443066513636012</v>
      </c>
      <c r="AH503" s="43">
        <f t="shared" ca="1" si="306"/>
        <v>2.3829839993101132</v>
      </c>
      <c r="AI503" s="43">
        <f t="shared" ca="1" si="306"/>
        <v>2.5270402536078791</v>
      </c>
      <c r="AJ503" s="43">
        <f t="shared" ca="1" si="306"/>
        <v>2.6819873806876586</v>
      </c>
      <c r="AK503" s="43">
        <f t="shared" ca="1" si="306"/>
        <v>2.8383661398079312</v>
      </c>
      <c r="AL503" s="43">
        <f t="shared" ca="1" si="306"/>
        <v>3.0017240628290267</v>
      </c>
      <c r="AM503" s="43">
        <f t="shared" ca="1" si="306"/>
        <v>3.1733346128551148</v>
      </c>
      <c r="AN503" s="43">
        <f t="shared" ca="1" si="306"/>
        <v>3.3486900586838004</v>
      </c>
      <c r="AO503" s="43">
        <f t="shared" ca="1" si="306"/>
        <v>3.5167826895535939</v>
      </c>
      <c r="AP503" s="43">
        <f t="shared" ca="1" si="306"/>
        <v>3.6794877886754023</v>
      </c>
      <c r="AQ503" s="43">
        <f t="shared" ca="1" si="306"/>
        <v>3.8279783370508369</v>
      </c>
      <c r="AR503" s="43">
        <f t="shared" ca="1" si="306"/>
        <v>3.9591293517600263</v>
      </c>
      <c r="AS503" s="43">
        <f t="shared" ca="1" si="306"/>
        <v>4.0753565431628545</v>
      </c>
      <c r="AT503" s="43">
        <f t="shared" ca="1" si="306"/>
        <v>4.1982634579838134</v>
      </c>
      <c r="AU503" s="43">
        <f t="shared" ca="1" si="306"/>
        <v>4.3206933430444394</v>
      </c>
      <c r="AV503" s="43">
        <f t="shared" ca="1" si="306"/>
        <v>4.451791001801837</v>
      </c>
      <c r="AW503" s="43">
        <f t="shared" ca="1" si="306"/>
        <v>4.5767010176824101</v>
      </c>
    </row>
    <row r="504" spans="1:49" ht="15" x14ac:dyDescent="0.25">
      <c r="A504" s="2"/>
    </row>
    <row r="505" spans="1:49" ht="15" x14ac:dyDescent="0.25">
      <c r="A505" s="2" t="s">
        <v>380</v>
      </c>
    </row>
    <row r="506" spans="1:49" ht="15" x14ac:dyDescent="0.25">
      <c r="A506" s="2" t="s">
        <v>377</v>
      </c>
      <c r="J506" s="31">
        <f t="shared" ref="J506:AW506" ca="1" si="307">J$499</f>
        <v>6.235145035737844</v>
      </c>
      <c r="K506" s="31">
        <f t="shared" ca="1" si="307"/>
        <v>4.6099464338087017</v>
      </c>
      <c r="L506" s="31">
        <f t="shared" ca="1" si="307"/>
        <v>3.1909685780609891</v>
      </c>
      <c r="M506" s="31">
        <f t="shared" ca="1" si="307"/>
        <v>1.8413120014638906</v>
      </c>
      <c r="N506" s="31">
        <f t="shared" ca="1" si="307"/>
        <v>0.61100186622172714</v>
      </c>
      <c r="O506" s="31">
        <f t="shared" ca="1" si="307"/>
        <v>-1.0437023290240006</v>
      </c>
      <c r="P506" s="31">
        <f t="shared" ca="1" si="307"/>
        <v>-2.6146915722857642</v>
      </c>
      <c r="Q506" s="31">
        <f t="shared" ca="1" si="307"/>
        <v>-4.1726771185052343</v>
      </c>
      <c r="R506" s="31">
        <f t="shared" ca="1" si="307"/>
        <v>-5.9946085352025307</v>
      </c>
      <c r="S506" s="31">
        <f t="shared" ca="1" si="307"/>
        <v>-7.9505546865755434</v>
      </c>
      <c r="T506" s="31">
        <f t="shared" ca="1" si="307"/>
        <v>-10.105533493354642</v>
      </c>
      <c r="U506" s="31">
        <f t="shared" ca="1" si="307"/>
        <v>-12.517727078330722</v>
      </c>
      <c r="V506" s="31">
        <f t="shared" ca="1" si="307"/>
        <v>-15.168961137798931</v>
      </c>
      <c r="W506" s="31">
        <f t="shared" ca="1" si="307"/>
        <v>-17.880125070720737</v>
      </c>
      <c r="X506" s="31">
        <f t="shared" ca="1" si="307"/>
        <v>-20.719539998395788</v>
      </c>
      <c r="Y506" s="31">
        <f t="shared" ca="1" si="307"/>
        <v>-23.833872895609375</v>
      </c>
      <c r="Z506" s="31">
        <f t="shared" ca="1" si="307"/>
        <v>-27.147598441727098</v>
      </c>
      <c r="AA506" s="31">
        <f t="shared" ca="1" si="307"/>
        <v>-30.639359439874909</v>
      </c>
      <c r="AB506" s="31">
        <f t="shared" ca="1" si="307"/>
        <v>-34.302789571625652</v>
      </c>
      <c r="AC506" s="31">
        <f t="shared" ca="1" si="307"/>
        <v>-38.125169401307176</v>
      </c>
      <c r="AD506" s="31">
        <f t="shared" ca="1" si="307"/>
        <v>-42.108521467835232</v>
      </c>
      <c r="AE506" s="31">
        <f t="shared" ca="1" si="307"/>
        <v>-46.370129935160122</v>
      </c>
      <c r="AF506" s="31">
        <f t="shared" ca="1" si="307"/>
        <v>-50.86787841032114</v>
      </c>
      <c r="AG506" s="31">
        <f t="shared" ca="1" si="307"/>
        <v>-55.738416445821457</v>
      </c>
      <c r="AH506" s="31">
        <f t="shared" ca="1" si="307"/>
        <v>-60.961029165607044</v>
      </c>
      <c r="AI506" s="31">
        <f t="shared" ca="1" si="307"/>
        <v>-66.586984330998405</v>
      </c>
      <c r="AJ506" s="31">
        <f t="shared" ca="1" si="307"/>
        <v>-72.633659073818308</v>
      </c>
      <c r="AK506" s="31">
        <f t="shared" ca="1" si="307"/>
        <v>-79.205943835239907</v>
      </c>
      <c r="AL506" s="31">
        <f t="shared" ca="1" si="307"/>
        <v>-86.299008427045919</v>
      </c>
      <c r="AM506" s="31">
        <f t="shared" ca="1" si="307"/>
        <v>-93.964720716584736</v>
      </c>
      <c r="AN506" s="31">
        <f t="shared" ca="1" si="307"/>
        <v>-102.3056008257945</v>
      </c>
      <c r="AO506" s="31">
        <f t="shared" ca="1" si="307"/>
        <v>-111.44520997971046</v>
      </c>
      <c r="AP506" s="31">
        <f t="shared" ca="1" si="307"/>
        <v>-121.49579705219713</v>
      </c>
      <c r="AQ506" s="31">
        <f t="shared" ca="1" si="307"/>
        <v>-132.52555528843624</v>
      </c>
      <c r="AR506" s="31">
        <f t="shared" ca="1" si="307"/>
        <v>-144.66530064479292</v>
      </c>
      <c r="AS506" s="31">
        <f t="shared" ca="1" si="307"/>
        <v>-157.94904568951233</v>
      </c>
      <c r="AT506" s="31">
        <f t="shared" ca="1" si="307"/>
        <v>-172.20552424519985</v>
      </c>
      <c r="AU506" s="31">
        <f t="shared" ca="1" si="307"/>
        <v>-187.5892318671419</v>
      </c>
      <c r="AV506" s="31">
        <f t="shared" ca="1" si="307"/>
        <v>-204.08462260111702</v>
      </c>
      <c r="AW506" s="31">
        <f t="shared" ca="1" si="307"/>
        <v>-221.88924003483351</v>
      </c>
    </row>
    <row r="507" spans="1:49" ht="15" x14ac:dyDescent="0.25">
      <c r="A507" s="2" t="s">
        <v>171</v>
      </c>
      <c r="J507" s="43">
        <f t="shared" ref="J507:AW507" ca="1" si="308">J$321</f>
        <v>2.0904373223453399</v>
      </c>
      <c r="K507" s="43">
        <f t="shared" ca="1" si="308"/>
        <v>2.4201475434406792</v>
      </c>
      <c r="L507" s="43">
        <f t="shared" ca="1" si="308"/>
        <v>2.7767130085828033</v>
      </c>
      <c r="M507" s="43">
        <f t="shared" ca="1" si="308"/>
        <v>3.1596662611684017</v>
      </c>
      <c r="N507" s="43">
        <f t="shared" ca="1" si="308"/>
        <v>3.5468212286714413</v>
      </c>
      <c r="O507" s="43">
        <f t="shared" ca="1" si="308"/>
        <v>3.8810707713486252</v>
      </c>
      <c r="P507" s="43">
        <f t="shared" ca="1" si="308"/>
        <v>4.2182665312896939</v>
      </c>
      <c r="Q507" s="43">
        <f t="shared" ca="1" si="308"/>
        <v>4.5570316084027835</v>
      </c>
      <c r="R507" s="43">
        <f t="shared" ca="1" si="308"/>
        <v>4.89722964108479</v>
      </c>
      <c r="S507" s="43">
        <f t="shared" ca="1" si="308"/>
        <v>5.2400609429935363</v>
      </c>
      <c r="T507" s="43">
        <f t="shared" ca="1" si="308"/>
        <v>5.5869879562717797</v>
      </c>
      <c r="U507" s="43">
        <f t="shared" ca="1" si="308"/>
        <v>5.9381428079556695</v>
      </c>
      <c r="V507" s="43">
        <f t="shared" ca="1" si="308"/>
        <v>6.2929435677973213</v>
      </c>
      <c r="W507" s="43">
        <f t="shared" ca="1" si="308"/>
        <v>6.6507390943624758</v>
      </c>
      <c r="X507" s="43">
        <f t="shared" ca="1" si="308"/>
        <v>7.0115886931069147</v>
      </c>
      <c r="Y507" s="43">
        <f t="shared" ca="1" si="308"/>
        <v>7.3749811785947923</v>
      </c>
      <c r="Z507" s="43">
        <f t="shared" ca="1" si="308"/>
        <v>7.7409467585640277</v>
      </c>
      <c r="AA507" s="43">
        <f t="shared" ca="1" si="308"/>
        <v>8.1125415060043817</v>
      </c>
      <c r="AB507" s="43">
        <f t="shared" ca="1" si="308"/>
        <v>8.4944110091981706</v>
      </c>
      <c r="AC507" s="43">
        <f t="shared" ca="1" si="308"/>
        <v>8.8923539255007267</v>
      </c>
      <c r="AD507" s="43">
        <f t="shared" ca="1" si="308"/>
        <v>9.3131127483595577</v>
      </c>
      <c r="AE507" s="43">
        <f t="shared" ca="1" si="308"/>
        <v>9.7621130007783492</v>
      </c>
      <c r="AF507" s="43">
        <f t="shared" ca="1" si="308"/>
        <v>10.244037134140504</v>
      </c>
      <c r="AG507" s="43">
        <f t="shared" ca="1" si="308"/>
        <v>10.762790427028341</v>
      </c>
      <c r="AH507" s="43">
        <f t="shared" ca="1" si="308"/>
        <v>11.321103957180275</v>
      </c>
      <c r="AI507" s="43">
        <f t="shared" ca="1" si="308"/>
        <v>11.922457949954575</v>
      </c>
      <c r="AJ507" s="43">
        <f t="shared" ca="1" si="308"/>
        <v>12.569927144329167</v>
      </c>
      <c r="AK507" s="43">
        <f t="shared" ca="1" si="308"/>
        <v>13.265619662641802</v>
      </c>
      <c r="AL507" s="43">
        <f t="shared" ca="1" si="308"/>
        <v>14.011600179966434</v>
      </c>
      <c r="AM507" s="43">
        <f t="shared" ca="1" si="308"/>
        <v>14.810918352617955</v>
      </c>
      <c r="AN507" s="43">
        <f t="shared" ca="1" si="308"/>
        <v>15.665450573855619</v>
      </c>
      <c r="AO507" s="43">
        <f t="shared" ca="1" si="308"/>
        <v>16.575155103709438</v>
      </c>
      <c r="AP507" s="43">
        <f t="shared" ca="1" si="308"/>
        <v>17.537387330642765</v>
      </c>
      <c r="AQ507" s="43">
        <f t="shared" ca="1" si="308"/>
        <v>18.54767724618781</v>
      </c>
      <c r="AR507" s="43">
        <f t="shared" ca="1" si="308"/>
        <v>19.59998696531412</v>
      </c>
      <c r="AS507" s="43">
        <f t="shared" ca="1" si="308"/>
        <v>20.686590479834525</v>
      </c>
      <c r="AT507" s="43">
        <f t="shared" ca="1" si="308"/>
        <v>21.804611816437795</v>
      </c>
      <c r="AU507" s="43">
        <f t="shared" ca="1" si="308"/>
        <v>22.954778068978204</v>
      </c>
      <c r="AV507" s="43">
        <f t="shared" ca="1" si="308"/>
        <v>24.137347992890295</v>
      </c>
      <c r="AW507" s="43">
        <f t="shared" ca="1" si="308"/>
        <v>25.352120242949923</v>
      </c>
    </row>
    <row r="508" spans="1:49" x14ac:dyDescent="0.2">
      <c r="A508" s="1" t="s">
        <v>734</v>
      </c>
      <c r="J508" s="7">
        <f t="shared" ref="J508:AW508" ca="1" si="309">J$199</f>
        <v>1.8473977075836236</v>
      </c>
      <c r="K508" s="7">
        <f t="shared" ca="1" si="309"/>
        <v>1.9266572838664682</v>
      </c>
      <c r="L508" s="7">
        <f t="shared" ca="1" si="309"/>
        <v>2.0098351214622459</v>
      </c>
      <c r="M508" s="7">
        <f t="shared" ca="1" si="309"/>
        <v>2.0965590884876626</v>
      </c>
      <c r="N508" s="7">
        <f t="shared" ca="1" si="309"/>
        <v>2.1869256077706165</v>
      </c>
      <c r="O508" s="7">
        <f t="shared" ca="1" si="309"/>
        <v>2.2809402689735436</v>
      </c>
      <c r="P508" s="7">
        <f t="shared" ca="1" si="309"/>
        <v>2.378623511820968</v>
      </c>
      <c r="Q508" s="7">
        <f t="shared" ca="1" si="309"/>
        <v>2.4800766888277335</v>
      </c>
      <c r="R508" s="7">
        <f t="shared" ca="1" si="309"/>
        <v>2.5853347351547598</v>
      </c>
      <c r="S508" s="7">
        <f t="shared" ca="1" si="309"/>
        <v>2.6945733376275394</v>
      </c>
      <c r="T508" s="7">
        <f t="shared" ca="1" si="309"/>
        <v>2.8079366932403405</v>
      </c>
      <c r="U508" s="7">
        <f t="shared" ca="1" si="309"/>
        <v>2.9256291258654965</v>
      </c>
      <c r="V508" s="7">
        <f t="shared" ca="1" si="309"/>
        <v>3.0478007716336823</v>
      </c>
      <c r="W508" s="7">
        <f t="shared" ca="1" si="309"/>
        <v>3.1747333729402674</v>
      </c>
      <c r="X508" s="7">
        <f t="shared" ca="1" si="309"/>
        <v>3.3065524781803743</v>
      </c>
      <c r="Y508" s="7">
        <f t="shared" ca="1" si="309"/>
        <v>3.4435032971599036</v>
      </c>
      <c r="Z508" s="7">
        <f t="shared" ca="1" si="309"/>
        <v>3.5857967269845563</v>
      </c>
      <c r="AA508" s="7">
        <f t="shared" ca="1" si="309"/>
        <v>3.7337598959079883</v>
      </c>
      <c r="AB508" s="7">
        <f t="shared" ca="1" si="309"/>
        <v>3.8876385834597214</v>
      </c>
      <c r="AC508" s="7">
        <f t="shared" ca="1" si="309"/>
        <v>4.0477981045052722</v>
      </c>
      <c r="AD508" s="7">
        <f t="shared" ca="1" si="309"/>
        <v>4.2145508221288557</v>
      </c>
      <c r="AE508" s="7">
        <f t="shared" ca="1" si="309"/>
        <v>4.3881311125392415</v>
      </c>
      <c r="AF508" s="7">
        <f t="shared" ca="1" si="309"/>
        <v>4.568825000706779</v>
      </c>
      <c r="AG508" s="7">
        <f t="shared" ca="1" si="309"/>
        <v>4.7569776488587445</v>
      </c>
      <c r="AH508" s="7">
        <f t="shared" ca="1" si="309"/>
        <v>4.9528460547940414</v>
      </c>
      <c r="AI508" s="7">
        <f t="shared" ca="1" si="309"/>
        <v>5.156601432198193</v>
      </c>
      <c r="AJ508" s="7">
        <f t="shared" ca="1" si="309"/>
        <v>5.3686610158943964</v>
      </c>
      <c r="AK508" s="7">
        <f t="shared" ca="1" si="309"/>
        <v>5.5892484609850452</v>
      </c>
      <c r="AL508" s="7">
        <f t="shared" ca="1" si="309"/>
        <v>5.8185112517001842</v>
      </c>
      <c r="AM508" s="7">
        <f t="shared" ca="1" si="309"/>
        <v>6.0567875230644352</v>
      </c>
      <c r="AN508" s="7">
        <f t="shared" ca="1" si="309"/>
        <v>6.3044644486134098</v>
      </c>
      <c r="AO508" s="7">
        <f t="shared" ca="1" si="309"/>
        <v>6.5614660042251431</v>
      </c>
      <c r="AP508" s="7">
        <f t="shared" ca="1" si="309"/>
        <v>6.8283150643855297</v>
      </c>
      <c r="AQ508" s="7">
        <f t="shared" ca="1" si="309"/>
        <v>7.105033544535285</v>
      </c>
      <c r="AR508" s="7">
        <f t="shared" ca="1" si="309"/>
        <v>7.3918866291152847</v>
      </c>
      <c r="AS508" s="7">
        <f t="shared" ca="1" si="309"/>
        <v>7.6892354611312665</v>
      </c>
      <c r="AT508" s="7">
        <f t="shared" ca="1" si="309"/>
        <v>7.9973174803087321</v>
      </c>
      <c r="AU508" s="7">
        <f t="shared" ca="1" si="309"/>
        <v>8.3164898594176275</v>
      </c>
      <c r="AV508" s="7">
        <f t="shared" ca="1" si="309"/>
        <v>8.6472608385267478</v>
      </c>
      <c r="AW508" s="7">
        <f t="shared" ca="1" si="309"/>
        <v>8.989916553071847</v>
      </c>
    </row>
    <row r="509" spans="1:49" x14ac:dyDescent="0.2">
      <c r="A509" s="1" t="s">
        <v>738</v>
      </c>
      <c r="J509" s="7">
        <f>SUM(J$387,J$390)</f>
        <v>0.72199999999999998</v>
      </c>
      <c r="K509" s="7">
        <f t="shared" ref="K509:AW509" si="310">SUM(K$387,K$390)</f>
        <v>0.72699999999999998</v>
      </c>
      <c r="L509" s="7">
        <f t="shared" si="310"/>
        <v>0.74099999999999999</v>
      </c>
      <c r="M509" s="7">
        <f t="shared" si="310"/>
        <v>0.755</v>
      </c>
      <c r="N509" s="7">
        <f t="shared" si="310"/>
        <v>0.78</v>
      </c>
      <c r="O509" s="7">
        <f t="shared" si="310"/>
        <v>0.80200000000000005</v>
      </c>
      <c r="P509" s="7">
        <f t="shared" si="310"/>
        <v>0.82699999999999996</v>
      </c>
      <c r="Q509" s="7">
        <f t="shared" si="310"/>
        <v>0.85199999999999998</v>
      </c>
      <c r="R509" s="7">
        <f t="shared" si="310"/>
        <v>0.874</v>
      </c>
      <c r="S509" s="7">
        <f t="shared" si="310"/>
        <v>0.89600000000000002</v>
      </c>
      <c r="T509" s="7">
        <f t="shared" si="310"/>
        <v>0.92200000000000004</v>
      </c>
      <c r="U509" s="7">
        <f t="shared" si="310"/>
        <v>0.94500000000000006</v>
      </c>
      <c r="V509" s="7">
        <f t="shared" si="310"/>
        <v>0.96700000000000008</v>
      </c>
      <c r="W509" s="7">
        <f t="shared" si="310"/>
        <v>0.9890000000000001</v>
      </c>
      <c r="X509" s="7">
        <f t="shared" si="310"/>
        <v>1.0110000000000001</v>
      </c>
      <c r="Y509" s="7">
        <f t="shared" si="310"/>
        <v>1.0350000000000001</v>
      </c>
      <c r="Z509" s="7">
        <f t="shared" si="310"/>
        <v>1.0640000000000001</v>
      </c>
      <c r="AA509" s="7">
        <f t="shared" si="310"/>
        <v>1.0920000000000001</v>
      </c>
      <c r="AB509" s="7">
        <f t="shared" si="310"/>
        <v>1.125</v>
      </c>
      <c r="AC509" s="7">
        <f t="shared" si="310"/>
        <v>1.1619999999999999</v>
      </c>
      <c r="AD509" s="7">
        <f t="shared" si="310"/>
        <v>1.1949999999999998</v>
      </c>
      <c r="AE509" s="7">
        <f t="shared" si="310"/>
        <v>1.2299999999999998</v>
      </c>
      <c r="AF509" s="7">
        <f t="shared" si="310"/>
        <v>1.2629999999999997</v>
      </c>
      <c r="AG509" s="7">
        <f t="shared" si="310"/>
        <v>1.2969999999999997</v>
      </c>
      <c r="AH509" s="7">
        <f t="shared" si="310"/>
        <v>1.3399999999999996</v>
      </c>
      <c r="AI509" s="7">
        <f t="shared" si="310"/>
        <v>1.3819999999999997</v>
      </c>
      <c r="AJ509" s="7">
        <f t="shared" si="310"/>
        <v>1.4199999999999997</v>
      </c>
      <c r="AK509" s="7">
        <f t="shared" si="310"/>
        <v>1.4539999999999997</v>
      </c>
      <c r="AL509" s="7">
        <f t="shared" si="310"/>
        <v>1.4869999999999997</v>
      </c>
      <c r="AM509" s="7">
        <f t="shared" si="310"/>
        <v>1.5179999999999996</v>
      </c>
      <c r="AN509" s="7">
        <f t="shared" si="310"/>
        <v>1.5549999999999995</v>
      </c>
      <c r="AO509" s="7">
        <f t="shared" si="310"/>
        <v>1.5919999999999994</v>
      </c>
      <c r="AP509" s="7">
        <f t="shared" si="310"/>
        <v>1.6259999999999994</v>
      </c>
      <c r="AQ509" s="7">
        <f t="shared" si="310"/>
        <v>1.6659999999999995</v>
      </c>
      <c r="AR509" s="7">
        <f t="shared" si="310"/>
        <v>1.7039999999999995</v>
      </c>
      <c r="AS509" s="7">
        <f t="shared" si="310"/>
        <v>1.7419999999999995</v>
      </c>
      <c r="AT509" s="7">
        <f t="shared" si="310"/>
        <v>1.7829999999999995</v>
      </c>
      <c r="AU509" s="7">
        <f t="shared" si="310"/>
        <v>1.8249999999999995</v>
      </c>
      <c r="AV509" s="7">
        <f t="shared" si="310"/>
        <v>1.8739999999999994</v>
      </c>
      <c r="AW509" s="7">
        <f t="shared" si="310"/>
        <v>1.9149999999999994</v>
      </c>
    </row>
    <row r="510" spans="1:49" x14ac:dyDescent="0.2">
      <c r="A510" s="1" t="s">
        <v>752</v>
      </c>
      <c r="J510" s="7">
        <f>J$463-I$463</f>
        <v>-0.27679100696643566</v>
      </c>
      <c r="K510" s="7">
        <f t="shared" ref="K510:AW510" si="311">K$463-J$463</f>
        <v>-0.29151393286890581</v>
      </c>
      <c r="L510" s="7">
        <f t="shared" si="311"/>
        <v>-0.29838463162338869</v>
      </c>
      <c r="M510" s="7">
        <f t="shared" si="311"/>
        <v>-0.29445851804940126</v>
      </c>
      <c r="N510" s="7">
        <f t="shared" si="311"/>
        <v>-0.28955087608190588</v>
      </c>
      <c r="O510" s="7">
        <f t="shared" si="311"/>
        <v>-0.28071712054042575</v>
      </c>
      <c r="P510" s="7">
        <f t="shared" si="311"/>
        <v>-0.27482795017944017</v>
      </c>
      <c r="Q510" s="7">
        <f t="shared" si="311"/>
        <v>-0.27188336499894294</v>
      </c>
      <c r="R510" s="7">
        <f t="shared" si="311"/>
        <v>-0.27875406375343115</v>
      </c>
      <c r="S510" s="7">
        <f t="shared" si="311"/>
        <v>-0.28366170572091942</v>
      </c>
      <c r="T510" s="7">
        <f t="shared" si="311"/>
        <v>-0.28955087608190855</v>
      </c>
      <c r="U510" s="7">
        <f t="shared" si="311"/>
        <v>-0.29249546126240222</v>
      </c>
      <c r="V510" s="7">
        <f t="shared" si="311"/>
        <v>-0.29838463162339135</v>
      </c>
      <c r="W510" s="7">
        <f t="shared" si="311"/>
        <v>-0.30034768841038595</v>
      </c>
      <c r="X510" s="7">
        <f t="shared" si="311"/>
        <v>-0.29936616001688865</v>
      </c>
      <c r="Y510" s="7">
        <f t="shared" si="311"/>
        <v>-0.28955087608190766</v>
      </c>
      <c r="Z510" s="7">
        <f t="shared" si="311"/>
        <v>-0.2846432341144185</v>
      </c>
      <c r="AA510" s="7">
        <f t="shared" si="311"/>
        <v>-0.28071712054042575</v>
      </c>
      <c r="AB510" s="7">
        <f t="shared" si="311"/>
        <v>-0.27482795017943884</v>
      </c>
      <c r="AC510" s="7">
        <f t="shared" si="311"/>
        <v>-0.26697572303145467</v>
      </c>
      <c r="AD510" s="7">
        <f t="shared" si="311"/>
        <v>-0.26010502427696824</v>
      </c>
      <c r="AE510" s="7">
        <f t="shared" si="311"/>
        <v>-0.25225279712898363</v>
      </c>
      <c r="AF510" s="7">
        <f t="shared" si="311"/>
        <v>-0.24145598480050712</v>
      </c>
      <c r="AG510" s="7">
        <f t="shared" si="311"/>
        <v>-0.23164070086552702</v>
      </c>
      <c r="AH510" s="7">
        <f t="shared" si="311"/>
        <v>-0.22182541693054647</v>
      </c>
      <c r="AI510" s="7">
        <f t="shared" si="311"/>
        <v>-0.21004707620857088</v>
      </c>
      <c r="AJ510" s="7">
        <f t="shared" si="311"/>
        <v>-0.20023179227359056</v>
      </c>
      <c r="AK510" s="7">
        <f t="shared" si="311"/>
        <v>-0.187471923158117</v>
      </c>
      <c r="AL510" s="7">
        <f t="shared" si="311"/>
        <v>-0.17569358243614119</v>
      </c>
      <c r="AM510" s="7">
        <f t="shared" si="311"/>
        <v>-0.1648967701076629</v>
      </c>
      <c r="AN510" s="7">
        <f t="shared" si="311"/>
        <v>-0.15213690099218891</v>
      </c>
      <c r="AO510" s="7">
        <f t="shared" si="311"/>
        <v>-0.14134008866371106</v>
      </c>
      <c r="AP510" s="7">
        <f t="shared" si="311"/>
        <v>-0.13054327633523344</v>
      </c>
      <c r="AQ510" s="7">
        <f t="shared" si="311"/>
        <v>-0.11974646400675515</v>
      </c>
      <c r="AR510" s="7">
        <f t="shared" si="311"/>
        <v>-0.10894965167827764</v>
      </c>
      <c r="AS510" s="7">
        <f t="shared" si="311"/>
        <v>-0.10011589613679528</v>
      </c>
      <c r="AT510" s="7">
        <f t="shared" si="311"/>
        <v>-8.9319083808317434E-2</v>
      </c>
      <c r="AU510" s="7">
        <f t="shared" si="311"/>
        <v>-8.0485328266835521E-2</v>
      </c>
      <c r="AV510" s="7">
        <f t="shared" si="311"/>
        <v>-7.0670044331855641E-2</v>
      </c>
      <c r="AW510" s="7">
        <f t="shared" si="311"/>
        <v>-6.3799345577369659E-2</v>
      </c>
    </row>
    <row r="511" spans="1:49" x14ac:dyDescent="0.2">
      <c r="A511" s="1" t="s">
        <v>753</v>
      </c>
      <c r="J511" s="7">
        <f t="shared" ref="J511:AW511" ca="1" si="312">J$457-I$457</f>
        <v>9.7670795857817197E-4</v>
      </c>
      <c r="K511" s="7">
        <f t="shared" ca="1" si="312"/>
        <v>5.0050898908880932E-4</v>
      </c>
      <c r="L511" s="7">
        <f t="shared" ca="1" si="312"/>
        <v>5.4082859096028606E-4</v>
      </c>
      <c r="M511" s="7">
        <f t="shared" ca="1" si="312"/>
        <v>5.6246358176071515E-4</v>
      </c>
      <c r="N511" s="7">
        <f t="shared" ca="1" si="312"/>
        <v>5.8569308816212341E-4</v>
      </c>
      <c r="O511" s="7">
        <f t="shared" ca="1" si="312"/>
        <v>6.047088924825382E-4</v>
      </c>
      <c r="P511" s="7">
        <f t="shared" ca="1" si="312"/>
        <v>6.2464560051159537E-4</v>
      </c>
      <c r="Q511" s="7">
        <f t="shared" ca="1" si="312"/>
        <v>6.4390757659544585E-4</v>
      </c>
      <c r="R511" s="7">
        <f t="shared" ca="1" si="312"/>
        <v>6.6269163320337859E-4</v>
      </c>
      <c r="S511" s="7">
        <f t="shared" ca="1" si="312"/>
        <v>6.8358169679895789E-4</v>
      </c>
      <c r="T511" s="7">
        <f t="shared" ca="1" si="312"/>
        <v>7.047210394955164E-4</v>
      </c>
      <c r="U511" s="7">
        <f t="shared" ca="1" si="312"/>
        <v>7.2838960742661191E-4</v>
      </c>
      <c r="V511" s="7">
        <f t="shared" ca="1" si="312"/>
        <v>7.5385620926403732E-4</v>
      </c>
      <c r="W511" s="7">
        <f t="shared" ca="1" si="312"/>
        <v>7.8150692269039063E-4</v>
      </c>
      <c r="X511" s="7">
        <f t="shared" ca="1" si="312"/>
        <v>8.1163302594723999E-4</v>
      </c>
      <c r="Y511" s="7">
        <f t="shared" ca="1" si="312"/>
        <v>8.4167615343501076E-4</v>
      </c>
      <c r="Z511" s="7">
        <f t="shared" ca="1" si="312"/>
        <v>8.759795446225023E-4</v>
      </c>
      <c r="AA511" s="7">
        <f t="shared" ca="1" si="312"/>
        <v>9.1170027373399867E-4</v>
      </c>
      <c r="AB511" s="7">
        <f t="shared" ca="1" si="312"/>
        <v>9.5015892296419421E-4</v>
      </c>
      <c r="AC511" s="7">
        <f t="shared" ca="1" si="312"/>
        <v>9.9220455106741046E-4</v>
      </c>
      <c r="AD511" s="7">
        <f t="shared" ca="1" si="312"/>
        <v>1.0352959750069904E-3</v>
      </c>
      <c r="AE511" s="7">
        <f t="shared" ca="1" si="312"/>
        <v>1.0774366175843909E-3</v>
      </c>
      <c r="AF511" s="7">
        <f t="shared" ca="1" si="312"/>
        <v>1.1225580958759487E-3</v>
      </c>
      <c r="AG511" s="7">
        <f t="shared" ca="1" si="312"/>
        <v>1.1683072617145011E-3</v>
      </c>
      <c r="AH511" s="7">
        <f t="shared" ca="1" si="312"/>
        <v>1.215929889311726E-3</v>
      </c>
      <c r="AI511" s="7">
        <f t="shared" ca="1" si="312"/>
        <v>1.2614278848787006E-3</v>
      </c>
      <c r="AJ511" s="7">
        <f t="shared" ca="1" si="312"/>
        <v>1.3109668624465762E-3</v>
      </c>
      <c r="AK511" s="7">
        <f t="shared" ca="1" si="312"/>
        <v>1.3594273982909244E-3</v>
      </c>
      <c r="AL511" s="7">
        <f t="shared" ca="1" si="312"/>
        <v>1.40681707566951E-3</v>
      </c>
      <c r="AM511" s="7">
        <f t="shared" ca="1" si="312"/>
        <v>1.4561286483695951E-3</v>
      </c>
      <c r="AN511" s="7">
        <f t="shared" ca="1" si="312"/>
        <v>1.5074656819182783E-3</v>
      </c>
      <c r="AO511" s="7">
        <f t="shared" ca="1" si="312"/>
        <v>1.5528834190398563E-3</v>
      </c>
      <c r="AP511" s="7">
        <f t="shared" ca="1" si="312"/>
        <v>1.6048954680197638E-3</v>
      </c>
      <c r="AQ511" s="7">
        <f t="shared" ca="1" si="312"/>
        <v>1.6524106049629061E-3</v>
      </c>
      <c r="AR511" s="7">
        <f t="shared" ca="1" si="312"/>
        <v>1.7017965663219461E-3</v>
      </c>
      <c r="AS511" s="7">
        <f t="shared" ca="1" si="312"/>
        <v>1.7551527699837879E-3</v>
      </c>
      <c r="AT511" s="7">
        <f t="shared" ca="1" si="312"/>
        <v>1.8099107567009012E-3</v>
      </c>
      <c r="AU511" s="7">
        <f t="shared" ca="1" si="312"/>
        <v>1.8670755206716058E-3</v>
      </c>
      <c r="AV511" s="7">
        <f t="shared" ca="1" si="312"/>
        <v>1.9300130918312106E-3</v>
      </c>
      <c r="AW511" s="7">
        <f t="shared" ca="1" si="312"/>
        <v>1.991861062176227E-3</v>
      </c>
    </row>
    <row r="512" spans="1:49" x14ac:dyDescent="0.2">
      <c r="A512" s="1" t="s">
        <v>754</v>
      </c>
      <c r="J512" s="7">
        <f t="shared" ref="J512:AW512" ca="1" si="313">-J$328</f>
        <v>-0.10345949497309953</v>
      </c>
      <c r="K512" s="7">
        <f t="shared" ca="1" si="313"/>
        <v>-0.10778308768486272</v>
      </c>
      <c r="L512" s="7">
        <f t="shared" ca="1" si="313"/>
        <v>-0.11245497691195938</v>
      </c>
      <c r="M512" s="7">
        <f t="shared" ca="1" si="313"/>
        <v>-0.11731375766464901</v>
      </c>
      <c r="N512" s="7">
        <f t="shared" ca="1" si="313"/>
        <v>-0.12237320399331125</v>
      </c>
      <c r="O512" s="7">
        <f t="shared" ca="1" si="313"/>
        <v>-0.12759691628874015</v>
      </c>
      <c r="P512" s="7">
        <f t="shared" ca="1" si="313"/>
        <v>-0.13299284967791583</v>
      </c>
      <c r="Q512" s="7">
        <f t="shared" ca="1" si="313"/>
        <v>-0.13855517556198341</v>
      </c>
      <c r="R512" s="7">
        <f t="shared" ca="1" si="313"/>
        <v>-0.14427976548529481</v>
      </c>
      <c r="S512" s="7">
        <f t="shared" ca="1" si="313"/>
        <v>-0.1501848119611939</v>
      </c>
      <c r="T512" s="7">
        <f t="shared" ca="1" si="313"/>
        <v>-0.15627246836020489</v>
      </c>
      <c r="U512" s="7">
        <f t="shared" ca="1" si="313"/>
        <v>-0.1625645831206752</v>
      </c>
      <c r="V512" s="7">
        <f t="shared" ca="1" si="313"/>
        <v>-0.16907668836383014</v>
      </c>
      <c r="W512" s="7">
        <f t="shared" ca="1" si="313"/>
        <v>-0.17582765130115532</v>
      </c>
      <c r="X512" s="7">
        <f t="shared" ca="1" si="313"/>
        <v>-0.18283885531968924</v>
      </c>
      <c r="Y512" s="7">
        <f t="shared" ca="1" si="313"/>
        <v>-0.19010958364223449</v>
      </c>
      <c r="Z512" s="7">
        <f t="shared" ca="1" si="313"/>
        <v>-0.19767663809549918</v>
      </c>
      <c r="AA512" s="7">
        <f t="shared" ca="1" si="313"/>
        <v>-0.20555226219968364</v>
      </c>
      <c r="AB512" s="7">
        <f t="shared" ca="1" si="313"/>
        <v>-0.21376010718129659</v>
      </c>
      <c r="AC512" s="7">
        <f t="shared" ca="1" si="313"/>
        <v>-0.22233115876896775</v>
      </c>
      <c r="AD512" s="7">
        <f t="shared" ca="1" si="313"/>
        <v>-0.23127445095680049</v>
      </c>
      <c r="AE512" s="7">
        <f t="shared" ca="1" si="313"/>
        <v>-0.24058177052293933</v>
      </c>
      <c r="AF512" s="7">
        <f t="shared" ca="1" si="313"/>
        <v>-0.25027886709396385</v>
      </c>
      <c r="AG512" s="7">
        <f t="shared" ca="1" si="313"/>
        <v>-0.26037116288078843</v>
      </c>
      <c r="AH512" s="7">
        <f t="shared" ca="1" si="313"/>
        <v>-0.27087484157997438</v>
      </c>
      <c r="AI512" s="7">
        <f t="shared" ca="1" si="313"/>
        <v>-0.28177154978776381</v>
      </c>
      <c r="AJ512" s="7">
        <f t="shared" ca="1" si="313"/>
        <v>-0.29309619508965135</v>
      </c>
      <c r="AK512" s="7">
        <f t="shared" ca="1" si="313"/>
        <v>-0.30483946148357199</v>
      </c>
      <c r="AL512" s="7">
        <f t="shared" ca="1" si="313"/>
        <v>-0.31699209847461207</v>
      </c>
      <c r="AM512" s="7">
        <f t="shared" ca="1" si="313"/>
        <v>-0.32957070814742107</v>
      </c>
      <c r="AN512" s="7">
        <f t="shared" ca="1" si="313"/>
        <v>-0.34259278722624159</v>
      </c>
      <c r="AO512" s="7">
        <f t="shared" ca="1" si="313"/>
        <v>-0.35600720250977469</v>
      </c>
      <c r="AP512" s="7">
        <f t="shared" ca="1" si="313"/>
        <v>-0.36987091824703755</v>
      </c>
      <c r="AQ512" s="7">
        <f t="shared" ca="1" si="313"/>
        <v>-0.38414508835028449</v>
      </c>
      <c r="AR512" s="7">
        <f t="shared" ca="1" si="313"/>
        <v>-0.39884587373367675</v>
      </c>
      <c r="AS512" s="7">
        <f t="shared" ca="1" si="313"/>
        <v>-0.41400757090548596</v>
      </c>
      <c r="AT512" s="7">
        <f t="shared" ca="1" si="313"/>
        <v>-0.42964228901686297</v>
      </c>
      <c r="AU512" s="7">
        <f t="shared" ca="1" si="313"/>
        <v>-0.44577081875252944</v>
      </c>
      <c r="AV512" s="7">
        <f t="shared" ca="1" si="313"/>
        <v>-0.46244302788236052</v>
      </c>
      <c r="AW512" s="7">
        <f t="shared" ca="1" si="313"/>
        <v>-0.4796495040076913</v>
      </c>
    </row>
    <row r="513" spans="1:49" ht="15" x14ac:dyDescent="0.25">
      <c r="A513" s="2" t="s">
        <v>739</v>
      </c>
      <c r="J513" s="43">
        <f t="shared" ref="J513:AW513" ca="1" si="314">-SUM(J$508:J$512)</f>
        <v>-2.1901239136026667</v>
      </c>
      <c r="K513" s="43">
        <f t="shared" ca="1" si="314"/>
        <v>-2.2548607723017882</v>
      </c>
      <c r="L513" s="43">
        <f t="shared" ca="1" si="314"/>
        <v>-2.3405363415178582</v>
      </c>
      <c r="M513" s="43">
        <f t="shared" ca="1" si="314"/>
        <v>-2.4403492763553731</v>
      </c>
      <c r="N513" s="43">
        <f t="shared" ca="1" si="314"/>
        <v>-2.5555872207835617</v>
      </c>
      <c r="O513" s="43">
        <f t="shared" ca="1" si="314"/>
        <v>-2.6752309410368604</v>
      </c>
      <c r="P513" s="43">
        <f t="shared" ca="1" si="314"/>
        <v>-2.7984273575641234</v>
      </c>
      <c r="Q513" s="43">
        <f t="shared" ca="1" si="314"/>
        <v>-2.9222820558434024</v>
      </c>
      <c r="R513" s="43">
        <f t="shared" ca="1" si="314"/>
        <v>-3.0369635975492373</v>
      </c>
      <c r="S513" s="43">
        <f t="shared" ca="1" si="314"/>
        <v>-3.1574104016422253</v>
      </c>
      <c r="T513" s="43">
        <f t="shared" ca="1" si="314"/>
        <v>-3.2848180698377227</v>
      </c>
      <c r="U513" s="43">
        <f t="shared" ca="1" si="314"/>
        <v>-3.4162974710898464</v>
      </c>
      <c r="V513" s="43">
        <f t="shared" ca="1" si="314"/>
        <v>-3.5480933078557251</v>
      </c>
      <c r="W513" s="43">
        <f t="shared" ca="1" si="314"/>
        <v>-3.688339540151417</v>
      </c>
      <c r="X513" s="43">
        <f t="shared" ca="1" si="314"/>
        <v>-3.8361590958697436</v>
      </c>
      <c r="Y513" s="43">
        <f t="shared" ca="1" si="314"/>
        <v>-3.9996845135891963</v>
      </c>
      <c r="Z513" s="43">
        <f t="shared" ca="1" si="314"/>
        <v>-4.1683528343192613</v>
      </c>
      <c r="AA513" s="43">
        <f t="shared" ca="1" si="314"/>
        <v>-4.3404022134416138</v>
      </c>
      <c r="AB513" s="43">
        <f t="shared" ca="1" si="314"/>
        <v>-4.5250006850219506</v>
      </c>
      <c r="AC513" s="43">
        <f t="shared" ca="1" si="314"/>
        <v>-4.7214834272559179</v>
      </c>
      <c r="AD513" s="43">
        <f t="shared" ca="1" si="314"/>
        <v>-4.9192066428700931</v>
      </c>
      <c r="AE513" s="43">
        <f t="shared" ca="1" si="314"/>
        <v>-5.1263739815049023</v>
      </c>
      <c r="AF513" s="43">
        <f t="shared" ca="1" si="314"/>
        <v>-5.3412127069081841</v>
      </c>
      <c r="AG513" s="43">
        <f t="shared" ca="1" si="314"/>
        <v>-5.5631340923741437</v>
      </c>
      <c r="AH513" s="43">
        <f t="shared" ca="1" si="314"/>
        <v>-5.8013617261728312</v>
      </c>
      <c r="AI513" s="43">
        <f t="shared" ca="1" si="314"/>
        <v>-6.0480442340867375</v>
      </c>
      <c r="AJ513" s="43">
        <f t="shared" ca="1" si="314"/>
        <v>-6.2966439953936009</v>
      </c>
      <c r="AK513" s="43">
        <f t="shared" ca="1" si="314"/>
        <v>-6.5522965037416476</v>
      </c>
      <c r="AL513" s="43">
        <f t="shared" ca="1" si="314"/>
        <v>-6.8142323878650997</v>
      </c>
      <c r="AM513" s="43">
        <f t="shared" ca="1" si="314"/>
        <v>-7.0817761734577207</v>
      </c>
      <c r="AN513" s="43">
        <f t="shared" ca="1" si="314"/>
        <v>-7.3662422260768974</v>
      </c>
      <c r="AO513" s="43">
        <f t="shared" ca="1" si="314"/>
        <v>-7.6576715964706974</v>
      </c>
      <c r="AP513" s="43">
        <f t="shared" ca="1" si="314"/>
        <v>-7.9555057652712788</v>
      </c>
      <c r="AQ513" s="43">
        <f t="shared" ca="1" si="314"/>
        <v>-8.2687944027832092</v>
      </c>
      <c r="AR513" s="43">
        <f t="shared" ca="1" si="314"/>
        <v>-8.58979290026965</v>
      </c>
      <c r="AS513" s="43">
        <f t="shared" ca="1" si="314"/>
        <v>-8.9188671468589682</v>
      </c>
      <c r="AT513" s="43">
        <f t="shared" ca="1" si="314"/>
        <v>-9.263166018240252</v>
      </c>
      <c r="AU513" s="43">
        <f t="shared" ca="1" si="314"/>
        <v>-9.6171007879189325</v>
      </c>
      <c r="AV513" s="43">
        <f t="shared" ca="1" si="314"/>
        <v>-9.9900777794043627</v>
      </c>
      <c r="AW513" s="43">
        <f t="shared" ca="1" si="314"/>
        <v>-10.363459564548963</v>
      </c>
    </row>
    <row r="514" spans="1:49" x14ac:dyDescent="0.2">
      <c r="A514" s="1" t="s">
        <v>220</v>
      </c>
      <c r="J514" s="7">
        <f t="shared" ref="J514:AW514" ca="1" si="315">J$341-I$341-(J$447-I$447)</f>
        <v>0.71684197980801834</v>
      </c>
      <c r="K514" s="7">
        <f t="shared" ca="1" si="315"/>
        <v>0.65953774933324905</v>
      </c>
      <c r="L514" s="7">
        <f t="shared" ca="1" si="315"/>
        <v>0.68748126961985268</v>
      </c>
      <c r="M514" s="7">
        <f t="shared" ca="1" si="315"/>
        <v>0.71440331927813006</v>
      </c>
      <c r="N514" s="7">
        <f t="shared" ca="1" si="315"/>
        <v>0.74125957022386846</v>
      </c>
      <c r="O514" s="7">
        <f t="shared" ca="1" si="315"/>
        <v>0.76255157531476048</v>
      </c>
      <c r="P514" s="7">
        <f t="shared" ca="1" si="315"/>
        <v>0.78280451262060158</v>
      </c>
      <c r="Q514" s="7">
        <f t="shared" ca="1" si="315"/>
        <v>0.80278510907381406</v>
      </c>
      <c r="R514" s="7">
        <f t="shared" ca="1" si="315"/>
        <v>0.82334210846356104</v>
      </c>
      <c r="S514" s="7">
        <f t="shared" ca="1" si="315"/>
        <v>0.8467058756053234</v>
      </c>
      <c r="T514" s="7">
        <f t="shared" ca="1" si="315"/>
        <v>0.87136858454346466</v>
      </c>
      <c r="U514" s="7">
        <f t="shared" ca="1" si="315"/>
        <v>0.89620951594303833</v>
      </c>
      <c r="V514" s="7">
        <f t="shared" ca="1" si="315"/>
        <v>0.92107426175281404</v>
      </c>
      <c r="W514" s="7">
        <f t="shared" ca="1" si="315"/>
        <v>0.94610116905401753</v>
      </c>
      <c r="X514" s="7">
        <f t="shared" ca="1" si="315"/>
        <v>0.97279327369477642</v>
      </c>
      <c r="Y514" s="7">
        <f t="shared" ca="1" si="315"/>
        <v>0.9983743841528181</v>
      </c>
      <c r="Z514" s="7">
        <f t="shared" ca="1" si="315"/>
        <v>1.027140515985197</v>
      </c>
      <c r="AA514" s="7">
        <f t="shared" ca="1" si="315"/>
        <v>1.061025976015701</v>
      </c>
      <c r="AB514" s="7">
        <f t="shared" ca="1" si="315"/>
        <v>1.1014098091738358</v>
      </c>
      <c r="AC514" s="7">
        <f t="shared" ca="1" si="315"/>
        <v>1.1494197938577599</v>
      </c>
      <c r="AD514" s="7">
        <f t="shared" ca="1" si="315"/>
        <v>1.2059951814156022</v>
      </c>
      <c r="AE514" s="7">
        <f t="shared" ca="1" si="315"/>
        <v>1.2673109398050286</v>
      </c>
      <c r="AF514" s="7">
        <f t="shared" ca="1" si="315"/>
        <v>1.3360128002413738</v>
      </c>
      <c r="AG514" s="7">
        <f t="shared" ca="1" si="315"/>
        <v>1.4076599528444849</v>
      </c>
      <c r="AH514" s="7">
        <f t="shared" ca="1" si="315"/>
        <v>1.4846951250686367</v>
      </c>
      <c r="AI514" s="7">
        <f t="shared" ca="1" si="315"/>
        <v>1.5660612839508996</v>
      </c>
      <c r="AJ514" s="7">
        <f t="shared" ca="1" si="315"/>
        <v>1.6520535794027111</v>
      </c>
      <c r="AK514" s="7">
        <f t="shared" ca="1" si="315"/>
        <v>1.7404210872753012</v>
      </c>
      <c r="AL514" s="7">
        <f t="shared" ca="1" si="315"/>
        <v>1.8334836908094907</v>
      </c>
      <c r="AM514" s="7">
        <f t="shared" ca="1" si="315"/>
        <v>1.9307887850828784</v>
      </c>
      <c r="AN514" s="7">
        <f t="shared" ca="1" si="315"/>
        <v>2.0304460365264951</v>
      </c>
      <c r="AO514" s="7">
        <f t="shared" ca="1" si="315"/>
        <v>2.1303981019392495</v>
      </c>
      <c r="AP514" s="7">
        <f t="shared" ca="1" si="315"/>
        <v>2.2272478863701153</v>
      </c>
      <c r="AQ514" s="7">
        <f t="shared" ca="1" si="315"/>
        <v>2.3210056708861622</v>
      </c>
      <c r="AR514" s="7">
        <f t="shared" ca="1" si="315"/>
        <v>2.4081697802851565</v>
      </c>
      <c r="AS514" s="7">
        <f t="shared" ca="1" si="315"/>
        <v>2.4891437266710597</v>
      </c>
      <c r="AT514" s="7">
        <f t="shared" ca="1" si="315"/>
        <v>2.5740313141340891</v>
      </c>
      <c r="AU514" s="7">
        <f t="shared" ca="1" si="315"/>
        <v>2.6595137898915162</v>
      </c>
      <c r="AV514" s="7">
        <f t="shared" ca="1" si="315"/>
        <v>2.7484573404260786</v>
      </c>
      <c r="AW514" s="7">
        <f t="shared" ca="1" si="315"/>
        <v>2.8369319906800925</v>
      </c>
    </row>
    <row r="515" spans="1:49" x14ac:dyDescent="0.2">
      <c r="A515" s="1" t="s">
        <v>221</v>
      </c>
      <c r="J515" s="7">
        <f t="shared" ref="J515:AW515" ca="1" si="316">J$155-(J$474+J$363-J$365)-(J$212-J$478)</f>
        <v>0.60516055064334884</v>
      </c>
      <c r="K515" s="7">
        <f t="shared" ca="1" si="316"/>
        <v>0.62707904298806527</v>
      </c>
      <c r="L515" s="7">
        <f t="shared" ca="1" si="316"/>
        <v>0.64349293230199756</v>
      </c>
      <c r="M515" s="7">
        <f t="shared" ca="1" si="316"/>
        <v>0.666317095740947</v>
      </c>
      <c r="N515" s="7">
        <f t="shared" ca="1" si="316"/>
        <v>0.6797111377758891</v>
      </c>
      <c r="O515" s="7">
        <f t="shared" ca="1" si="316"/>
        <v>0.69194011451116211</v>
      </c>
      <c r="P515" s="7">
        <f t="shared" ca="1" si="316"/>
        <v>0.70346956766904256</v>
      </c>
      <c r="Q515" s="7">
        <f t="shared" ca="1" si="316"/>
        <v>0.72078524971578517</v>
      </c>
      <c r="R515" s="7">
        <f t="shared" ca="1" si="316"/>
        <v>0.73460883728565918</v>
      </c>
      <c r="S515" s="7">
        <f t="shared" ca="1" si="316"/>
        <v>0.7508403389688274</v>
      </c>
      <c r="T515" s="7">
        <f t="shared" ca="1" si="316"/>
        <v>0.76841755049851201</v>
      </c>
      <c r="U515" s="7">
        <f t="shared" ca="1" si="316"/>
        <v>0.78126789599288138</v>
      </c>
      <c r="V515" s="7">
        <f t="shared" ca="1" si="316"/>
        <v>0.79631457321721921</v>
      </c>
      <c r="W515" s="7">
        <f t="shared" ca="1" si="316"/>
        <v>0.81051091657104557</v>
      </c>
      <c r="X515" s="7">
        <f t="shared" ca="1" si="316"/>
        <v>0.8258222953472858</v>
      </c>
      <c r="Y515" s="7">
        <f t="shared" ca="1" si="316"/>
        <v>0.83818829826250063</v>
      </c>
      <c r="Z515" s="7">
        <f t="shared" ca="1" si="316"/>
        <v>0.85152896374822795</v>
      </c>
      <c r="AA515" s="7">
        <f t="shared" ca="1" si="316"/>
        <v>0.86175726467424685</v>
      </c>
      <c r="AB515" s="7">
        <f t="shared" ca="1" si="316"/>
        <v>0.87678727195420603</v>
      </c>
      <c r="AC515" s="7">
        <f t="shared" ca="1" si="316"/>
        <v>0.88753038977978349</v>
      </c>
      <c r="AD515" s="7">
        <f t="shared" ca="1" si="316"/>
        <v>0.90189749626947169</v>
      </c>
      <c r="AE515" s="7">
        <f t="shared" ca="1" si="316"/>
        <v>0.91579662784702798</v>
      </c>
      <c r="AF515" s="7">
        <f t="shared" ca="1" si="316"/>
        <v>0.92812592657651294</v>
      </c>
      <c r="AG515" s="7">
        <f t="shared" ca="1" si="316"/>
        <v>0.94577859033426037</v>
      </c>
      <c r="AH515" s="7">
        <f t="shared" ca="1" si="316"/>
        <v>0.9586390800509168</v>
      </c>
      <c r="AI515" s="7">
        <f t="shared" ca="1" si="316"/>
        <v>0.97158477441616675</v>
      </c>
      <c r="AJ515" s="7">
        <f t="shared" ca="1" si="316"/>
        <v>0.98248279022306662</v>
      </c>
      <c r="AK515" s="7">
        <f t="shared" ca="1" si="316"/>
        <v>0.99018275298837821</v>
      </c>
      <c r="AL515" s="7">
        <f t="shared" ca="1" si="316"/>
        <v>1.0025296125793108</v>
      </c>
      <c r="AM515" s="7">
        <f t="shared" ca="1" si="316"/>
        <v>1.0053548789668092</v>
      </c>
      <c r="AN515" s="7">
        <f t="shared" ca="1" si="316"/>
        <v>1.0104715617345903</v>
      </c>
      <c r="AO515" s="7">
        <f t="shared" ca="1" si="316"/>
        <v>1.0096716161701558</v>
      </c>
      <c r="AP515" s="7">
        <f t="shared" ca="1" si="316"/>
        <v>1.0087262677289015</v>
      </c>
      <c r="AQ515" s="7">
        <f t="shared" ca="1" si="316"/>
        <v>1.0013826819103624</v>
      </c>
      <c r="AR515" s="7">
        <f t="shared" ca="1" si="316"/>
        <v>0.99337547620049804</v>
      </c>
      <c r="AS515" s="7">
        <f t="shared" ca="1" si="316"/>
        <v>0.97940686254895581</v>
      </c>
      <c r="AT515" s="7">
        <f t="shared" ca="1" si="316"/>
        <v>0.96517106174047385</v>
      </c>
      <c r="AU515" s="7">
        <f t="shared" ca="1" si="316"/>
        <v>0.94335588052495467</v>
      </c>
      <c r="AV515" s="7">
        <f t="shared" ca="1" si="316"/>
        <v>0.91461726948809741</v>
      </c>
      <c r="AW515" s="7">
        <f t="shared" ca="1" si="316"/>
        <v>0.88458668176568267</v>
      </c>
    </row>
    <row r="516" spans="1:49" x14ac:dyDescent="0.2">
      <c r="A516" s="1" t="s">
        <v>222</v>
      </c>
      <c r="J516" s="7">
        <f t="shared" ref="J516:AW516" ca="1" si="317">J$395-I$395</f>
        <v>2.6578330287453711E-2</v>
      </c>
      <c r="K516" s="7">
        <f t="shared" ca="1" si="317"/>
        <v>2.6177502369482075E-2</v>
      </c>
      <c r="L516" s="7">
        <f t="shared" ca="1" si="317"/>
        <v>2.655316947505737E-2</v>
      </c>
      <c r="M516" s="7">
        <f t="shared" ca="1" si="317"/>
        <v>2.6010958399350415E-2</v>
      </c>
      <c r="N516" s="7">
        <f t="shared" ca="1" si="317"/>
        <v>2.5320282257086713E-2</v>
      </c>
      <c r="O516" s="7">
        <f t="shared" ca="1" si="317"/>
        <v>2.4230707531333717E-2</v>
      </c>
      <c r="P516" s="7">
        <f t="shared" ca="1" si="317"/>
        <v>2.5029572154287139E-2</v>
      </c>
      <c r="Q516" s="7">
        <f t="shared" ca="1" si="317"/>
        <v>2.5801400243414929E-2</v>
      </c>
      <c r="R516" s="7">
        <f t="shared" ca="1" si="317"/>
        <v>2.6554078081589716E-2</v>
      </c>
      <c r="S516" s="7">
        <f t="shared" ca="1" si="317"/>
        <v>2.7391143697108156E-2</v>
      </c>
      <c r="T516" s="7">
        <f t="shared" ca="1" si="317"/>
        <v>2.8238197935358644E-2</v>
      </c>
      <c r="U516" s="7">
        <f t="shared" ca="1" si="317"/>
        <v>2.9186598321649271E-2</v>
      </c>
      <c r="V516" s="7">
        <f t="shared" ca="1" si="317"/>
        <v>3.0207045992604153E-2</v>
      </c>
      <c r="W516" s="7">
        <f t="shared" ca="1" si="317"/>
        <v>3.1315011095144896E-2</v>
      </c>
      <c r="X516" s="7">
        <f t="shared" ca="1" si="317"/>
        <v>3.2522165159108885E-2</v>
      </c>
      <c r="Y516" s="7">
        <f t="shared" ca="1" si="317"/>
        <v>3.3725994380958468E-2</v>
      </c>
      <c r="Z516" s="7">
        <f t="shared" ca="1" si="317"/>
        <v>3.5100532525725314E-2</v>
      </c>
      <c r="AA516" s="7">
        <f t="shared" ca="1" si="317"/>
        <v>3.6531863453162949E-2</v>
      </c>
      <c r="AB516" s="7">
        <f t="shared" ca="1" si="317"/>
        <v>3.8072902940313846E-2</v>
      </c>
      <c r="AC516" s="7">
        <f t="shared" ca="1" si="317"/>
        <v>3.9757672802648414E-2</v>
      </c>
      <c r="AD516" s="7">
        <f t="shared" ca="1" si="317"/>
        <v>4.1484347742555716E-2</v>
      </c>
      <c r="AE516" s="7">
        <f t="shared" ca="1" si="317"/>
        <v>4.3172924838360327E-2</v>
      </c>
      <c r="AF516" s="7">
        <f t="shared" ca="1" si="317"/>
        <v>4.4980944130710521E-2</v>
      </c>
      <c r="AG516" s="7">
        <f t="shared" ca="1" si="317"/>
        <v>4.6814114886122304E-2</v>
      </c>
      <c r="AH516" s="7">
        <f t="shared" ca="1" si="317"/>
        <v>4.8722355323012279E-2</v>
      </c>
      <c r="AI516" s="7">
        <f t="shared" ca="1" si="317"/>
        <v>5.0545461676417158E-2</v>
      </c>
      <c r="AJ516" s="7">
        <f t="shared" ca="1" si="317"/>
        <v>5.2530490327013624E-2</v>
      </c>
      <c r="AK516" s="7">
        <f t="shared" ca="1" si="317"/>
        <v>5.4472305778139773E-2</v>
      </c>
      <c r="AL516" s="7">
        <f t="shared" ca="1" si="317"/>
        <v>5.6371211891213413E-2</v>
      </c>
      <c r="AM516" s="7">
        <f t="shared" ca="1" si="317"/>
        <v>5.834712842040557E-2</v>
      </c>
      <c r="AN516" s="7">
        <f t="shared" ca="1" si="317"/>
        <v>6.0404205240191633E-2</v>
      </c>
      <c r="AO516" s="7">
        <f t="shared" ca="1" si="317"/>
        <v>6.2224095634741738E-2</v>
      </c>
      <c r="AP516" s="7">
        <f t="shared" ca="1" si="317"/>
        <v>6.4308220347649048E-2</v>
      </c>
      <c r="AQ516" s="7">
        <f t="shared" ca="1" si="317"/>
        <v>6.6212153630081705E-2</v>
      </c>
      <c r="AR516" s="7">
        <f t="shared" ca="1" si="317"/>
        <v>6.8191050915570317E-2</v>
      </c>
      <c r="AS516" s="7">
        <f t="shared" ca="1" si="317"/>
        <v>7.0329035955950525E-2</v>
      </c>
      <c r="AT516" s="7">
        <f t="shared" ca="1" si="317"/>
        <v>7.2523190494839129E-2</v>
      </c>
      <c r="AU516" s="7">
        <f t="shared" ca="1" si="317"/>
        <v>7.4813784686674767E-2</v>
      </c>
      <c r="AV516" s="7">
        <f t="shared" ca="1" si="317"/>
        <v>7.7335695474591848E-2</v>
      </c>
      <c r="AW516" s="7">
        <f t="shared" ca="1" si="317"/>
        <v>7.9813945917849072E-2</v>
      </c>
    </row>
    <row r="517" spans="1:49" x14ac:dyDescent="0.2">
      <c r="A517" s="1" t="s">
        <v>223</v>
      </c>
      <c r="J517" s="7">
        <f t="shared" ref="J517:AW517" ca="1" si="318">J$399-I$399</f>
        <v>6.8167944285568938E-2</v>
      </c>
      <c r="K517" s="7">
        <f t="shared" ca="1" si="318"/>
        <v>6.766153367135308E-2</v>
      </c>
      <c r="L517" s="7">
        <f t="shared" ca="1" si="318"/>
        <v>6.936641043570746E-2</v>
      </c>
      <c r="M517" s="7">
        <f t="shared" ca="1" si="318"/>
        <v>6.8673692703071554E-2</v>
      </c>
      <c r="N517" s="7">
        <f t="shared" ca="1" si="318"/>
        <v>6.769541484029018E-2</v>
      </c>
      <c r="O517" s="7">
        <f t="shared" ca="1" si="318"/>
        <v>6.5761686779223893E-2</v>
      </c>
      <c r="P517" s="7">
        <f t="shared" ca="1" si="318"/>
        <v>6.7929790415724334E-2</v>
      </c>
      <c r="Q517" s="7">
        <f t="shared" ca="1" si="318"/>
        <v>7.0024517405391951E-2</v>
      </c>
      <c r="R517" s="7">
        <f t="shared" ca="1" si="318"/>
        <v>7.2067270972356656E-2</v>
      </c>
      <c r="S517" s="7">
        <f t="shared" ca="1" si="318"/>
        <v>7.4339051387773969E-2</v>
      </c>
      <c r="T517" s="7">
        <f t="shared" ca="1" si="318"/>
        <v>7.6637940738355503E-2</v>
      </c>
      <c r="U517" s="7">
        <f t="shared" ca="1" si="318"/>
        <v>7.9211881638095782E-2</v>
      </c>
      <c r="V517" s="7">
        <f t="shared" ca="1" si="318"/>
        <v>8.1981357520099607E-2</v>
      </c>
      <c r="W517" s="7">
        <f t="shared" ca="1" si="318"/>
        <v>8.4988354073599837E-2</v>
      </c>
      <c r="X517" s="7">
        <f t="shared" ca="1" si="318"/>
        <v>8.8264547612150857E-2</v>
      </c>
      <c r="Y517" s="7">
        <f t="shared" ca="1" si="318"/>
        <v>9.1531717591425199E-2</v>
      </c>
      <c r="Z517" s="7">
        <f t="shared" ca="1" si="318"/>
        <v>9.5262188392798208E-2</v>
      </c>
      <c r="AA517" s="7">
        <f t="shared" ca="1" si="318"/>
        <v>9.9146793743502215E-2</v>
      </c>
      <c r="AB517" s="7">
        <f t="shared" ca="1" si="318"/>
        <v>0.10332914607214905</v>
      </c>
      <c r="AC517" s="7">
        <f t="shared" ca="1" si="318"/>
        <v>0.10790157994923089</v>
      </c>
      <c r="AD517" s="7">
        <f t="shared" ca="1" si="318"/>
        <v>0.11258774342262035</v>
      </c>
      <c r="AE517" s="7">
        <f t="shared" ca="1" si="318"/>
        <v>0.11717051006008949</v>
      </c>
      <c r="AF517" s="7">
        <f t="shared" ca="1" si="318"/>
        <v>0.1220774405837064</v>
      </c>
      <c r="AG517" s="7">
        <f t="shared" ca="1" si="318"/>
        <v>0.12705263170738013</v>
      </c>
      <c r="AH517" s="7">
        <f t="shared" ca="1" si="318"/>
        <v>0.13223156054170815</v>
      </c>
      <c r="AI517" s="7">
        <f t="shared" ca="1" si="318"/>
        <v>0.13717943706668345</v>
      </c>
      <c r="AJ517" s="7">
        <f t="shared" ca="1" si="318"/>
        <v>0.14256676767597298</v>
      </c>
      <c r="AK517" s="7">
        <f t="shared" ca="1" si="318"/>
        <v>0.1478368184706067</v>
      </c>
      <c r="AL517" s="7">
        <f t="shared" ca="1" si="318"/>
        <v>0.15299041412478243</v>
      </c>
      <c r="AM517" s="7">
        <f t="shared" ca="1" si="318"/>
        <v>0.15835301460710838</v>
      </c>
      <c r="AN517" s="7">
        <f t="shared" ca="1" si="318"/>
        <v>0.16393588259924741</v>
      </c>
      <c r="AO517" s="7">
        <f t="shared" ca="1" si="318"/>
        <v>0.16887503107207547</v>
      </c>
      <c r="AP517" s="7">
        <f t="shared" ca="1" si="318"/>
        <v>0.17453130653996407</v>
      </c>
      <c r="AQ517" s="7">
        <f t="shared" ca="1" si="318"/>
        <v>0.17969854583769962</v>
      </c>
      <c r="AR517" s="7">
        <f t="shared" ca="1" si="318"/>
        <v>0.18506923603683223</v>
      </c>
      <c r="AS517" s="7">
        <f t="shared" ca="1" si="318"/>
        <v>0.1908716874255223</v>
      </c>
      <c r="AT517" s="7">
        <f t="shared" ca="1" si="318"/>
        <v>0.19682658178199208</v>
      </c>
      <c r="AU517" s="7">
        <f t="shared" ca="1" si="318"/>
        <v>0.20304321155175931</v>
      </c>
      <c r="AV517" s="7">
        <f t="shared" ca="1" si="318"/>
        <v>0.20988763023436263</v>
      </c>
      <c r="AW517" s="7">
        <f t="shared" ca="1" si="318"/>
        <v>0.21661355555863171</v>
      </c>
    </row>
    <row r="518" spans="1:49" x14ac:dyDescent="0.2">
      <c r="A518" s="1" t="s">
        <v>755</v>
      </c>
      <c r="J518" s="7">
        <f t="shared" ref="J518:AW518" ca="1" si="319">J$453-I$453</f>
        <v>3.438947012555349E-2</v>
      </c>
      <c r="K518" s="7">
        <f t="shared" ca="1" si="319"/>
        <v>3.2893895125430617E-2</v>
      </c>
      <c r="L518" s="7">
        <f t="shared" ca="1" si="319"/>
        <v>3.199147992615875E-2</v>
      </c>
      <c r="M518" s="7">
        <f t="shared" ca="1" si="319"/>
        <v>2.9982761433620553E-2</v>
      </c>
      <c r="N518" s="7">
        <f t="shared" ca="1" si="319"/>
        <v>2.7603606272330272E-2</v>
      </c>
      <c r="O518" s="7">
        <f t="shared" ca="1" si="319"/>
        <v>2.4581633887451604E-2</v>
      </c>
      <c r="P518" s="7">
        <f t="shared" ca="1" si="319"/>
        <v>2.5392068236580023E-2</v>
      </c>
      <c r="Q518" s="7">
        <f t="shared" ca="1" si="319"/>
        <v>2.6175074489552919E-2</v>
      </c>
      <c r="R518" s="7">
        <f t="shared" ca="1" si="319"/>
        <v>2.6938653144005453E-2</v>
      </c>
      <c r="S518" s="7">
        <f t="shared" ca="1" si="319"/>
        <v>2.7787841739668417E-2</v>
      </c>
      <c r="T518" s="7">
        <f t="shared" ca="1" si="319"/>
        <v>2.8647163620408311E-2</v>
      </c>
      <c r="U518" s="7">
        <f t="shared" ca="1" si="319"/>
        <v>2.9609299416252011E-2</v>
      </c>
      <c r="V518" s="7">
        <f t="shared" ca="1" si="319"/>
        <v>3.0644525936826206E-2</v>
      </c>
      <c r="W518" s="7">
        <f t="shared" ca="1" si="319"/>
        <v>3.1768537378733641E-2</v>
      </c>
      <c r="X518" s="7">
        <f t="shared" ca="1" si="319"/>
        <v>3.2993174307215489E-2</v>
      </c>
      <c r="Y518" s="7">
        <f t="shared" ca="1" si="319"/>
        <v>3.4214438240852241E-2</v>
      </c>
      <c r="Z518" s="7">
        <f t="shared" ca="1" si="319"/>
        <v>3.5608883425554461E-2</v>
      </c>
      <c r="AA518" s="7">
        <f t="shared" ca="1" si="319"/>
        <v>3.7060943906436328E-2</v>
      </c>
      <c r="AB518" s="7">
        <f t="shared" ca="1" si="319"/>
        <v>3.8624301824494167E-2</v>
      </c>
      <c r="AC518" s="7">
        <f t="shared" ca="1" si="319"/>
        <v>4.0333471723349223E-2</v>
      </c>
      <c r="AD518" s="7">
        <f t="shared" ca="1" si="319"/>
        <v>4.2085153598942604E-2</v>
      </c>
      <c r="AE518" s="7">
        <f t="shared" ca="1" si="319"/>
        <v>4.379818587033335E-2</v>
      </c>
      <c r="AF518" s="7">
        <f t="shared" ca="1" si="319"/>
        <v>4.5632390185190053E-2</v>
      </c>
      <c r="AG518" s="7">
        <f t="shared" ca="1" si="319"/>
        <v>4.7492110224501394E-2</v>
      </c>
      <c r="AH518" s="7">
        <f t="shared" ca="1" si="319"/>
        <v>4.9427987157859787E-2</v>
      </c>
      <c r="AI518" s="7">
        <f t="shared" ca="1" si="319"/>
        <v>5.1277497035329356E-2</v>
      </c>
      <c r="AJ518" s="7">
        <f t="shared" ca="1" si="319"/>
        <v>5.3291274283969958E-2</v>
      </c>
      <c r="AK518" s="7">
        <f t="shared" ca="1" si="319"/>
        <v>5.5261212488822764E-2</v>
      </c>
      <c r="AL518" s="7">
        <f t="shared" ca="1" si="319"/>
        <v>5.718761991204202E-2</v>
      </c>
      <c r="AM518" s="7">
        <f t="shared" ca="1" si="319"/>
        <v>5.9192153071049303E-2</v>
      </c>
      <c r="AN518" s="7">
        <f t="shared" ca="1" si="319"/>
        <v>6.1279021941756273E-2</v>
      </c>
      <c r="AO518" s="7">
        <f t="shared" ca="1" si="319"/>
        <v>6.3125269284565633E-2</v>
      </c>
      <c r="AP518" s="7">
        <f t="shared" ca="1" si="319"/>
        <v>6.5239577775237478E-2</v>
      </c>
      <c r="AQ518" s="7">
        <f t="shared" ca="1" si="319"/>
        <v>6.7171085174861256E-2</v>
      </c>
      <c r="AR518" s="7">
        <f t="shared" ca="1" si="319"/>
        <v>6.9178642259599687E-2</v>
      </c>
      <c r="AS518" s="7">
        <f t="shared" ca="1" si="319"/>
        <v>7.1347591121349252E-2</v>
      </c>
      <c r="AT518" s="7">
        <f t="shared" ca="1" si="319"/>
        <v>7.3573522968271243E-2</v>
      </c>
      <c r="AU518" s="7">
        <f t="shared" ca="1" si="319"/>
        <v>7.5897291175849091E-2</v>
      </c>
      <c r="AV518" s="7">
        <f t="shared" ca="1" si="319"/>
        <v>7.8455726071124943E-2</v>
      </c>
      <c r="AW518" s="7">
        <f t="shared" ca="1" si="319"/>
        <v>8.0969868301548509E-2</v>
      </c>
    </row>
    <row r="519" spans="1:49" x14ac:dyDescent="0.2">
      <c r="A519" s="1" t="s">
        <v>756</v>
      </c>
      <c r="J519" s="7">
        <f t="shared" ref="J519:AW519" ca="1" si="320">SUM(J$449-J$447-(I$449-I$447),J$468-I$468)</f>
        <v>0.64196414996062456</v>
      </c>
      <c r="K519" s="7">
        <f t="shared" ca="1" si="320"/>
        <v>0.6104248365144902</v>
      </c>
      <c r="L519" s="7">
        <f t="shared" ca="1" si="320"/>
        <v>0.61117847589679997</v>
      </c>
      <c r="M519" s="7">
        <f t="shared" ca="1" si="320"/>
        <v>0.59703779892611797</v>
      </c>
      <c r="N519" s="7">
        <f t="shared" ca="1" si="320"/>
        <v>0.57833763894213241</v>
      </c>
      <c r="O519" s="7">
        <f t="shared" ca="1" si="320"/>
        <v>0.54802166865896051</v>
      </c>
      <c r="P519" s="7">
        <f t="shared" ca="1" si="320"/>
        <v>0.56001935901160405</v>
      </c>
      <c r="Q519" s="7">
        <f t="shared" ca="1" si="320"/>
        <v>0.57130097962867588</v>
      </c>
      <c r="R519" s="7">
        <f t="shared" ca="1" si="320"/>
        <v>0.58252118155344945</v>
      </c>
      <c r="S519" s="7">
        <f t="shared" ca="1" si="320"/>
        <v>0.59631033703822922</v>
      </c>
      <c r="T519" s="7">
        <f t="shared" ca="1" si="320"/>
        <v>0.6106814518657373</v>
      </c>
      <c r="U519" s="7">
        <f t="shared" ca="1" si="320"/>
        <v>0.62610652068380812</v>
      </c>
      <c r="V519" s="7">
        <f t="shared" ca="1" si="320"/>
        <v>0.64205478894377954</v>
      </c>
      <c r="W519" s="7">
        <f t="shared" ca="1" si="320"/>
        <v>0.65878518310261924</v>
      </c>
      <c r="X519" s="7">
        <f t="shared" ca="1" si="320"/>
        <v>0.67737913099946123</v>
      </c>
      <c r="Y519" s="7">
        <f t="shared" ca="1" si="320"/>
        <v>0.6946564557395547</v>
      </c>
      <c r="Z519" s="7">
        <f t="shared" ca="1" si="320"/>
        <v>0.71567110664303968</v>
      </c>
      <c r="AA519" s="7">
        <f t="shared" ca="1" si="320"/>
        <v>0.74009600597236425</v>
      </c>
      <c r="AB519" s="7">
        <f t="shared" ca="1" si="320"/>
        <v>0.76948808950053227</v>
      </c>
      <c r="AC519" s="7">
        <f t="shared" ca="1" si="320"/>
        <v>0.80497000456801437</v>
      </c>
      <c r="AD519" s="7">
        <f t="shared" ca="1" si="320"/>
        <v>0.84574451312119514</v>
      </c>
      <c r="AE519" s="7">
        <f t="shared" ca="1" si="320"/>
        <v>0.88827733865227643</v>
      </c>
      <c r="AF519" s="7">
        <f t="shared" ca="1" si="320"/>
        <v>0.9363584891912371</v>
      </c>
      <c r="AG519" s="7">
        <f t="shared" ca="1" si="320"/>
        <v>0.98583357140012851</v>
      </c>
      <c r="AH519" s="7">
        <f t="shared" ca="1" si="320"/>
        <v>1.0389202859101943</v>
      </c>
      <c r="AI519" s="7">
        <f t="shared" ca="1" si="320"/>
        <v>1.0928004630196302</v>
      </c>
      <c r="AJ519" s="7">
        <f t="shared" ca="1" si="320"/>
        <v>1.1509456588031881</v>
      </c>
      <c r="AK519" s="7">
        <f t="shared" ca="1" si="320"/>
        <v>1.2091385844555429</v>
      </c>
      <c r="AL519" s="7">
        <f t="shared" ca="1" si="320"/>
        <v>1.2688982396660062</v>
      </c>
      <c r="AM519" s="7">
        <f t="shared" ca="1" si="320"/>
        <v>1.33152641559834</v>
      </c>
      <c r="AN519" s="7">
        <f t="shared" ca="1" si="320"/>
        <v>1.3958237910497946</v>
      </c>
      <c r="AO519" s="7">
        <f t="shared" ca="1" si="320"/>
        <v>1.4562494537872137</v>
      </c>
      <c r="AP519" s="7">
        <f t="shared" ca="1" si="320"/>
        <v>1.5173035759058369</v>
      </c>
      <c r="AQ519" s="7">
        <f t="shared" ca="1" si="320"/>
        <v>1.5730387690795347</v>
      </c>
      <c r="AR519" s="7">
        <f t="shared" ca="1" si="320"/>
        <v>1.6246298287886329</v>
      </c>
      <c r="AS519" s="7">
        <f t="shared" ca="1" si="320"/>
        <v>1.6734061487600087</v>
      </c>
      <c r="AT519" s="7">
        <f t="shared" ca="1" si="320"/>
        <v>1.7244552536600715</v>
      </c>
      <c r="AU519" s="7">
        <f t="shared" ca="1" si="320"/>
        <v>1.7761408767140576</v>
      </c>
      <c r="AV519" s="7">
        <f t="shared" ca="1" si="320"/>
        <v>1.8320356205106449</v>
      </c>
      <c r="AW519" s="7">
        <f t="shared" ca="1" si="320"/>
        <v>1.8858915822922384</v>
      </c>
    </row>
    <row r="520" spans="1:49" ht="15" x14ac:dyDescent="0.25">
      <c r="A520" s="2" t="s">
        <v>226</v>
      </c>
      <c r="J520" s="43">
        <f t="shared" ref="J520:AW520" ca="1" si="321">SUM(J$514:J$517)-SUM(J$518:J$519)</f>
        <v>0.74039518493821166</v>
      </c>
      <c r="K520" s="43">
        <f t="shared" ca="1" si="321"/>
        <v>0.73713709672222871</v>
      </c>
      <c r="L520" s="43">
        <f t="shared" ca="1" si="321"/>
        <v>0.7837238260096564</v>
      </c>
      <c r="M520" s="43">
        <f t="shared" ca="1" si="321"/>
        <v>0.8483845057617605</v>
      </c>
      <c r="N520" s="43">
        <f t="shared" ca="1" si="321"/>
        <v>0.90804515988267187</v>
      </c>
      <c r="O520" s="43">
        <f t="shared" ca="1" si="321"/>
        <v>0.97188078159006808</v>
      </c>
      <c r="P520" s="43">
        <f t="shared" ca="1" si="321"/>
        <v>0.99382201561147143</v>
      </c>
      <c r="Q520" s="43">
        <f t="shared" ca="1" si="321"/>
        <v>1.0219202223201771</v>
      </c>
      <c r="R520" s="43">
        <f t="shared" ca="1" si="321"/>
        <v>1.0471124601057116</v>
      </c>
      <c r="S520" s="43">
        <f t="shared" ca="1" si="321"/>
        <v>1.0751782308811353</v>
      </c>
      <c r="T520" s="43">
        <f t="shared" ca="1" si="321"/>
        <v>1.1053336582295454</v>
      </c>
      <c r="U520" s="43">
        <f t="shared" ca="1" si="321"/>
        <v>1.1301600717956046</v>
      </c>
      <c r="V520" s="43">
        <f t="shared" ca="1" si="321"/>
        <v>1.1568779236021314</v>
      </c>
      <c r="W520" s="43">
        <f t="shared" ca="1" si="321"/>
        <v>1.1823617303124552</v>
      </c>
      <c r="X520" s="43">
        <f t="shared" ca="1" si="321"/>
        <v>1.209029976506645</v>
      </c>
      <c r="Y520" s="43">
        <f t="shared" ca="1" si="321"/>
        <v>1.2329495004072955</v>
      </c>
      <c r="Z520" s="43">
        <f t="shared" ca="1" si="321"/>
        <v>1.2577522105833543</v>
      </c>
      <c r="AA520" s="43">
        <f t="shared" ca="1" si="321"/>
        <v>1.2813049480078122</v>
      </c>
      <c r="AB520" s="43">
        <f t="shared" ca="1" si="321"/>
        <v>1.3114867388154781</v>
      </c>
      <c r="AC520" s="43">
        <f t="shared" ca="1" si="321"/>
        <v>1.3393059600980592</v>
      </c>
      <c r="AD520" s="43">
        <f t="shared" ca="1" si="321"/>
        <v>1.3741351021301123</v>
      </c>
      <c r="AE520" s="43">
        <f t="shared" ca="1" si="321"/>
        <v>1.4113754780278966</v>
      </c>
      <c r="AF520" s="43">
        <f t="shared" ca="1" si="321"/>
        <v>1.4492062321558763</v>
      </c>
      <c r="AG520" s="43">
        <f t="shared" ca="1" si="321"/>
        <v>1.4939796081476178</v>
      </c>
      <c r="AH520" s="43">
        <f t="shared" ca="1" si="321"/>
        <v>1.5359398479162201</v>
      </c>
      <c r="AI520" s="43">
        <f t="shared" ca="1" si="321"/>
        <v>1.5812929970552074</v>
      </c>
      <c r="AJ520" s="43">
        <f t="shared" ca="1" si="321"/>
        <v>1.6253966945416063</v>
      </c>
      <c r="AK520" s="43">
        <f t="shared" ca="1" si="321"/>
        <v>1.6685131675680602</v>
      </c>
      <c r="AL520" s="43">
        <f t="shared" ca="1" si="321"/>
        <v>1.7192890698267491</v>
      </c>
      <c r="AM520" s="43">
        <f t="shared" ca="1" si="321"/>
        <v>1.7621252384078121</v>
      </c>
      <c r="AN520" s="43">
        <f t="shared" ca="1" si="321"/>
        <v>1.8081548731089736</v>
      </c>
      <c r="AO520" s="43">
        <f t="shared" ca="1" si="321"/>
        <v>1.8517941217444429</v>
      </c>
      <c r="AP520" s="43">
        <f t="shared" ca="1" si="321"/>
        <v>1.8922705273055556</v>
      </c>
      <c r="AQ520" s="43">
        <f t="shared" ca="1" si="321"/>
        <v>1.92808919800991</v>
      </c>
      <c r="AR520" s="43">
        <f t="shared" ca="1" si="321"/>
        <v>1.9609970723898242</v>
      </c>
      <c r="AS520" s="43">
        <f t="shared" ca="1" si="321"/>
        <v>1.9849975727201301</v>
      </c>
      <c r="AT520" s="43">
        <f t="shared" ca="1" si="321"/>
        <v>2.0105233715230515</v>
      </c>
      <c r="AU520" s="43">
        <f t="shared" ca="1" si="321"/>
        <v>2.028688498764998</v>
      </c>
      <c r="AV520" s="43">
        <f t="shared" ca="1" si="321"/>
        <v>2.0398065890413606</v>
      </c>
      <c r="AW520" s="43">
        <f t="shared" ca="1" si="321"/>
        <v>2.0510847233284695</v>
      </c>
    </row>
    <row r="521" spans="1:49" ht="15" x14ac:dyDescent="0.25">
      <c r="A521" s="30" t="s">
        <v>729</v>
      </c>
      <c r="B521" s="4" t="str">
        <f>$B$65</f>
        <v>Projected Years only</v>
      </c>
      <c r="J521" s="6" t="str">
        <f t="shared" ref="J521:AW521" ca="1" si="322">IF(ROUND(J$53-SUM(J$506,J$507,J$513,J$520),3)=0,"OK","ERROR")</f>
        <v>OK</v>
      </c>
      <c r="K521" s="6" t="str">
        <f t="shared" ca="1" si="322"/>
        <v>OK</v>
      </c>
      <c r="L521" s="6" t="str">
        <f t="shared" ca="1" si="322"/>
        <v>OK</v>
      </c>
      <c r="M521" s="6" t="str">
        <f t="shared" ca="1" si="322"/>
        <v>OK</v>
      </c>
      <c r="N521" s="6" t="str">
        <f t="shared" ca="1" si="322"/>
        <v>OK</v>
      </c>
      <c r="O521" s="6" t="str">
        <f t="shared" ca="1" si="322"/>
        <v>OK</v>
      </c>
      <c r="P521" s="6" t="str">
        <f t="shared" ca="1" si="322"/>
        <v>OK</v>
      </c>
      <c r="Q521" s="6" t="str">
        <f t="shared" ca="1" si="322"/>
        <v>OK</v>
      </c>
      <c r="R521" s="6" t="str">
        <f t="shared" ca="1" si="322"/>
        <v>OK</v>
      </c>
      <c r="S521" s="6" t="str">
        <f t="shared" ca="1" si="322"/>
        <v>OK</v>
      </c>
      <c r="T521" s="6" t="str">
        <f t="shared" ca="1" si="322"/>
        <v>OK</v>
      </c>
      <c r="U521" s="6" t="str">
        <f t="shared" ca="1" si="322"/>
        <v>OK</v>
      </c>
      <c r="V521" s="6" t="str">
        <f t="shared" ca="1" si="322"/>
        <v>OK</v>
      </c>
      <c r="W521" s="6" t="str">
        <f t="shared" ca="1" si="322"/>
        <v>OK</v>
      </c>
      <c r="X521" s="6" t="str">
        <f t="shared" ca="1" si="322"/>
        <v>OK</v>
      </c>
      <c r="Y521" s="6" t="str">
        <f t="shared" ca="1" si="322"/>
        <v>OK</v>
      </c>
      <c r="Z521" s="6" t="str">
        <f t="shared" ca="1" si="322"/>
        <v>OK</v>
      </c>
      <c r="AA521" s="6" t="str">
        <f t="shared" ca="1" si="322"/>
        <v>OK</v>
      </c>
      <c r="AB521" s="6" t="str">
        <f t="shared" ca="1" si="322"/>
        <v>OK</v>
      </c>
      <c r="AC521" s="6" t="str">
        <f t="shared" ca="1" si="322"/>
        <v>OK</v>
      </c>
      <c r="AD521" s="6" t="str">
        <f t="shared" ca="1" si="322"/>
        <v>OK</v>
      </c>
      <c r="AE521" s="6" t="str">
        <f t="shared" ca="1" si="322"/>
        <v>OK</v>
      </c>
      <c r="AF521" s="6" t="str">
        <f t="shared" ca="1" si="322"/>
        <v>OK</v>
      </c>
      <c r="AG521" s="6" t="str">
        <f t="shared" ca="1" si="322"/>
        <v>OK</v>
      </c>
      <c r="AH521" s="6" t="str">
        <f t="shared" ca="1" si="322"/>
        <v>OK</v>
      </c>
      <c r="AI521" s="6" t="str">
        <f t="shared" ca="1" si="322"/>
        <v>OK</v>
      </c>
      <c r="AJ521" s="6" t="str">
        <f t="shared" ca="1" si="322"/>
        <v>OK</v>
      </c>
      <c r="AK521" s="6" t="str">
        <f t="shared" ca="1" si="322"/>
        <v>OK</v>
      </c>
      <c r="AL521" s="6" t="str">
        <f t="shared" ca="1" si="322"/>
        <v>OK</v>
      </c>
      <c r="AM521" s="6" t="str">
        <f t="shared" ca="1" si="322"/>
        <v>OK</v>
      </c>
      <c r="AN521" s="6" t="str">
        <f t="shared" ca="1" si="322"/>
        <v>OK</v>
      </c>
      <c r="AO521" s="6" t="str">
        <f t="shared" ca="1" si="322"/>
        <v>OK</v>
      </c>
      <c r="AP521" s="6" t="str">
        <f t="shared" ca="1" si="322"/>
        <v>OK</v>
      </c>
      <c r="AQ521" s="6" t="str">
        <f t="shared" ca="1" si="322"/>
        <v>OK</v>
      </c>
      <c r="AR521" s="6" t="str">
        <f t="shared" ca="1" si="322"/>
        <v>OK</v>
      </c>
      <c r="AS521" s="6" t="str">
        <f t="shared" ca="1" si="322"/>
        <v>OK</v>
      </c>
      <c r="AT521" s="6" t="str">
        <f t="shared" ca="1" si="322"/>
        <v>OK</v>
      </c>
      <c r="AU521" s="6" t="str">
        <f t="shared" ca="1" si="322"/>
        <v>OK</v>
      </c>
      <c r="AV521" s="6" t="str">
        <f t="shared" ca="1" si="322"/>
        <v>OK</v>
      </c>
      <c r="AW521" s="6" t="str">
        <f t="shared" ca="1" si="322"/>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21"/>
  <sheetViews>
    <sheetView zoomScaleNormal="100" workbookViewId="0">
      <pane xSplit="2" ySplit="8" topLeftCell="AQ9" activePane="bottomRight" state="frozen"/>
      <selection pane="topRight" activeCell="C1" sqref="C1"/>
      <selection pane="bottomLeft" activeCell="A9" sqref="A9"/>
      <selection pane="bottomRight" activeCell="AW521" sqref="AW521"/>
    </sheetView>
  </sheetViews>
  <sheetFormatPr defaultRowHeight="14.25" x14ac:dyDescent="0.2"/>
  <cols>
    <col min="1" max="1" width="85.7109375" style="1" customWidth="1"/>
    <col min="2" max="2" width="25.7109375" style="1" customWidth="1"/>
    <col min="3" max="3" width="7.7109375" style="1" customWidth="1"/>
    <col min="4" max="49" width="10.7109375" style="1" customWidth="1"/>
    <col min="50" max="16384" width="9.140625" style="1"/>
  </cols>
  <sheetData>
    <row r="1" spans="1:49" ht="15" x14ac:dyDescent="0.25">
      <c r="A1" s="2" t="s">
        <v>126</v>
      </c>
      <c r="B1" s="6" t="s">
        <v>920</v>
      </c>
      <c r="C1" s="6">
        <f>MATCH($B$1,Assumptions!$C$7:$F$7,0)</f>
        <v>2</v>
      </c>
      <c r="D1" s="4" t="s">
        <v>127</v>
      </c>
      <c r="E1" s="4"/>
    </row>
    <row r="2" spans="1:49" x14ac:dyDescent="0.2">
      <c r="A2" s="1" t="s">
        <v>108</v>
      </c>
      <c r="E2" s="4" t="s">
        <v>721</v>
      </c>
      <c r="J2" s="7">
        <f ca="1">MAX(OFFSET(Assumptions!$B$8,0,$C$1)+OFFSET(Assumptions!$B$68,0,$C$1)-J$6,0)/(OFFSET(Assumptions!$B$68,0,$C$1)*(OFFSET(Assumptions!$B$68,0,$C$1)+1)/2)</f>
        <v>0.33333333333333331</v>
      </c>
      <c r="K2" s="7">
        <f ca="1">MAX(OFFSET(Assumptions!$B$8,0,$C$1)+OFFSET(Assumptions!$B$68,0,$C$1)-K$6,0)/(OFFSET(Assumptions!$B$68,0,$C$1)*(OFFSET(Assumptions!$B$68,0,$C$1)+1)/2)</f>
        <v>0.26666666666666666</v>
      </c>
      <c r="L2" s="7">
        <f ca="1">MAX(OFFSET(Assumptions!$B$8,0,$C$1)+OFFSET(Assumptions!$B$68,0,$C$1)-L$6,0)/(OFFSET(Assumptions!$B$68,0,$C$1)*(OFFSET(Assumptions!$B$68,0,$C$1)+1)/2)</f>
        <v>0.2</v>
      </c>
      <c r="M2" s="7">
        <f ca="1">MAX(OFFSET(Assumptions!$B$8,0,$C$1)+OFFSET(Assumptions!$B$68,0,$C$1)-M$6,0)/(OFFSET(Assumptions!$B$68,0,$C$1)*(OFFSET(Assumptions!$B$68,0,$C$1)+1)/2)</f>
        <v>0.13333333333333333</v>
      </c>
      <c r="N2" s="7">
        <f ca="1">MAX(OFFSET(Assumptions!$B$8,0,$C$1)+OFFSET(Assumptions!$B$68,0,$C$1)-N$6,0)/(OFFSET(Assumptions!$B$68,0,$C$1)*(OFFSET(Assumptions!$B$68,0,$C$1)+1)/2)</f>
        <v>6.6666666666666666E-2</v>
      </c>
      <c r="O2" s="7">
        <f ca="1">MAX(OFFSET(Assumptions!$B$8,0,$C$1)+OFFSET(Assumptions!$B$68,0,$C$1)-O$6,0)/(OFFSET(Assumptions!$B$68,0,$C$1)*(OFFSET(Assumptions!$B$68,0,$C$1)+1)/2)</f>
        <v>0</v>
      </c>
      <c r="P2" s="7">
        <f ca="1">MAX(OFFSET(Assumptions!$B$8,0,$C$1)+OFFSET(Assumptions!$B$68,0,$C$1)-P$6,0)/(OFFSET(Assumptions!$B$68,0,$C$1)*(OFFSET(Assumptions!$B$68,0,$C$1)+1)/2)</f>
        <v>0</v>
      </c>
      <c r="Q2" s="7">
        <f ca="1">MAX(OFFSET(Assumptions!$B$8,0,$C$1)+OFFSET(Assumptions!$B$68,0,$C$1)-Q$6,0)/(OFFSET(Assumptions!$B$68,0,$C$1)*(OFFSET(Assumptions!$B$68,0,$C$1)+1)/2)</f>
        <v>0</v>
      </c>
      <c r="R2" s="7">
        <f ca="1">MAX(OFFSET(Assumptions!$B$8,0,$C$1)+OFFSET(Assumptions!$B$68,0,$C$1)-R$6,0)/(OFFSET(Assumptions!$B$68,0,$C$1)*(OFFSET(Assumptions!$B$68,0,$C$1)+1)/2)</f>
        <v>0</v>
      </c>
      <c r="S2" s="7">
        <f ca="1">MAX(OFFSET(Assumptions!$B$8,0,$C$1)+OFFSET(Assumptions!$B$68,0,$C$1)-S$6,0)/(OFFSET(Assumptions!$B$68,0,$C$1)*(OFFSET(Assumptions!$B$68,0,$C$1)+1)/2)</f>
        <v>0</v>
      </c>
      <c r="T2" s="7">
        <f ca="1">MAX(OFFSET(Assumptions!$B$8,0,$C$1)+OFFSET(Assumptions!$B$68,0,$C$1)-T$6,0)/(OFFSET(Assumptions!$B$68,0,$C$1)*(OFFSET(Assumptions!$B$68,0,$C$1)+1)/2)</f>
        <v>0</v>
      </c>
      <c r="U2" s="7">
        <f ca="1">MAX(OFFSET(Assumptions!$B$8,0,$C$1)+OFFSET(Assumptions!$B$68,0,$C$1)-U$6,0)/(OFFSET(Assumptions!$B$68,0,$C$1)*(OFFSET(Assumptions!$B$68,0,$C$1)+1)/2)</f>
        <v>0</v>
      </c>
      <c r="V2" s="7">
        <f ca="1">MAX(OFFSET(Assumptions!$B$8,0,$C$1)+OFFSET(Assumptions!$B$68,0,$C$1)-V$6,0)/(OFFSET(Assumptions!$B$68,0,$C$1)*(OFFSET(Assumptions!$B$68,0,$C$1)+1)/2)</f>
        <v>0</v>
      </c>
      <c r="W2" s="7">
        <f ca="1">MAX(OFFSET(Assumptions!$B$8,0,$C$1)+OFFSET(Assumptions!$B$68,0,$C$1)-W$6,0)/(OFFSET(Assumptions!$B$68,0,$C$1)*(OFFSET(Assumptions!$B$68,0,$C$1)+1)/2)</f>
        <v>0</v>
      </c>
      <c r="X2" s="7">
        <f ca="1">MAX(OFFSET(Assumptions!$B$8,0,$C$1)+OFFSET(Assumptions!$B$68,0,$C$1)-X$6,0)/(OFFSET(Assumptions!$B$68,0,$C$1)*(OFFSET(Assumptions!$B$68,0,$C$1)+1)/2)</f>
        <v>0</v>
      </c>
      <c r="Y2" s="7">
        <f ca="1">MAX(OFFSET(Assumptions!$B$8,0,$C$1)+OFFSET(Assumptions!$B$68,0,$C$1)-Y$6,0)/(OFFSET(Assumptions!$B$68,0,$C$1)*(OFFSET(Assumptions!$B$68,0,$C$1)+1)/2)</f>
        <v>0</v>
      </c>
      <c r="Z2" s="7">
        <f ca="1">MAX(OFFSET(Assumptions!$B$8,0,$C$1)+OFFSET(Assumptions!$B$68,0,$C$1)-Z$6,0)/(OFFSET(Assumptions!$B$68,0,$C$1)*(OFFSET(Assumptions!$B$68,0,$C$1)+1)/2)</f>
        <v>0</v>
      </c>
      <c r="AA2" s="7">
        <f ca="1">MAX(OFFSET(Assumptions!$B$8,0,$C$1)+OFFSET(Assumptions!$B$68,0,$C$1)-AA$6,0)/(OFFSET(Assumptions!$B$68,0,$C$1)*(OFFSET(Assumptions!$B$68,0,$C$1)+1)/2)</f>
        <v>0</v>
      </c>
      <c r="AB2" s="7">
        <f ca="1">MAX(OFFSET(Assumptions!$B$8,0,$C$1)+OFFSET(Assumptions!$B$68,0,$C$1)-AB$6,0)/(OFFSET(Assumptions!$B$68,0,$C$1)*(OFFSET(Assumptions!$B$68,0,$C$1)+1)/2)</f>
        <v>0</v>
      </c>
      <c r="AC2" s="7">
        <f ca="1">MAX(OFFSET(Assumptions!$B$8,0,$C$1)+OFFSET(Assumptions!$B$68,0,$C$1)-AC$6,0)/(OFFSET(Assumptions!$B$68,0,$C$1)*(OFFSET(Assumptions!$B$68,0,$C$1)+1)/2)</f>
        <v>0</v>
      </c>
      <c r="AD2" s="7">
        <f ca="1">MAX(OFFSET(Assumptions!$B$8,0,$C$1)+OFFSET(Assumptions!$B$68,0,$C$1)-AD$6,0)/(OFFSET(Assumptions!$B$68,0,$C$1)*(OFFSET(Assumptions!$B$68,0,$C$1)+1)/2)</f>
        <v>0</v>
      </c>
      <c r="AE2" s="7">
        <f ca="1">MAX(OFFSET(Assumptions!$B$8,0,$C$1)+OFFSET(Assumptions!$B$68,0,$C$1)-AE$6,0)/(OFFSET(Assumptions!$B$68,0,$C$1)*(OFFSET(Assumptions!$B$68,0,$C$1)+1)/2)</f>
        <v>0</v>
      </c>
      <c r="AF2" s="7">
        <f ca="1">MAX(OFFSET(Assumptions!$B$8,0,$C$1)+OFFSET(Assumptions!$B$68,0,$C$1)-AF$6,0)/(OFFSET(Assumptions!$B$68,0,$C$1)*(OFFSET(Assumptions!$B$68,0,$C$1)+1)/2)</f>
        <v>0</v>
      </c>
      <c r="AG2" s="7">
        <f ca="1">MAX(OFFSET(Assumptions!$B$8,0,$C$1)+OFFSET(Assumptions!$B$68,0,$C$1)-AG$6,0)/(OFFSET(Assumptions!$B$68,0,$C$1)*(OFFSET(Assumptions!$B$68,0,$C$1)+1)/2)</f>
        <v>0</v>
      </c>
      <c r="AH2" s="7">
        <f ca="1">MAX(OFFSET(Assumptions!$B$8,0,$C$1)+OFFSET(Assumptions!$B$68,0,$C$1)-AH$6,0)/(OFFSET(Assumptions!$B$68,0,$C$1)*(OFFSET(Assumptions!$B$68,0,$C$1)+1)/2)</f>
        <v>0</v>
      </c>
      <c r="AI2" s="7">
        <f ca="1">MAX(OFFSET(Assumptions!$B$8,0,$C$1)+OFFSET(Assumptions!$B$68,0,$C$1)-AI$6,0)/(OFFSET(Assumptions!$B$68,0,$C$1)*(OFFSET(Assumptions!$B$68,0,$C$1)+1)/2)</f>
        <v>0</v>
      </c>
      <c r="AJ2" s="7">
        <f ca="1">MAX(OFFSET(Assumptions!$B$8,0,$C$1)+OFFSET(Assumptions!$B$68,0,$C$1)-AJ$6,0)/(OFFSET(Assumptions!$B$68,0,$C$1)*(OFFSET(Assumptions!$B$68,0,$C$1)+1)/2)</f>
        <v>0</v>
      </c>
      <c r="AK2" s="7">
        <f ca="1">MAX(OFFSET(Assumptions!$B$8,0,$C$1)+OFFSET(Assumptions!$B$68,0,$C$1)-AK$6,0)/(OFFSET(Assumptions!$B$68,0,$C$1)*(OFFSET(Assumptions!$B$68,0,$C$1)+1)/2)</f>
        <v>0</v>
      </c>
      <c r="AL2" s="7">
        <f ca="1">MAX(OFFSET(Assumptions!$B$8,0,$C$1)+OFFSET(Assumptions!$B$68,0,$C$1)-AL$6,0)/(OFFSET(Assumptions!$B$68,0,$C$1)*(OFFSET(Assumptions!$B$68,0,$C$1)+1)/2)</f>
        <v>0</v>
      </c>
      <c r="AM2" s="7">
        <f ca="1">MAX(OFFSET(Assumptions!$B$8,0,$C$1)+OFFSET(Assumptions!$B$68,0,$C$1)-AM$6,0)/(OFFSET(Assumptions!$B$68,0,$C$1)*(OFFSET(Assumptions!$B$68,0,$C$1)+1)/2)</f>
        <v>0</v>
      </c>
      <c r="AN2" s="7">
        <f ca="1">MAX(OFFSET(Assumptions!$B$8,0,$C$1)+OFFSET(Assumptions!$B$68,0,$C$1)-AN$6,0)/(OFFSET(Assumptions!$B$68,0,$C$1)*(OFFSET(Assumptions!$B$68,0,$C$1)+1)/2)</f>
        <v>0</v>
      </c>
      <c r="AO2" s="7">
        <f ca="1">MAX(OFFSET(Assumptions!$B$8,0,$C$1)+OFFSET(Assumptions!$B$68,0,$C$1)-AO$6,0)/(OFFSET(Assumptions!$B$68,0,$C$1)*(OFFSET(Assumptions!$B$68,0,$C$1)+1)/2)</f>
        <v>0</v>
      </c>
      <c r="AP2" s="7">
        <f ca="1">MAX(OFFSET(Assumptions!$B$8,0,$C$1)+OFFSET(Assumptions!$B$68,0,$C$1)-AP$6,0)/(OFFSET(Assumptions!$B$68,0,$C$1)*(OFFSET(Assumptions!$B$68,0,$C$1)+1)/2)</f>
        <v>0</v>
      </c>
      <c r="AQ2" s="7">
        <f ca="1">MAX(OFFSET(Assumptions!$B$8,0,$C$1)+OFFSET(Assumptions!$B$68,0,$C$1)-AQ$6,0)/(OFFSET(Assumptions!$B$68,0,$C$1)*(OFFSET(Assumptions!$B$68,0,$C$1)+1)/2)</f>
        <v>0</v>
      </c>
      <c r="AR2" s="7">
        <f ca="1">MAX(OFFSET(Assumptions!$B$8,0,$C$1)+OFFSET(Assumptions!$B$68,0,$C$1)-AR$6,0)/(OFFSET(Assumptions!$B$68,0,$C$1)*(OFFSET(Assumptions!$B$68,0,$C$1)+1)/2)</f>
        <v>0</v>
      </c>
      <c r="AS2" s="7">
        <f ca="1">MAX(OFFSET(Assumptions!$B$8,0,$C$1)+OFFSET(Assumptions!$B$68,0,$C$1)-AS$6,0)/(OFFSET(Assumptions!$B$68,0,$C$1)*(OFFSET(Assumptions!$B$68,0,$C$1)+1)/2)</f>
        <v>0</v>
      </c>
      <c r="AT2" s="7">
        <f ca="1">MAX(OFFSET(Assumptions!$B$8,0,$C$1)+OFFSET(Assumptions!$B$68,0,$C$1)-AT$6,0)/(OFFSET(Assumptions!$B$68,0,$C$1)*(OFFSET(Assumptions!$B$68,0,$C$1)+1)/2)</f>
        <v>0</v>
      </c>
      <c r="AU2" s="7">
        <f ca="1">MAX(OFFSET(Assumptions!$B$8,0,$C$1)+OFFSET(Assumptions!$B$68,0,$C$1)-AU$6,0)/(OFFSET(Assumptions!$B$68,0,$C$1)*(OFFSET(Assumptions!$B$68,0,$C$1)+1)/2)</f>
        <v>0</v>
      </c>
      <c r="AV2" s="7">
        <f ca="1">MAX(OFFSET(Assumptions!$B$8,0,$C$1)+OFFSET(Assumptions!$B$68,0,$C$1)-AV$6,0)/(OFFSET(Assumptions!$B$68,0,$C$1)*(OFFSET(Assumptions!$B$68,0,$C$1)+1)/2)</f>
        <v>0</v>
      </c>
      <c r="AW2" s="7">
        <f ca="1">MAX(OFFSET(Assumptions!$B$8,0,$C$1)+OFFSET(Assumptions!$B$68,0,$C$1)-AW$6,0)/(OFFSET(Assumptions!$B$68,0,$C$1)*(OFFSET(Assumptions!$B$68,0,$C$1)+1)/2)</f>
        <v>0</v>
      </c>
    </row>
    <row r="3" spans="1:49" ht="15" x14ac:dyDescent="0.25">
      <c r="A3" s="1" t="s">
        <v>128</v>
      </c>
      <c r="D3" s="36" t="s">
        <v>783</v>
      </c>
      <c r="E3" s="38" t="s">
        <v>117</v>
      </c>
      <c r="F3" s="29"/>
      <c r="G3" s="29"/>
      <c r="H3" s="29"/>
      <c r="I3" s="29"/>
      <c r="J3" s="2" t="s">
        <v>309</v>
      </c>
    </row>
    <row r="4" spans="1:49" ht="15" x14ac:dyDescent="0.25">
      <c r="D4" s="36" t="s">
        <v>784</v>
      </c>
      <c r="F4" s="29" t="s">
        <v>146</v>
      </c>
      <c r="J4" s="1" t="s">
        <v>147</v>
      </c>
    </row>
    <row r="5" spans="1:49" ht="15" x14ac:dyDescent="0.25">
      <c r="A5" s="17" t="s">
        <v>129</v>
      </c>
      <c r="D5" s="35" t="s">
        <v>23</v>
      </c>
      <c r="E5" s="37" t="s">
        <v>25</v>
      </c>
      <c r="F5" s="37" t="s">
        <v>26</v>
      </c>
      <c r="G5" s="37" t="s">
        <v>27</v>
      </c>
      <c r="H5" s="37" t="s">
        <v>28</v>
      </c>
      <c r="I5" s="37" t="s">
        <v>29</v>
      </c>
      <c r="J5" s="6" t="s">
        <v>30</v>
      </c>
      <c r="K5" s="6" t="s">
        <v>31</v>
      </c>
      <c r="L5" s="6" t="s">
        <v>32</v>
      </c>
      <c r="M5" s="6" t="s">
        <v>33</v>
      </c>
      <c r="N5" s="6" t="s">
        <v>34</v>
      </c>
      <c r="O5" s="6" t="s">
        <v>35</v>
      </c>
      <c r="P5" s="6" t="s">
        <v>36</v>
      </c>
      <c r="Q5" s="6" t="s">
        <v>37</v>
      </c>
      <c r="R5" s="6" t="s">
        <v>38</v>
      </c>
      <c r="S5" s="6" t="s">
        <v>39</v>
      </c>
      <c r="T5" s="6" t="s">
        <v>40</v>
      </c>
      <c r="U5" s="6" t="s">
        <v>41</v>
      </c>
      <c r="V5" s="6" t="s">
        <v>42</v>
      </c>
      <c r="W5" s="6" t="s">
        <v>43</v>
      </c>
      <c r="X5" s="6" t="s">
        <v>44</v>
      </c>
      <c r="Y5" s="6" t="s">
        <v>45</v>
      </c>
      <c r="Z5" s="6" t="s">
        <v>46</v>
      </c>
      <c r="AA5" s="6" t="s">
        <v>47</v>
      </c>
      <c r="AB5" s="6" t="s">
        <v>48</v>
      </c>
      <c r="AC5" s="6" t="s">
        <v>49</v>
      </c>
      <c r="AD5" s="6" t="s">
        <v>50</v>
      </c>
      <c r="AE5" s="6" t="s">
        <v>51</v>
      </c>
      <c r="AF5" s="6" t="s">
        <v>52</v>
      </c>
      <c r="AG5" s="6" t="s">
        <v>53</v>
      </c>
      <c r="AH5" s="6" t="s">
        <v>54</v>
      </c>
      <c r="AI5" s="6" t="s">
        <v>55</v>
      </c>
      <c r="AJ5" s="6" t="s">
        <v>56</v>
      </c>
      <c r="AK5" s="6" t="s">
        <v>57</v>
      </c>
      <c r="AL5" s="6" t="s">
        <v>58</v>
      </c>
      <c r="AM5" s="6" t="s">
        <v>59</v>
      </c>
      <c r="AN5" s="6" t="s">
        <v>60</v>
      </c>
      <c r="AO5" s="6" t="s">
        <v>61</v>
      </c>
      <c r="AP5" s="6" t="s">
        <v>62</v>
      </c>
      <c r="AQ5" s="6" t="s">
        <v>63</v>
      </c>
      <c r="AR5" s="6" t="s">
        <v>64</v>
      </c>
      <c r="AS5" s="6" t="s">
        <v>65</v>
      </c>
      <c r="AT5" s="6" t="s">
        <v>66</v>
      </c>
      <c r="AU5" s="6" t="s">
        <v>67</v>
      </c>
      <c r="AV5" s="6" t="s">
        <v>68</v>
      </c>
      <c r="AW5" s="6" t="s">
        <v>69</v>
      </c>
    </row>
    <row r="6" spans="1:49" ht="15" x14ac:dyDescent="0.25">
      <c r="A6" s="17" t="s">
        <v>761</v>
      </c>
      <c r="D6" s="36">
        <v>2015</v>
      </c>
      <c r="E6" s="38">
        <v>2016</v>
      </c>
      <c r="F6" s="38">
        <v>2017</v>
      </c>
      <c r="G6" s="38">
        <v>2018</v>
      </c>
      <c r="H6" s="38">
        <v>2019</v>
      </c>
      <c r="I6" s="38">
        <v>2020</v>
      </c>
      <c r="J6" s="2">
        <v>2021</v>
      </c>
      <c r="K6" s="2">
        <v>2022</v>
      </c>
      <c r="L6" s="2">
        <v>2023</v>
      </c>
      <c r="M6" s="2">
        <v>2024</v>
      </c>
      <c r="N6" s="2">
        <v>2025</v>
      </c>
      <c r="O6" s="2">
        <v>2026</v>
      </c>
      <c r="P6" s="2">
        <v>2027</v>
      </c>
      <c r="Q6" s="2">
        <v>2028</v>
      </c>
      <c r="R6" s="2">
        <v>2029</v>
      </c>
      <c r="S6" s="2">
        <v>2030</v>
      </c>
      <c r="T6" s="2">
        <v>2031</v>
      </c>
      <c r="U6" s="2">
        <v>2032</v>
      </c>
      <c r="V6" s="2">
        <v>2033</v>
      </c>
      <c r="W6" s="2">
        <v>2034</v>
      </c>
      <c r="X6" s="2">
        <v>2035</v>
      </c>
      <c r="Y6" s="2">
        <v>2036</v>
      </c>
      <c r="Z6" s="2">
        <v>2037</v>
      </c>
      <c r="AA6" s="2">
        <v>2038</v>
      </c>
      <c r="AB6" s="2">
        <v>2039</v>
      </c>
      <c r="AC6" s="2">
        <v>2040</v>
      </c>
      <c r="AD6" s="2">
        <v>2041</v>
      </c>
      <c r="AE6" s="2">
        <v>2042</v>
      </c>
      <c r="AF6" s="2">
        <v>2043</v>
      </c>
      <c r="AG6" s="2">
        <v>2044</v>
      </c>
      <c r="AH6" s="2">
        <v>2045</v>
      </c>
      <c r="AI6" s="2">
        <v>2046</v>
      </c>
      <c r="AJ6" s="2">
        <v>2047</v>
      </c>
      <c r="AK6" s="2">
        <v>2048</v>
      </c>
      <c r="AL6" s="2">
        <v>2049</v>
      </c>
      <c r="AM6" s="2">
        <v>2050</v>
      </c>
      <c r="AN6" s="2">
        <v>2051</v>
      </c>
      <c r="AO6" s="2">
        <v>2052</v>
      </c>
      <c r="AP6" s="2">
        <v>2053</v>
      </c>
      <c r="AQ6" s="2">
        <v>2054</v>
      </c>
      <c r="AR6" s="2">
        <v>2055</v>
      </c>
      <c r="AS6" s="2">
        <v>2056</v>
      </c>
      <c r="AT6" s="2">
        <v>2057</v>
      </c>
      <c r="AU6" s="2">
        <v>2058</v>
      </c>
      <c r="AV6" s="2">
        <v>2059</v>
      </c>
      <c r="AW6" s="2">
        <v>2060</v>
      </c>
    </row>
    <row r="7" spans="1:49" ht="15" x14ac:dyDescent="0.25">
      <c r="A7" s="17"/>
      <c r="D7" s="47">
        <f ca="1">OFFSET(D$1,Display!$C$1-1,0)</f>
        <v>60.631000000000007</v>
      </c>
      <c r="E7" s="44">
        <f ca="1">OFFSET(E$1,Display!$C$1-1,0)</f>
        <v>62.272000000000006</v>
      </c>
      <c r="F7" s="44">
        <f ca="1">OFFSET(F$1,Display!$C$1-1,0)</f>
        <v>66.334000000000003</v>
      </c>
      <c r="G7" s="44">
        <f ca="1">OFFSET(G$1,Display!$C$1-1,0)</f>
        <v>68.307999999999993</v>
      </c>
      <c r="H7" s="44">
        <f ca="1">OFFSET(H$1,Display!$C$1-1,0)</f>
        <v>66.277999999999992</v>
      </c>
      <c r="I7" s="44">
        <f ca="1">OFFSET(I$1,Display!$C$1-1,0)</f>
        <v>62.349000000000011</v>
      </c>
      <c r="J7" s="8">
        <f ca="1">OFFSET(J$1,Display!$C$1-1,0)</f>
        <v>61.70188729315835</v>
      </c>
      <c r="K7" s="8">
        <f ca="1">OFFSET(K$1,Display!$C$1-1,0)</f>
        <v>60.805041731242554</v>
      </c>
      <c r="L7" s="8">
        <f ca="1">OFFSET(L$1,Display!$C$1-1,0)</f>
        <v>59.559986604588808</v>
      </c>
      <c r="M7" s="8">
        <f ca="1">OFFSET(M$1,Display!$C$1-1,0)</f>
        <v>58.066874704532715</v>
      </c>
      <c r="N7" s="8">
        <f ca="1">OFFSET(N$1,Display!$C$1-1,0)</f>
        <v>56.356347784742752</v>
      </c>
      <c r="O7" s="8">
        <f ca="1">OFFSET(O$1,Display!$C$1-1,0)</f>
        <v>54.443684804816371</v>
      </c>
      <c r="P7" s="8">
        <f ca="1">OFFSET(P$1,Display!$C$1-1,0)</f>
        <v>53.086329794871119</v>
      </c>
      <c r="Q7" s="8">
        <f ca="1">OFFSET(Q$1,Display!$C$1-1,0)</f>
        <v>52.309845034802805</v>
      </c>
      <c r="R7" s="8">
        <f ca="1">OFFSET(R$1,Display!$C$1-1,0)</f>
        <v>52.320334076573559</v>
      </c>
      <c r="S7" s="8">
        <f ca="1">OFFSET(S$1,Display!$C$1-1,0)</f>
        <v>53.223949964360166</v>
      </c>
      <c r="T7" s="8">
        <f ca="1">OFFSET(T$1,Display!$C$1-1,0)</f>
        <v>55.153331560649889</v>
      </c>
      <c r="U7" s="8">
        <f ca="1">OFFSET(U$1,Display!$C$1-1,0)</f>
        <v>58.246633499893122</v>
      </c>
      <c r="V7" s="8">
        <f ca="1">OFFSET(V$1,Display!$C$1-1,0)</f>
        <v>62.6442226771062</v>
      </c>
      <c r="W7" s="8">
        <f ca="1">OFFSET(W$1,Display!$C$1-1,0)</f>
        <v>68.300282612833882</v>
      </c>
      <c r="X7" s="8">
        <f ca="1">OFFSET(X$1,Display!$C$1-1,0)</f>
        <v>75.243677032662305</v>
      </c>
      <c r="Y7" s="8">
        <f ca="1">OFFSET(Y$1,Display!$C$1-1,0)</f>
        <v>83.613310883975259</v>
      </c>
      <c r="Z7" s="8">
        <f ca="1">OFFSET(Z$1,Display!$C$1-1,0)</f>
        <v>93.544682284224848</v>
      </c>
      <c r="AA7" s="8">
        <f ca="1">OFFSET(AA$1,Display!$C$1-1,0)</f>
        <v>103.59225055036104</v>
      </c>
      <c r="AB7" s="8">
        <f ca="1">OFFSET(AB$1,Display!$C$1-1,0)</f>
        <v>113.73003588644995</v>
      </c>
      <c r="AC7" s="8">
        <f ca="1">OFFSET(AC$1,Display!$C$1-1,0)</f>
        <v>123.92298103205498</v>
      </c>
      <c r="AD7" s="8">
        <f ca="1">OFFSET(AD$1,Display!$C$1-1,0)</f>
        <v>134.12258799268008</v>
      </c>
      <c r="AE7" s="8">
        <f ca="1">OFFSET(AE$1,Display!$C$1-1,0)</f>
        <v>144.31808661375086</v>
      </c>
      <c r="AF7" s="8">
        <f ca="1">OFFSET(AF$1,Display!$C$1-1,0)</f>
        <v>154.47195956948451</v>
      </c>
      <c r="AG7" s="8">
        <f ca="1">OFFSET(AG$1,Display!$C$1-1,0)</f>
        <v>164.54148701885796</v>
      </c>
      <c r="AH7" s="8">
        <f ca="1">OFFSET(AH$1,Display!$C$1-1,0)</f>
        <v>174.48999365962004</v>
      </c>
      <c r="AI7" s="8">
        <f ca="1">OFFSET(AI$1,Display!$C$1-1,0)</f>
        <v>184.29110360342867</v>
      </c>
      <c r="AJ7" s="8">
        <f ca="1">OFFSET(AJ$1,Display!$C$1-1,0)</f>
        <v>193.9380279567915</v>
      </c>
      <c r="AK7" s="8">
        <f ca="1">OFFSET(AK$1,Display!$C$1-1,0)</f>
        <v>203.42318957348732</v>
      </c>
      <c r="AL7" s="8">
        <f ca="1">OFFSET(AL$1,Display!$C$1-1,0)</f>
        <v>212.73222555511398</v>
      </c>
      <c r="AM7" s="8">
        <f ca="1">OFFSET(AM$1,Display!$C$1-1,0)</f>
        <v>221.86845781645337</v>
      </c>
      <c r="AN7" s="8">
        <f ca="1">OFFSET(AN$1,Display!$C$1-1,0)</f>
        <v>230.81410067061256</v>
      </c>
      <c r="AO7" s="8">
        <f ca="1">OFFSET(AO$1,Display!$C$1-1,0)</f>
        <v>239.6469710577995</v>
      </c>
      <c r="AP7" s="8">
        <f ca="1">OFFSET(AP$1,Display!$C$1-1,0)</f>
        <v>248.39353193448068</v>
      </c>
      <c r="AQ7" s="8">
        <f ca="1">OFFSET(AQ$1,Display!$C$1-1,0)</f>
        <v>257.11987187279368</v>
      </c>
      <c r="AR7" s="8">
        <f ca="1">OFFSET(AR$1,Display!$C$1-1,0)</f>
        <v>265.91293417707561</v>
      </c>
      <c r="AS7" s="8">
        <f ca="1">OFFSET(AS$1,Display!$C$1-1,0)</f>
        <v>274.86998287815425</v>
      </c>
      <c r="AT7" s="8">
        <f ca="1">OFFSET(AT$1,Display!$C$1-1,0)</f>
        <v>284.01638831659341</v>
      </c>
      <c r="AU7" s="8">
        <f ca="1">OFFSET(AU$1,Display!$C$1-1,0)</f>
        <v>293.41842671951576</v>
      </c>
      <c r="AV7" s="8">
        <f ca="1">OFFSET(AV$1,Display!$C$1-1,0)</f>
        <v>303.1467147108749</v>
      </c>
      <c r="AW7" s="8">
        <f ca="1">OFFSET(AW$1,Display!$C$1-1,0)</f>
        <v>313.29960647827596</v>
      </c>
    </row>
    <row r="8" spans="1:49" ht="15" x14ac:dyDescent="0.25">
      <c r="A8" s="17" t="s">
        <v>771</v>
      </c>
      <c r="D8" s="64">
        <f t="shared" ref="D8:AW8" ca="1" si="0">D$7/D$14</f>
        <v>0.25097690206142892</v>
      </c>
      <c r="E8" s="66">
        <f t="shared" ca="1" si="0"/>
        <v>0.24896252288846424</v>
      </c>
      <c r="F8" s="66">
        <f t="shared" ca="1" si="0"/>
        <v>0.25591031141014164</v>
      </c>
      <c r="G8" s="66">
        <f t="shared" ca="1" si="0"/>
        <v>0.24964731852436606</v>
      </c>
      <c r="H8" s="66">
        <f t="shared" ca="1" si="0"/>
        <v>0.23057307557166659</v>
      </c>
      <c r="I8" s="66">
        <f t="shared" ca="1" si="0"/>
        <v>0.20839266018249278</v>
      </c>
      <c r="J8" s="65">
        <f t="shared" ca="1" si="0"/>
        <v>0.19789120789563674</v>
      </c>
      <c r="K8" s="65">
        <f t="shared" ca="1" si="0"/>
        <v>0.18719203924929811</v>
      </c>
      <c r="L8" s="65">
        <f t="shared" ca="1" si="0"/>
        <v>0.17574149479295953</v>
      </c>
      <c r="M8" s="65">
        <f t="shared" ca="1" si="0"/>
        <v>0.16423961239277748</v>
      </c>
      <c r="N8" s="65">
        <f t="shared" ca="1" si="0"/>
        <v>0.15281110457888419</v>
      </c>
      <c r="O8" s="65">
        <f t="shared" ca="1" si="0"/>
        <v>0.14158124850054457</v>
      </c>
      <c r="P8" s="65">
        <f t="shared" ca="1" si="0"/>
        <v>0.13245025972338678</v>
      </c>
      <c r="Q8" s="65">
        <f t="shared" ca="1" si="0"/>
        <v>0.12527346381618443</v>
      </c>
      <c r="R8" s="65">
        <f t="shared" ca="1" si="0"/>
        <v>0.12032711000373555</v>
      </c>
      <c r="S8" s="65">
        <f t="shared" ca="1" si="0"/>
        <v>0.11759246450069789</v>
      </c>
      <c r="T8" s="65">
        <f t="shared" ca="1" si="0"/>
        <v>0.11710830218172517</v>
      </c>
      <c r="U8" s="65">
        <f t="shared" ca="1" si="0"/>
        <v>0.11888944510035614</v>
      </c>
      <c r="V8" s="65">
        <f t="shared" ca="1" si="0"/>
        <v>0.1229407043999861</v>
      </c>
      <c r="W8" s="65">
        <f t="shared" ca="1" si="0"/>
        <v>0.12889430561986165</v>
      </c>
      <c r="X8" s="65">
        <f t="shared" ca="1" si="0"/>
        <v>0.13655258386331207</v>
      </c>
      <c r="Y8" s="65">
        <f t="shared" ca="1" si="0"/>
        <v>0.14593847893507517</v>
      </c>
      <c r="Z8" s="65">
        <f t="shared" ca="1" si="0"/>
        <v>0.15702259967212642</v>
      </c>
      <c r="AA8" s="65">
        <f t="shared" ca="1" si="0"/>
        <v>0.16722585028310702</v>
      </c>
      <c r="AB8" s="65">
        <f t="shared" ca="1" si="0"/>
        <v>0.17654154500190911</v>
      </c>
      <c r="AC8" s="65">
        <f t="shared" ca="1" si="0"/>
        <v>0.18494812207061059</v>
      </c>
      <c r="AD8" s="65">
        <f t="shared" ca="1" si="0"/>
        <v>0.19242995203684757</v>
      </c>
      <c r="AE8" s="65">
        <f t="shared" ca="1" si="0"/>
        <v>0.19904737336309705</v>
      </c>
      <c r="AF8" s="65">
        <f t="shared" ca="1" si="0"/>
        <v>0.20479713687887335</v>
      </c>
      <c r="AG8" s="65">
        <f t="shared" ca="1" si="0"/>
        <v>0.20969155508738094</v>
      </c>
      <c r="AH8" s="65">
        <f t="shared" ca="1" si="0"/>
        <v>0.21374711511880584</v>
      </c>
      <c r="AI8" s="65">
        <f t="shared" ca="1" si="0"/>
        <v>0.21702293645128304</v>
      </c>
      <c r="AJ8" s="65">
        <f t="shared" ca="1" si="0"/>
        <v>0.21955897771980171</v>
      </c>
      <c r="AK8" s="65">
        <f t="shared" ca="1" si="0"/>
        <v>0.2214255230116981</v>
      </c>
      <c r="AL8" s="65">
        <f t="shared" ca="1" si="0"/>
        <v>0.22268104571107136</v>
      </c>
      <c r="AM8" s="65">
        <f t="shared" ca="1" si="0"/>
        <v>0.22338055459814918</v>
      </c>
      <c r="AN8" s="65">
        <f t="shared" ca="1" si="0"/>
        <v>0.22355404212655625</v>
      </c>
      <c r="AO8" s="65">
        <f t="shared" ca="1" si="0"/>
        <v>0.22336317031702957</v>
      </c>
      <c r="AP8" s="65">
        <f t="shared" ca="1" si="0"/>
        <v>0.22283761554297588</v>
      </c>
      <c r="AQ8" s="65">
        <f t="shared" ca="1" si="0"/>
        <v>0.22209499091147478</v>
      </c>
      <c r="AR8" s="65">
        <f t="shared" ca="1" si="0"/>
        <v>0.2212242666786986</v>
      </c>
      <c r="AS8" s="65">
        <f t="shared" ca="1" si="0"/>
        <v>0.22030149161175805</v>
      </c>
      <c r="AT8" s="65">
        <f t="shared" ca="1" si="0"/>
        <v>0.21934855819437934</v>
      </c>
      <c r="AU8" s="65">
        <f t="shared" ca="1" si="0"/>
        <v>0.21841082252265828</v>
      </c>
      <c r="AV8" s="65">
        <f t="shared" ca="1" si="0"/>
        <v>0.21751691508722437</v>
      </c>
      <c r="AW8" s="65">
        <f t="shared" ca="1" si="0"/>
        <v>0.2167375975282945</v>
      </c>
    </row>
    <row r="9" spans="1:49" ht="16.5" x14ac:dyDescent="0.25">
      <c r="A9" s="63" t="s">
        <v>130</v>
      </c>
    </row>
    <row r="10" spans="1:49" ht="15" x14ac:dyDescent="0.25">
      <c r="A10" s="2"/>
    </row>
    <row r="11" spans="1:49" ht="15" x14ac:dyDescent="0.25">
      <c r="A11" s="22" t="s">
        <v>300</v>
      </c>
      <c r="D11" s="2"/>
      <c r="E11" s="2"/>
      <c r="F11" s="2"/>
      <c r="G11" s="2"/>
      <c r="H11" s="2"/>
    </row>
    <row r="12" spans="1:49" ht="15" x14ac:dyDescent="0.25">
      <c r="A12" s="2" t="s">
        <v>301</v>
      </c>
      <c r="B12" s="4" t="s">
        <v>131</v>
      </c>
      <c r="D12" s="18">
        <f>Economic!M$6</f>
        <v>221.03700000000001</v>
      </c>
      <c r="E12" s="19">
        <f>Economic!N$6</f>
        <v>226.702</v>
      </c>
      <c r="F12" s="19">
        <f>Economic!O$6</f>
        <v>233.34100000000001</v>
      </c>
      <c r="G12" s="19">
        <f>Economic!P$6</f>
        <v>240.898</v>
      </c>
      <c r="H12" s="19">
        <f>Economic!Q$6</f>
        <v>247.67099999999999</v>
      </c>
      <c r="I12" s="19">
        <f>Economic!R$6</f>
        <v>253.83500000000001</v>
      </c>
      <c r="J12" s="7">
        <f t="shared" ref="J12:AW12" ca="1" si="1">I$12*(1+J$29)*J$19*(1-J$26)*J$27/(I$19*(1-I$26)*I$27)</f>
        <v>259.34400168963214</v>
      </c>
      <c r="K12" s="7">
        <f t="shared" ca="1" si="1"/>
        <v>264.88435166621531</v>
      </c>
      <c r="L12" s="7">
        <f t="shared" ca="1" si="1"/>
        <v>270.94690273524128</v>
      </c>
      <c r="M12" s="7">
        <f t="shared" ca="1" si="1"/>
        <v>277.11133092353401</v>
      </c>
      <c r="N12" s="7">
        <f t="shared" ca="1" si="1"/>
        <v>283.39455229431417</v>
      </c>
      <c r="O12" s="7">
        <f t="shared" ca="1" si="1"/>
        <v>289.69778422098523</v>
      </c>
      <c r="P12" s="7">
        <f t="shared" ca="1" si="1"/>
        <v>296.02822078643135</v>
      </c>
      <c r="Q12" s="7">
        <f t="shared" ca="1" si="1"/>
        <v>302.36213569773702</v>
      </c>
      <c r="R12" s="7">
        <f t="shared" ca="1" si="1"/>
        <v>308.68100622319366</v>
      </c>
      <c r="S12" s="7">
        <f t="shared" ca="1" si="1"/>
        <v>315.01433914329999</v>
      </c>
      <c r="T12" s="7">
        <f t="shared" ca="1" si="1"/>
        <v>321.35614430278747</v>
      </c>
      <c r="U12" s="7">
        <f t="shared" ca="1" si="1"/>
        <v>327.74033925078783</v>
      </c>
      <c r="V12" s="7">
        <f t="shared" ca="1" si="1"/>
        <v>334.18544078635421</v>
      </c>
      <c r="W12" s="7">
        <f t="shared" ca="1" si="1"/>
        <v>340.71464048745673</v>
      </c>
      <c r="X12" s="7">
        <f t="shared" ca="1" si="1"/>
        <v>347.35371065428683</v>
      </c>
      <c r="Y12" s="7">
        <f t="shared" ca="1" si="1"/>
        <v>354.08480322049655</v>
      </c>
      <c r="Z12" s="7">
        <f t="shared" ca="1" si="1"/>
        <v>360.95947957571593</v>
      </c>
      <c r="AA12" s="7">
        <f t="shared" ca="1" si="1"/>
        <v>367.98082982174139</v>
      </c>
      <c r="AB12" s="7">
        <f t="shared" ca="1" si="1"/>
        <v>375.17113787060015</v>
      </c>
      <c r="AC12" s="7">
        <f t="shared" ca="1" si="1"/>
        <v>382.56296229130197</v>
      </c>
      <c r="AD12" s="7">
        <f t="shared" ca="1" si="1"/>
        <v>390.14862171127913</v>
      </c>
      <c r="AE12" s="7">
        <f t="shared" ca="1" si="1"/>
        <v>397.89177643690243</v>
      </c>
      <c r="AF12" s="7">
        <f t="shared" ca="1" si="1"/>
        <v>405.81328032775497</v>
      </c>
      <c r="AG12" s="7">
        <f t="shared" ca="1" si="1"/>
        <v>413.89938954137659</v>
      </c>
      <c r="AH12" s="7">
        <f t="shared" ca="1" si="1"/>
        <v>422.15350718691104</v>
      </c>
      <c r="AI12" s="7">
        <f t="shared" ca="1" si="1"/>
        <v>430.52532202757953</v>
      </c>
      <c r="AJ12" s="7">
        <f t="shared" ca="1" si="1"/>
        <v>439.04756047340351</v>
      </c>
      <c r="AK12" s="7">
        <f t="shared" ca="1" si="1"/>
        <v>447.68485415918263</v>
      </c>
      <c r="AL12" s="7">
        <f t="shared" ca="1" si="1"/>
        <v>456.40404118108705</v>
      </c>
      <c r="AM12" s="7">
        <f t="shared" ca="1" si="1"/>
        <v>465.21046713415819</v>
      </c>
      <c r="AN12" s="7">
        <f t="shared" ca="1" si="1"/>
        <v>474.10978216981835</v>
      </c>
      <c r="AO12" s="7">
        <f t="shared" ca="1" si="1"/>
        <v>483.0135491500892</v>
      </c>
      <c r="AP12" s="7">
        <f t="shared" ca="1" si="1"/>
        <v>491.98350562782457</v>
      </c>
      <c r="AQ12" s="7">
        <f t="shared" ca="1" si="1"/>
        <v>500.95125642802969</v>
      </c>
      <c r="AR12" s="7">
        <f t="shared" ca="1" si="1"/>
        <v>509.92360578480265</v>
      </c>
      <c r="AS12" s="7">
        <f t="shared" ca="1" si="1"/>
        <v>518.92921916022578</v>
      </c>
      <c r="AT12" s="7">
        <f t="shared" ca="1" si="1"/>
        <v>527.96689501402307</v>
      </c>
      <c r="AU12" s="7">
        <f t="shared" ca="1" si="1"/>
        <v>537.04556384677937</v>
      </c>
      <c r="AV12" s="7">
        <f t="shared" ca="1" si="1"/>
        <v>546.20737877936654</v>
      </c>
      <c r="AW12" s="7">
        <f t="shared" ca="1" si="1"/>
        <v>555.42209806345943</v>
      </c>
    </row>
    <row r="13" spans="1:49" x14ac:dyDescent="0.2">
      <c r="A13" s="4" t="s">
        <v>132</v>
      </c>
      <c r="B13" s="4"/>
      <c r="D13" s="21"/>
      <c r="E13" s="20">
        <f t="shared" ref="E13:I13" si="2">E$12/D$12-1</f>
        <v>2.5629193302478814E-2</v>
      </c>
      <c r="F13" s="20">
        <f t="shared" si="2"/>
        <v>2.9285140845691782E-2</v>
      </c>
      <c r="G13" s="20">
        <f t="shared" si="2"/>
        <v>3.2386078743126934E-2</v>
      </c>
      <c r="H13" s="20">
        <f t="shared" si="2"/>
        <v>2.8115634002772838E-2</v>
      </c>
      <c r="I13" s="20">
        <f t="shared" si="2"/>
        <v>2.4887855259598579E-2</v>
      </c>
      <c r="J13" s="14">
        <f t="shared" ref="J13:AW13" ca="1" si="3">J$12/I$12-1</f>
        <v>2.1703081488495091E-2</v>
      </c>
      <c r="K13" s="14">
        <f t="shared" ca="1" si="3"/>
        <v>2.1362938569959855E-2</v>
      </c>
      <c r="L13" s="14">
        <f t="shared" ca="1" si="3"/>
        <v>2.2887539527685963E-2</v>
      </c>
      <c r="M13" s="14">
        <f t="shared" ca="1" si="3"/>
        <v>2.2751425190921548E-2</v>
      </c>
      <c r="N13" s="14">
        <f t="shared" ca="1" si="3"/>
        <v>2.2673996584116285E-2</v>
      </c>
      <c r="O13" s="14">
        <f t="shared" ca="1" si="3"/>
        <v>2.2241895179851534E-2</v>
      </c>
      <c r="P13" s="14">
        <f t="shared" ca="1" si="3"/>
        <v>2.1851863943209038E-2</v>
      </c>
      <c r="Q13" s="14">
        <f t="shared" ca="1" si="3"/>
        <v>2.1396321250990669E-2</v>
      </c>
      <c r="R13" s="14">
        <f t="shared" ca="1" si="3"/>
        <v>2.089835260250128E-2</v>
      </c>
      <c r="S13" s="14">
        <f t="shared" ca="1" si="3"/>
        <v>2.0517404026883845E-2</v>
      </c>
      <c r="T13" s="14">
        <f t="shared" ca="1" si="3"/>
        <v>2.0131798370621512E-2</v>
      </c>
      <c r="U13" s="14">
        <f t="shared" ca="1" si="3"/>
        <v>1.9866416314682445E-2</v>
      </c>
      <c r="V13" s="14">
        <f t="shared" ca="1" si="3"/>
        <v>1.9665267785771601E-2</v>
      </c>
      <c r="W13" s="14">
        <f t="shared" ca="1" si="3"/>
        <v>1.9537654560112028E-2</v>
      </c>
      <c r="X13" s="14">
        <f t="shared" ca="1" si="3"/>
        <v>1.9485720241817717E-2</v>
      </c>
      <c r="Y13" s="14">
        <f t="shared" ca="1" si="3"/>
        <v>1.9378208321226165E-2</v>
      </c>
      <c r="Z13" s="14">
        <f t="shared" ca="1" si="3"/>
        <v>1.9415338621404654E-2</v>
      </c>
      <c r="AA13" s="14">
        <f t="shared" ca="1" si="3"/>
        <v>1.9451907051391437E-2</v>
      </c>
      <c r="AB13" s="14">
        <f t="shared" ca="1" si="3"/>
        <v>1.9539898457052507E-2</v>
      </c>
      <c r="AC13" s="14">
        <f t="shared" ca="1" si="3"/>
        <v>1.9702540186476991E-2</v>
      </c>
      <c r="AD13" s="14">
        <f t="shared" ca="1" si="3"/>
        <v>1.9828525413291498E-2</v>
      </c>
      <c r="AE13" s="14">
        <f t="shared" ca="1" si="3"/>
        <v>1.9846679687499869E-2</v>
      </c>
      <c r="AF13" s="14">
        <f t="shared" ca="1" si="3"/>
        <v>1.990868964870085E-2</v>
      </c>
      <c r="AG13" s="14">
        <f t="shared" ca="1" si="3"/>
        <v>1.9925688994433255E-2</v>
      </c>
      <c r="AH13" s="14">
        <f t="shared" ca="1" si="3"/>
        <v>1.994232862889822E-2</v>
      </c>
      <c r="AI13" s="14">
        <f t="shared" ca="1" si="3"/>
        <v>1.9831209970172736E-2</v>
      </c>
      <c r="AJ13" s="14">
        <f t="shared" ca="1" si="3"/>
        <v>1.9794976067117442E-2</v>
      </c>
      <c r="AK13" s="14">
        <f t="shared" ca="1" si="3"/>
        <v>1.967279735358507E-2</v>
      </c>
      <c r="AL13" s="14">
        <f t="shared" ca="1" si="3"/>
        <v>1.9476171554385857E-2</v>
      </c>
      <c r="AM13" s="14">
        <f t="shared" ca="1" si="3"/>
        <v>1.929524096737123E-2</v>
      </c>
      <c r="AN13" s="14">
        <f t="shared" ca="1" si="3"/>
        <v>1.9129653488844989E-2</v>
      </c>
      <c r="AO13" s="14">
        <f t="shared" ca="1" si="3"/>
        <v>1.8779968933612334E-2</v>
      </c>
      <c r="AP13" s="14">
        <f t="shared" ca="1" si="3"/>
        <v>1.8570817513336557E-2</v>
      </c>
      <c r="AQ13" s="14">
        <f t="shared" ca="1" si="3"/>
        <v>1.8227746860662197E-2</v>
      </c>
      <c r="AR13" s="14">
        <f t="shared" ca="1" si="3"/>
        <v>1.7910623522035207E-2</v>
      </c>
      <c r="AS13" s="14">
        <f t="shared" ca="1" si="3"/>
        <v>1.7660710885433417E-2</v>
      </c>
      <c r="AT13" s="14">
        <f t="shared" ca="1" si="3"/>
        <v>1.7416008812189743E-2</v>
      </c>
      <c r="AU13" s="14">
        <f t="shared" ca="1" si="3"/>
        <v>1.7195526686413221E-2</v>
      </c>
      <c r="AV13" s="14">
        <f t="shared" ca="1" si="3"/>
        <v>1.7059660388892173E-2</v>
      </c>
      <c r="AW13" s="14">
        <f t="shared" ca="1" si="3"/>
        <v>1.6870367633416761E-2</v>
      </c>
    </row>
    <row r="14" spans="1:49" ht="15" x14ac:dyDescent="0.25">
      <c r="A14" s="2" t="s">
        <v>134</v>
      </c>
      <c r="B14" s="4" t="str">
        <f>$B$12</f>
        <v>From Economic</v>
      </c>
      <c r="D14" s="18">
        <f>Economic!M$7</f>
        <v>241.58</v>
      </c>
      <c r="E14" s="19">
        <f>Economic!N$7</f>
        <v>250.126</v>
      </c>
      <c r="F14" s="19">
        <f>Economic!O$7</f>
        <v>259.20800000000003</v>
      </c>
      <c r="G14" s="19">
        <f>Economic!P$7</f>
        <v>273.61799999999999</v>
      </c>
      <c r="H14" s="19">
        <f>Economic!Q$7</f>
        <v>287.44900000000001</v>
      </c>
      <c r="I14" s="19">
        <f>Economic!R$7</f>
        <v>299.19</v>
      </c>
      <c r="J14" s="7">
        <f t="shared" ref="J14:AW14" ca="1" si="4">I$14*(1+J$34)*J$12/I$12</f>
        <v>311.79701184955371</v>
      </c>
      <c r="K14" s="7">
        <f t="shared" ca="1" si="4"/>
        <v>324.82707050519269</v>
      </c>
      <c r="L14" s="7">
        <f t="shared" ca="1" si="4"/>
        <v>338.90679417946359</v>
      </c>
      <c r="M14" s="7">
        <f t="shared" ca="1" si="4"/>
        <v>353.54975488901135</v>
      </c>
      <c r="N14" s="7">
        <f t="shared" ca="1" si="4"/>
        <v>368.79746364015358</v>
      </c>
      <c r="O14" s="7">
        <f t="shared" ca="1" si="4"/>
        <v>384.54022253241368</v>
      </c>
      <c r="P14" s="7">
        <f t="shared" ca="1" si="4"/>
        <v>400.802006019001</v>
      </c>
      <c r="Q14" s="7">
        <f t="shared" ca="1" si="4"/>
        <v>417.56524838778148</v>
      </c>
      <c r="R14" s="7">
        <f t="shared" ca="1" si="4"/>
        <v>434.81750766680324</v>
      </c>
      <c r="S14" s="7">
        <f t="shared" ca="1" si="4"/>
        <v>452.61361083255713</v>
      </c>
      <c r="T14" s="7">
        <f t="shared" ca="1" si="4"/>
        <v>470.96004752134985</v>
      </c>
      <c r="U14" s="7">
        <f t="shared" ca="1" si="4"/>
        <v>489.92266261085143</v>
      </c>
      <c r="V14" s="7">
        <f t="shared" ca="1" si="4"/>
        <v>509.54826542472034</v>
      </c>
      <c r="W14" s="7">
        <f t="shared" ca="1" si="4"/>
        <v>529.89371628461856</v>
      </c>
      <c r="X14" s="7">
        <f t="shared" ca="1" si="4"/>
        <v>551.02345853799852</v>
      </c>
      <c r="Y14" s="7">
        <f t="shared" ca="1" si="4"/>
        <v>572.93533202557899</v>
      </c>
      <c r="Z14" s="7">
        <f t="shared" ca="1" si="4"/>
        <v>595.74024681512299</v>
      </c>
      <c r="AA14" s="7">
        <f t="shared" ca="1" si="4"/>
        <v>619.47510133740263</v>
      </c>
      <c r="AB14" s="7">
        <f t="shared" ca="1" si="4"/>
        <v>644.21117355249203</v>
      </c>
      <c r="AC14" s="7">
        <f t="shared" ca="1" si="4"/>
        <v>670.04184548974729</v>
      </c>
      <c r="AD14" s="7">
        <f t="shared" ca="1" si="4"/>
        <v>696.99434299602967</v>
      </c>
      <c r="AE14" s="7">
        <f t="shared" ca="1" si="4"/>
        <v>725.04391379478068</v>
      </c>
      <c r="AF14" s="7">
        <f t="shared" ca="1" si="4"/>
        <v>754.26815981732443</v>
      </c>
      <c r="AG14" s="7">
        <f t="shared" ca="1" si="4"/>
        <v>784.68342204001294</v>
      </c>
      <c r="AH14" s="7">
        <f t="shared" ca="1" si="4"/>
        <v>816.33847344622291</v>
      </c>
      <c r="AI14" s="7">
        <f t="shared" ca="1" si="4"/>
        <v>849.17800218226262</v>
      </c>
      <c r="AJ14" s="7">
        <f t="shared" ca="1" si="4"/>
        <v>883.30720962042676</v>
      </c>
      <c r="AK14" s="7">
        <f t="shared" ca="1" si="4"/>
        <v>918.69802002337508</v>
      </c>
      <c r="AL14" s="7">
        <f t="shared" ca="1" si="4"/>
        <v>955.32255507338527</v>
      </c>
      <c r="AM14" s="7">
        <f t="shared" ca="1" si="4"/>
        <v>993.23084865459305</v>
      </c>
      <c r="AN14" s="7">
        <f t="shared" ca="1" si="4"/>
        <v>1032.4756308362626</v>
      </c>
      <c r="AO14" s="7">
        <f t="shared" ca="1" si="4"/>
        <v>1072.902800930241</v>
      </c>
      <c r="AP14" s="7">
        <f t="shared" ca="1" si="4"/>
        <v>1114.6840327169816</v>
      </c>
      <c r="AQ14" s="7">
        <f t="shared" ca="1" si="4"/>
        <v>1157.7022553168681</v>
      </c>
      <c r="AR14" s="7">
        <f t="shared" ca="1" si="4"/>
        <v>1202.0061730537088</v>
      </c>
      <c r="AS14" s="7">
        <f t="shared" ca="1" si="4"/>
        <v>1247.6991456896869</v>
      </c>
      <c r="AT14" s="7">
        <f t="shared" ca="1" si="4"/>
        <v>1294.8176667060998</v>
      </c>
      <c r="AU14" s="7">
        <f t="shared" ca="1" si="4"/>
        <v>1343.4243932169436</v>
      </c>
      <c r="AV14" s="7">
        <f t="shared" ca="1" si="4"/>
        <v>1393.6696122658459</v>
      </c>
      <c r="AW14" s="7">
        <f t="shared" ca="1" si="4"/>
        <v>1445.524957603978</v>
      </c>
    </row>
    <row r="15" spans="1:49" x14ac:dyDescent="0.2">
      <c r="A15" s="4" t="str">
        <f>$A$13</f>
        <v>Annual percentage growth</v>
      </c>
      <c r="D15" s="21"/>
      <c r="E15" s="20">
        <f t="shared" ref="E15:I15" si="5">E$14/D$14-1</f>
        <v>3.5375444987167715E-2</v>
      </c>
      <c r="F15" s="20">
        <f t="shared" si="5"/>
        <v>3.6309699911244886E-2</v>
      </c>
      <c r="G15" s="20">
        <f t="shared" si="5"/>
        <v>5.5592419987037234E-2</v>
      </c>
      <c r="H15" s="20">
        <f t="shared" si="5"/>
        <v>5.0548575020649356E-2</v>
      </c>
      <c r="I15" s="20">
        <f t="shared" si="5"/>
        <v>4.084550650724128E-2</v>
      </c>
      <c r="J15" s="14">
        <f t="shared" ref="J15:AW15" ca="1" si="6">J$14/I$14-1</f>
        <v>4.2137143118265108E-2</v>
      </c>
      <c r="K15" s="14">
        <f t="shared" ca="1" si="6"/>
        <v>4.1790197341359248E-2</v>
      </c>
      <c r="L15" s="14">
        <f t="shared" ca="1" si="6"/>
        <v>4.3345290318239638E-2</v>
      </c>
      <c r="M15" s="14">
        <f t="shared" ca="1" si="6"/>
        <v>4.3206453694740077E-2</v>
      </c>
      <c r="N15" s="14">
        <f t="shared" ca="1" si="6"/>
        <v>4.3127476515798735E-2</v>
      </c>
      <c r="O15" s="14">
        <f t="shared" ca="1" si="6"/>
        <v>4.2686733083448614E-2</v>
      </c>
      <c r="P15" s="14">
        <f t="shared" ca="1" si="6"/>
        <v>4.2288901222073294E-2</v>
      </c>
      <c r="Q15" s="14">
        <f t="shared" ca="1" si="6"/>
        <v>4.1824247676010229E-2</v>
      </c>
      <c r="R15" s="14">
        <f t="shared" ca="1" si="6"/>
        <v>4.1316319654551403E-2</v>
      </c>
      <c r="S15" s="14">
        <f t="shared" ca="1" si="6"/>
        <v>4.0927752107421833E-2</v>
      </c>
      <c r="T15" s="14">
        <f t="shared" ca="1" si="6"/>
        <v>4.0534434338033831E-2</v>
      </c>
      <c r="U15" s="14">
        <f t="shared" ca="1" si="6"/>
        <v>4.0263744640976151E-2</v>
      </c>
      <c r="V15" s="14">
        <f t="shared" ca="1" si="6"/>
        <v>4.0058573141487086E-2</v>
      </c>
      <c r="W15" s="14">
        <f t="shared" ca="1" si="6"/>
        <v>3.9928407651314002E-2</v>
      </c>
      <c r="X15" s="14">
        <f t="shared" ca="1" si="6"/>
        <v>3.9875434646654107E-2</v>
      </c>
      <c r="Y15" s="14">
        <f t="shared" ca="1" si="6"/>
        <v>3.9765772487650786E-2</v>
      </c>
      <c r="Z15" s="14">
        <f t="shared" ca="1" si="6"/>
        <v>3.9803645393832854E-2</v>
      </c>
      <c r="AA15" s="14">
        <f t="shared" ca="1" si="6"/>
        <v>3.9840945192419319E-2</v>
      </c>
      <c r="AB15" s="14">
        <f t="shared" ca="1" si="6"/>
        <v>3.9930696426193624E-2</v>
      </c>
      <c r="AC15" s="14">
        <f t="shared" ca="1" si="6"/>
        <v>4.0096590990206682E-2</v>
      </c>
      <c r="AD15" s="14">
        <f t="shared" ca="1" si="6"/>
        <v>4.0225095921557319E-2</v>
      </c>
      <c r="AE15" s="14">
        <f t="shared" ca="1" si="6"/>
        <v>4.0243613281249813E-2</v>
      </c>
      <c r="AF15" s="14">
        <f t="shared" ca="1" si="6"/>
        <v>4.0306863441675E-2</v>
      </c>
      <c r="AG15" s="14">
        <f t="shared" ca="1" si="6"/>
        <v>4.0324202774322027E-2</v>
      </c>
      <c r="AH15" s="14">
        <f t="shared" ca="1" si="6"/>
        <v>4.0341175201476176E-2</v>
      </c>
      <c r="AI15" s="14">
        <f t="shared" ca="1" si="6"/>
        <v>4.0227834169576315E-2</v>
      </c>
      <c r="AJ15" s="14">
        <f t="shared" ca="1" si="6"/>
        <v>4.0190875588459685E-2</v>
      </c>
      <c r="AK15" s="14">
        <f t="shared" ca="1" si="6"/>
        <v>4.0066253300656829E-2</v>
      </c>
      <c r="AL15" s="14">
        <f t="shared" ca="1" si="6"/>
        <v>3.9865694985473432E-2</v>
      </c>
      <c r="AM15" s="14">
        <f t="shared" ca="1" si="6"/>
        <v>3.9681145786718774E-2</v>
      </c>
      <c r="AN15" s="14">
        <f t="shared" ca="1" si="6"/>
        <v>3.9512246558621955E-2</v>
      </c>
      <c r="AO15" s="14">
        <f t="shared" ca="1" si="6"/>
        <v>3.9155568312284617E-2</v>
      </c>
      <c r="AP15" s="14">
        <f t="shared" ca="1" si="6"/>
        <v>3.8942233863603404E-2</v>
      </c>
      <c r="AQ15" s="14">
        <f t="shared" ca="1" si="6"/>
        <v>3.8592301797875317E-2</v>
      </c>
      <c r="AR15" s="14">
        <f t="shared" ca="1" si="6"/>
        <v>3.826883599247588E-2</v>
      </c>
      <c r="AS15" s="14">
        <f t="shared" ca="1" si="6"/>
        <v>3.8013925103141943E-2</v>
      </c>
      <c r="AT15" s="14">
        <f t="shared" ca="1" si="6"/>
        <v>3.7764328988433515E-2</v>
      </c>
      <c r="AU15" s="14">
        <f t="shared" ca="1" si="6"/>
        <v>3.7539437220141636E-2</v>
      </c>
      <c r="AV15" s="14">
        <f t="shared" ca="1" si="6"/>
        <v>3.7400853596670114E-2</v>
      </c>
      <c r="AW15" s="14">
        <f t="shared" ca="1" si="6"/>
        <v>3.7207774986085074E-2</v>
      </c>
    </row>
    <row r="16" spans="1:49" x14ac:dyDescent="0.2">
      <c r="A16" s="4" t="s">
        <v>303</v>
      </c>
      <c r="D16" s="18">
        <f t="shared" ref="D16:I16" si="7">1/D$14</f>
        <v>4.1394155145293484E-3</v>
      </c>
      <c r="E16" s="19">
        <f t="shared" si="7"/>
        <v>3.9979850155521619E-3</v>
      </c>
      <c r="F16" s="19">
        <f t="shared" si="7"/>
        <v>3.8579056201969073E-3</v>
      </c>
      <c r="G16" s="19">
        <f t="shared" si="7"/>
        <v>3.6547303174498755E-3</v>
      </c>
      <c r="H16" s="19">
        <f t="shared" si="7"/>
        <v>3.4788779922699329E-3</v>
      </c>
      <c r="I16" s="19">
        <f t="shared" si="7"/>
        <v>3.3423576991209601E-3</v>
      </c>
      <c r="J16" s="7">
        <f t="shared" ref="J16:AW16" ca="1" si="8">1/J$14</f>
        <v>3.2072148288660109E-3</v>
      </c>
      <c r="K16" s="7">
        <f t="shared" ca="1" si="8"/>
        <v>3.078561150844766E-3</v>
      </c>
      <c r="L16" s="7">
        <f t="shared" ca="1" si="8"/>
        <v>2.9506637729737081E-3</v>
      </c>
      <c r="M16" s="7">
        <f t="shared" ca="1" si="8"/>
        <v>2.8284562106793893E-3</v>
      </c>
      <c r="N16" s="7">
        <f t="shared" ca="1" si="8"/>
        <v>2.7115153941940583E-3</v>
      </c>
      <c r="O16" s="7">
        <f t="shared" ca="1" si="8"/>
        <v>2.6005081949930686E-3</v>
      </c>
      <c r="P16" s="7">
        <f t="shared" ca="1" si="8"/>
        <v>2.4949974924840883E-3</v>
      </c>
      <c r="Q16" s="7">
        <f t="shared" ca="1" si="8"/>
        <v>2.3948353074423646E-3</v>
      </c>
      <c r="R16" s="7">
        <f t="shared" ca="1" si="8"/>
        <v>2.2998153992600753E-3</v>
      </c>
      <c r="S16" s="7">
        <f t="shared" ca="1" si="8"/>
        <v>2.2093900317327105E-3</v>
      </c>
      <c r="T16" s="7">
        <f t="shared" ca="1" si="8"/>
        <v>2.123322360915694E-3</v>
      </c>
      <c r="U16" s="7">
        <f t="shared" ca="1" si="8"/>
        <v>2.0411384822879813E-3</v>
      </c>
      <c r="V16" s="7">
        <f t="shared" ca="1" si="8"/>
        <v>1.962522626127432E-3</v>
      </c>
      <c r="W16" s="7">
        <f t="shared" ca="1" si="8"/>
        <v>1.8871708972349394E-3</v>
      </c>
      <c r="X16" s="7">
        <f t="shared" ca="1" si="8"/>
        <v>1.8148047683001504E-3</v>
      </c>
      <c r="Y16" s="7">
        <f t="shared" ca="1" si="8"/>
        <v>1.745397681208731E-3</v>
      </c>
      <c r="Z16" s="7">
        <f t="shared" ca="1" si="8"/>
        <v>1.6785839220131314E-3</v>
      </c>
      <c r="AA16" s="7">
        <f t="shared" ca="1" si="8"/>
        <v>1.6142698840374233E-3</v>
      </c>
      <c r="AB16" s="7">
        <f t="shared" ca="1" si="8"/>
        <v>1.5522860221214671E-3</v>
      </c>
      <c r="AC16" s="7">
        <f t="shared" ca="1" si="8"/>
        <v>1.4924441014114269E-3</v>
      </c>
      <c r="AD16" s="7">
        <f t="shared" ca="1" si="8"/>
        <v>1.434731874151949E-3</v>
      </c>
      <c r="AE16" s="7">
        <f t="shared" ca="1" si="8"/>
        <v>1.3792268040236856E-3</v>
      </c>
      <c r="AF16" s="7">
        <f t="shared" ca="1" si="8"/>
        <v>1.3257884307912311E-3</v>
      </c>
      <c r="AG16" s="7">
        <f t="shared" ca="1" si="8"/>
        <v>1.2743992951962831E-3</v>
      </c>
      <c r="AH16" s="7">
        <f t="shared" ca="1" si="8"/>
        <v>1.224982078546952E-3</v>
      </c>
      <c r="AI16" s="7">
        <f t="shared" ca="1" si="8"/>
        <v>1.1776094027755629E-3</v>
      </c>
      <c r="AJ16" s="7">
        <f t="shared" ca="1" si="8"/>
        <v>1.1321089527048221E-3</v>
      </c>
      <c r="AK16" s="7">
        <f t="shared" ca="1" si="8"/>
        <v>1.0884969578736617E-3</v>
      </c>
      <c r="AL16" s="7">
        <f t="shared" ca="1" si="8"/>
        <v>1.046766869147335E-3</v>
      </c>
      <c r="AM16" s="7">
        <f t="shared" ca="1" si="8"/>
        <v>1.0068152850413138E-3</v>
      </c>
      <c r="AN16" s="7">
        <f t="shared" ca="1" si="8"/>
        <v>9.685458621333671E-4</v>
      </c>
      <c r="AO16" s="7">
        <f t="shared" ca="1" si="8"/>
        <v>9.3205088022229785E-4</v>
      </c>
      <c r="AP16" s="7">
        <f t="shared" ca="1" si="8"/>
        <v>8.9711520991518504E-4</v>
      </c>
      <c r="AQ16" s="7">
        <f t="shared" ca="1" si="8"/>
        <v>8.6377995327157383E-4</v>
      </c>
      <c r="AR16" s="7">
        <f t="shared" ca="1" si="8"/>
        <v>8.3194248284057472E-4</v>
      </c>
      <c r="AS16" s="7">
        <f t="shared" ca="1" si="8"/>
        <v>8.0147526224940465E-4</v>
      </c>
      <c r="AT16" s="7">
        <f t="shared" ca="1" si="8"/>
        <v>7.7230951176617045E-4</v>
      </c>
      <c r="AU16" s="7">
        <f t="shared" ca="1" si="8"/>
        <v>7.4436641544479867E-4</v>
      </c>
      <c r="AV16" s="7">
        <f t="shared" ca="1" si="8"/>
        <v>7.1753017443939757E-4</v>
      </c>
      <c r="AW16" s="7">
        <f t="shared" ca="1" si="8"/>
        <v>6.9179020032801412E-4</v>
      </c>
    </row>
    <row r="17" spans="1:49" x14ac:dyDescent="0.2">
      <c r="A17" s="4"/>
      <c r="D17" s="18"/>
      <c r="E17" s="19"/>
      <c r="F17" s="19"/>
      <c r="G17" s="19"/>
      <c r="H17" s="19"/>
      <c r="I17" s="1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row>
    <row r="18" spans="1:49" x14ac:dyDescent="0.2">
      <c r="A18" s="22" t="s">
        <v>302</v>
      </c>
      <c r="D18" s="21"/>
      <c r="E18" s="20"/>
      <c r="F18" s="20"/>
      <c r="G18" s="20"/>
      <c r="H18" s="20"/>
      <c r="I18" s="20"/>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row>
    <row r="19" spans="1:49" ht="15" x14ac:dyDescent="0.25">
      <c r="A19" s="2" t="s">
        <v>305</v>
      </c>
      <c r="B19" s="4" t="str">
        <f>$B$12</f>
        <v>From Economic</v>
      </c>
      <c r="D19" s="18">
        <f>Economic!M$8</f>
        <v>2.4834999999999998</v>
      </c>
      <c r="E19" s="19">
        <f>Economic!N$8</f>
        <v>2.5139999999999998</v>
      </c>
      <c r="F19" s="19">
        <f>Economic!O$8</f>
        <v>2.5703</v>
      </c>
      <c r="G19" s="19">
        <f>Economic!P$8</f>
        <v>2.6090999999999998</v>
      </c>
      <c r="H19" s="19">
        <f>Economic!Q$8</f>
        <v>2.6486000000000001</v>
      </c>
      <c r="I19" s="19">
        <f>Economic!R$8</f>
        <v>2.6809000000000003</v>
      </c>
      <c r="J19" s="7">
        <f ca="1">I$19*(1+I$20+MIN(OFFSET(Assumptions!$B$19,0,$C$1),ABS(LabourForce!H$6-I$20))*SIGN(LabourForce!H$6-I$20))</f>
        <v>2.7082321024390246</v>
      </c>
      <c r="K19" s="7">
        <f ca="1">J$19*(1+J$20+MIN(OFFSET(Assumptions!$B$19,0,$C$1),ABS(LabourForce!I$6-J$20))*SIGN(LabourForce!I$6-J$20))</f>
        <v>2.7304263947907201</v>
      </c>
      <c r="L19" s="7">
        <f ca="1">K$19*(1+K$20+MIN(OFFSET(Assumptions!$B$19,0,$C$1),ABS(LabourForce!J$6-K$20))*SIGN(LabourForce!J$6-K$20))</f>
        <v>2.7516444697821978</v>
      </c>
      <c r="M19" s="7">
        <f ca="1">L$19*(1+L$20+MIN(OFFSET(Assumptions!$B$19,0,$C$1),ABS(LabourForce!K$6-L$20))*SIGN(LabourForce!K$6-L$20))</f>
        <v>2.7726584266881389</v>
      </c>
      <c r="N19" s="7">
        <f ca="1">M$19*(1+M$20+MIN(OFFSET(Assumptions!$B$19,0,$C$1),ABS(LabourForce!L$6-M$20))*SIGN(LabourForce!L$6-M$20))</f>
        <v>2.7936213540726964</v>
      </c>
      <c r="O19" s="7">
        <f ca="1">N$19*(1+N$20+MIN(OFFSET(Assumptions!$B$19,0,$C$1),ABS(LabourForce!M$6-N$20))*SIGN(LabourForce!M$6-N$20))</f>
        <v>2.8135534851252961</v>
      </c>
      <c r="P19" s="7">
        <f ca="1">O$19*(1+O$20+MIN(OFFSET(Assumptions!$B$19,0,$C$1),ABS(LabourForce!N$6-O$20))*SIGN(LabourForce!N$6-O$20))</f>
        <v>2.8325466729844297</v>
      </c>
      <c r="Q19" s="7">
        <f ca="1">P$19*(1+P$20+MIN(OFFSET(Assumptions!$B$19,0,$C$1),ABS(LabourForce!O$6-P$20))*SIGN(LabourForce!O$6-P$20))</f>
        <v>2.8503967995645616</v>
      </c>
      <c r="R19" s="7">
        <f ca="1">Q$19*(1+Q$20+MIN(OFFSET(Assumptions!$B$19,0,$C$1),ABS(LabourForce!P$6-Q$20))*SIGN(LabourForce!P$6-Q$20))</f>
        <v>2.866960982205816</v>
      </c>
      <c r="S19" s="7">
        <f ca="1">R$19*(1+R$20+MIN(OFFSET(Assumptions!$B$19,0,$C$1),ABS(LabourForce!Q$6-R$20))*SIGN(LabourForce!Q$6-R$20))</f>
        <v>2.882545398036497</v>
      </c>
      <c r="T19" s="7">
        <f ca="1">S$19*(1+S$20+MIN(OFFSET(Assumptions!$B$19,0,$C$1),ABS(LabourForce!R$6-S$20))*SIGN(LabourForce!R$6-S$20))</f>
        <v>2.8971194293437743</v>
      </c>
      <c r="U19" s="7">
        <f ca="1">T$19*(1+T$20+MIN(OFFSET(Assumptions!$B$19,0,$C$1),ABS(LabourForce!S$6-T$20))*SIGN(LabourForce!S$6-T$20))</f>
        <v>2.9110096650645056</v>
      </c>
      <c r="V19" s="7">
        <f ca="1">U$19*(1+U$20+MIN(OFFSET(Assumptions!$B$19,0,$C$1),ABS(LabourForce!T$6-U$20))*SIGN(LabourForce!T$6-U$20))</f>
        <v>2.9243896055713972</v>
      </c>
      <c r="W19" s="7">
        <f ca="1">V$19*(1+V$20+MIN(OFFSET(Assumptions!$B$19,0,$C$1),ABS(LabourForce!U$6-V$20))*SIGN(LabourForce!U$6-V$20))</f>
        <v>2.9374633689499841</v>
      </c>
      <c r="X19" s="7">
        <f ca="1">W$19*(1+W$20+MIN(OFFSET(Assumptions!$B$19,0,$C$1),ABS(LabourForce!V$6-W$20))*SIGN(LabourForce!V$6-W$20))</f>
        <v>2.9504452791900797</v>
      </c>
      <c r="Y19" s="7">
        <f ca="1">X$19*(1+X$20+MIN(OFFSET(Assumptions!$B$19,0,$C$1),ABS(LabourForce!W$6-X$20))*SIGN(LabourForce!W$6-X$20))</f>
        <v>2.9631720418232552</v>
      </c>
      <c r="Z19" s="7">
        <f ca="1">Y$19*(1+Y$20+MIN(OFFSET(Assumptions!$B$19,0,$C$1),ABS(LabourForce!X$6-Y$20))*SIGN(LabourForce!X$6-Y$20))</f>
        <v>2.9760620989248601</v>
      </c>
      <c r="AA19" s="7">
        <f ca="1">Z$19*(1+Z$20+MIN(OFFSET(Assumptions!$B$19,0,$C$1),ABS(LabourForce!Y$6-Z$20))*SIGN(LabourForce!Y$6-Z$20))</f>
        <v>2.9891154504948929</v>
      </c>
      <c r="AB19" s="7">
        <f ca="1">AA$19*(1+AA$20+MIN(OFFSET(Assumptions!$B$19,0,$C$1),ABS(LabourForce!Z$6-AA$20))*SIGN(LabourForce!Z$6-AA$20))</f>
        <v>3.0024851850975076</v>
      </c>
      <c r="AC19" s="7">
        <f ca="1">AB$19*(1+AB$20+MIN(OFFSET(Assumptions!$B$19,0,$C$1),ABS(LabourForce!AA$6-AB$20))*SIGN(LabourForce!AA$6-AB$20))</f>
        <v>3.0163958326267926</v>
      </c>
      <c r="AD19" s="7">
        <f ca="1">AC$19*(1+AC$20+MIN(OFFSET(Assumptions!$B$19,0,$C$1),ABS(LabourForce!AB$6-AC$20))*SIGN(LabourForce!AB$6-AC$20))</f>
        <v>3.0307453340399801</v>
      </c>
      <c r="AE19" s="7">
        <f ca="1">AD$19*(1+AD$20+MIN(OFFSET(Assumptions!$B$19,0,$C$1),ABS(LabourForce!AC$6-AD$20))*SIGN(LabourForce!AC$6-AD$20))</f>
        <v>3.0452173063044894</v>
      </c>
      <c r="AF19" s="7">
        <f ca="1">AE$19*(1+AE$20+MIN(OFFSET(Assumptions!$B$19,0,$C$1),ABS(LabourForce!AD$6-AE$20))*SIGN(LabourForce!AD$6-AE$20))</f>
        <v>3.0599444261759188</v>
      </c>
      <c r="AG19" s="7">
        <f ca="1">AF$19*(1+AF$20+MIN(OFFSET(Assumptions!$B$19,0,$C$1),ABS(LabourForce!AE$6-AF$20))*SIGN(LabourForce!AE$6-AF$20))</f>
        <v>3.0747940168986698</v>
      </c>
      <c r="AH19" s="7">
        <f ca="1">AG$19*(1+AG$20+MIN(OFFSET(Assumptions!$B$19,0,$C$1),ABS(LabourForce!AF$6-AG$20))*SIGN(LabourForce!AF$6-AG$20))</f>
        <v>3.0897660784727421</v>
      </c>
      <c r="AI19" s="7">
        <f ca="1">AH$19*(1+AH$20+MIN(OFFSET(Assumptions!$B$19,0,$C$1),ABS(LabourForce!AG$6-AH$20))*SIGN(LabourForce!AG$6-AH$20))</f>
        <v>3.1044727865356183</v>
      </c>
      <c r="AJ19" s="7">
        <f ca="1">AI$19*(1+AI$20+MIN(OFFSET(Assumptions!$B$19,0,$C$1),ABS(LabourForce!AH$6-AI$20))*SIGN(LabourForce!AH$6-AI$20))</f>
        <v>3.1191386709813873</v>
      </c>
      <c r="AK19" s="7">
        <f ca="1">AJ$19*(1+AJ$20+MIN(OFFSET(Assumptions!$B$19,0,$C$1),ABS(LabourForce!AI$6-AJ$20))*SIGN(LabourForce!AI$6-AJ$20))</f>
        <v>3.1334983782988517</v>
      </c>
      <c r="AL19" s="7">
        <f ca="1">AK$19*(1+AK$20+MIN(OFFSET(Assumptions!$B$19,0,$C$1),ABS(LabourForce!AJ$6-AK$20))*SIGN(LabourForce!AJ$6-AK$20))</f>
        <v>3.1473171726896454</v>
      </c>
      <c r="AM19" s="7">
        <f ca="1">AL$19*(1+AL$20+MIN(OFFSET(Assumptions!$B$19,0,$C$1),ABS(LabourForce!AK$6-AL$20))*SIGN(LabourForce!AK$6-AL$20))</f>
        <v>3.1606358777708756</v>
      </c>
      <c r="AN19" s="7">
        <f ca="1">AM$19*(1+AM$20+MIN(OFFSET(Assumptions!$B$19,0,$C$1),ABS(LabourForce!AL$6-AM$20))*SIGN(LabourForce!AL$6-AM$20))</f>
        <v>3.1734953171596496</v>
      </c>
      <c r="AO19" s="7">
        <f ca="1">AN$19*(1+AN$20+MIN(OFFSET(Assumptions!$B$19,0,$C$1),ABS(LabourForce!AM$6-AN$20))*SIGN(LabourForce!AM$6-AN$20))</f>
        <v>3.1853137543121899</v>
      </c>
      <c r="AP19" s="7">
        <f ca="1">AO$19*(1+AO$20+MIN(OFFSET(Assumptions!$B$19,0,$C$1),ABS(LabourForce!AN$6-AO$20))*SIGN(LabourForce!AN$6-AO$20))</f>
        <v>3.1965198372081214</v>
      </c>
      <c r="AQ19" s="7">
        <f ca="1">AP$19*(1+AP$20+MIN(OFFSET(Assumptions!$B$19,0,$C$1),ABS(LabourForce!AO$6-AP$20))*SIGN(LabourForce!AO$6-AP$20))</f>
        <v>3.2066849178678192</v>
      </c>
      <c r="AR19" s="7">
        <f ca="1">AQ$19*(1+AQ$20+MIN(OFFSET(Assumptions!$B$19,0,$C$1),ABS(LabourForce!AP$6-AQ$20))*SIGN(LabourForce!AP$6-AQ$20))</f>
        <v>3.21588043762122</v>
      </c>
      <c r="AS19" s="7">
        <f ca="1">AR$19*(1+AR$20+MIN(OFFSET(Assumptions!$B$19,0,$C$1),ABS(LabourForce!AQ$6-AR$20))*SIGN(LabourForce!AQ$6-AR$20))</f>
        <v>3.2243105145538613</v>
      </c>
      <c r="AT19" s="7">
        <f ca="1">AS$19*(1+AS$20+MIN(OFFSET(Assumptions!$B$19,0,$C$1),ABS(LabourForce!AR$6-AS$20))*SIGN(LabourForce!AR$6-AS$20))</f>
        <v>3.2319853545700181</v>
      </c>
      <c r="AU19" s="7">
        <f ca="1">AT$19*(1+AT$20+MIN(OFFSET(Assumptions!$B$19,0,$C$1),ABS(LabourForce!AS$6-AT$20))*SIGN(LabourForce!AS$6-AT$20))</f>
        <v>3.2389763989996294</v>
      </c>
      <c r="AV19" s="7">
        <f ca="1">AU$19*(1+AU$20+MIN(OFFSET(Assumptions!$B$19,0,$C$1),ABS(LabourForce!AT$6-AU$20))*SIGN(LabourForce!AT$6-AU$20))</f>
        <v>3.2455490013538917</v>
      </c>
      <c r="AW19" s="7">
        <f ca="1">AV$19*(1+AV$20+MIN(OFFSET(Assumptions!$B$19,0,$C$1),ABS(LabourForce!AU$6-AV$20))*SIGN(LabourForce!AU$6-AV$20))</f>
        <v>3.2515296612600992</v>
      </c>
    </row>
    <row r="20" spans="1:49" x14ac:dyDescent="0.2">
      <c r="A20" s="4" t="str">
        <f>$A$13</f>
        <v>Annual percentage growth</v>
      </c>
      <c r="D20" s="21"/>
      <c r="E20" s="20">
        <f t="shared" ref="E20:I20" si="9">E$19/D$19-1</f>
        <v>1.2281054962754112E-2</v>
      </c>
      <c r="F20" s="20">
        <f t="shared" si="9"/>
        <v>2.2394590294351646E-2</v>
      </c>
      <c r="G20" s="20">
        <f t="shared" si="9"/>
        <v>1.5095514142317912E-2</v>
      </c>
      <c r="H20" s="20">
        <f t="shared" si="9"/>
        <v>1.513932007205554E-2</v>
      </c>
      <c r="I20" s="20">
        <f t="shared" si="9"/>
        <v>1.2195121951219523E-2</v>
      </c>
      <c r="J20" s="14">
        <f t="shared" ref="J20:AW20" ca="1" si="10">J$19/I$19-1</f>
        <v>1.0195121951219521E-2</v>
      </c>
      <c r="K20" s="14">
        <f t="shared" ca="1" si="10"/>
        <v>8.1951219512195195E-3</v>
      </c>
      <c r="L20" s="14">
        <f t="shared" ca="1" si="10"/>
        <v>7.7709749041243725E-3</v>
      </c>
      <c r="M20" s="14">
        <f t="shared" ca="1" si="10"/>
        <v>7.6368721092825442E-3</v>
      </c>
      <c r="N20" s="14">
        <f t="shared" ca="1" si="10"/>
        <v>7.560587767602156E-3</v>
      </c>
      <c r="O20" s="14">
        <f t="shared" ca="1" si="10"/>
        <v>7.1348720983757108E-3</v>
      </c>
      <c r="P20" s="14">
        <f t="shared" ca="1" si="10"/>
        <v>6.7506048701568844E-3</v>
      </c>
      <c r="Q20" s="14">
        <f t="shared" ca="1" si="10"/>
        <v>6.3017943359515716E-3</v>
      </c>
      <c r="R20" s="14">
        <f t="shared" ca="1" si="10"/>
        <v>5.8111848300506086E-3</v>
      </c>
      <c r="S20" s="14">
        <f t="shared" ca="1" si="10"/>
        <v>5.4358660363387212E-3</v>
      </c>
      <c r="T20" s="14">
        <f t="shared" ca="1" si="10"/>
        <v>5.0559589858341081E-3</v>
      </c>
      <c r="U20" s="14">
        <f t="shared" ca="1" si="10"/>
        <v>4.7944988321995119E-3</v>
      </c>
      <c r="V20" s="14">
        <f t="shared" ca="1" si="10"/>
        <v>4.5963229416468021E-3</v>
      </c>
      <c r="W20" s="14">
        <f t="shared" ca="1" si="10"/>
        <v>4.4705956257262702E-3</v>
      </c>
      <c r="X20" s="14">
        <f t="shared" ca="1" si="10"/>
        <v>4.4194288096726098E-3</v>
      </c>
      <c r="Y20" s="14">
        <f t="shared" ca="1" si="10"/>
        <v>4.3135057351983974E-3</v>
      </c>
      <c r="Z20" s="14">
        <f t="shared" ca="1" si="10"/>
        <v>4.3500873117288119E-3</v>
      </c>
      <c r="AA20" s="14">
        <f t="shared" ca="1" si="10"/>
        <v>4.3861153215682958E-3</v>
      </c>
      <c r="AB20" s="14">
        <f t="shared" ca="1" si="10"/>
        <v>4.4728063616281677E-3</v>
      </c>
      <c r="AC20" s="14">
        <f t="shared" ca="1" si="10"/>
        <v>4.6330445186970604E-3</v>
      </c>
      <c r="AD20" s="14">
        <f t="shared" ca="1" si="10"/>
        <v>4.7571678948685747E-3</v>
      </c>
      <c r="AE20" s="14">
        <f t="shared" ca="1" si="10"/>
        <v>4.7750538793103203E-3</v>
      </c>
      <c r="AF20" s="14">
        <f t="shared" ca="1" si="10"/>
        <v>4.8361474371434454E-3</v>
      </c>
      <c r="AG20" s="14">
        <f t="shared" ca="1" si="10"/>
        <v>4.8528955610180891E-3</v>
      </c>
      <c r="AH20" s="14">
        <f t="shared" ca="1" si="10"/>
        <v>4.86928928955499E-3</v>
      </c>
      <c r="AI20" s="14">
        <f t="shared" ca="1" si="10"/>
        <v>4.7598127784953537E-3</v>
      </c>
      <c r="AJ20" s="14">
        <f t="shared" ca="1" si="10"/>
        <v>4.7241143518397255E-3</v>
      </c>
      <c r="AK20" s="14">
        <f t="shared" ca="1" si="10"/>
        <v>4.6037412350590223E-3</v>
      </c>
      <c r="AL20" s="14">
        <f t="shared" ca="1" si="10"/>
        <v>4.410021235848216E-3</v>
      </c>
      <c r="AM20" s="14">
        <f t="shared" ca="1" si="10"/>
        <v>4.2317644998735027E-3</v>
      </c>
      <c r="AN20" s="14">
        <f t="shared" ca="1" si="10"/>
        <v>4.0686241269409784E-3</v>
      </c>
      <c r="AO20" s="14">
        <f t="shared" ca="1" si="10"/>
        <v>3.724107323756165E-3</v>
      </c>
      <c r="AP20" s="14">
        <f t="shared" ca="1" si="10"/>
        <v>3.5180468111692953E-3</v>
      </c>
      <c r="AQ20" s="14">
        <f t="shared" ca="1" si="10"/>
        <v>3.1800461681401604E-3</v>
      </c>
      <c r="AR20" s="14">
        <f t="shared" ca="1" si="10"/>
        <v>2.8676093813155834E-3</v>
      </c>
      <c r="AS20" s="14">
        <f t="shared" ca="1" si="10"/>
        <v>2.6213900349096875E-3</v>
      </c>
      <c r="AT20" s="14">
        <f t="shared" ca="1" si="10"/>
        <v>2.3803042484631387E-3</v>
      </c>
      <c r="AU20" s="14">
        <f t="shared" ca="1" si="10"/>
        <v>2.1630804792249769E-3</v>
      </c>
      <c r="AV20" s="14">
        <f t="shared" ca="1" si="10"/>
        <v>2.0292220580218068E-3</v>
      </c>
      <c r="AW20" s="14">
        <f t="shared" ca="1" si="10"/>
        <v>1.8427267324303553E-3</v>
      </c>
    </row>
    <row r="21" spans="1:49" ht="15" x14ac:dyDescent="0.25">
      <c r="A21" s="2" t="s">
        <v>306</v>
      </c>
      <c r="B21" s="4" t="str">
        <f>$B$12</f>
        <v>From Economic</v>
      </c>
      <c r="D21" s="18">
        <f>Economic!M$9</f>
        <v>3.5855999999999999</v>
      </c>
      <c r="E21" s="19">
        <f>Economic!N$9</f>
        <v>3.6703000000000001</v>
      </c>
      <c r="F21" s="19">
        <f>Economic!O$9</f>
        <v>3.7545000000000002</v>
      </c>
      <c r="G21" s="19">
        <f>Economic!P$9</f>
        <v>3.8096000000000001</v>
      </c>
      <c r="H21" s="19">
        <f>Economic!Q$9</f>
        <v>3.8504</v>
      </c>
      <c r="I21" s="19">
        <f>Economic!R$9</f>
        <v>3.8898999999999999</v>
      </c>
      <c r="J21" s="7">
        <f>I$21*(1+Popn!Q$207)</f>
        <v>3.9294504186602874</v>
      </c>
      <c r="K21" s="7">
        <f>J$21*(1+Popn!R$207)</f>
        <v>3.97124745287184</v>
      </c>
      <c r="L21" s="7">
        <f>K$21*(1+Popn!S$207)</f>
        <v>4.0149915538944905</v>
      </c>
      <c r="M21" s="7">
        <f>L$21*(1+Popn!T$207)</f>
        <v>4.0577870839066064</v>
      </c>
      <c r="N21" s="7">
        <f>M$21*(1+Popn!U$207)</f>
        <v>4.100912117532908</v>
      </c>
      <c r="O21" s="7">
        <f>N$21*(1+Popn!V$207)</f>
        <v>4.1417206409019043</v>
      </c>
      <c r="P21" s="7">
        <f>O$21*(1+Popn!W$207)</f>
        <v>4.1808716612419667</v>
      </c>
      <c r="Q21" s="7">
        <f>P$21*(1+Popn!X$207)</f>
        <v>4.2181455094769706</v>
      </c>
      <c r="R21" s="7">
        <f>Q$21*(1+Popn!Y$207)</f>
        <v>4.2530129828326189</v>
      </c>
      <c r="S21" s="7">
        <f>R$21*(1+Popn!Z$207)</f>
        <v>4.2862029832433217</v>
      </c>
      <c r="T21" s="7">
        <f>S$21*(1+Popn!AA$207)</f>
        <v>4.3194129535700361</v>
      </c>
      <c r="U21" s="7">
        <f>T$21*(1+Popn!AB$207)</f>
        <v>4.3524831344846717</v>
      </c>
      <c r="V21" s="7">
        <f>U$21*(1+Popn!AC$207)</f>
        <v>4.3852937064911606</v>
      </c>
      <c r="W21" s="7">
        <f>V$21*(1+Popn!AD$207)</f>
        <v>4.4175551058073399</v>
      </c>
      <c r="X21" s="7">
        <f>W$21*(1+Popn!AE$207)</f>
        <v>4.4495968360473954</v>
      </c>
      <c r="Y21" s="7">
        <f>X$21*(1+Popn!AF$207)</f>
        <v>4.4811193484711591</v>
      </c>
      <c r="Z21" s="7">
        <f>Y$21*(1+Popn!AG$207)</f>
        <v>4.5121825528266637</v>
      </c>
      <c r="AA21" s="7">
        <f>Z$21*(1+Popn!AH$207)</f>
        <v>4.5428763137359605</v>
      </c>
      <c r="AB21" s="7">
        <f>AA$21*(1+Popn!AI$207)</f>
        <v>4.5727712780048071</v>
      </c>
      <c r="AC21" s="7">
        <f>AB$21*(1+Popn!AJ$207)</f>
        <v>4.6020471748773044</v>
      </c>
      <c r="AD21" s="7">
        <f>AC$21*(1+Popn!AK$207)</f>
        <v>4.6305043051933401</v>
      </c>
      <c r="AE21" s="7">
        <f>AD$21*(1+Popn!AL$207)</f>
        <v>4.6583124132390097</v>
      </c>
      <c r="AF21" s="7">
        <f>AE$21*(1+Popn!AM$207)</f>
        <v>4.6852618148961964</v>
      </c>
      <c r="AG21" s="7">
        <f>AF$21*(1+Popn!AN$207)</f>
        <v>4.7114723296609657</v>
      </c>
      <c r="AH21" s="7">
        <f>AG$21*(1+Popn!AO$207)</f>
        <v>4.7368840477852858</v>
      </c>
      <c r="AI21" s="7">
        <f>AH$21*(1+Popn!AP$207)</f>
        <v>4.7612872851510373</v>
      </c>
      <c r="AJ21" s="7">
        <f>AI$21*(1+Popn!AQ$207)</f>
        <v>4.7847719063802705</v>
      </c>
      <c r="AK21" s="7">
        <f>AJ$21*(1+Popn!AR$207)</f>
        <v>4.8076075053391385</v>
      </c>
      <c r="AL21" s="7">
        <f>AK$21*(1+Popn!AS$207)</f>
        <v>4.8296243377415449</v>
      </c>
      <c r="AM21" s="7">
        <f>AL$21*(1+Popn!AT$207)</f>
        <v>4.8507924487134728</v>
      </c>
      <c r="AN21" s="7">
        <f>AM$21*(1+Popn!AU$207)</f>
        <v>4.8714712967431257</v>
      </c>
      <c r="AO21" s="7">
        <f>AN$21*(1+Popn!AV$207)</f>
        <v>4.8915410623344355</v>
      </c>
      <c r="AP21" s="7">
        <f>AO$21*(1+Popn!AW$207)</f>
        <v>4.9112813243115587</v>
      </c>
      <c r="AQ21" s="7">
        <f>AP$21*(1+Popn!AX$207)</f>
        <v>4.9306721127584865</v>
      </c>
      <c r="AR21" s="7">
        <f>AQ$21*(1+Popn!AY$207)</f>
        <v>4.9497433825492338</v>
      </c>
      <c r="AS21" s="7">
        <f>AR$21*(1+Popn!AZ$207)</f>
        <v>4.9685849983058512</v>
      </c>
      <c r="AT21" s="7">
        <f>AS$21*(1+Popn!BA$207)</f>
        <v>4.987476538852496</v>
      </c>
      <c r="AU21" s="7">
        <f>AT$21*(1+Popn!BB$207)</f>
        <v>5.0062881997350965</v>
      </c>
      <c r="AV21" s="7">
        <f>AU$21*(1+Popn!BC$207)</f>
        <v>5.0249600712056184</v>
      </c>
      <c r="AW21" s="7">
        <f>AV$21*(1+Popn!BD$207)</f>
        <v>5.04370183738218</v>
      </c>
    </row>
    <row r="22" spans="1:49" x14ac:dyDescent="0.2">
      <c r="A22" s="4" t="str">
        <f>$A$13</f>
        <v>Annual percentage growth</v>
      </c>
      <c r="D22" s="21"/>
      <c r="E22" s="20">
        <f t="shared" ref="E22:I22" si="11">E$21/D$21-1</f>
        <v>2.3622266845158446E-2</v>
      </c>
      <c r="F22" s="20">
        <f t="shared" si="11"/>
        <v>2.294090401329596E-2</v>
      </c>
      <c r="G22" s="20">
        <f t="shared" si="11"/>
        <v>1.4675722466373609E-2</v>
      </c>
      <c r="H22" s="20">
        <f t="shared" si="11"/>
        <v>1.0709785804283944E-2</v>
      </c>
      <c r="I22" s="20">
        <f t="shared" si="11"/>
        <v>1.0258674423436531E-2</v>
      </c>
      <c r="J22" s="14">
        <f>J$21/I$21-1</f>
        <v>1.0167464114832603E-2</v>
      </c>
      <c r="K22" s="14">
        <f t="shared" ref="K22:AW22" si="12">K$21/J$21-1</f>
        <v>1.0636865148639041E-2</v>
      </c>
      <c r="L22" s="14">
        <f t="shared" si="12"/>
        <v>1.101520404904921E-2</v>
      </c>
      <c r="M22" s="14">
        <f t="shared" si="12"/>
        <v>1.0658934007122589E-2</v>
      </c>
      <c r="N22" s="14">
        <f t="shared" si="12"/>
        <v>1.062772213883223E-2</v>
      </c>
      <c r="O22" s="14">
        <f t="shared" si="12"/>
        <v>9.9510845878711951E-3</v>
      </c>
      <c r="P22" s="14">
        <f t="shared" si="12"/>
        <v>9.4528394680759575E-3</v>
      </c>
      <c r="Q22" s="14">
        <f t="shared" si="12"/>
        <v>8.9153294468578004E-3</v>
      </c>
      <c r="R22" s="14">
        <f t="shared" si="12"/>
        <v>8.2660669901764017E-3</v>
      </c>
      <c r="S22" s="14">
        <f t="shared" si="12"/>
        <v>7.8038794014207991E-3</v>
      </c>
      <c r="T22" s="14">
        <f t="shared" si="12"/>
        <v>7.7481095637670361E-3</v>
      </c>
      <c r="U22" s="14">
        <f t="shared" si="12"/>
        <v>7.6561748714725208E-3</v>
      </c>
      <c r="V22" s="14">
        <f t="shared" si="12"/>
        <v>7.5383570694464996E-3</v>
      </c>
      <c r="W22" s="14">
        <f t="shared" si="12"/>
        <v>7.3567248798924734E-3</v>
      </c>
      <c r="X22" s="14">
        <f t="shared" si="12"/>
        <v>7.2532723356260043E-3</v>
      </c>
      <c r="Y22" s="14">
        <f t="shared" si="12"/>
        <v>7.084352489733714E-3</v>
      </c>
      <c r="Z22" s="14">
        <f t="shared" si="12"/>
        <v>6.9320189755941453E-3</v>
      </c>
      <c r="AA22" s="14">
        <f t="shared" si="12"/>
        <v>6.8024200151362013E-3</v>
      </c>
      <c r="AB22" s="14">
        <f t="shared" si="12"/>
        <v>6.5806247417423691E-3</v>
      </c>
      <c r="AC22" s="14">
        <f t="shared" si="12"/>
        <v>6.4022219990129692E-3</v>
      </c>
      <c r="AD22" s="14">
        <f t="shared" si="12"/>
        <v>6.1835807488859196E-3</v>
      </c>
      <c r="AE22" s="14">
        <f t="shared" si="12"/>
        <v>6.0054167349508081E-3</v>
      </c>
      <c r="AF22" s="14">
        <f t="shared" si="12"/>
        <v>5.785228483301319E-3</v>
      </c>
      <c r="AG22" s="14">
        <f t="shared" si="12"/>
        <v>5.5942476216455095E-3</v>
      </c>
      <c r="AH22" s="14">
        <f t="shared" si="12"/>
        <v>5.3935832254263794E-3</v>
      </c>
      <c r="AI22" s="14">
        <f t="shared" si="12"/>
        <v>5.1517489386638804E-3</v>
      </c>
      <c r="AJ22" s="14">
        <f t="shared" si="12"/>
        <v>4.9324100443328689E-3</v>
      </c>
      <c r="AK22" s="14">
        <f t="shared" si="12"/>
        <v>4.7725574814585503E-3</v>
      </c>
      <c r="AL22" s="14">
        <f t="shared" si="12"/>
        <v>4.5795819184397679E-3</v>
      </c>
      <c r="AM22" s="14">
        <f t="shared" si="12"/>
        <v>4.3829725650725848E-3</v>
      </c>
      <c r="AN22" s="14">
        <f t="shared" si="12"/>
        <v>4.262983470904258E-3</v>
      </c>
      <c r="AO22" s="14">
        <f t="shared" si="12"/>
        <v>4.1198570963001391E-3</v>
      </c>
      <c r="AP22" s="14">
        <f t="shared" si="12"/>
        <v>4.0355915907823725E-3</v>
      </c>
      <c r="AQ22" s="14">
        <f t="shared" si="12"/>
        <v>3.9482137484041502E-3</v>
      </c>
      <c r="AR22" s="14">
        <f t="shared" si="12"/>
        <v>3.8678844089832243E-3</v>
      </c>
      <c r="AS22" s="14">
        <f t="shared" si="12"/>
        <v>3.8065843621399864E-3</v>
      </c>
      <c r="AT22" s="14">
        <f t="shared" si="12"/>
        <v>3.8021973163560041E-3</v>
      </c>
      <c r="AU22" s="14">
        <f t="shared" si="12"/>
        <v>3.7717793228815299E-3</v>
      </c>
      <c r="AV22" s="14">
        <f t="shared" si="12"/>
        <v>3.729683694899899E-3</v>
      </c>
      <c r="AW22" s="14">
        <f t="shared" si="12"/>
        <v>3.729734348329794E-3</v>
      </c>
    </row>
    <row r="23" spans="1:49" ht="15" x14ac:dyDescent="0.25">
      <c r="A23" s="2" t="s">
        <v>307</v>
      </c>
      <c r="D23" s="21">
        <f t="shared" ref="D23:I23" si="13">D$19/D$21</f>
        <v>0.69263163766175806</v>
      </c>
      <c r="E23" s="20">
        <f t="shared" si="13"/>
        <v>0.68495763289104428</v>
      </c>
      <c r="F23" s="20">
        <f t="shared" si="13"/>
        <v>0.68459182314555866</v>
      </c>
      <c r="G23" s="20">
        <f t="shared" si="13"/>
        <v>0.68487505249894998</v>
      </c>
      <c r="H23" s="20">
        <f t="shared" si="13"/>
        <v>0.68787658425098697</v>
      </c>
      <c r="I23" s="20">
        <f t="shared" si="13"/>
        <v>0.68919509498958853</v>
      </c>
      <c r="J23" s="14">
        <f t="shared" ref="J23:AW23" ca="1" si="14">J$19/J$21</f>
        <v>0.68921396477687924</v>
      </c>
      <c r="K23" s="14">
        <f t="shared" ca="1" si="14"/>
        <v>0.68754879346946507</v>
      </c>
      <c r="L23" s="14">
        <f t="shared" ca="1" si="14"/>
        <v>0.68534253007659207</v>
      </c>
      <c r="M23" s="14">
        <f t="shared" ca="1" si="14"/>
        <v>0.68329322592716746</v>
      </c>
      <c r="N23" s="14">
        <f t="shared" ca="1" si="14"/>
        <v>0.6812195126369418</v>
      </c>
      <c r="O23" s="14">
        <f t="shared" ca="1" si="14"/>
        <v>0.67931995638233456</v>
      </c>
      <c r="P23" s="14">
        <f t="shared" ca="1" si="14"/>
        <v>0.67750146440586878</v>
      </c>
      <c r="Q23" s="14">
        <f t="shared" ca="1" si="14"/>
        <v>0.67574643718679983</v>
      </c>
      <c r="R23" s="14">
        <f t="shared" ca="1" si="14"/>
        <v>0.67410115929068815</v>
      </c>
      <c r="S23" s="14">
        <f t="shared" ca="1" si="14"/>
        <v>0.67251723945544628</v>
      </c>
      <c r="T23" s="14">
        <f t="shared" ca="1" si="14"/>
        <v>0.67072064201439163</v>
      </c>
      <c r="U23" s="14">
        <f t="shared" ca="1" si="14"/>
        <v>0.6688158403189689</v>
      </c>
      <c r="V23" s="14">
        <f t="shared" ca="1" si="14"/>
        <v>0.66686288337829758</v>
      </c>
      <c r="W23" s="14">
        <f t="shared" ca="1" si="14"/>
        <v>0.66495228663664663</v>
      </c>
      <c r="X23" s="14">
        <f t="shared" ca="1" si="14"/>
        <v>0.66308148533541722</v>
      </c>
      <c r="Y23" s="14">
        <f t="shared" ca="1" si="14"/>
        <v>0.66125711265293841</v>
      </c>
      <c r="Z23" s="14">
        <f t="shared" ca="1" si="14"/>
        <v>0.65956154567826641</v>
      </c>
      <c r="AA23" s="14">
        <f t="shared" ca="1" si="14"/>
        <v>0.65797861180083739</v>
      </c>
      <c r="AB23" s="14">
        <f t="shared" ca="1" si="14"/>
        <v>0.65660077938723249</v>
      </c>
      <c r="AC23" s="14">
        <f t="shared" ca="1" si="14"/>
        <v>0.65544652586209373</v>
      </c>
      <c r="AD23" s="14">
        <f t="shared" ca="1" si="14"/>
        <v>0.65451733424388547</v>
      </c>
      <c r="AE23" s="14">
        <f t="shared" ca="1" si="14"/>
        <v>0.65371684768284877</v>
      </c>
      <c r="AF23" s="14">
        <f t="shared" ca="1" si="14"/>
        <v>0.65309998609836772</v>
      </c>
      <c r="AG23" s="14">
        <f t="shared" ca="1" si="14"/>
        <v>0.65261850261570564</v>
      </c>
      <c r="AH23" s="14">
        <f t="shared" ca="1" si="14"/>
        <v>0.652278174281541</v>
      </c>
      <c r="AI23" s="14">
        <f t="shared" ca="1" si="14"/>
        <v>0.65202383318005108</v>
      </c>
      <c r="AJ23" s="14">
        <f t="shared" ca="1" si="14"/>
        <v>0.65188868602538008</v>
      </c>
      <c r="AK23" s="14">
        <f t="shared" ca="1" si="14"/>
        <v>0.65177915934670472</v>
      </c>
      <c r="AL23" s="14">
        <f t="shared" ca="1" si="14"/>
        <v>0.651669147037927</v>
      </c>
      <c r="AM23" s="14">
        <f t="shared" ca="1" si="14"/>
        <v>0.65157103941009464</v>
      </c>
      <c r="AN23" s="14">
        <f t="shared" ca="1" si="14"/>
        <v>0.65144493805830772</v>
      </c>
      <c r="AO23" s="14">
        <f t="shared" ca="1" si="14"/>
        <v>0.65118818665135214</v>
      </c>
      <c r="AP23" s="14">
        <f t="shared" ca="1" si="14"/>
        <v>0.65085252220940426</v>
      </c>
      <c r="AQ23" s="14">
        <f t="shared" ca="1" si="14"/>
        <v>0.65035452460330501</v>
      </c>
      <c r="AR23" s="14">
        <f t="shared" ca="1" si="14"/>
        <v>0.64970649770634492</v>
      </c>
      <c r="AS23" s="14">
        <f t="shared" ca="1" si="14"/>
        <v>0.64893938931371031</v>
      </c>
      <c r="AT23" s="14">
        <f t="shared" ca="1" si="14"/>
        <v>0.6480201619782705</v>
      </c>
      <c r="AU23" s="14">
        <f t="shared" ca="1" si="14"/>
        <v>0.64698160988235098</v>
      </c>
      <c r="AV23" s="14">
        <f t="shared" ca="1" si="14"/>
        <v>0.64588553050436481</v>
      </c>
      <c r="AW23" s="14">
        <f t="shared" ca="1" si="14"/>
        <v>0.64467126846414313</v>
      </c>
    </row>
    <row r="24" spans="1:49" ht="15" x14ac:dyDescent="0.25">
      <c r="A24" s="2" t="s">
        <v>109</v>
      </c>
      <c r="B24" s="4" t="str">
        <f>$B$12</f>
        <v>From Economic</v>
      </c>
      <c r="D24" s="18">
        <f>Economic!M$10</f>
        <v>4.5655000000000001</v>
      </c>
      <c r="E24" s="19">
        <f>Economic!N$10</f>
        <v>4.6615000000000002</v>
      </c>
      <c r="F24" s="19">
        <f>Economic!O$10</f>
        <v>4.7511000000000001</v>
      </c>
      <c r="G24" s="19">
        <f>Economic!P$10</f>
        <v>4.8083999999999998</v>
      </c>
      <c r="H24" s="19">
        <f>Economic!Q$10</f>
        <v>4.8523000000000005</v>
      </c>
      <c r="I24" s="19">
        <f>Economic!R$10</f>
        <v>4.8951000000000002</v>
      </c>
      <c r="J24" s="7">
        <f>I$24*(1+Popn!Q$7)</f>
        <v>4.9379654820187744</v>
      </c>
      <c r="K24" s="7">
        <f>J$24*(1+Popn!R$7)</f>
        <v>4.9806990077822215</v>
      </c>
      <c r="L24" s="7">
        <f>K$24*(1+Popn!S$7)</f>
        <v>5.0233614801774165</v>
      </c>
      <c r="M24" s="7">
        <f>L$24*(1+Popn!T$7)</f>
        <v>5.0656686857313478</v>
      </c>
      <c r="N24" s="7">
        <f>M$24*(1+Popn!U$7)</f>
        <v>5.107651075887552</v>
      </c>
      <c r="O24" s="7">
        <f>N$24*(1+Popn!V$7)</f>
        <v>5.1490751895789133</v>
      </c>
      <c r="P24" s="7">
        <f>O$24*(1+Popn!W$7)</f>
        <v>5.1900729830607588</v>
      </c>
      <c r="Q24" s="7">
        <f>P$24*(1+Popn!X$7)</f>
        <v>5.2303805438224344</v>
      </c>
      <c r="R24" s="7">
        <f>Q$24*(1+Popn!Y$7)</f>
        <v>5.2700080223451184</v>
      </c>
      <c r="S24" s="7">
        <f>R$24*(1+Popn!Z$7)</f>
        <v>5.3085697003440107</v>
      </c>
      <c r="T24" s="7">
        <f>S$24*(1+Popn!AA$7)</f>
        <v>5.3462584369615129</v>
      </c>
      <c r="U24" s="7">
        <f>T$24*(1+Popn!AB$7)</f>
        <v>5.3830031788293704</v>
      </c>
      <c r="V24" s="7">
        <f>U$24*(1+Popn!AC$7)</f>
        <v>5.4187024211357953</v>
      </c>
      <c r="W24" s="7">
        <f>V$24*(1+Popn!AD$7)</f>
        <v>5.4531430037760273</v>
      </c>
      <c r="X24" s="7">
        <f>W$24*(1+Popn!AE$7)</f>
        <v>5.4867715479219417</v>
      </c>
      <c r="Y24" s="7">
        <f>X$24*(1+Popn!AF$7)</f>
        <v>5.5193241410628859</v>
      </c>
      <c r="Z24" s="7">
        <f>Y$24*(1+Popn!AG$7)</f>
        <v>5.5509631908977237</v>
      </c>
      <c r="AA24" s="7">
        <f>Z$24*(1+Popn!AH$7)</f>
        <v>5.5819526099371073</v>
      </c>
      <c r="AB24" s="7">
        <f>AA$24*(1+Popn!AI$7)</f>
        <v>5.6118660779715208</v>
      </c>
      <c r="AC24" s="7">
        <f>AB$24*(1+Popn!AJ$7)</f>
        <v>5.6410487113610479</v>
      </c>
      <c r="AD24" s="7">
        <f>AC$24*(1+Popn!AK$7)</f>
        <v>5.6693787043315433</v>
      </c>
      <c r="AE24" s="7">
        <f>AD$24*(1+Popn!AL$7)</f>
        <v>5.6970286150630471</v>
      </c>
      <c r="AF24" s="7">
        <f>AE$24*(1+Popn!AM$7)</f>
        <v>5.7238969387437697</v>
      </c>
      <c r="AG24" s="7">
        <f>AF$24*(1+Popn!AN$7)</f>
        <v>5.7500953306666824</v>
      </c>
      <c r="AH24" s="7">
        <f>AG$24*(1+Popn!AO$7)</f>
        <v>5.7756643927564983</v>
      </c>
      <c r="AI24" s="7">
        <f>AH$24*(1+Popn!AP$7)</f>
        <v>5.8003706639461026</v>
      </c>
      <c r="AJ24" s="7">
        <f>AI$24*(1+Popn!AQ$7)</f>
        <v>5.8243359500096421</v>
      </c>
      <c r="AK24" s="7">
        <f>AJ$24*(1+Popn!AR$7)</f>
        <v>5.8478140129765919</v>
      </c>
      <c r="AL24" s="7">
        <f>AK$24*(1+Popn!AS$7)</f>
        <v>5.8706728965916239</v>
      </c>
      <c r="AM24" s="7">
        <f>AL$24*(1+Popn!AT$7)</f>
        <v>5.8928415474864861</v>
      </c>
      <c r="AN24" s="7">
        <f>AM$24*(1+Popn!AU$7)</f>
        <v>5.9146549315400838</v>
      </c>
      <c r="AO24" s="7">
        <f>AN$24*(1+Popn!AV$7)</f>
        <v>5.9359607915347326</v>
      </c>
      <c r="AP24" s="7">
        <f>AO$24*(1+Popn!AW$7)</f>
        <v>5.9570230399810873</v>
      </c>
      <c r="AQ24" s="7">
        <f>AP$24*(1+Popn!AX$7)</f>
        <v>5.9777706235108941</v>
      </c>
      <c r="AR24" s="7">
        <f>AQ$24*(1+Popn!AY$7)</f>
        <v>5.9983050469359425</v>
      </c>
      <c r="AS24" s="7">
        <f>AR$24*(1+Popn!AZ$7)</f>
        <v>6.0186466112185908</v>
      </c>
      <c r="AT24" s="7">
        <f>AS$24*(1+Popn!BA$7)</f>
        <v>6.0390592288694913</v>
      </c>
      <c r="AU24" s="7">
        <f>AT$24*(1+Popn!BB$7)</f>
        <v>6.0594413950768553</v>
      </c>
      <c r="AV24" s="7">
        <f>AU$24*(1+Popn!BC$7)</f>
        <v>6.0797119059912506</v>
      </c>
      <c r="AW24" s="7">
        <f>AV$24*(1+Popn!BD$7)</f>
        <v>6.1001245236421511</v>
      </c>
    </row>
    <row r="25" spans="1:49" x14ac:dyDescent="0.2">
      <c r="A25" s="4" t="str">
        <f>$A$13</f>
        <v>Annual percentage growth</v>
      </c>
      <c r="D25" s="21"/>
      <c r="E25" s="20">
        <f t="shared" ref="E25:I25" si="15">E$24/D$24-1</f>
        <v>2.1027269740444554E-2</v>
      </c>
      <c r="F25" s="20">
        <f t="shared" si="15"/>
        <v>1.9221280703636046E-2</v>
      </c>
      <c r="G25" s="20">
        <f t="shared" si="15"/>
        <v>1.206036496811258E-2</v>
      </c>
      <c r="H25" s="20">
        <f t="shared" si="15"/>
        <v>9.1298560851844623E-3</v>
      </c>
      <c r="I25" s="20">
        <f t="shared" si="15"/>
        <v>8.8205593223831258E-3</v>
      </c>
      <c r="J25" s="14">
        <f>J$24/I$24-1</f>
        <v>8.7568143692211553E-3</v>
      </c>
      <c r="K25" s="14">
        <f t="shared" ref="K25:AW25" si="16">K$24/J$24-1</f>
        <v>8.6540754322925739E-3</v>
      </c>
      <c r="L25" s="14">
        <f t="shared" si="16"/>
        <v>8.5655592374755951E-3</v>
      </c>
      <c r="M25" s="14">
        <f t="shared" si="16"/>
        <v>8.4220906102177029E-3</v>
      </c>
      <c r="N25" s="14">
        <f t="shared" si="16"/>
        <v>8.2876304710683968E-3</v>
      </c>
      <c r="O25" s="14">
        <f t="shared" si="16"/>
        <v>8.1102082103685635E-3</v>
      </c>
      <c r="P25" s="14">
        <f t="shared" si="16"/>
        <v>7.962166403166826E-3</v>
      </c>
      <c r="Q25" s="14">
        <f t="shared" si="16"/>
        <v>7.7662801454296826E-3</v>
      </c>
      <c r="R25" s="14">
        <f t="shared" si="16"/>
        <v>7.576404468215614E-3</v>
      </c>
      <c r="S25" s="14">
        <f t="shared" si="16"/>
        <v>7.3171953126804912E-3</v>
      </c>
      <c r="T25" s="14">
        <f t="shared" si="16"/>
        <v>7.0996028581973292E-3</v>
      </c>
      <c r="U25" s="14">
        <f t="shared" si="16"/>
        <v>6.8729827226123863E-3</v>
      </c>
      <c r="V25" s="14">
        <f t="shared" si="16"/>
        <v>6.6318449238196298E-3</v>
      </c>
      <c r="W25" s="14">
        <f t="shared" si="16"/>
        <v>6.3558726727446224E-3</v>
      </c>
      <c r="X25" s="14">
        <f t="shared" si="16"/>
        <v>6.1668186810117653E-3</v>
      </c>
      <c r="Y25" s="14">
        <f t="shared" si="16"/>
        <v>5.932923005200319E-3</v>
      </c>
      <c r="Z25" s="14">
        <f t="shared" si="16"/>
        <v>5.732413793103408E-3</v>
      </c>
      <c r="AA25" s="14">
        <f t="shared" si="16"/>
        <v>5.5827102385039851E-3</v>
      </c>
      <c r="AB25" s="14">
        <f t="shared" si="16"/>
        <v>5.3589613034623618E-3</v>
      </c>
      <c r="AC25" s="14">
        <f t="shared" si="16"/>
        <v>5.2001656818003728E-3</v>
      </c>
      <c r="AD25" s="14">
        <f t="shared" si="16"/>
        <v>5.0221145783475585E-3</v>
      </c>
      <c r="AE25" s="14">
        <f t="shared" si="16"/>
        <v>4.8770618745892502E-3</v>
      </c>
      <c r="AF25" s="14">
        <f t="shared" si="16"/>
        <v>4.7161995306961302E-3</v>
      </c>
      <c r="AG25" s="14">
        <f t="shared" si="16"/>
        <v>4.5770202020203321E-3</v>
      </c>
      <c r="AH25" s="14">
        <f t="shared" si="16"/>
        <v>4.4467196836632805E-3</v>
      </c>
      <c r="AI25" s="14">
        <f t="shared" si="16"/>
        <v>4.2776500692438546E-3</v>
      </c>
      <c r="AJ25" s="14">
        <f t="shared" si="16"/>
        <v>4.1316818272498779E-3</v>
      </c>
      <c r="AK25" s="14">
        <f t="shared" si="16"/>
        <v>4.0310282869089331E-3</v>
      </c>
      <c r="AL25" s="14">
        <f t="shared" si="16"/>
        <v>3.9089621462493618E-3</v>
      </c>
      <c r="AM25" s="14">
        <f t="shared" si="16"/>
        <v>3.7761686412016715E-3</v>
      </c>
      <c r="AN25" s="14">
        <f t="shared" si="16"/>
        <v>3.701674969166957E-3</v>
      </c>
      <c r="AO25" s="14">
        <f t="shared" si="16"/>
        <v>3.6022152164845167E-3</v>
      </c>
      <c r="AP25" s="14">
        <f t="shared" si="16"/>
        <v>3.5482458840347952E-3</v>
      </c>
      <c r="AQ25" s="14">
        <f t="shared" si="16"/>
        <v>3.4828778385709303E-3</v>
      </c>
      <c r="AR25" s="14">
        <f t="shared" si="16"/>
        <v>3.4351307064686143E-3</v>
      </c>
      <c r="AS25" s="14">
        <f t="shared" si="16"/>
        <v>3.3912187065310295E-3</v>
      </c>
      <c r="AT25" s="14">
        <f t="shared" si="16"/>
        <v>3.3915627498135592E-3</v>
      </c>
      <c r="AU25" s="14">
        <f t="shared" si="16"/>
        <v>3.3750565170693747E-3</v>
      </c>
      <c r="AV25" s="14">
        <f t="shared" si="16"/>
        <v>3.3452771621595989E-3</v>
      </c>
      <c r="AW25" s="14">
        <f t="shared" si="16"/>
        <v>3.3574975206942526E-3</v>
      </c>
    </row>
    <row r="26" spans="1:49" ht="15" x14ac:dyDescent="0.25">
      <c r="A26" s="2" t="s">
        <v>115</v>
      </c>
      <c r="B26" s="4" t="str">
        <f>$B$12</f>
        <v>From Economic</v>
      </c>
      <c r="D26" s="21">
        <f>Economic!M$11</f>
        <v>5.7500000000000002E-2</v>
      </c>
      <c r="E26" s="20">
        <f>Economic!N$11</f>
        <v>5.62E-2</v>
      </c>
      <c r="F26" s="20">
        <f>Economic!O$11</f>
        <v>5.6799999999999996E-2</v>
      </c>
      <c r="G26" s="20">
        <f>Economic!P$11</f>
        <v>5.28E-2</v>
      </c>
      <c r="H26" s="20">
        <f>Economic!Q$11</f>
        <v>4.7800000000000002E-2</v>
      </c>
      <c r="I26" s="20">
        <f>Economic!R$11</f>
        <v>4.5599999999999995E-2</v>
      </c>
      <c r="J26" s="14">
        <f ca="1">I$26+MIN(OFFSET(Assumptions!$B$20,0,$C$1),ABS(OFFSET(Assumptions!$B$13,0,$C$1)-I$26))*SIGN(OFFSET(Assumptions!$B$13,0,$C$1)-I$26)</f>
        <v>4.4999999999999998E-2</v>
      </c>
      <c r="K26" s="14">
        <f ca="1">J$26+MIN(OFFSET(Assumptions!$B$20,0,$C$1),ABS(OFFSET(Assumptions!$B$13,0,$C$1)-J$26))*SIGN(OFFSET(Assumptions!$B$13,0,$C$1)-J$26)</f>
        <v>4.4999999999999998E-2</v>
      </c>
      <c r="L26" s="14">
        <f ca="1">K$26+MIN(OFFSET(Assumptions!$B$20,0,$C$1),ABS(OFFSET(Assumptions!$B$13,0,$C$1)-K$26))*SIGN(OFFSET(Assumptions!$B$13,0,$C$1)-K$26)</f>
        <v>4.4999999999999998E-2</v>
      </c>
      <c r="M26" s="14">
        <f ca="1">L$26+MIN(OFFSET(Assumptions!$B$20,0,$C$1),ABS(OFFSET(Assumptions!$B$13,0,$C$1)-L$26))*SIGN(OFFSET(Assumptions!$B$13,0,$C$1)-L$26)</f>
        <v>4.4999999999999998E-2</v>
      </c>
      <c r="N26" s="14">
        <f ca="1">M$26+MIN(OFFSET(Assumptions!$B$20,0,$C$1),ABS(OFFSET(Assumptions!$B$13,0,$C$1)-M$26))*SIGN(OFFSET(Assumptions!$B$13,0,$C$1)-M$26)</f>
        <v>4.4999999999999998E-2</v>
      </c>
      <c r="O26" s="14">
        <f ca="1">N$26+MIN(OFFSET(Assumptions!$B$20,0,$C$1),ABS(OFFSET(Assumptions!$B$13,0,$C$1)-N$26))*SIGN(OFFSET(Assumptions!$B$13,0,$C$1)-N$26)</f>
        <v>4.4999999999999998E-2</v>
      </c>
      <c r="P26" s="14">
        <f ca="1">O$26+MIN(OFFSET(Assumptions!$B$20,0,$C$1),ABS(OFFSET(Assumptions!$B$13,0,$C$1)-O$26))*SIGN(OFFSET(Assumptions!$B$13,0,$C$1)-O$26)</f>
        <v>4.4999999999999998E-2</v>
      </c>
      <c r="Q26" s="14">
        <f ca="1">P$26+MIN(OFFSET(Assumptions!$B$20,0,$C$1),ABS(OFFSET(Assumptions!$B$13,0,$C$1)-P$26))*SIGN(OFFSET(Assumptions!$B$13,0,$C$1)-P$26)</f>
        <v>4.4999999999999998E-2</v>
      </c>
      <c r="R26" s="14">
        <f ca="1">Q$26+MIN(OFFSET(Assumptions!$B$20,0,$C$1),ABS(OFFSET(Assumptions!$B$13,0,$C$1)-Q$26))*SIGN(OFFSET(Assumptions!$B$13,0,$C$1)-Q$26)</f>
        <v>4.4999999999999998E-2</v>
      </c>
      <c r="S26" s="14">
        <f ca="1">R$26+MIN(OFFSET(Assumptions!$B$20,0,$C$1),ABS(OFFSET(Assumptions!$B$13,0,$C$1)-R$26))*SIGN(OFFSET(Assumptions!$B$13,0,$C$1)-R$26)</f>
        <v>4.4999999999999998E-2</v>
      </c>
      <c r="T26" s="14">
        <f ca="1">S$26+MIN(OFFSET(Assumptions!$B$20,0,$C$1),ABS(OFFSET(Assumptions!$B$13,0,$C$1)-S$26))*SIGN(OFFSET(Assumptions!$B$13,0,$C$1)-S$26)</f>
        <v>4.4999999999999998E-2</v>
      </c>
      <c r="U26" s="14">
        <f ca="1">T$26+MIN(OFFSET(Assumptions!$B$20,0,$C$1),ABS(OFFSET(Assumptions!$B$13,0,$C$1)-T$26))*SIGN(OFFSET(Assumptions!$B$13,0,$C$1)-T$26)</f>
        <v>4.4999999999999998E-2</v>
      </c>
      <c r="V26" s="14">
        <f ca="1">U$26+MIN(OFFSET(Assumptions!$B$20,0,$C$1),ABS(OFFSET(Assumptions!$B$13,0,$C$1)-U$26))*SIGN(OFFSET(Assumptions!$B$13,0,$C$1)-U$26)</f>
        <v>4.4999999999999998E-2</v>
      </c>
      <c r="W26" s="14">
        <f ca="1">V$26+MIN(OFFSET(Assumptions!$B$20,0,$C$1),ABS(OFFSET(Assumptions!$B$13,0,$C$1)-V$26))*SIGN(OFFSET(Assumptions!$B$13,0,$C$1)-V$26)</f>
        <v>4.4999999999999998E-2</v>
      </c>
      <c r="X26" s="14">
        <f ca="1">W$26+MIN(OFFSET(Assumptions!$B$20,0,$C$1),ABS(OFFSET(Assumptions!$B$13,0,$C$1)-W$26))*SIGN(OFFSET(Assumptions!$B$13,0,$C$1)-W$26)</f>
        <v>4.4999999999999998E-2</v>
      </c>
      <c r="Y26" s="14">
        <f ca="1">X$26+MIN(OFFSET(Assumptions!$B$20,0,$C$1),ABS(OFFSET(Assumptions!$B$13,0,$C$1)-X$26))*SIGN(OFFSET(Assumptions!$B$13,0,$C$1)-X$26)</f>
        <v>4.4999999999999998E-2</v>
      </c>
      <c r="Z26" s="14">
        <f ca="1">Y$26+MIN(OFFSET(Assumptions!$B$20,0,$C$1),ABS(OFFSET(Assumptions!$B$13,0,$C$1)-Y$26))*SIGN(OFFSET(Assumptions!$B$13,0,$C$1)-Y$26)</f>
        <v>4.4999999999999998E-2</v>
      </c>
      <c r="AA26" s="14">
        <f ca="1">Z$26+MIN(OFFSET(Assumptions!$B$20,0,$C$1),ABS(OFFSET(Assumptions!$B$13,0,$C$1)-Z$26))*SIGN(OFFSET(Assumptions!$B$13,0,$C$1)-Z$26)</f>
        <v>4.4999999999999998E-2</v>
      </c>
      <c r="AB26" s="14">
        <f ca="1">AA$26+MIN(OFFSET(Assumptions!$B$20,0,$C$1),ABS(OFFSET(Assumptions!$B$13,0,$C$1)-AA$26))*SIGN(OFFSET(Assumptions!$B$13,0,$C$1)-AA$26)</f>
        <v>4.4999999999999998E-2</v>
      </c>
      <c r="AC26" s="14">
        <f ca="1">AB$26+MIN(OFFSET(Assumptions!$B$20,0,$C$1),ABS(OFFSET(Assumptions!$B$13,0,$C$1)-AB$26))*SIGN(OFFSET(Assumptions!$B$13,0,$C$1)-AB$26)</f>
        <v>4.4999999999999998E-2</v>
      </c>
      <c r="AD26" s="14">
        <f ca="1">AC$26+MIN(OFFSET(Assumptions!$B$20,0,$C$1),ABS(OFFSET(Assumptions!$B$13,0,$C$1)-AC$26))*SIGN(OFFSET(Assumptions!$B$13,0,$C$1)-AC$26)</f>
        <v>4.4999999999999998E-2</v>
      </c>
      <c r="AE26" s="14">
        <f ca="1">AD$26+MIN(OFFSET(Assumptions!$B$20,0,$C$1),ABS(OFFSET(Assumptions!$B$13,0,$C$1)-AD$26))*SIGN(OFFSET(Assumptions!$B$13,0,$C$1)-AD$26)</f>
        <v>4.4999999999999998E-2</v>
      </c>
      <c r="AF26" s="14">
        <f ca="1">AE$26+MIN(OFFSET(Assumptions!$B$20,0,$C$1),ABS(OFFSET(Assumptions!$B$13,0,$C$1)-AE$26))*SIGN(OFFSET(Assumptions!$B$13,0,$C$1)-AE$26)</f>
        <v>4.4999999999999998E-2</v>
      </c>
      <c r="AG26" s="14">
        <f ca="1">AF$26+MIN(OFFSET(Assumptions!$B$20,0,$C$1),ABS(OFFSET(Assumptions!$B$13,0,$C$1)-AF$26))*SIGN(OFFSET(Assumptions!$B$13,0,$C$1)-AF$26)</f>
        <v>4.4999999999999998E-2</v>
      </c>
      <c r="AH26" s="14">
        <f ca="1">AG$26+MIN(OFFSET(Assumptions!$B$20,0,$C$1),ABS(OFFSET(Assumptions!$B$13,0,$C$1)-AG$26))*SIGN(OFFSET(Assumptions!$B$13,0,$C$1)-AG$26)</f>
        <v>4.4999999999999998E-2</v>
      </c>
      <c r="AI26" s="14">
        <f ca="1">AH$26+MIN(OFFSET(Assumptions!$B$20,0,$C$1),ABS(OFFSET(Assumptions!$B$13,0,$C$1)-AH$26))*SIGN(OFFSET(Assumptions!$B$13,0,$C$1)-AH$26)</f>
        <v>4.4999999999999998E-2</v>
      </c>
      <c r="AJ26" s="14">
        <f ca="1">AI$26+MIN(OFFSET(Assumptions!$B$20,0,$C$1),ABS(OFFSET(Assumptions!$B$13,0,$C$1)-AI$26))*SIGN(OFFSET(Assumptions!$B$13,0,$C$1)-AI$26)</f>
        <v>4.4999999999999998E-2</v>
      </c>
      <c r="AK26" s="14">
        <f ca="1">AJ$26+MIN(OFFSET(Assumptions!$B$20,0,$C$1),ABS(OFFSET(Assumptions!$B$13,0,$C$1)-AJ$26))*SIGN(OFFSET(Assumptions!$B$13,0,$C$1)-AJ$26)</f>
        <v>4.4999999999999998E-2</v>
      </c>
      <c r="AL26" s="14">
        <f ca="1">AK$26+MIN(OFFSET(Assumptions!$B$20,0,$C$1),ABS(OFFSET(Assumptions!$B$13,0,$C$1)-AK$26))*SIGN(OFFSET(Assumptions!$B$13,0,$C$1)-AK$26)</f>
        <v>4.4999999999999998E-2</v>
      </c>
      <c r="AM26" s="14">
        <f ca="1">AL$26+MIN(OFFSET(Assumptions!$B$20,0,$C$1),ABS(OFFSET(Assumptions!$B$13,0,$C$1)-AL$26))*SIGN(OFFSET(Assumptions!$B$13,0,$C$1)-AL$26)</f>
        <v>4.4999999999999998E-2</v>
      </c>
      <c r="AN26" s="14">
        <f ca="1">AM$26+MIN(OFFSET(Assumptions!$B$20,0,$C$1),ABS(OFFSET(Assumptions!$B$13,0,$C$1)-AM$26))*SIGN(OFFSET(Assumptions!$B$13,0,$C$1)-AM$26)</f>
        <v>4.4999999999999998E-2</v>
      </c>
      <c r="AO26" s="14">
        <f ca="1">AN$26+MIN(OFFSET(Assumptions!$B$20,0,$C$1),ABS(OFFSET(Assumptions!$B$13,0,$C$1)-AN$26))*SIGN(OFFSET(Assumptions!$B$13,0,$C$1)-AN$26)</f>
        <v>4.4999999999999998E-2</v>
      </c>
      <c r="AP26" s="14">
        <f ca="1">AO$26+MIN(OFFSET(Assumptions!$B$20,0,$C$1),ABS(OFFSET(Assumptions!$B$13,0,$C$1)-AO$26))*SIGN(OFFSET(Assumptions!$B$13,0,$C$1)-AO$26)</f>
        <v>4.4999999999999998E-2</v>
      </c>
      <c r="AQ26" s="14">
        <f ca="1">AP$26+MIN(OFFSET(Assumptions!$B$20,0,$C$1),ABS(OFFSET(Assumptions!$B$13,0,$C$1)-AP$26))*SIGN(OFFSET(Assumptions!$B$13,0,$C$1)-AP$26)</f>
        <v>4.4999999999999998E-2</v>
      </c>
      <c r="AR26" s="14">
        <f ca="1">AQ$26+MIN(OFFSET(Assumptions!$B$20,0,$C$1),ABS(OFFSET(Assumptions!$B$13,0,$C$1)-AQ$26))*SIGN(OFFSET(Assumptions!$B$13,0,$C$1)-AQ$26)</f>
        <v>4.4999999999999998E-2</v>
      </c>
      <c r="AS26" s="14">
        <f ca="1">AR$26+MIN(OFFSET(Assumptions!$B$20,0,$C$1),ABS(OFFSET(Assumptions!$B$13,0,$C$1)-AR$26))*SIGN(OFFSET(Assumptions!$B$13,0,$C$1)-AR$26)</f>
        <v>4.4999999999999998E-2</v>
      </c>
      <c r="AT26" s="14">
        <f ca="1">AS$26+MIN(OFFSET(Assumptions!$B$20,0,$C$1),ABS(OFFSET(Assumptions!$B$13,0,$C$1)-AS$26))*SIGN(OFFSET(Assumptions!$B$13,0,$C$1)-AS$26)</f>
        <v>4.4999999999999998E-2</v>
      </c>
      <c r="AU26" s="14">
        <f ca="1">AT$26+MIN(OFFSET(Assumptions!$B$20,0,$C$1),ABS(OFFSET(Assumptions!$B$13,0,$C$1)-AT$26))*SIGN(OFFSET(Assumptions!$B$13,0,$C$1)-AT$26)</f>
        <v>4.4999999999999998E-2</v>
      </c>
      <c r="AV26" s="14">
        <f ca="1">AU$26+MIN(OFFSET(Assumptions!$B$20,0,$C$1),ABS(OFFSET(Assumptions!$B$13,0,$C$1)-AU$26))*SIGN(OFFSET(Assumptions!$B$13,0,$C$1)-AU$26)</f>
        <v>4.4999999999999998E-2</v>
      </c>
      <c r="AW26" s="14">
        <f ca="1">AV$26+MIN(OFFSET(Assumptions!$B$20,0,$C$1),ABS(OFFSET(Assumptions!$B$13,0,$C$1)-AV$26))*SIGN(OFFSET(Assumptions!$B$13,0,$C$1)-AV$26)</f>
        <v>4.4999999999999998E-2</v>
      </c>
    </row>
    <row r="27" spans="1:49" ht="15" x14ac:dyDescent="0.25">
      <c r="A27" s="2" t="s">
        <v>118</v>
      </c>
      <c r="B27" s="4" t="str">
        <f>$B$12</f>
        <v>From Economic</v>
      </c>
      <c r="D27" s="24">
        <f>Economic!M$12</f>
        <v>33.22</v>
      </c>
      <c r="E27" s="25">
        <f>Economic!N$12</f>
        <v>33.36</v>
      </c>
      <c r="F27" s="25">
        <f>Economic!O$12</f>
        <v>33.270000000000003</v>
      </c>
      <c r="G27" s="25">
        <f>Economic!P$12</f>
        <v>33.19</v>
      </c>
      <c r="H27" s="25">
        <f>Economic!Q$12</f>
        <v>33.17</v>
      </c>
      <c r="I27" s="25">
        <f>Economic!R$12</f>
        <v>33.17</v>
      </c>
      <c r="J27" s="13">
        <f t="shared" ref="J27:AW27" ca="1" si="17">I$27*J$28/I$28</f>
        <v>33.119420555047277</v>
      </c>
      <c r="K27" s="13">
        <f t="shared" ca="1" si="17"/>
        <v>33.078956999085094</v>
      </c>
      <c r="L27" s="13">
        <f t="shared" ca="1" si="17"/>
        <v>33.078956999085094</v>
      </c>
      <c r="M27" s="13">
        <f t="shared" ca="1" si="17"/>
        <v>33.078956999085094</v>
      </c>
      <c r="N27" s="13">
        <f t="shared" ca="1" si="17"/>
        <v>33.078956999085094</v>
      </c>
      <c r="O27" s="13">
        <f t="shared" ca="1" si="17"/>
        <v>33.078956999085094</v>
      </c>
      <c r="P27" s="13">
        <f t="shared" ca="1" si="17"/>
        <v>33.078956999085094</v>
      </c>
      <c r="Q27" s="13">
        <f t="shared" ca="1" si="17"/>
        <v>33.078956999085094</v>
      </c>
      <c r="R27" s="13">
        <f t="shared" ca="1" si="17"/>
        <v>33.078956999085094</v>
      </c>
      <c r="S27" s="13">
        <f t="shared" ca="1" si="17"/>
        <v>33.078956999085094</v>
      </c>
      <c r="T27" s="13">
        <f t="shared" ca="1" si="17"/>
        <v>33.078956999085094</v>
      </c>
      <c r="U27" s="13">
        <f t="shared" ca="1" si="17"/>
        <v>33.078956999085094</v>
      </c>
      <c r="V27" s="13">
        <f t="shared" ca="1" si="17"/>
        <v>33.078956999085094</v>
      </c>
      <c r="W27" s="13">
        <f t="shared" ca="1" si="17"/>
        <v>33.078956999085094</v>
      </c>
      <c r="X27" s="13">
        <f t="shared" ca="1" si="17"/>
        <v>33.078956999085094</v>
      </c>
      <c r="Y27" s="13">
        <f t="shared" ca="1" si="17"/>
        <v>33.078956999085094</v>
      </c>
      <c r="Z27" s="13">
        <f t="shared" ca="1" si="17"/>
        <v>33.078956999085094</v>
      </c>
      <c r="AA27" s="13">
        <f t="shared" ca="1" si="17"/>
        <v>33.078956999085094</v>
      </c>
      <c r="AB27" s="13">
        <f t="shared" ca="1" si="17"/>
        <v>33.078956999085094</v>
      </c>
      <c r="AC27" s="13">
        <f t="shared" ca="1" si="17"/>
        <v>33.078956999085094</v>
      </c>
      <c r="AD27" s="13">
        <f t="shared" ca="1" si="17"/>
        <v>33.078956999085094</v>
      </c>
      <c r="AE27" s="13">
        <f t="shared" ca="1" si="17"/>
        <v>33.078956999085094</v>
      </c>
      <c r="AF27" s="13">
        <f t="shared" ca="1" si="17"/>
        <v>33.078956999085094</v>
      </c>
      <c r="AG27" s="13">
        <f t="shared" ca="1" si="17"/>
        <v>33.078956999085094</v>
      </c>
      <c r="AH27" s="13">
        <f t="shared" ca="1" si="17"/>
        <v>33.078956999085094</v>
      </c>
      <c r="AI27" s="13">
        <f t="shared" ca="1" si="17"/>
        <v>33.078956999085094</v>
      </c>
      <c r="AJ27" s="13">
        <f t="shared" ca="1" si="17"/>
        <v>33.078956999085094</v>
      </c>
      <c r="AK27" s="13">
        <f t="shared" ca="1" si="17"/>
        <v>33.078956999085094</v>
      </c>
      <c r="AL27" s="13">
        <f t="shared" ca="1" si="17"/>
        <v>33.078956999085094</v>
      </c>
      <c r="AM27" s="13">
        <f t="shared" ca="1" si="17"/>
        <v>33.078956999085094</v>
      </c>
      <c r="AN27" s="13">
        <f t="shared" ca="1" si="17"/>
        <v>33.078956999085094</v>
      </c>
      <c r="AO27" s="13">
        <f t="shared" ca="1" si="17"/>
        <v>33.078956999085094</v>
      </c>
      <c r="AP27" s="13">
        <f t="shared" ca="1" si="17"/>
        <v>33.078956999085094</v>
      </c>
      <c r="AQ27" s="13">
        <f t="shared" ca="1" si="17"/>
        <v>33.078956999085094</v>
      </c>
      <c r="AR27" s="13">
        <f t="shared" ca="1" si="17"/>
        <v>33.078956999085094</v>
      </c>
      <c r="AS27" s="13">
        <f t="shared" ca="1" si="17"/>
        <v>33.078956999085094</v>
      </c>
      <c r="AT27" s="13">
        <f t="shared" ca="1" si="17"/>
        <v>33.078956999085094</v>
      </c>
      <c r="AU27" s="13">
        <f t="shared" ca="1" si="17"/>
        <v>33.078956999085094</v>
      </c>
      <c r="AV27" s="13">
        <f t="shared" ca="1" si="17"/>
        <v>33.078956999085094</v>
      </c>
      <c r="AW27" s="13">
        <f t="shared" ca="1" si="17"/>
        <v>33.078956999085094</v>
      </c>
    </row>
    <row r="28" spans="1:49" ht="15" x14ac:dyDescent="0.25">
      <c r="A28" s="2" t="s">
        <v>116</v>
      </c>
      <c r="B28" s="4" t="str">
        <f t="shared" ref="B28:B35" si="18">$B$12</f>
        <v>From Economic</v>
      </c>
      <c r="D28" s="24">
        <f>Economic!M$13</f>
        <v>32.840000000000003</v>
      </c>
      <c r="E28" s="25">
        <f>Economic!N$13</f>
        <v>32.99</v>
      </c>
      <c r="F28" s="25">
        <f>Economic!O$13</f>
        <v>32.89</v>
      </c>
      <c r="G28" s="25">
        <f>Economic!P$13</f>
        <v>32.82</v>
      </c>
      <c r="H28" s="25">
        <f>Economic!Q$13</f>
        <v>32.799999999999997</v>
      </c>
      <c r="I28" s="25">
        <f>Economic!R$13</f>
        <v>32.79</v>
      </c>
      <c r="J28" s="13">
        <f ca="1">I$28+MIN(OFFSET(Assumptions!$B$21,0,$C$1),ABS(OFFSET(Assumptions!$B$14,0,$C$1)-I$28))*SIGN(OFFSET(Assumptions!$B$14,0,$C$1)-I$28)</f>
        <v>32.74</v>
      </c>
      <c r="K28" s="13">
        <f ca="1">J$28+MIN(OFFSET(Assumptions!$B$21,0,$C$1),ABS(OFFSET(Assumptions!$B$14,0,$C$1)-J$28))*SIGN(OFFSET(Assumptions!$B$14,0,$C$1)-J$28)</f>
        <v>32.700000000000003</v>
      </c>
      <c r="L28" s="13">
        <f ca="1">K$28+MIN(OFFSET(Assumptions!$B$21,0,$C$1),ABS(OFFSET(Assumptions!$B$14,0,$C$1)-K$28))*SIGN(OFFSET(Assumptions!$B$14,0,$C$1)-K$28)</f>
        <v>32.700000000000003</v>
      </c>
      <c r="M28" s="13">
        <f ca="1">L$28+MIN(OFFSET(Assumptions!$B$21,0,$C$1),ABS(OFFSET(Assumptions!$B$14,0,$C$1)-L$28))*SIGN(OFFSET(Assumptions!$B$14,0,$C$1)-L$28)</f>
        <v>32.700000000000003</v>
      </c>
      <c r="N28" s="13">
        <f ca="1">M$28+MIN(OFFSET(Assumptions!$B$21,0,$C$1),ABS(OFFSET(Assumptions!$B$14,0,$C$1)-M$28))*SIGN(OFFSET(Assumptions!$B$14,0,$C$1)-M$28)</f>
        <v>32.700000000000003</v>
      </c>
      <c r="O28" s="13">
        <f ca="1">N$28+MIN(OFFSET(Assumptions!$B$21,0,$C$1),ABS(OFFSET(Assumptions!$B$14,0,$C$1)-N$28))*SIGN(OFFSET(Assumptions!$B$14,0,$C$1)-N$28)</f>
        <v>32.700000000000003</v>
      </c>
      <c r="P28" s="13">
        <f ca="1">O$28+MIN(OFFSET(Assumptions!$B$21,0,$C$1),ABS(OFFSET(Assumptions!$B$14,0,$C$1)-O$28))*SIGN(OFFSET(Assumptions!$B$14,0,$C$1)-O$28)</f>
        <v>32.700000000000003</v>
      </c>
      <c r="Q28" s="13">
        <f ca="1">P$28+MIN(OFFSET(Assumptions!$B$21,0,$C$1),ABS(OFFSET(Assumptions!$B$14,0,$C$1)-P$28))*SIGN(OFFSET(Assumptions!$B$14,0,$C$1)-P$28)</f>
        <v>32.700000000000003</v>
      </c>
      <c r="R28" s="13">
        <f ca="1">Q$28+MIN(OFFSET(Assumptions!$B$21,0,$C$1),ABS(OFFSET(Assumptions!$B$14,0,$C$1)-Q$28))*SIGN(OFFSET(Assumptions!$B$14,0,$C$1)-Q$28)</f>
        <v>32.700000000000003</v>
      </c>
      <c r="S28" s="13">
        <f ca="1">R$28+MIN(OFFSET(Assumptions!$B$21,0,$C$1),ABS(OFFSET(Assumptions!$B$14,0,$C$1)-R$28))*SIGN(OFFSET(Assumptions!$B$14,0,$C$1)-R$28)</f>
        <v>32.700000000000003</v>
      </c>
      <c r="T28" s="13">
        <f ca="1">S$28+MIN(OFFSET(Assumptions!$B$21,0,$C$1),ABS(OFFSET(Assumptions!$B$14,0,$C$1)-S$28))*SIGN(OFFSET(Assumptions!$B$14,0,$C$1)-S$28)</f>
        <v>32.700000000000003</v>
      </c>
      <c r="U28" s="13">
        <f ca="1">T$28+MIN(OFFSET(Assumptions!$B$21,0,$C$1),ABS(OFFSET(Assumptions!$B$14,0,$C$1)-T$28))*SIGN(OFFSET(Assumptions!$B$14,0,$C$1)-T$28)</f>
        <v>32.700000000000003</v>
      </c>
      <c r="V28" s="13">
        <f ca="1">U$28+MIN(OFFSET(Assumptions!$B$21,0,$C$1),ABS(OFFSET(Assumptions!$B$14,0,$C$1)-U$28))*SIGN(OFFSET(Assumptions!$B$14,0,$C$1)-U$28)</f>
        <v>32.700000000000003</v>
      </c>
      <c r="W28" s="13">
        <f ca="1">V$28+MIN(OFFSET(Assumptions!$B$21,0,$C$1),ABS(OFFSET(Assumptions!$B$14,0,$C$1)-V$28))*SIGN(OFFSET(Assumptions!$B$14,0,$C$1)-V$28)</f>
        <v>32.700000000000003</v>
      </c>
      <c r="X28" s="13">
        <f ca="1">W$28+MIN(OFFSET(Assumptions!$B$21,0,$C$1),ABS(OFFSET(Assumptions!$B$14,0,$C$1)-W$28))*SIGN(OFFSET(Assumptions!$B$14,0,$C$1)-W$28)</f>
        <v>32.700000000000003</v>
      </c>
      <c r="Y28" s="13">
        <f ca="1">X$28+MIN(OFFSET(Assumptions!$B$21,0,$C$1),ABS(OFFSET(Assumptions!$B$14,0,$C$1)-X$28))*SIGN(OFFSET(Assumptions!$B$14,0,$C$1)-X$28)</f>
        <v>32.700000000000003</v>
      </c>
      <c r="Z28" s="13">
        <f ca="1">Y$28+MIN(OFFSET(Assumptions!$B$21,0,$C$1),ABS(OFFSET(Assumptions!$B$14,0,$C$1)-Y$28))*SIGN(OFFSET(Assumptions!$B$14,0,$C$1)-Y$28)</f>
        <v>32.700000000000003</v>
      </c>
      <c r="AA28" s="13">
        <f ca="1">Z$28+MIN(OFFSET(Assumptions!$B$21,0,$C$1),ABS(OFFSET(Assumptions!$B$14,0,$C$1)-Z$28))*SIGN(OFFSET(Assumptions!$B$14,0,$C$1)-Z$28)</f>
        <v>32.700000000000003</v>
      </c>
      <c r="AB28" s="13">
        <f ca="1">AA$28+MIN(OFFSET(Assumptions!$B$21,0,$C$1),ABS(OFFSET(Assumptions!$B$14,0,$C$1)-AA$28))*SIGN(OFFSET(Assumptions!$B$14,0,$C$1)-AA$28)</f>
        <v>32.700000000000003</v>
      </c>
      <c r="AC28" s="13">
        <f ca="1">AB$28+MIN(OFFSET(Assumptions!$B$21,0,$C$1),ABS(OFFSET(Assumptions!$B$14,0,$C$1)-AB$28))*SIGN(OFFSET(Assumptions!$B$14,0,$C$1)-AB$28)</f>
        <v>32.700000000000003</v>
      </c>
      <c r="AD28" s="13">
        <f ca="1">AC$28+MIN(OFFSET(Assumptions!$B$21,0,$C$1),ABS(OFFSET(Assumptions!$B$14,0,$C$1)-AC$28))*SIGN(OFFSET(Assumptions!$B$14,0,$C$1)-AC$28)</f>
        <v>32.700000000000003</v>
      </c>
      <c r="AE28" s="13">
        <f ca="1">AD$28+MIN(OFFSET(Assumptions!$B$21,0,$C$1),ABS(OFFSET(Assumptions!$B$14,0,$C$1)-AD$28))*SIGN(OFFSET(Assumptions!$B$14,0,$C$1)-AD$28)</f>
        <v>32.700000000000003</v>
      </c>
      <c r="AF28" s="13">
        <f ca="1">AE$28+MIN(OFFSET(Assumptions!$B$21,0,$C$1),ABS(OFFSET(Assumptions!$B$14,0,$C$1)-AE$28))*SIGN(OFFSET(Assumptions!$B$14,0,$C$1)-AE$28)</f>
        <v>32.700000000000003</v>
      </c>
      <c r="AG28" s="13">
        <f ca="1">AF$28+MIN(OFFSET(Assumptions!$B$21,0,$C$1),ABS(OFFSET(Assumptions!$B$14,0,$C$1)-AF$28))*SIGN(OFFSET(Assumptions!$B$14,0,$C$1)-AF$28)</f>
        <v>32.700000000000003</v>
      </c>
      <c r="AH28" s="13">
        <f ca="1">AG$28+MIN(OFFSET(Assumptions!$B$21,0,$C$1),ABS(OFFSET(Assumptions!$B$14,0,$C$1)-AG$28))*SIGN(OFFSET(Assumptions!$B$14,0,$C$1)-AG$28)</f>
        <v>32.700000000000003</v>
      </c>
      <c r="AI28" s="13">
        <f ca="1">AH$28+MIN(OFFSET(Assumptions!$B$21,0,$C$1),ABS(OFFSET(Assumptions!$B$14,0,$C$1)-AH$28))*SIGN(OFFSET(Assumptions!$B$14,0,$C$1)-AH$28)</f>
        <v>32.700000000000003</v>
      </c>
      <c r="AJ28" s="13">
        <f ca="1">AI$28+MIN(OFFSET(Assumptions!$B$21,0,$C$1),ABS(OFFSET(Assumptions!$B$14,0,$C$1)-AI$28))*SIGN(OFFSET(Assumptions!$B$14,0,$C$1)-AI$28)</f>
        <v>32.700000000000003</v>
      </c>
      <c r="AK28" s="13">
        <f ca="1">AJ$28+MIN(OFFSET(Assumptions!$B$21,0,$C$1),ABS(OFFSET(Assumptions!$B$14,0,$C$1)-AJ$28))*SIGN(OFFSET(Assumptions!$B$14,0,$C$1)-AJ$28)</f>
        <v>32.700000000000003</v>
      </c>
      <c r="AL28" s="13">
        <f ca="1">AK$28+MIN(OFFSET(Assumptions!$B$21,0,$C$1),ABS(OFFSET(Assumptions!$B$14,0,$C$1)-AK$28))*SIGN(OFFSET(Assumptions!$B$14,0,$C$1)-AK$28)</f>
        <v>32.700000000000003</v>
      </c>
      <c r="AM28" s="13">
        <f ca="1">AL$28+MIN(OFFSET(Assumptions!$B$21,0,$C$1),ABS(OFFSET(Assumptions!$B$14,0,$C$1)-AL$28))*SIGN(OFFSET(Assumptions!$B$14,0,$C$1)-AL$28)</f>
        <v>32.700000000000003</v>
      </c>
      <c r="AN28" s="13">
        <f ca="1">AM$28+MIN(OFFSET(Assumptions!$B$21,0,$C$1),ABS(OFFSET(Assumptions!$B$14,0,$C$1)-AM$28))*SIGN(OFFSET(Assumptions!$B$14,0,$C$1)-AM$28)</f>
        <v>32.700000000000003</v>
      </c>
      <c r="AO28" s="13">
        <f ca="1">AN$28+MIN(OFFSET(Assumptions!$B$21,0,$C$1),ABS(OFFSET(Assumptions!$B$14,0,$C$1)-AN$28))*SIGN(OFFSET(Assumptions!$B$14,0,$C$1)-AN$28)</f>
        <v>32.700000000000003</v>
      </c>
      <c r="AP28" s="13">
        <f ca="1">AO$28+MIN(OFFSET(Assumptions!$B$21,0,$C$1),ABS(OFFSET(Assumptions!$B$14,0,$C$1)-AO$28))*SIGN(OFFSET(Assumptions!$B$14,0,$C$1)-AO$28)</f>
        <v>32.700000000000003</v>
      </c>
      <c r="AQ28" s="13">
        <f ca="1">AP$28+MIN(OFFSET(Assumptions!$B$21,0,$C$1),ABS(OFFSET(Assumptions!$B$14,0,$C$1)-AP$28))*SIGN(OFFSET(Assumptions!$B$14,0,$C$1)-AP$28)</f>
        <v>32.700000000000003</v>
      </c>
      <c r="AR28" s="13">
        <f ca="1">AQ$28+MIN(OFFSET(Assumptions!$B$21,0,$C$1),ABS(OFFSET(Assumptions!$B$14,0,$C$1)-AQ$28))*SIGN(OFFSET(Assumptions!$B$14,0,$C$1)-AQ$28)</f>
        <v>32.700000000000003</v>
      </c>
      <c r="AS28" s="13">
        <f ca="1">AR$28+MIN(OFFSET(Assumptions!$B$21,0,$C$1),ABS(OFFSET(Assumptions!$B$14,0,$C$1)-AR$28))*SIGN(OFFSET(Assumptions!$B$14,0,$C$1)-AR$28)</f>
        <v>32.700000000000003</v>
      </c>
      <c r="AT28" s="13">
        <f ca="1">AS$28+MIN(OFFSET(Assumptions!$B$21,0,$C$1),ABS(OFFSET(Assumptions!$B$14,0,$C$1)-AS$28))*SIGN(OFFSET(Assumptions!$B$14,0,$C$1)-AS$28)</f>
        <v>32.700000000000003</v>
      </c>
      <c r="AU28" s="13">
        <f ca="1">AT$28+MIN(OFFSET(Assumptions!$B$21,0,$C$1),ABS(OFFSET(Assumptions!$B$14,0,$C$1)-AT$28))*SIGN(OFFSET(Assumptions!$B$14,0,$C$1)-AT$28)</f>
        <v>32.700000000000003</v>
      </c>
      <c r="AV28" s="13">
        <f ca="1">AU$28+MIN(OFFSET(Assumptions!$B$21,0,$C$1),ABS(OFFSET(Assumptions!$B$14,0,$C$1)-AU$28))*SIGN(OFFSET(Assumptions!$B$14,0,$C$1)-AU$28)</f>
        <v>32.700000000000003</v>
      </c>
      <c r="AW28" s="13">
        <f ca="1">AV$28+MIN(OFFSET(Assumptions!$B$21,0,$C$1),ABS(OFFSET(Assumptions!$B$14,0,$C$1)-AV$28))*SIGN(OFFSET(Assumptions!$B$14,0,$C$1)-AV$28)</f>
        <v>32.700000000000003</v>
      </c>
    </row>
    <row r="29" spans="1:49" ht="15" x14ac:dyDescent="0.25">
      <c r="A29" s="2" t="s">
        <v>110</v>
      </c>
      <c r="B29" s="4" t="str">
        <f t="shared" si="18"/>
        <v>From Economic</v>
      </c>
      <c r="D29" s="21">
        <f>Economic!M$14</f>
        <v>7.0000000000000001E-3</v>
      </c>
      <c r="E29" s="20">
        <f>Economic!N$14</f>
        <v>7.6E-3</v>
      </c>
      <c r="F29" s="20">
        <f>Economic!O$14</f>
        <v>1.0200000000000001E-2</v>
      </c>
      <c r="G29" s="20">
        <f>Economic!P$14</f>
        <v>1.52E-2</v>
      </c>
      <c r="H29" s="20">
        <f>Economic!Q$14</f>
        <v>8.0000000000000002E-3</v>
      </c>
      <c r="I29" s="20">
        <f>Economic!R$14</f>
        <v>1.03E-2</v>
      </c>
      <c r="J29" s="14">
        <f ca="1">I$29+MIN(OFFSET(Assumptions!$B$22,0,$C$1),ABS(OFFSET(Assumptions!$B$15,0,$C$1)-I$29))*SIGN(OFFSET(Assumptions!$B$15,0,$C$1)-I$29)</f>
        <v>1.23E-2</v>
      </c>
      <c r="K29" s="14">
        <f ca="1">J$29+MIN(OFFSET(Assumptions!$B$22,0,$C$1),ABS(OFFSET(Assumptions!$B$15,0,$C$1)-J$29))*SIGN(OFFSET(Assumptions!$B$15,0,$C$1)-J$29)</f>
        <v>1.43E-2</v>
      </c>
      <c r="L29" s="14">
        <f ca="1">K$29+MIN(OFFSET(Assumptions!$B$22,0,$C$1),ABS(OFFSET(Assumptions!$B$15,0,$C$1)-K$29))*SIGN(OFFSET(Assumptions!$B$15,0,$C$1)-K$29)</f>
        <v>1.4999999999999999E-2</v>
      </c>
      <c r="M29" s="14">
        <f ca="1">L$29+MIN(OFFSET(Assumptions!$B$22,0,$C$1),ABS(OFFSET(Assumptions!$B$15,0,$C$1)-L$29))*SIGN(OFFSET(Assumptions!$B$15,0,$C$1)-L$29)</f>
        <v>1.4999999999999999E-2</v>
      </c>
      <c r="N29" s="14">
        <f ca="1">M$29+MIN(OFFSET(Assumptions!$B$22,0,$C$1),ABS(OFFSET(Assumptions!$B$15,0,$C$1)-M$29))*SIGN(OFFSET(Assumptions!$B$15,0,$C$1)-M$29)</f>
        <v>1.4999999999999999E-2</v>
      </c>
      <c r="O29" s="14">
        <f ca="1">N$29+MIN(OFFSET(Assumptions!$B$22,0,$C$1),ABS(OFFSET(Assumptions!$B$15,0,$C$1)-N$29))*SIGN(OFFSET(Assumptions!$B$15,0,$C$1)-N$29)</f>
        <v>1.4999999999999999E-2</v>
      </c>
      <c r="P29" s="14">
        <f ca="1">O$29+MIN(OFFSET(Assumptions!$B$22,0,$C$1),ABS(OFFSET(Assumptions!$B$15,0,$C$1)-O$29))*SIGN(OFFSET(Assumptions!$B$15,0,$C$1)-O$29)</f>
        <v>1.4999999999999999E-2</v>
      </c>
      <c r="Q29" s="14">
        <f ca="1">P$29+MIN(OFFSET(Assumptions!$B$22,0,$C$1),ABS(OFFSET(Assumptions!$B$15,0,$C$1)-P$29))*SIGN(OFFSET(Assumptions!$B$15,0,$C$1)-P$29)</f>
        <v>1.4999999999999999E-2</v>
      </c>
      <c r="R29" s="14">
        <f ca="1">Q$29+MIN(OFFSET(Assumptions!$B$22,0,$C$1),ABS(OFFSET(Assumptions!$B$15,0,$C$1)-Q$29))*SIGN(OFFSET(Assumptions!$B$15,0,$C$1)-Q$29)</f>
        <v>1.4999999999999999E-2</v>
      </c>
      <c r="S29" s="14">
        <f ca="1">R$29+MIN(OFFSET(Assumptions!$B$22,0,$C$1),ABS(OFFSET(Assumptions!$B$15,0,$C$1)-R$29))*SIGN(OFFSET(Assumptions!$B$15,0,$C$1)-R$29)</f>
        <v>1.4999999999999999E-2</v>
      </c>
      <c r="T29" s="14">
        <f ca="1">S$29+MIN(OFFSET(Assumptions!$B$22,0,$C$1),ABS(OFFSET(Assumptions!$B$15,0,$C$1)-S$29))*SIGN(OFFSET(Assumptions!$B$15,0,$C$1)-S$29)</f>
        <v>1.4999999999999999E-2</v>
      </c>
      <c r="U29" s="14">
        <f ca="1">T$29+MIN(OFFSET(Assumptions!$B$22,0,$C$1),ABS(OFFSET(Assumptions!$B$15,0,$C$1)-T$29))*SIGN(OFFSET(Assumptions!$B$15,0,$C$1)-T$29)</f>
        <v>1.4999999999999999E-2</v>
      </c>
      <c r="V29" s="14">
        <f ca="1">U$29+MIN(OFFSET(Assumptions!$B$22,0,$C$1),ABS(OFFSET(Assumptions!$B$15,0,$C$1)-U$29))*SIGN(OFFSET(Assumptions!$B$15,0,$C$1)-U$29)</f>
        <v>1.4999999999999999E-2</v>
      </c>
      <c r="W29" s="14">
        <f ca="1">V$29+MIN(OFFSET(Assumptions!$B$22,0,$C$1),ABS(OFFSET(Assumptions!$B$15,0,$C$1)-V$29))*SIGN(OFFSET(Assumptions!$B$15,0,$C$1)-V$29)</f>
        <v>1.4999999999999999E-2</v>
      </c>
      <c r="X29" s="14">
        <f ca="1">W$29+MIN(OFFSET(Assumptions!$B$22,0,$C$1),ABS(OFFSET(Assumptions!$B$15,0,$C$1)-W$29))*SIGN(OFFSET(Assumptions!$B$15,0,$C$1)-W$29)</f>
        <v>1.4999999999999999E-2</v>
      </c>
      <c r="Y29" s="14">
        <f ca="1">X$29+MIN(OFFSET(Assumptions!$B$22,0,$C$1),ABS(OFFSET(Assumptions!$B$15,0,$C$1)-X$29))*SIGN(OFFSET(Assumptions!$B$15,0,$C$1)-X$29)</f>
        <v>1.4999999999999999E-2</v>
      </c>
      <c r="Z29" s="14">
        <f ca="1">Y$29+MIN(OFFSET(Assumptions!$B$22,0,$C$1),ABS(OFFSET(Assumptions!$B$15,0,$C$1)-Y$29))*SIGN(OFFSET(Assumptions!$B$15,0,$C$1)-Y$29)</f>
        <v>1.4999999999999999E-2</v>
      </c>
      <c r="AA29" s="14">
        <f ca="1">Z$29+MIN(OFFSET(Assumptions!$B$22,0,$C$1),ABS(OFFSET(Assumptions!$B$15,0,$C$1)-Z$29))*SIGN(OFFSET(Assumptions!$B$15,0,$C$1)-Z$29)</f>
        <v>1.4999999999999999E-2</v>
      </c>
      <c r="AB29" s="14">
        <f ca="1">AA$29+MIN(OFFSET(Assumptions!$B$22,0,$C$1),ABS(OFFSET(Assumptions!$B$15,0,$C$1)-AA$29))*SIGN(OFFSET(Assumptions!$B$15,0,$C$1)-AA$29)</f>
        <v>1.4999999999999999E-2</v>
      </c>
      <c r="AC29" s="14">
        <f ca="1">AB$29+MIN(OFFSET(Assumptions!$B$22,0,$C$1),ABS(OFFSET(Assumptions!$B$15,0,$C$1)-AB$29))*SIGN(OFFSET(Assumptions!$B$15,0,$C$1)-AB$29)</f>
        <v>1.4999999999999999E-2</v>
      </c>
      <c r="AD29" s="14">
        <f ca="1">AC$29+MIN(OFFSET(Assumptions!$B$22,0,$C$1),ABS(OFFSET(Assumptions!$B$15,0,$C$1)-AC$29))*SIGN(OFFSET(Assumptions!$B$15,0,$C$1)-AC$29)</f>
        <v>1.4999999999999999E-2</v>
      </c>
      <c r="AE29" s="14">
        <f ca="1">AD$29+MIN(OFFSET(Assumptions!$B$22,0,$C$1),ABS(OFFSET(Assumptions!$B$15,0,$C$1)-AD$29))*SIGN(OFFSET(Assumptions!$B$15,0,$C$1)-AD$29)</f>
        <v>1.4999999999999999E-2</v>
      </c>
      <c r="AF29" s="14">
        <f ca="1">AE$29+MIN(OFFSET(Assumptions!$B$22,0,$C$1),ABS(OFFSET(Assumptions!$B$15,0,$C$1)-AE$29))*SIGN(OFFSET(Assumptions!$B$15,0,$C$1)-AE$29)</f>
        <v>1.4999999999999999E-2</v>
      </c>
      <c r="AG29" s="14">
        <f ca="1">AF$29+MIN(OFFSET(Assumptions!$B$22,0,$C$1),ABS(OFFSET(Assumptions!$B$15,0,$C$1)-AF$29))*SIGN(OFFSET(Assumptions!$B$15,0,$C$1)-AF$29)</f>
        <v>1.4999999999999999E-2</v>
      </c>
      <c r="AH29" s="14">
        <f ca="1">AG$29+MIN(OFFSET(Assumptions!$B$22,0,$C$1),ABS(OFFSET(Assumptions!$B$15,0,$C$1)-AG$29))*SIGN(OFFSET(Assumptions!$B$15,0,$C$1)-AG$29)</f>
        <v>1.4999999999999999E-2</v>
      </c>
      <c r="AI29" s="14">
        <f ca="1">AH$29+MIN(OFFSET(Assumptions!$B$22,0,$C$1),ABS(OFFSET(Assumptions!$B$15,0,$C$1)-AH$29))*SIGN(OFFSET(Assumptions!$B$15,0,$C$1)-AH$29)</f>
        <v>1.4999999999999999E-2</v>
      </c>
      <c r="AJ29" s="14">
        <f ca="1">AI$29+MIN(OFFSET(Assumptions!$B$22,0,$C$1),ABS(OFFSET(Assumptions!$B$15,0,$C$1)-AI$29))*SIGN(OFFSET(Assumptions!$B$15,0,$C$1)-AI$29)</f>
        <v>1.4999999999999999E-2</v>
      </c>
      <c r="AK29" s="14">
        <f ca="1">AJ$29+MIN(OFFSET(Assumptions!$B$22,0,$C$1),ABS(OFFSET(Assumptions!$B$15,0,$C$1)-AJ$29))*SIGN(OFFSET(Assumptions!$B$15,0,$C$1)-AJ$29)</f>
        <v>1.4999999999999999E-2</v>
      </c>
      <c r="AL29" s="14">
        <f ca="1">AK$29+MIN(OFFSET(Assumptions!$B$22,0,$C$1),ABS(OFFSET(Assumptions!$B$15,0,$C$1)-AK$29))*SIGN(OFFSET(Assumptions!$B$15,0,$C$1)-AK$29)</f>
        <v>1.4999999999999999E-2</v>
      </c>
      <c r="AM29" s="14">
        <f ca="1">AL$29+MIN(OFFSET(Assumptions!$B$22,0,$C$1),ABS(OFFSET(Assumptions!$B$15,0,$C$1)-AL$29))*SIGN(OFFSET(Assumptions!$B$15,0,$C$1)-AL$29)</f>
        <v>1.4999999999999999E-2</v>
      </c>
      <c r="AN29" s="14">
        <f ca="1">AM$29+MIN(OFFSET(Assumptions!$B$22,0,$C$1),ABS(OFFSET(Assumptions!$B$15,0,$C$1)-AM$29))*SIGN(OFFSET(Assumptions!$B$15,0,$C$1)-AM$29)</f>
        <v>1.4999999999999999E-2</v>
      </c>
      <c r="AO29" s="14">
        <f ca="1">AN$29+MIN(OFFSET(Assumptions!$B$22,0,$C$1),ABS(OFFSET(Assumptions!$B$15,0,$C$1)-AN$29))*SIGN(OFFSET(Assumptions!$B$15,0,$C$1)-AN$29)</f>
        <v>1.4999999999999999E-2</v>
      </c>
      <c r="AP29" s="14">
        <f ca="1">AO$29+MIN(OFFSET(Assumptions!$B$22,0,$C$1),ABS(OFFSET(Assumptions!$B$15,0,$C$1)-AO$29))*SIGN(OFFSET(Assumptions!$B$15,0,$C$1)-AO$29)</f>
        <v>1.4999999999999999E-2</v>
      </c>
      <c r="AQ29" s="14">
        <f ca="1">AP$29+MIN(OFFSET(Assumptions!$B$22,0,$C$1),ABS(OFFSET(Assumptions!$B$15,0,$C$1)-AP$29))*SIGN(OFFSET(Assumptions!$B$15,0,$C$1)-AP$29)</f>
        <v>1.4999999999999999E-2</v>
      </c>
      <c r="AR29" s="14">
        <f ca="1">AQ$29+MIN(OFFSET(Assumptions!$B$22,0,$C$1),ABS(OFFSET(Assumptions!$B$15,0,$C$1)-AQ$29))*SIGN(OFFSET(Assumptions!$B$15,0,$C$1)-AQ$29)</f>
        <v>1.4999999999999999E-2</v>
      </c>
      <c r="AS29" s="14">
        <f ca="1">AR$29+MIN(OFFSET(Assumptions!$B$22,0,$C$1),ABS(OFFSET(Assumptions!$B$15,0,$C$1)-AR$29))*SIGN(OFFSET(Assumptions!$B$15,0,$C$1)-AR$29)</f>
        <v>1.4999999999999999E-2</v>
      </c>
      <c r="AT29" s="14">
        <f ca="1">AS$29+MIN(OFFSET(Assumptions!$B$22,0,$C$1),ABS(OFFSET(Assumptions!$B$15,0,$C$1)-AS$29))*SIGN(OFFSET(Assumptions!$B$15,0,$C$1)-AS$29)</f>
        <v>1.4999999999999999E-2</v>
      </c>
      <c r="AU29" s="14">
        <f ca="1">AT$29+MIN(OFFSET(Assumptions!$B$22,0,$C$1),ABS(OFFSET(Assumptions!$B$15,0,$C$1)-AT$29))*SIGN(OFFSET(Assumptions!$B$15,0,$C$1)-AT$29)</f>
        <v>1.4999999999999999E-2</v>
      </c>
      <c r="AV29" s="14">
        <f ca="1">AU$29+MIN(OFFSET(Assumptions!$B$22,0,$C$1),ABS(OFFSET(Assumptions!$B$15,0,$C$1)-AU$29))*SIGN(OFFSET(Assumptions!$B$15,0,$C$1)-AU$29)</f>
        <v>1.4999999999999999E-2</v>
      </c>
      <c r="AW29" s="14">
        <f ca="1">AV$29+MIN(OFFSET(Assumptions!$B$22,0,$C$1),ABS(OFFSET(Assumptions!$B$15,0,$C$1)-AV$29))*SIGN(OFFSET(Assumptions!$B$15,0,$C$1)-AV$29)</f>
        <v>1.4999999999999999E-2</v>
      </c>
    </row>
    <row r="30" spans="1:49" ht="15" x14ac:dyDescent="0.25">
      <c r="A30" s="2" t="s">
        <v>112</v>
      </c>
      <c r="B30" s="4" t="str">
        <f t="shared" si="18"/>
        <v>From Economic</v>
      </c>
      <c r="D30" s="21">
        <f>Economic!M$16</f>
        <v>2.4500000000000001E-2</v>
      </c>
      <c r="E30" s="20">
        <f>Economic!N$16</f>
        <v>2.0400000000000001E-2</v>
      </c>
      <c r="F30" s="20">
        <f>Economic!O$16</f>
        <v>1.6299999999999999E-2</v>
      </c>
      <c r="G30" s="20">
        <f>Economic!P$16</f>
        <v>1.7100000000000001E-2</v>
      </c>
      <c r="H30" s="20">
        <f>Economic!Q$16</f>
        <v>2.1399999999999999E-2</v>
      </c>
      <c r="I30" s="20">
        <f>Economic!R$16</f>
        <v>2.6599999999999999E-2</v>
      </c>
      <c r="J30" s="14">
        <f t="shared" ref="J30:AW30" ca="1" si="19">(1+J$29)*(1+J$34)-1</f>
        <v>3.2545999999999964E-2</v>
      </c>
      <c r="K30" s="14">
        <f t="shared" ca="1" si="19"/>
        <v>3.4586000000000006E-2</v>
      </c>
      <c r="L30" s="14">
        <f t="shared" ca="1" si="19"/>
        <v>3.5299999999999887E-2</v>
      </c>
      <c r="M30" s="14">
        <f t="shared" ca="1" si="19"/>
        <v>3.5299999999999887E-2</v>
      </c>
      <c r="N30" s="14">
        <f t="shared" ca="1" si="19"/>
        <v>3.5299999999999887E-2</v>
      </c>
      <c r="O30" s="14">
        <f t="shared" ca="1" si="19"/>
        <v>3.5299999999999887E-2</v>
      </c>
      <c r="P30" s="14">
        <f t="shared" ca="1" si="19"/>
        <v>3.5299999999999887E-2</v>
      </c>
      <c r="Q30" s="14">
        <f t="shared" ca="1" si="19"/>
        <v>3.5299999999999887E-2</v>
      </c>
      <c r="R30" s="14">
        <f t="shared" ca="1" si="19"/>
        <v>3.5299999999999887E-2</v>
      </c>
      <c r="S30" s="14">
        <f t="shared" ca="1" si="19"/>
        <v>3.5299999999999887E-2</v>
      </c>
      <c r="T30" s="14">
        <f t="shared" ca="1" si="19"/>
        <v>3.5299999999999887E-2</v>
      </c>
      <c r="U30" s="14">
        <f t="shared" ca="1" si="19"/>
        <v>3.5299999999999887E-2</v>
      </c>
      <c r="V30" s="14">
        <f t="shared" ca="1" si="19"/>
        <v>3.5299999999999887E-2</v>
      </c>
      <c r="W30" s="14">
        <f t="shared" ca="1" si="19"/>
        <v>3.5299999999999887E-2</v>
      </c>
      <c r="X30" s="14">
        <f t="shared" ca="1" si="19"/>
        <v>3.5299999999999887E-2</v>
      </c>
      <c r="Y30" s="14">
        <f t="shared" ca="1" si="19"/>
        <v>3.5299999999999887E-2</v>
      </c>
      <c r="Z30" s="14">
        <f t="shared" ca="1" si="19"/>
        <v>3.5299999999999887E-2</v>
      </c>
      <c r="AA30" s="14">
        <f t="shared" ca="1" si="19"/>
        <v>3.5299999999999887E-2</v>
      </c>
      <c r="AB30" s="14">
        <f t="shared" ca="1" si="19"/>
        <v>3.5299999999999887E-2</v>
      </c>
      <c r="AC30" s="14">
        <f t="shared" ca="1" si="19"/>
        <v>3.5299999999999887E-2</v>
      </c>
      <c r="AD30" s="14">
        <f t="shared" ca="1" si="19"/>
        <v>3.5299999999999887E-2</v>
      </c>
      <c r="AE30" s="14">
        <f t="shared" ca="1" si="19"/>
        <v>3.5299999999999887E-2</v>
      </c>
      <c r="AF30" s="14">
        <f t="shared" ca="1" si="19"/>
        <v>3.5299999999999887E-2</v>
      </c>
      <c r="AG30" s="14">
        <f t="shared" ca="1" si="19"/>
        <v>3.5299999999999887E-2</v>
      </c>
      <c r="AH30" s="14">
        <f t="shared" ca="1" si="19"/>
        <v>3.5299999999999887E-2</v>
      </c>
      <c r="AI30" s="14">
        <f t="shared" ca="1" si="19"/>
        <v>3.5299999999999887E-2</v>
      </c>
      <c r="AJ30" s="14">
        <f t="shared" ca="1" si="19"/>
        <v>3.5299999999999887E-2</v>
      </c>
      <c r="AK30" s="14">
        <f t="shared" ca="1" si="19"/>
        <v>3.5299999999999887E-2</v>
      </c>
      <c r="AL30" s="14">
        <f t="shared" ca="1" si="19"/>
        <v>3.5299999999999887E-2</v>
      </c>
      <c r="AM30" s="14">
        <f t="shared" ca="1" si="19"/>
        <v>3.5299999999999887E-2</v>
      </c>
      <c r="AN30" s="14">
        <f t="shared" ca="1" si="19"/>
        <v>3.5299999999999887E-2</v>
      </c>
      <c r="AO30" s="14">
        <f t="shared" ca="1" si="19"/>
        <v>3.5299999999999887E-2</v>
      </c>
      <c r="AP30" s="14">
        <f t="shared" ca="1" si="19"/>
        <v>3.5299999999999887E-2</v>
      </c>
      <c r="AQ30" s="14">
        <f t="shared" ca="1" si="19"/>
        <v>3.5299999999999887E-2</v>
      </c>
      <c r="AR30" s="14">
        <f t="shared" ca="1" si="19"/>
        <v>3.5299999999999887E-2</v>
      </c>
      <c r="AS30" s="14">
        <f t="shared" ca="1" si="19"/>
        <v>3.5299999999999887E-2</v>
      </c>
      <c r="AT30" s="14">
        <f t="shared" ca="1" si="19"/>
        <v>3.5299999999999887E-2</v>
      </c>
      <c r="AU30" s="14">
        <f t="shared" ca="1" si="19"/>
        <v>3.5299999999999887E-2</v>
      </c>
      <c r="AV30" s="14">
        <f t="shared" ca="1" si="19"/>
        <v>3.5299999999999887E-2</v>
      </c>
      <c r="AW30" s="14">
        <f t="shared" ca="1" si="19"/>
        <v>3.5299999999999887E-2</v>
      </c>
    </row>
    <row r="31" spans="1:49" ht="15" x14ac:dyDescent="0.25">
      <c r="A31" s="2"/>
      <c r="B31" s="4"/>
      <c r="D31" s="21"/>
      <c r="E31" s="20"/>
      <c r="F31" s="20"/>
      <c r="G31" s="20"/>
      <c r="H31" s="20"/>
      <c r="I31" s="20"/>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row>
    <row r="32" spans="1:49" x14ac:dyDescent="0.2">
      <c r="A32" s="22" t="s">
        <v>304</v>
      </c>
      <c r="B32" s="4"/>
      <c r="D32" s="21"/>
      <c r="E32" s="20"/>
      <c r="F32" s="20"/>
      <c r="G32" s="20"/>
      <c r="H32" s="20"/>
      <c r="I32" s="20"/>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row>
    <row r="33" spans="1:49" ht="15" x14ac:dyDescent="0.25">
      <c r="A33" s="2" t="s">
        <v>308</v>
      </c>
      <c r="B33" s="4" t="str">
        <f t="shared" si="18"/>
        <v>From Economic</v>
      </c>
      <c r="D33" s="26">
        <f>Economic!M$15</f>
        <v>1200</v>
      </c>
      <c r="E33" s="27">
        <f>Economic!N$15</f>
        <v>1201</v>
      </c>
      <c r="F33" s="27">
        <f>Economic!O$15</f>
        <v>1219</v>
      </c>
      <c r="G33" s="27">
        <f>Economic!P$15</f>
        <v>1243</v>
      </c>
      <c r="H33" s="27">
        <f>Economic!Q$15</f>
        <v>1267</v>
      </c>
      <c r="I33" s="27">
        <f>Economic!R$15</f>
        <v>1294</v>
      </c>
      <c r="J33" s="3">
        <f ca="1">I$33*(1+I$34+MIN(OFFSET(Assumptions!$B$23,0,$C$1),ABS(OFFSET(Assumptions!$B$16,0,$C$1)-I$34))*SIGN(OFFSET(Assumptions!$B$16,0,$C$1)-I$34))</f>
        <v>1319.88</v>
      </c>
      <c r="K33" s="3">
        <f ca="1">J$33*(1+J$34+MIN(OFFSET(Assumptions!$B$23,0,$C$1),ABS(OFFSET(Assumptions!$B$16,0,$C$1)-J$34))*SIGN(OFFSET(Assumptions!$B$16,0,$C$1)-J$34))</f>
        <v>1346.2776000000001</v>
      </c>
      <c r="L33" s="3">
        <f ca="1">K$33*(1+K$34+MIN(OFFSET(Assumptions!$B$23,0,$C$1),ABS(OFFSET(Assumptions!$B$16,0,$C$1)-K$34))*SIGN(OFFSET(Assumptions!$B$16,0,$C$1)-K$34))</f>
        <v>1373.203152</v>
      </c>
      <c r="M33" s="3">
        <f ca="1">L$33*(1+L$34+MIN(OFFSET(Assumptions!$B$23,0,$C$1),ABS(OFFSET(Assumptions!$B$16,0,$C$1)-L$34))*SIGN(OFFSET(Assumptions!$B$16,0,$C$1)-L$34))</f>
        <v>1400.66721504</v>
      </c>
      <c r="N33" s="3">
        <f ca="1">M$33*(1+M$34+MIN(OFFSET(Assumptions!$B$23,0,$C$1),ABS(OFFSET(Assumptions!$B$16,0,$C$1)-M$34))*SIGN(OFFSET(Assumptions!$B$16,0,$C$1)-M$34))</f>
        <v>1428.6805593408001</v>
      </c>
      <c r="O33" s="3">
        <f ca="1">N$33*(1+N$34+MIN(OFFSET(Assumptions!$B$23,0,$C$1),ABS(OFFSET(Assumptions!$B$16,0,$C$1)-N$34))*SIGN(OFFSET(Assumptions!$B$16,0,$C$1)-N$34))</f>
        <v>1457.254170527616</v>
      </c>
      <c r="P33" s="3">
        <f ca="1">O$33*(1+O$34+MIN(OFFSET(Assumptions!$B$23,0,$C$1),ABS(OFFSET(Assumptions!$B$16,0,$C$1)-O$34))*SIGN(OFFSET(Assumptions!$B$16,0,$C$1)-O$34))</f>
        <v>1486.3992539381684</v>
      </c>
      <c r="Q33" s="3">
        <f ca="1">P$33*(1+P$34+MIN(OFFSET(Assumptions!$B$23,0,$C$1),ABS(OFFSET(Assumptions!$B$16,0,$C$1)-P$34))*SIGN(OFFSET(Assumptions!$B$16,0,$C$1)-P$34))</f>
        <v>1516.1272390169318</v>
      </c>
      <c r="R33" s="3">
        <f ca="1">Q$33*(1+Q$34+MIN(OFFSET(Assumptions!$B$23,0,$C$1),ABS(OFFSET(Assumptions!$B$16,0,$C$1)-Q$34))*SIGN(OFFSET(Assumptions!$B$16,0,$C$1)-Q$34))</f>
        <v>1546.4497837972704</v>
      </c>
      <c r="S33" s="3">
        <f ca="1">R$33*(1+R$34+MIN(OFFSET(Assumptions!$B$23,0,$C$1),ABS(OFFSET(Assumptions!$B$16,0,$C$1)-R$34))*SIGN(OFFSET(Assumptions!$B$16,0,$C$1)-R$34))</f>
        <v>1577.3787794732159</v>
      </c>
      <c r="T33" s="3">
        <f ca="1">S$33*(1+S$34+MIN(OFFSET(Assumptions!$B$23,0,$C$1),ABS(OFFSET(Assumptions!$B$16,0,$C$1)-S$34))*SIGN(OFFSET(Assumptions!$B$16,0,$C$1)-S$34))</f>
        <v>1608.9263550626802</v>
      </c>
      <c r="U33" s="3">
        <f ca="1">T$33*(1+T$34+MIN(OFFSET(Assumptions!$B$23,0,$C$1),ABS(OFFSET(Assumptions!$B$16,0,$C$1)-T$34))*SIGN(OFFSET(Assumptions!$B$16,0,$C$1)-T$34))</f>
        <v>1641.1048821639338</v>
      </c>
      <c r="V33" s="3">
        <f ca="1">U$33*(1+U$34+MIN(OFFSET(Assumptions!$B$23,0,$C$1),ABS(OFFSET(Assumptions!$B$16,0,$C$1)-U$34))*SIGN(OFFSET(Assumptions!$B$16,0,$C$1)-U$34))</f>
        <v>1673.9269798072125</v>
      </c>
      <c r="W33" s="3">
        <f ca="1">V$33*(1+V$34+MIN(OFFSET(Assumptions!$B$23,0,$C$1),ABS(OFFSET(Assumptions!$B$16,0,$C$1)-V$34))*SIGN(OFFSET(Assumptions!$B$16,0,$C$1)-V$34))</f>
        <v>1707.4055194033567</v>
      </c>
      <c r="X33" s="3">
        <f ca="1">W$33*(1+W$34+MIN(OFFSET(Assumptions!$B$23,0,$C$1),ABS(OFFSET(Assumptions!$B$16,0,$C$1)-W$34))*SIGN(OFFSET(Assumptions!$B$16,0,$C$1)-W$34))</f>
        <v>1741.5536297914239</v>
      </c>
      <c r="Y33" s="3">
        <f ca="1">X$33*(1+X$34+MIN(OFFSET(Assumptions!$B$23,0,$C$1),ABS(OFFSET(Assumptions!$B$16,0,$C$1)-X$34))*SIGN(OFFSET(Assumptions!$B$16,0,$C$1)-X$34))</f>
        <v>1776.3847023872524</v>
      </c>
      <c r="Z33" s="3">
        <f ca="1">Y$33*(1+Y$34+MIN(OFFSET(Assumptions!$B$23,0,$C$1),ABS(OFFSET(Assumptions!$B$16,0,$C$1)-Y$34))*SIGN(OFFSET(Assumptions!$B$16,0,$C$1)-Y$34))</f>
        <v>1811.9123964349976</v>
      </c>
      <c r="AA33" s="3">
        <f ca="1">Z$33*(1+Z$34+MIN(OFFSET(Assumptions!$B$23,0,$C$1),ABS(OFFSET(Assumptions!$B$16,0,$C$1)-Z$34))*SIGN(OFFSET(Assumptions!$B$16,0,$C$1)-Z$34))</f>
        <v>1848.1506443636977</v>
      </c>
      <c r="AB33" s="3">
        <f ca="1">AA$33*(1+AA$34+MIN(OFFSET(Assumptions!$B$23,0,$C$1),ABS(OFFSET(Assumptions!$B$16,0,$C$1)-AA$34))*SIGN(OFFSET(Assumptions!$B$16,0,$C$1)-AA$34))</f>
        <v>1885.1136572509718</v>
      </c>
      <c r="AC33" s="3">
        <f ca="1">AB$33*(1+AB$34+MIN(OFFSET(Assumptions!$B$23,0,$C$1),ABS(OFFSET(Assumptions!$B$16,0,$C$1)-AB$34))*SIGN(OFFSET(Assumptions!$B$16,0,$C$1)-AB$34))</f>
        <v>1922.8159303959912</v>
      </c>
      <c r="AD33" s="3">
        <f ca="1">AC$33*(1+AC$34+MIN(OFFSET(Assumptions!$B$23,0,$C$1),ABS(OFFSET(Assumptions!$B$16,0,$C$1)-AC$34))*SIGN(OFFSET(Assumptions!$B$16,0,$C$1)-AC$34))</f>
        <v>1961.2722490039112</v>
      </c>
      <c r="AE33" s="3">
        <f ca="1">AD$33*(1+AD$34+MIN(OFFSET(Assumptions!$B$23,0,$C$1),ABS(OFFSET(Assumptions!$B$16,0,$C$1)-AD$34))*SIGN(OFFSET(Assumptions!$B$16,0,$C$1)-AD$34))</f>
        <v>2000.4976939839894</v>
      </c>
      <c r="AF33" s="3">
        <f ca="1">AE$33*(1+AE$34+MIN(OFFSET(Assumptions!$B$23,0,$C$1),ABS(OFFSET(Assumptions!$B$16,0,$C$1)-AE$34))*SIGN(OFFSET(Assumptions!$B$16,0,$C$1)-AE$34))</f>
        <v>2040.5076478636693</v>
      </c>
      <c r="AG33" s="3">
        <f ca="1">AF$33*(1+AF$34+MIN(OFFSET(Assumptions!$B$23,0,$C$1),ABS(OFFSET(Assumptions!$B$16,0,$C$1)-AF$34))*SIGN(OFFSET(Assumptions!$B$16,0,$C$1)-AF$34))</f>
        <v>2081.3178008209425</v>
      </c>
      <c r="AH33" s="3">
        <f ca="1">AG$33*(1+AG$34+MIN(OFFSET(Assumptions!$B$23,0,$C$1),ABS(OFFSET(Assumptions!$B$16,0,$C$1)-AG$34))*SIGN(OFFSET(Assumptions!$B$16,0,$C$1)-AG$34))</f>
        <v>2122.9441568373613</v>
      </c>
      <c r="AI33" s="3">
        <f ca="1">AH$33*(1+AH$34+MIN(OFFSET(Assumptions!$B$23,0,$C$1),ABS(OFFSET(Assumptions!$B$16,0,$C$1)-AH$34))*SIGN(OFFSET(Assumptions!$B$16,0,$C$1)-AH$34))</f>
        <v>2165.4030399741087</v>
      </c>
      <c r="AJ33" s="3">
        <f ca="1">AI$33*(1+AI$34+MIN(OFFSET(Assumptions!$B$23,0,$C$1),ABS(OFFSET(Assumptions!$B$16,0,$C$1)-AI$34))*SIGN(OFFSET(Assumptions!$B$16,0,$C$1)-AI$34))</f>
        <v>2208.7111007735907</v>
      </c>
      <c r="AK33" s="3">
        <f ca="1">AJ$33*(1+AJ$34+MIN(OFFSET(Assumptions!$B$23,0,$C$1),ABS(OFFSET(Assumptions!$B$16,0,$C$1)-AJ$34))*SIGN(OFFSET(Assumptions!$B$16,0,$C$1)-AJ$34))</f>
        <v>2252.8853227890627</v>
      </c>
      <c r="AL33" s="3">
        <f ca="1">AK$33*(1+AK$34+MIN(OFFSET(Assumptions!$B$23,0,$C$1),ABS(OFFSET(Assumptions!$B$16,0,$C$1)-AK$34))*SIGN(OFFSET(Assumptions!$B$16,0,$C$1)-AK$34))</f>
        <v>2297.9430292448442</v>
      </c>
      <c r="AM33" s="3">
        <f ca="1">AL$33*(1+AL$34+MIN(OFFSET(Assumptions!$B$23,0,$C$1),ABS(OFFSET(Assumptions!$B$16,0,$C$1)-AL$34))*SIGN(OFFSET(Assumptions!$B$16,0,$C$1)-AL$34))</f>
        <v>2343.9018898297413</v>
      </c>
      <c r="AN33" s="3">
        <f ca="1">AM$33*(1+AM$34+MIN(OFFSET(Assumptions!$B$23,0,$C$1),ABS(OFFSET(Assumptions!$B$16,0,$C$1)-AM$34))*SIGN(OFFSET(Assumptions!$B$16,0,$C$1)-AM$34))</f>
        <v>2390.7799276263363</v>
      </c>
      <c r="AO33" s="3">
        <f ca="1">AN$33*(1+AN$34+MIN(OFFSET(Assumptions!$B$23,0,$C$1),ABS(OFFSET(Assumptions!$B$16,0,$C$1)-AN$34))*SIGN(OFFSET(Assumptions!$B$16,0,$C$1)-AN$34))</f>
        <v>2438.5955261788631</v>
      </c>
      <c r="AP33" s="3">
        <f ca="1">AO$33*(1+AO$34+MIN(OFFSET(Assumptions!$B$23,0,$C$1),ABS(OFFSET(Assumptions!$B$16,0,$C$1)-AO$34))*SIGN(OFFSET(Assumptions!$B$16,0,$C$1)-AO$34))</f>
        <v>2487.3674367024405</v>
      </c>
      <c r="AQ33" s="3">
        <f ca="1">AP$33*(1+AP$34+MIN(OFFSET(Assumptions!$B$23,0,$C$1),ABS(OFFSET(Assumptions!$B$16,0,$C$1)-AP$34))*SIGN(OFFSET(Assumptions!$B$16,0,$C$1)-AP$34))</f>
        <v>2537.1147854364895</v>
      </c>
      <c r="AR33" s="3">
        <f ca="1">AQ$33*(1+AQ$34+MIN(OFFSET(Assumptions!$B$23,0,$C$1),ABS(OFFSET(Assumptions!$B$16,0,$C$1)-AQ$34))*SIGN(OFFSET(Assumptions!$B$16,0,$C$1)-AQ$34))</f>
        <v>2587.8570811452191</v>
      </c>
      <c r="AS33" s="3">
        <f ca="1">AR$33*(1+AR$34+MIN(OFFSET(Assumptions!$B$23,0,$C$1),ABS(OFFSET(Assumptions!$B$16,0,$C$1)-AR$34))*SIGN(OFFSET(Assumptions!$B$16,0,$C$1)-AR$34))</f>
        <v>2639.6142227681235</v>
      </c>
      <c r="AT33" s="3">
        <f ca="1">AS$33*(1+AS$34+MIN(OFFSET(Assumptions!$B$23,0,$C$1),ABS(OFFSET(Assumptions!$B$16,0,$C$1)-AS$34))*SIGN(OFFSET(Assumptions!$B$16,0,$C$1)-AS$34))</f>
        <v>2692.4065072234862</v>
      </c>
      <c r="AU33" s="3">
        <f ca="1">AT$33*(1+AT$34+MIN(OFFSET(Assumptions!$B$23,0,$C$1),ABS(OFFSET(Assumptions!$B$16,0,$C$1)-AT$34))*SIGN(OFFSET(Assumptions!$B$16,0,$C$1)-AT$34))</f>
        <v>2746.2546373679561</v>
      </c>
      <c r="AV33" s="3">
        <f ca="1">AU$33*(1+AU$34+MIN(OFFSET(Assumptions!$B$23,0,$C$1),ABS(OFFSET(Assumptions!$B$16,0,$C$1)-AU$34))*SIGN(OFFSET(Assumptions!$B$16,0,$C$1)-AU$34))</f>
        <v>2801.1797301153151</v>
      </c>
      <c r="AW33" s="3">
        <f ca="1">AV$33*(1+AV$34+MIN(OFFSET(Assumptions!$B$23,0,$C$1),ABS(OFFSET(Assumptions!$B$16,0,$C$1)-AV$34))*SIGN(OFFSET(Assumptions!$B$16,0,$C$1)-AV$34))</f>
        <v>2857.2033247176214</v>
      </c>
    </row>
    <row r="34" spans="1:49" x14ac:dyDescent="0.2">
      <c r="A34" s="4" t="str">
        <f>$A$13</f>
        <v>Annual percentage growth</v>
      </c>
      <c r="D34" s="21"/>
      <c r="E34" s="20">
        <f t="shared" ref="E34:I34" si="20">E$33/D$33-1</f>
        <v>8.3333333333324155E-4</v>
      </c>
      <c r="F34" s="20">
        <f t="shared" si="20"/>
        <v>1.4987510407993287E-2</v>
      </c>
      <c r="G34" s="20">
        <f t="shared" si="20"/>
        <v>1.9688269073010689E-2</v>
      </c>
      <c r="H34" s="20">
        <f t="shared" si="20"/>
        <v>1.9308125502815798E-2</v>
      </c>
      <c r="I34" s="20">
        <f t="shared" si="20"/>
        <v>2.1310181531176031E-2</v>
      </c>
      <c r="J34" s="14">
        <f t="shared" ref="J34:AW34" ca="1" si="21">J$33/I$33-1</f>
        <v>2.0000000000000018E-2</v>
      </c>
      <c r="K34" s="14">
        <f t="shared" ca="1" si="21"/>
        <v>2.0000000000000018E-2</v>
      </c>
      <c r="L34" s="14">
        <f t="shared" ca="1" si="21"/>
        <v>2.0000000000000018E-2</v>
      </c>
      <c r="M34" s="14">
        <f t="shared" ca="1" si="21"/>
        <v>2.0000000000000018E-2</v>
      </c>
      <c r="N34" s="14">
        <f t="shared" ca="1" si="21"/>
        <v>2.0000000000000018E-2</v>
      </c>
      <c r="O34" s="14">
        <f t="shared" ca="1" si="21"/>
        <v>2.0000000000000018E-2</v>
      </c>
      <c r="P34" s="14">
        <f t="shared" ca="1" si="21"/>
        <v>2.0000000000000018E-2</v>
      </c>
      <c r="Q34" s="14">
        <f t="shared" ca="1" si="21"/>
        <v>2.0000000000000018E-2</v>
      </c>
      <c r="R34" s="14">
        <f t="shared" ca="1" si="21"/>
        <v>2.0000000000000018E-2</v>
      </c>
      <c r="S34" s="14">
        <f t="shared" ca="1" si="21"/>
        <v>2.0000000000000018E-2</v>
      </c>
      <c r="T34" s="14">
        <f t="shared" ca="1" si="21"/>
        <v>2.0000000000000018E-2</v>
      </c>
      <c r="U34" s="14">
        <f t="shared" ca="1" si="21"/>
        <v>2.0000000000000018E-2</v>
      </c>
      <c r="V34" s="14">
        <f t="shared" ca="1" si="21"/>
        <v>2.0000000000000018E-2</v>
      </c>
      <c r="W34" s="14">
        <f t="shared" ca="1" si="21"/>
        <v>2.0000000000000018E-2</v>
      </c>
      <c r="X34" s="14">
        <f t="shared" ca="1" si="21"/>
        <v>2.0000000000000018E-2</v>
      </c>
      <c r="Y34" s="14">
        <f t="shared" ca="1" si="21"/>
        <v>2.0000000000000018E-2</v>
      </c>
      <c r="Z34" s="14">
        <f t="shared" ca="1" si="21"/>
        <v>2.0000000000000018E-2</v>
      </c>
      <c r="AA34" s="14">
        <f t="shared" ca="1" si="21"/>
        <v>2.0000000000000018E-2</v>
      </c>
      <c r="AB34" s="14">
        <f t="shared" ca="1" si="21"/>
        <v>2.0000000000000018E-2</v>
      </c>
      <c r="AC34" s="14">
        <f t="shared" ca="1" si="21"/>
        <v>2.0000000000000018E-2</v>
      </c>
      <c r="AD34" s="14">
        <f t="shared" ca="1" si="21"/>
        <v>2.0000000000000018E-2</v>
      </c>
      <c r="AE34" s="14">
        <f t="shared" ca="1" si="21"/>
        <v>2.0000000000000018E-2</v>
      </c>
      <c r="AF34" s="14">
        <f t="shared" ca="1" si="21"/>
        <v>2.0000000000000018E-2</v>
      </c>
      <c r="AG34" s="14">
        <f t="shared" ca="1" si="21"/>
        <v>2.0000000000000018E-2</v>
      </c>
      <c r="AH34" s="14">
        <f t="shared" ca="1" si="21"/>
        <v>2.0000000000000018E-2</v>
      </c>
      <c r="AI34" s="14">
        <f t="shared" ca="1" si="21"/>
        <v>2.0000000000000018E-2</v>
      </c>
      <c r="AJ34" s="14">
        <f t="shared" ca="1" si="21"/>
        <v>2.0000000000000018E-2</v>
      </c>
      <c r="AK34" s="14">
        <f t="shared" ca="1" si="21"/>
        <v>2.0000000000000018E-2</v>
      </c>
      <c r="AL34" s="14">
        <f t="shared" ca="1" si="21"/>
        <v>2.0000000000000018E-2</v>
      </c>
      <c r="AM34" s="14">
        <f t="shared" ca="1" si="21"/>
        <v>2.0000000000000018E-2</v>
      </c>
      <c r="AN34" s="14">
        <f t="shared" ca="1" si="21"/>
        <v>2.0000000000000018E-2</v>
      </c>
      <c r="AO34" s="14">
        <f t="shared" ca="1" si="21"/>
        <v>2.0000000000000018E-2</v>
      </c>
      <c r="AP34" s="14">
        <f t="shared" ca="1" si="21"/>
        <v>2.0000000000000018E-2</v>
      </c>
      <c r="AQ34" s="14">
        <f t="shared" ca="1" si="21"/>
        <v>2.0000000000000018E-2</v>
      </c>
      <c r="AR34" s="14">
        <f t="shared" ca="1" si="21"/>
        <v>2.0000000000000018E-2</v>
      </c>
      <c r="AS34" s="14">
        <f t="shared" ca="1" si="21"/>
        <v>2.0000000000000018E-2</v>
      </c>
      <c r="AT34" s="14">
        <f t="shared" ca="1" si="21"/>
        <v>2.0000000000000018E-2</v>
      </c>
      <c r="AU34" s="14">
        <f t="shared" ca="1" si="21"/>
        <v>2.0000000000000018E-2</v>
      </c>
      <c r="AV34" s="14">
        <f t="shared" ca="1" si="21"/>
        <v>2.0000000000000018E-2</v>
      </c>
      <c r="AW34" s="14">
        <f t="shared" ca="1" si="21"/>
        <v>2.0000000000000018E-2</v>
      </c>
    </row>
    <row r="35" spans="1:49" ht="15" x14ac:dyDescent="0.25">
      <c r="A35" s="2" t="s">
        <v>113</v>
      </c>
      <c r="B35" s="4" t="str">
        <f t="shared" si="18"/>
        <v>From Economic</v>
      </c>
      <c r="D35" s="21">
        <f>Economic!M$17</f>
        <v>3.7699999999999997E-2</v>
      </c>
      <c r="E35" s="20">
        <f>Economic!N$17</f>
        <v>3.2500000000000001E-2</v>
      </c>
      <c r="F35" s="20">
        <f>Economic!O$17</f>
        <v>3.1099999999999999E-2</v>
      </c>
      <c r="G35" s="20">
        <f>Economic!P$17</f>
        <v>3.5900000000000001E-2</v>
      </c>
      <c r="H35" s="20">
        <f>Economic!Q$17</f>
        <v>4.1299999999999996E-2</v>
      </c>
      <c r="I35" s="20">
        <f>Economic!R$17</f>
        <v>4.3499999999999997E-2</v>
      </c>
      <c r="J35" s="14">
        <f ca="1">I$35+MIN(OFFSET(Assumptions!$B$24,0,$C$1),ABS(OFFSET(Assumptions!$B$17,0,$C$1)-I$35))*SIGN(OFFSET(Assumptions!$B$17,0,$C$1)-I$35)</f>
        <v>4.5499999999999999E-2</v>
      </c>
      <c r="K35" s="14">
        <f ca="1">J$35+MIN(OFFSET(Assumptions!$B$24,0,$C$1),ABS(OFFSET(Assumptions!$B$17,0,$C$1)-J$35))*SIGN(OFFSET(Assumptions!$B$17,0,$C$1)-J$35)</f>
        <v>4.7500000000000001E-2</v>
      </c>
      <c r="L35" s="14">
        <f ca="1">K$35+MIN(OFFSET(Assumptions!$B$24,0,$C$1),ABS(OFFSET(Assumptions!$B$17,0,$C$1)-K$35))*SIGN(OFFSET(Assumptions!$B$17,0,$C$1)-K$35)</f>
        <v>4.9500000000000002E-2</v>
      </c>
      <c r="M35" s="14">
        <f ca="1">L$35+MIN(OFFSET(Assumptions!$B$24,0,$C$1),ABS(OFFSET(Assumptions!$B$17,0,$C$1)-L$35))*SIGN(OFFSET(Assumptions!$B$17,0,$C$1)-L$35)</f>
        <v>5.1500000000000004E-2</v>
      </c>
      <c r="N35" s="14">
        <f ca="1">M$35+MIN(OFFSET(Assumptions!$B$24,0,$C$1),ABS(OFFSET(Assumptions!$B$17,0,$C$1)-M$35))*SIGN(OFFSET(Assumptions!$B$17,0,$C$1)-M$35)</f>
        <v>5.2999999999999999E-2</v>
      </c>
      <c r="O35" s="14">
        <f ca="1">N$35+MIN(OFFSET(Assumptions!$B$24,0,$C$1),ABS(OFFSET(Assumptions!$B$17,0,$C$1)-N$35))*SIGN(OFFSET(Assumptions!$B$17,0,$C$1)-N$35)</f>
        <v>5.2999999999999999E-2</v>
      </c>
      <c r="P35" s="14">
        <f ca="1">O$35+MIN(OFFSET(Assumptions!$B$24,0,$C$1),ABS(OFFSET(Assumptions!$B$17,0,$C$1)-O$35))*SIGN(OFFSET(Assumptions!$B$17,0,$C$1)-O$35)</f>
        <v>5.2999999999999999E-2</v>
      </c>
      <c r="Q35" s="14">
        <f ca="1">P$35+MIN(OFFSET(Assumptions!$B$24,0,$C$1),ABS(OFFSET(Assumptions!$B$17,0,$C$1)-P$35))*SIGN(OFFSET(Assumptions!$B$17,0,$C$1)-P$35)</f>
        <v>5.2999999999999999E-2</v>
      </c>
      <c r="R35" s="14">
        <f ca="1">Q$35+MIN(OFFSET(Assumptions!$B$24,0,$C$1),ABS(OFFSET(Assumptions!$B$17,0,$C$1)-Q$35))*SIGN(OFFSET(Assumptions!$B$17,0,$C$1)-Q$35)</f>
        <v>5.2999999999999999E-2</v>
      </c>
      <c r="S35" s="14">
        <f ca="1">R$35+MIN(OFFSET(Assumptions!$B$24,0,$C$1),ABS(OFFSET(Assumptions!$B$17,0,$C$1)-R$35))*SIGN(OFFSET(Assumptions!$B$17,0,$C$1)-R$35)</f>
        <v>5.2999999999999999E-2</v>
      </c>
      <c r="T35" s="14">
        <f ca="1">S$35+MIN(OFFSET(Assumptions!$B$24,0,$C$1),ABS(OFFSET(Assumptions!$B$17,0,$C$1)-S$35))*SIGN(OFFSET(Assumptions!$B$17,0,$C$1)-S$35)</f>
        <v>5.2999999999999999E-2</v>
      </c>
      <c r="U35" s="14">
        <f ca="1">T$35+MIN(OFFSET(Assumptions!$B$24,0,$C$1),ABS(OFFSET(Assumptions!$B$17,0,$C$1)-T$35))*SIGN(OFFSET(Assumptions!$B$17,0,$C$1)-T$35)</f>
        <v>5.2999999999999999E-2</v>
      </c>
      <c r="V35" s="14">
        <f ca="1">U$35+MIN(OFFSET(Assumptions!$B$24,0,$C$1),ABS(OFFSET(Assumptions!$B$17,0,$C$1)-U$35))*SIGN(OFFSET(Assumptions!$B$17,0,$C$1)-U$35)</f>
        <v>5.2999999999999999E-2</v>
      </c>
      <c r="W35" s="14">
        <f ca="1">V$35+MIN(OFFSET(Assumptions!$B$24,0,$C$1),ABS(OFFSET(Assumptions!$B$17,0,$C$1)-V$35))*SIGN(OFFSET(Assumptions!$B$17,0,$C$1)-V$35)</f>
        <v>5.2999999999999999E-2</v>
      </c>
      <c r="X35" s="14">
        <f ca="1">W$35+MIN(OFFSET(Assumptions!$B$24,0,$C$1),ABS(OFFSET(Assumptions!$B$17,0,$C$1)-W$35))*SIGN(OFFSET(Assumptions!$B$17,0,$C$1)-W$35)</f>
        <v>5.2999999999999999E-2</v>
      </c>
      <c r="Y35" s="14">
        <f ca="1">X$35+MIN(OFFSET(Assumptions!$B$24,0,$C$1),ABS(OFFSET(Assumptions!$B$17,0,$C$1)-X$35))*SIGN(OFFSET(Assumptions!$B$17,0,$C$1)-X$35)</f>
        <v>5.2999999999999999E-2</v>
      </c>
      <c r="Z35" s="14">
        <f ca="1">Y$35+MIN(OFFSET(Assumptions!$B$24,0,$C$1),ABS(OFFSET(Assumptions!$B$17,0,$C$1)-Y$35))*SIGN(OFFSET(Assumptions!$B$17,0,$C$1)-Y$35)</f>
        <v>5.2999999999999999E-2</v>
      </c>
      <c r="AA35" s="14">
        <f ca="1">Z$35+MIN(OFFSET(Assumptions!$B$24,0,$C$1),ABS(OFFSET(Assumptions!$B$17,0,$C$1)-Z$35))*SIGN(OFFSET(Assumptions!$B$17,0,$C$1)-Z$35)</f>
        <v>5.2999999999999999E-2</v>
      </c>
      <c r="AB35" s="14">
        <f ca="1">AA$35+MIN(OFFSET(Assumptions!$B$24,0,$C$1),ABS(OFFSET(Assumptions!$B$17,0,$C$1)-AA$35))*SIGN(OFFSET(Assumptions!$B$17,0,$C$1)-AA$35)</f>
        <v>5.2999999999999999E-2</v>
      </c>
      <c r="AC35" s="14">
        <f ca="1">AB$35+MIN(OFFSET(Assumptions!$B$24,0,$C$1),ABS(OFFSET(Assumptions!$B$17,0,$C$1)-AB$35))*SIGN(OFFSET(Assumptions!$B$17,0,$C$1)-AB$35)</f>
        <v>5.2999999999999999E-2</v>
      </c>
      <c r="AD35" s="14">
        <f ca="1">AC$35+MIN(OFFSET(Assumptions!$B$24,0,$C$1),ABS(OFFSET(Assumptions!$B$17,0,$C$1)-AC$35))*SIGN(OFFSET(Assumptions!$B$17,0,$C$1)-AC$35)</f>
        <v>5.2999999999999999E-2</v>
      </c>
      <c r="AE35" s="14">
        <f ca="1">AD$35+MIN(OFFSET(Assumptions!$B$24,0,$C$1),ABS(OFFSET(Assumptions!$B$17,0,$C$1)-AD$35))*SIGN(OFFSET(Assumptions!$B$17,0,$C$1)-AD$35)</f>
        <v>5.2999999999999999E-2</v>
      </c>
      <c r="AF35" s="14">
        <f ca="1">AE$35+MIN(OFFSET(Assumptions!$B$24,0,$C$1),ABS(OFFSET(Assumptions!$B$17,0,$C$1)-AE$35))*SIGN(OFFSET(Assumptions!$B$17,0,$C$1)-AE$35)</f>
        <v>5.2999999999999999E-2</v>
      </c>
      <c r="AG35" s="14">
        <f ca="1">AF$35+MIN(OFFSET(Assumptions!$B$24,0,$C$1),ABS(OFFSET(Assumptions!$B$17,0,$C$1)-AF$35))*SIGN(OFFSET(Assumptions!$B$17,0,$C$1)-AF$35)</f>
        <v>5.2999999999999999E-2</v>
      </c>
      <c r="AH35" s="14">
        <f ca="1">AG$35+MIN(OFFSET(Assumptions!$B$24,0,$C$1),ABS(OFFSET(Assumptions!$B$17,0,$C$1)-AG$35))*SIGN(OFFSET(Assumptions!$B$17,0,$C$1)-AG$35)</f>
        <v>5.2999999999999999E-2</v>
      </c>
      <c r="AI35" s="14">
        <f ca="1">AH$35+MIN(OFFSET(Assumptions!$B$24,0,$C$1),ABS(OFFSET(Assumptions!$B$17,0,$C$1)-AH$35))*SIGN(OFFSET(Assumptions!$B$17,0,$C$1)-AH$35)</f>
        <v>5.2999999999999999E-2</v>
      </c>
      <c r="AJ35" s="14">
        <f ca="1">AI$35+MIN(OFFSET(Assumptions!$B$24,0,$C$1),ABS(OFFSET(Assumptions!$B$17,0,$C$1)-AI$35))*SIGN(OFFSET(Assumptions!$B$17,0,$C$1)-AI$35)</f>
        <v>5.2999999999999999E-2</v>
      </c>
      <c r="AK35" s="14">
        <f ca="1">AJ$35+MIN(OFFSET(Assumptions!$B$24,0,$C$1),ABS(OFFSET(Assumptions!$B$17,0,$C$1)-AJ$35))*SIGN(OFFSET(Assumptions!$B$17,0,$C$1)-AJ$35)</f>
        <v>5.2999999999999999E-2</v>
      </c>
      <c r="AL35" s="14">
        <f ca="1">AK$35+MIN(OFFSET(Assumptions!$B$24,0,$C$1),ABS(OFFSET(Assumptions!$B$17,0,$C$1)-AK$35))*SIGN(OFFSET(Assumptions!$B$17,0,$C$1)-AK$35)</f>
        <v>5.2999999999999999E-2</v>
      </c>
      <c r="AM35" s="14">
        <f ca="1">AL$35+MIN(OFFSET(Assumptions!$B$24,0,$C$1),ABS(OFFSET(Assumptions!$B$17,0,$C$1)-AL$35))*SIGN(OFFSET(Assumptions!$B$17,0,$C$1)-AL$35)</f>
        <v>5.2999999999999999E-2</v>
      </c>
      <c r="AN35" s="14">
        <f ca="1">AM$35+MIN(OFFSET(Assumptions!$B$24,0,$C$1),ABS(OFFSET(Assumptions!$B$17,0,$C$1)-AM$35))*SIGN(OFFSET(Assumptions!$B$17,0,$C$1)-AM$35)</f>
        <v>5.2999999999999999E-2</v>
      </c>
      <c r="AO35" s="14">
        <f ca="1">AN$35+MIN(OFFSET(Assumptions!$B$24,0,$C$1),ABS(OFFSET(Assumptions!$B$17,0,$C$1)-AN$35))*SIGN(OFFSET(Assumptions!$B$17,0,$C$1)-AN$35)</f>
        <v>5.2999999999999999E-2</v>
      </c>
      <c r="AP35" s="14">
        <f ca="1">AO$35+MIN(OFFSET(Assumptions!$B$24,0,$C$1),ABS(OFFSET(Assumptions!$B$17,0,$C$1)-AO$35))*SIGN(OFFSET(Assumptions!$B$17,0,$C$1)-AO$35)</f>
        <v>5.2999999999999999E-2</v>
      </c>
      <c r="AQ35" s="14">
        <f ca="1">AP$35+MIN(OFFSET(Assumptions!$B$24,0,$C$1),ABS(OFFSET(Assumptions!$B$17,0,$C$1)-AP$35))*SIGN(OFFSET(Assumptions!$B$17,0,$C$1)-AP$35)</f>
        <v>5.2999999999999999E-2</v>
      </c>
      <c r="AR35" s="14">
        <f ca="1">AQ$35+MIN(OFFSET(Assumptions!$B$24,0,$C$1),ABS(OFFSET(Assumptions!$B$17,0,$C$1)-AQ$35))*SIGN(OFFSET(Assumptions!$B$17,0,$C$1)-AQ$35)</f>
        <v>5.2999999999999999E-2</v>
      </c>
      <c r="AS35" s="14">
        <f ca="1">AR$35+MIN(OFFSET(Assumptions!$B$24,0,$C$1),ABS(OFFSET(Assumptions!$B$17,0,$C$1)-AR$35))*SIGN(OFFSET(Assumptions!$B$17,0,$C$1)-AR$35)</f>
        <v>5.2999999999999999E-2</v>
      </c>
      <c r="AT35" s="14">
        <f ca="1">AS$35+MIN(OFFSET(Assumptions!$B$24,0,$C$1),ABS(OFFSET(Assumptions!$B$17,0,$C$1)-AS$35))*SIGN(OFFSET(Assumptions!$B$17,0,$C$1)-AS$35)</f>
        <v>5.2999999999999999E-2</v>
      </c>
      <c r="AU35" s="14">
        <f ca="1">AT$35+MIN(OFFSET(Assumptions!$B$24,0,$C$1),ABS(OFFSET(Assumptions!$B$17,0,$C$1)-AT$35))*SIGN(OFFSET(Assumptions!$B$17,0,$C$1)-AT$35)</f>
        <v>5.2999999999999999E-2</v>
      </c>
      <c r="AV35" s="14">
        <f ca="1">AU$35+MIN(OFFSET(Assumptions!$B$24,0,$C$1),ABS(OFFSET(Assumptions!$B$17,0,$C$1)-AU$35))*SIGN(OFFSET(Assumptions!$B$17,0,$C$1)-AU$35)</f>
        <v>5.2999999999999999E-2</v>
      </c>
      <c r="AW35" s="14">
        <f ca="1">AV$35+MIN(OFFSET(Assumptions!$B$24,0,$C$1),ABS(OFFSET(Assumptions!$B$17,0,$C$1)-AV$35))*SIGN(OFFSET(Assumptions!$B$17,0,$C$1)-AV$35)</f>
        <v>5.2999999999999999E-2</v>
      </c>
    </row>
    <row r="36" spans="1:49" ht="15" x14ac:dyDescent="0.25">
      <c r="A36" s="2"/>
      <c r="B36" s="4"/>
      <c r="D36" s="21"/>
      <c r="E36" s="20"/>
      <c r="F36" s="20"/>
      <c r="G36" s="20"/>
      <c r="H36" s="20"/>
      <c r="I36" s="20"/>
      <c r="J36" s="14"/>
      <c r="K36" s="14"/>
      <c r="L36" s="14"/>
      <c r="M36" s="14"/>
      <c r="N36" s="14"/>
      <c r="O36" s="14"/>
      <c r="P36" s="14"/>
      <c r="Q36" s="14"/>
      <c r="R36" s="14"/>
      <c r="S36" s="14"/>
    </row>
    <row r="38" spans="1:49" ht="16.5" x14ac:dyDescent="0.25">
      <c r="A38" s="63" t="s">
        <v>299</v>
      </c>
    </row>
    <row r="39" spans="1:49" ht="15" x14ac:dyDescent="0.25">
      <c r="A39" s="2"/>
    </row>
    <row r="40" spans="1:49" x14ac:dyDescent="0.2">
      <c r="A40" s="22" t="s">
        <v>149</v>
      </c>
    </row>
    <row r="41" spans="1:49" x14ac:dyDescent="0.2">
      <c r="A41" s="1" t="s">
        <v>692</v>
      </c>
      <c r="B41" s="4"/>
      <c r="D41" s="18">
        <f t="shared" ref="D41:I41" si="22">SUM(D$137,D$145,D$149,D$159,D$163)</f>
        <v>95.013000000000005</v>
      </c>
      <c r="E41" s="19">
        <f t="shared" si="22"/>
        <v>97.762</v>
      </c>
      <c r="F41" s="19">
        <f t="shared" si="22"/>
        <v>100.95499999999998</v>
      </c>
      <c r="G41" s="19">
        <f t="shared" si="22"/>
        <v>105.74900000000001</v>
      </c>
      <c r="H41" s="19">
        <f t="shared" si="22"/>
        <v>111.22199999999999</v>
      </c>
      <c r="I41" s="19">
        <f t="shared" si="22"/>
        <v>116.211</v>
      </c>
      <c r="J41" s="7">
        <f t="shared" ref="J41:AW41" ca="1" si="23">SUM(J$137,J$145,J$149,J$159,J$163)</f>
        <v>121.5061257846684</v>
      </c>
      <c r="K41" s="7">
        <f t="shared" ca="1" si="23"/>
        <v>127.16293554077222</v>
      </c>
      <c r="L41" s="7">
        <f t="shared" ca="1" si="23"/>
        <v>133.02283946936703</v>
      </c>
      <c r="M41" s="7">
        <f t="shared" ca="1" si="23"/>
        <v>138.96689528028676</v>
      </c>
      <c r="N41" s="7">
        <f t="shared" ca="1" si="23"/>
        <v>145.12047656394964</v>
      </c>
      <c r="O41" s="7">
        <f t="shared" ca="1" si="23"/>
        <v>151.37434942264468</v>
      </c>
      <c r="P41" s="7">
        <f t="shared" ca="1" si="23"/>
        <v>158.03195861251294</v>
      </c>
      <c r="Q41" s="7">
        <f t="shared" ca="1" si="23"/>
        <v>164.77722568571269</v>
      </c>
      <c r="R41" s="7">
        <f t="shared" ca="1" si="23"/>
        <v>171.63047300700728</v>
      </c>
      <c r="S41" s="7">
        <f t="shared" ca="1" si="23"/>
        <v>178.69214147216013</v>
      </c>
      <c r="T41" s="7">
        <f t="shared" ca="1" si="23"/>
        <v>185.98700736258283</v>
      </c>
      <c r="U41" s="7">
        <f t="shared" ca="1" si="23"/>
        <v>193.52007621564147</v>
      </c>
      <c r="V41" s="7">
        <f t="shared" ca="1" si="23"/>
        <v>201.32224734857201</v>
      </c>
      <c r="W41" s="7">
        <f t="shared" ca="1" si="23"/>
        <v>209.41218836505595</v>
      </c>
      <c r="X41" s="7">
        <f t="shared" ca="1" si="23"/>
        <v>217.81456577606477</v>
      </c>
      <c r="Y41" s="7">
        <f t="shared" ca="1" si="23"/>
        <v>226.50644245965279</v>
      </c>
      <c r="Z41" s="7">
        <f t="shared" ca="1" si="23"/>
        <v>235.58504969895438</v>
      </c>
      <c r="AA41" s="7">
        <f t="shared" ca="1" si="23"/>
        <v>245.02866142882885</v>
      </c>
      <c r="AB41" s="7">
        <f t="shared" ca="1" si="23"/>
        <v>254.8698721734568</v>
      </c>
      <c r="AC41" s="7">
        <f t="shared" ca="1" si="23"/>
        <v>265.14089903152433</v>
      </c>
      <c r="AD41" s="7">
        <f t="shared" ca="1" si="23"/>
        <v>275.89897218784802</v>
      </c>
      <c r="AE41" s="7">
        <f t="shared" ca="1" si="23"/>
        <v>287.09459260442492</v>
      </c>
      <c r="AF41" s="7">
        <f t="shared" ca="1" si="23"/>
        <v>298.75014902412488</v>
      </c>
      <c r="AG41" s="7">
        <f t="shared" ca="1" si="23"/>
        <v>310.91634945631745</v>
      </c>
      <c r="AH41" s="7">
        <f t="shared" ca="1" si="23"/>
        <v>323.5761452642933</v>
      </c>
      <c r="AI41" s="7">
        <f t="shared" ca="1" si="23"/>
        <v>336.70676263614365</v>
      </c>
      <c r="AJ41" s="7">
        <f t="shared" ca="1" si="23"/>
        <v>350.3879543710363</v>
      </c>
      <c r="AK41" s="7">
        <f t="shared" ca="1" si="23"/>
        <v>364.58773305147662</v>
      </c>
      <c r="AL41" s="7">
        <f t="shared" ca="1" si="23"/>
        <v>379.30419302816898</v>
      </c>
      <c r="AM41" s="7">
        <f t="shared" ca="1" si="23"/>
        <v>394.54719717390276</v>
      </c>
      <c r="AN41" s="7">
        <f t="shared" ca="1" si="23"/>
        <v>410.34835363299993</v>
      </c>
      <c r="AO41" s="7">
        <f t="shared" ca="1" si="23"/>
        <v>426.64609953360895</v>
      </c>
      <c r="AP41" s="7">
        <f t="shared" ca="1" si="23"/>
        <v>443.50952661186409</v>
      </c>
      <c r="AQ41" s="7">
        <f t="shared" ca="1" si="23"/>
        <v>460.89195610157566</v>
      </c>
      <c r="AR41" s="7">
        <f t="shared" ca="1" si="23"/>
        <v>478.82774349017905</v>
      </c>
      <c r="AS41" s="7">
        <f t="shared" ca="1" si="23"/>
        <v>497.36400037100952</v>
      </c>
      <c r="AT41" s="7">
        <f t="shared" ca="1" si="23"/>
        <v>516.4650845909523</v>
      </c>
      <c r="AU41" s="7">
        <f t="shared" ca="1" si="23"/>
        <v>536.17945116275268</v>
      </c>
      <c r="AV41" s="7">
        <f t="shared" ca="1" si="23"/>
        <v>556.56619524842074</v>
      </c>
      <c r="AW41" s="7">
        <f t="shared" ca="1" si="23"/>
        <v>577.6223996238632</v>
      </c>
    </row>
    <row r="42" spans="1:49" x14ac:dyDescent="0.2">
      <c r="A42" s="1" t="s">
        <v>693</v>
      </c>
      <c r="B42" s="4"/>
      <c r="D42" s="18">
        <f t="shared" ref="D42" si="24">SUM(D$177,D$196,D$202,D$209,D$216,D$224,D$229,D$231)</f>
        <v>94.271999999999991</v>
      </c>
      <c r="E42" s="19">
        <f t="shared" ref="E42:AW42" ca="1" si="25">SUM(E$177,E$196,E$202,E$209,E$216,E$224,E$229,E$231)</f>
        <v>96.590999999999994</v>
      </c>
      <c r="F42" s="19">
        <f t="shared" ca="1" si="25"/>
        <v>99.719000000000023</v>
      </c>
      <c r="G42" s="19">
        <f t="shared" ca="1" si="25"/>
        <v>102.73400000000001</v>
      </c>
      <c r="H42" s="19">
        <f t="shared" ca="1" si="25"/>
        <v>105.65900000000001</v>
      </c>
      <c r="I42" s="19">
        <f t="shared" ca="1" si="25"/>
        <v>108.88800000000001</v>
      </c>
      <c r="J42" s="7">
        <f t="shared" ca="1" si="25"/>
        <v>113.89022628634558</v>
      </c>
      <c r="K42" s="7">
        <f t="shared" ca="1" si="25"/>
        <v>119.07104809260036</v>
      </c>
      <c r="L42" s="7">
        <f t="shared" ca="1" si="25"/>
        <v>124.45367348614691</v>
      </c>
      <c r="M42" s="7">
        <f t="shared" ca="1" si="25"/>
        <v>130.06478701660384</v>
      </c>
      <c r="N42" s="7">
        <f t="shared" ca="1" si="25"/>
        <v>135.90437516655308</v>
      </c>
      <c r="O42" s="7">
        <f t="shared" ca="1" si="25"/>
        <v>141.92185124055297</v>
      </c>
      <c r="P42" s="7">
        <f t="shared" ca="1" si="25"/>
        <v>149.12295058110456</v>
      </c>
      <c r="Q42" s="7">
        <f t="shared" ca="1" si="25"/>
        <v>156.44857974654565</v>
      </c>
      <c r="R42" s="7">
        <f t="shared" ca="1" si="25"/>
        <v>164.05536518895801</v>
      </c>
      <c r="S42" s="7">
        <f t="shared" ca="1" si="25"/>
        <v>171.94166719118681</v>
      </c>
      <c r="T42" s="7">
        <f t="shared" ca="1" si="25"/>
        <v>180.1594587360411</v>
      </c>
      <c r="U42" s="7">
        <f t="shared" ca="1" si="25"/>
        <v>188.75116144249731</v>
      </c>
      <c r="V42" s="7">
        <f t="shared" ca="1" si="25"/>
        <v>197.74870585313934</v>
      </c>
      <c r="W42" s="7">
        <f t="shared" ca="1" si="25"/>
        <v>206.98416594452178</v>
      </c>
      <c r="X42" s="7">
        <f t="shared" ca="1" si="25"/>
        <v>216.54082942985548</v>
      </c>
      <c r="Y42" s="7">
        <f t="shared" ca="1" si="25"/>
        <v>226.5645223076846</v>
      </c>
      <c r="Z42" s="7">
        <f t="shared" ca="1" si="25"/>
        <v>237.00623342314063</v>
      </c>
      <c r="AA42" s="7">
        <f t="shared" ca="1" si="25"/>
        <v>246.25435692954866</v>
      </c>
      <c r="AB42" s="7">
        <f t="shared" ca="1" si="25"/>
        <v>255.7676650790502</v>
      </c>
      <c r="AC42" s="7">
        <f t="shared" ca="1" si="25"/>
        <v>265.55073815542528</v>
      </c>
      <c r="AD42" s="7">
        <f t="shared" ca="1" si="25"/>
        <v>275.59086526910136</v>
      </c>
      <c r="AE42" s="7">
        <f t="shared" ca="1" si="25"/>
        <v>285.97948700253784</v>
      </c>
      <c r="AF42" s="7">
        <f t="shared" ca="1" si="25"/>
        <v>296.68778813118234</v>
      </c>
      <c r="AG42" s="7">
        <f t="shared" ca="1" si="25"/>
        <v>307.82213032374483</v>
      </c>
      <c r="AH42" s="7">
        <f t="shared" ca="1" si="25"/>
        <v>319.36431487204504</v>
      </c>
      <c r="AI42" s="7">
        <f t="shared" ca="1" si="25"/>
        <v>331.3195200164526</v>
      </c>
      <c r="AJ42" s="7">
        <f t="shared" ca="1" si="25"/>
        <v>343.71456677552146</v>
      </c>
      <c r="AK42" s="7">
        <f t="shared" ca="1" si="25"/>
        <v>356.59896842335127</v>
      </c>
      <c r="AL42" s="7">
        <f t="shared" ca="1" si="25"/>
        <v>369.92943837330029</v>
      </c>
      <c r="AM42" s="7">
        <f t="shared" ca="1" si="25"/>
        <v>383.73791941986696</v>
      </c>
      <c r="AN42" s="7">
        <f t="shared" ca="1" si="25"/>
        <v>398.09107410812584</v>
      </c>
      <c r="AO42" s="7">
        <f t="shared" ca="1" si="25"/>
        <v>413.0008402995141</v>
      </c>
      <c r="AP42" s="7">
        <f t="shared" ca="1" si="25"/>
        <v>428.57875625781668</v>
      </c>
      <c r="AQ42" s="7">
        <f t="shared" ca="1" si="25"/>
        <v>444.8106580613354</v>
      </c>
      <c r="AR42" s="7">
        <f t="shared" ca="1" si="25"/>
        <v>461.77529150787149</v>
      </c>
      <c r="AS42" s="7">
        <f t="shared" ca="1" si="25"/>
        <v>479.49233889148223</v>
      </c>
      <c r="AT42" s="7">
        <f t="shared" ca="1" si="25"/>
        <v>497.76092006012948</v>
      </c>
      <c r="AU42" s="7">
        <f t="shared" ca="1" si="25"/>
        <v>516.67573186346601</v>
      </c>
      <c r="AV42" s="7">
        <f t="shared" ca="1" si="25"/>
        <v>536.22897736889138</v>
      </c>
      <c r="AW42" s="7">
        <f t="shared" ca="1" si="25"/>
        <v>556.4928132223165</v>
      </c>
    </row>
    <row r="43" spans="1:49" x14ac:dyDescent="0.2">
      <c r="A43" s="1" t="s">
        <v>695</v>
      </c>
      <c r="B43" s="4" t="s">
        <v>310</v>
      </c>
      <c r="D43" s="18">
        <f>Fiscal!D$24</f>
        <v>0.32700000000000001</v>
      </c>
      <c r="E43" s="19">
        <f>Fiscal!E$24</f>
        <v>0.503</v>
      </c>
      <c r="F43" s="19">
        <f>Fiscal!F$24</f>
        <v>0.51700000000000002</v>
      </c>
      <c r="G43" s="19">
        <f>Fiscal!G$24</f>
        <v>0.56000000000000005</v>
      </c>
      <c r="H43" s="19">
        <f>Fiscal!H$24</f>
        <v>0.59099999999999997</v>
      </c>
      <c r="I43" s="19">
        <f>Fiscal!I$24</f>
        <v>0.64200000000000002</v>
      </c>
      <c r="J43" s="7">
        <f ca="1">IF(J$6=OFFSET(Assumptions!$B$8,0,$C$1),AVERAGE(G$43/G$407,H$43/H$407,I$43/I$407),I$43/I$407)*J$407</f>
        <v>0.61206832000864209</v>
      </c>
      <c r="K43" s="7">
        <f ca="1">IF(K$6=OFFSET(Assumptions!$B$8,0,$C$1),AVERAGE(H$43/H$407,I$43/I$407,J$43/J$407),J$43/J$407)*K$407</f>
        <v>0.6184904472493058</v>
      </c>
      <c r="L43" s="7">
        <f ca="1">IF(L$6=OFFSET(Assumptions!$B$8,0,$C$1),AVERAGE(I$43/I$407,J$43/J$407,K$43/K$407),K$43/K$407)*L$407</f>
        <v>0.62590384027160106</v>
      </c>
      <c r="M43" s="7">
        <f ca="1">IF(M$6=OFFSET(Assumptions!$B$8,0,$C$1),AVERAGE(J$43/J$407,K$43/K$407,L$43/L$407),L$43/L$407)*M$407</f>
        <v>0.63432099327657021</v>
      </c>
      <c r="N43" s="7">
        <f ca="1">IF(N$6=OFFSET(Assumptions!$B$8,0,$C$1),AVERAGE(K$43/K$407,L$43/L$407,M$43/M$407),M$43/M$407)*N$407</f>
        <v>0.64375736911460735</v>
      </c>
      <c r="O43" s="7">
        <f ca="1">IF(O$6=OFFSET(Assumptions!$B$8,0,$C$1),AVERAGE(L$43/L$407,M$43/M$407,N$43/N$407),N$43/N$407)*O$407</f>
        <v>0.65421824603970913</v>
      </c>
      <c r="P43" s="7">
        <f ca="1">IF(P$6=OFFSET(Assumptions!$B$8,0,$C$1),AVERAGE(M$43/M$407,N$43/N$407,O$43/O$407),O$43/O$407)*P$407</f>
        <v>0.66571225960302205</v>
      </c>
      <c r="Q43" s="7">
        <f ca="1">IF(Q$6=OFFSET(Assumptions!$B$8,0,$C$1),AVERAGE(N$43/N$407,O$43/O$407,P$43/P$407),P$43/P$407)*Q$407</f>
        <v>0.67824622682261759</v>
      </c>
      <c r="R43" s="7">
        <f ca="1">IF(R$6=OFFSET(Assumptions!$B$8,0,$C$1),AVERAGE(O$43/O$407,P$43/P$407,Q$43/Q$407),Q$43/Q$407)*R$407</f>
        <v>0.69182565194877221</v>
      </c>
      <c r="S43" s="7">
        <f ca="1">IF(S$6=OFFSET(Assumptions!$B$8,0,$C$1),AVERAGE(P$43/P$407,Q$43/Q$407,R$43/R$407),R$43/R$407)*S$407</f>
        <v>0.7064605714462604</v>
      </c>
      <c r="T43" s="7">
        <f ca="1">IF(T$6=OFFSET(Assumptions!$B$8,0,$C$1),AVERAGE(Q$43/Q$407,R$43/R$407,S$43/S$407),S$43/S$407)*T$407</f>
        <v>0.72216122749498457</v>
      </c>
      <c r="U43" s="7">
        <f ca="1">IF(U$6=OFFSET(Assumptions!$B$8,0,$C$1),AVERAGE(R$43/R$407,S$43/S$407,T$43/T$407),T$43/T$407)*U$407</f>
        <v>0.73894317728061354</v>
      </c>
      <c r="V43" s="7">
        <f ca="1">IF(V$6=OFFSET(Assumptions!$B$8,0,$C$1),AVERAGE(S$43/S$407,T$43/T$407,U$43/U$407),U$43/U$407)*V$407</f>
        <v>0.75682546478066592</v>
      </c>
      <c r="W43" s="7">
        <f ca="1">IF(W$6=OFFSET(Assumptions!$B$8,0,$C$1),AVERAGE(T$43/T$407,U$43/U$407,V$43/V$407),V$43/V$407)*W$407</f>
        <v>0.77583136429931532</v>
      </c>
      <c r="X43" s="7">
        <f ca="1">IF(X$6=OFFSET(Assumptions!$B$8,0,$C$1),AVERAGE(U$43/U$407,V$43/V$407,W$43/W$407),W$43/W$407)*X$407</f>
        <v>0.79598888505444942</v>
      </c>
      <c r="Y43" s="7">
        <f ca="1">IF(Y$6=OFFSET(Assumptions!$B$8,0,$C$1),AVERAGE(V$43/V$407,W$43/W$407,X$43/X$407),X$43/X$407)*Y$407</f>
        <v>0.81732486295472073</v>
      </c>
      <c r="Z43" s="7">
        <f ca="1">IF(Z$6=OFFSET(Assumptions!$B$8,0,$C$1),AVERAGE(W$43/W$407,X$43/X$407,Y$43/Y$407),Y$43/Y$407)*Z$407</f>
        <v>0.83987474882880919</v>
      </c>
      <c r="AA43" s="7">
        <f ca="1">IF(AA$6=OFFSET(Assumptions!$B$8,0,$C$1),AVERAGE(X$43/X$407,Y$43/Y$407,Z$43/Z$407),Z$43/Z$407)*AA$407</f>
        <v>0.86367592486788491</v>
      </c>
      <c r="AB43" s="7">
        <f ca="1">IF(AB$6=OFFSET(Assumptions!$B$8,0,$C$1),AVERAGE(Y$43/Y$407,Z$43/Z$407,AA$43/AA$407),AA$43/AA$407)*AB$407</f>
        <v>0.88877060014478837</v>
      </c>
      <c r="AC43" s="7">
        <f ca="1">IF(AC$6=OFFSET(Assumptions!$B$8,0,$C$1),AVERAGE(Z$43/Z$407,AA$43/AA$407,AB$43/AB$407),AB$43/AB$407)*AC$407</f>
        <v>0.91520754592030684</v>
      </c>
      <c r="AD43" s="7">
        <f ca="1">IF(AD$6=OFFSET(Assumptions!$B$8,0,$C$1),AVERAGE(AA$43/AA$407,AB$43/AB$407,AC$43/AC$407),AC$43/AC$407)*AD$407</f>
        <v>0.94303616158377712</v>
      </c>
      <c r="AE43" s="7">
        <f ca="1">IF(AE$6=OFFSET(Assumptions!$B$8,0,$C$1),AVERAGE(AB$43/AB$407,AC$43/AC$407,AD$43/AD$407),AD$43/AD$407)*AE$407</f>
        <v>0.97230197189848622</v>
      </c>
      <c r="AF43" s="7">
        <f ca="1">IF(AF$6=OFFSET(Assumptions!$B$8,0,$C$1),AVERAGE(AC$43/AC$407,AD$43/AD$407,AE$43/AE$407),AE$43/AE$407)*AF$407</f>
        <v>1.003055586688312</v>
      </c>
      <c r="AG43" s="7">
        <f ca="1">IF(AG$6=OFFSET(Assumptions!$B$8,0,$C$1),AVERAGE(AD$43/AD$407,AE$43/AE$407,AF$43/AF$407),AF$43/AF$407)*AG$407</f>
        <v>1.0353472408135571</v>
      </c>
      <c r="AH43" s="7">
        <f ca="1">IF(AH$6=OFFSET(Assumptions!$B$8,0,$C$1),AVERAGE(AE$43/AE$407,AF$43/AF$407,AG$43/AG$407),AG$43/AG$407)*AH$407</f>
        <v>1.0692296030892219</v>
      </c>
      <c r="AI43" s="7">
        <f ca="1">IF(AI$6=OFFSET(Assumptions!$B$8,0,$C$1),AVERAGE(AF$43/AF$407,AG$43/AG$407,AH$43/AH$407),AH$43/AH$407)*AI$407</f>
        <v>1.1047487181867237</v>
      </c>
      <c r="AJ43" s="7">
        <f ca="1">IF(AJ$6=OFFSET(Assumptions!$B$8,0,$C$1),AVERAGE(AG$43/AG$407,AH$43/AH$407,AI$43/AI$407),AI$43/AI$407)*AJ$407</f>
        <v>1.1419580766424731</v>
      </c>
      <c r="AK43" s="7">
        <f ca="1">IF(AK$6=OFFSET(Assumptions!$B$8,0,$C$1),AVERAGE(AH$43/AH$407,AI$43/AI$407,AJ$43/AJ$407),AJ$43/AJ$407)*AK$407</f>
        <v>1.1809068636979103</v>
      </c>
      <c r="AL43" s="7">
        <f ca="1">IF(AL$6=OFFSET(Assumptions!$B$8,0,$C$1),AVERAGE(AI$43/AI$407,AJ$43/AJ$407,AK$43/AK$407),AK$43/AK$407)*AL$407</f>
        <v>1.2216401280444162</v>
      </c>
      <c r="AM43" s="7">
        <f ca="1">IF(AM$6=OFFSET(Assumptions!$B$8,0,$C$1),AVERAGE(AJ$43/AJ$407,AK$43/AK$407,AL$43/AL$407),AL$43/AL$407)*AM$407</f>
        <v>1.2642056437908908</v>
      </c>
      <c r="AN43" s="7">
        <f ca="1">IF(AN$6=OFFSET(Assumptions!$B$8,0,$C$1),AVERAGE(AK$43/AK$407,AL$43/AL$407,AM$43/AM$407),AM$43/AM$407)*AN$407</f>
        <v>1.3086540468312993</v>
      </c>
      <c r="AO43" s="7">
        <f ca="1">IF(AO$6=OFFSET(Assumptions!$B$8,0,$C$1),AVERAGE(AL$43/AL$407,AM$43/AM$407,AN$43/AN$407),AN$43/AN$407)*AO$407</f>
        <v>1.3550209047651209</v>
      </c>
      <c r="AP43" s="7">
        <f ca="1">IF(AP$6=OFFSET(Assumptions!$B$8,0,$C$1),AVERAGE(AM$43/AM$407,AN$43/AN$407,AO$43/AO$407),AO$43/AO$407)*AP$407</f>
        <v>1.4033553303436199</v>
      </c>
      <c r="AQ43" s="7">
        <f ca="1">IF(AQ$6=OFFSET(Assumptions!$B$8,0,$C$1),AVERAGE(AN$43/AN$407,AO$43/AO$407,AP$43/AP$407),AP$43/AP$407)*AQ$407</f>
        <v>1.4536946137455895</v>
      </c>
      <c r="AR43" s="7">
        <f ca="1">IF(AR$6=OFFSET(Assumptions!$B$8,0,$C$1),AVERAGE(AO$43/AO$407,AP$43/AP$407,AQ$43/AQ$407),AQ$43/AQ$407)*AR$407</f>
        <v>1.5060789293816212</v>
      </c>
      <c r="AS43" s="7">
        <f ca="1">IF(AS$6=OFFSET(Assumptions!$B$8,0,$C$1),AVERAGE(AP$43/AP$407,AQ$43/AQ$407,AR$43/AR$407),AR$43/AR$407)*AS$407</f>
        <v>1.560555945656213</v>
      </c>
      <c r="AT43" s="7">
        <f ca="1">IF(AT$6=OFFSET(Assumptions!$B$8,0,$C$1),AVERAGE(AQ$43/AQ$407,AR$43/AR$407,AS$43/AS$407),AS$43/AS$407)*AT$407</f>
        <v>1.6171747968578181</v>
      </c>
      <c r="AU43" s="7">
        <f ca="1">IF(AU$6=OFFSET(Assumptions!$B$8,0,$C$1),AVERAGE(AR$43/AR$407,AS$43/AS$407,AT$43/AT$407),AT$43/AT$407)*AU$407</f>
        <v>1.6759882868556872</v>
      </c>
      <c r="AV43" s="7">
        <f ca="1">IF(AV$6=OFFSET(Assumptions!$B$8,0,$C$1),AVERAGE(AS$43/AS$407,AT$43/AT$407,AU$43/AU$407),AU$43/AU$407)*AV$407</f>
        <v>1.7370603136517999</v>
      </c>
      <c r="AW43" s="7">
        <f ca="1">IF(AW$6=OFFSET(Assumptions!$B$8,0,$C$1),AVERAGE(AT$43/AT$407,AU$43/AU$407,AV$43/AV$407),AV$43/AV$407)*AW$407</f>
        <v>1.8004500781312118</v>
      </c>
    </row>
    <row r="44" spans="1:49" ht="15" x14ac:dyDescent="0.25">
      <c r="A44" s="2" t="s">
        <v>701</v>
      </c>
      <c r="B44" s="4"/>
      <c r="D44" s="40">
        <f t="shared" ref="D44" si="26">D$41-D$42-D$43</f>
        <v>0.41400000000001386</v>
      </c>
      <c r="E44" s="39">
        <f t="shared" ref="E44:AW44" ca="1" si="27">E$41-E$42-E$43</f>
        <v>0.66800000000000648</v>
      </c>
      <c r="F44" s="39">
        <f t="shared" ca="1" si="27"/>
        <v>0.71899999999996156</v>
      </c>
      <c r="G44" s="39">
        <f t="shared" ca="1" si="27"/>
        <v>2.4550000000000005</v>
      </c>
      <c r="H44" s="39">
        <f t="shared" ca="1" si="27"/>
        <v>4.971999999999988</v>
      </c>
      <c r="I44" s="39">
        <f t="shared" ca="1" si="27"/>
        <v>6.6809999999999929</v>
      </c>
      <c r="J44" s="43">
        <f t="shared" ca="1" si="27"/>
        <v>7.0038311783141758</v>
      </c>
      <c r="K44" s="43">
        <f t="shared" ca="1" si="27"/>
        <v>7.4733970009225548</v>
      </c>
      <c r="L44" s="43">
        <f t="shared" ca="1" si="27"/>
        <v>7.943262142948516</v>
      </c>
      <c r="M44" s="43">
        <f t="shared" ca="1" si="27"/>
        <v>8.2677872704063482</v>
      </c>
      <c r="N44" s="43">
        <f t="shared" ca="1" si="27"/>
        <v>8.5723440282819485</v>
      </c>
      <c r="O44" s="43">
        <f t="shared" ca="1" si="27"/>
        <v>8.7982799360520065</v>
      </c>
      <c r="P44" s="43">
        <f t="shared" ca="1" si="27"/>
        <v>8.2432957718053537</v>
      </c>
      <c r="Q44" s="43">
        <f t="shared" ca="1" si="27"/>
        <v>7.6503997123444289</v>
      </c>
      <c r="R44" s="43">
        <f t="shared" ca="1" si="27"/>
        <v>6.8832821661005035</v>
      </c>
      <c r="S44" s="43">
        <f t="shared" ca="1" si="27"/>
        <v>6.0440137095270607</v>
      </c>
      <c r="T44" s="43">
        <f t="shared" ca="1" si="27"/>
        <v>5.1053873990467427</v>
      </c>
      <c r="U44" s="43">
        <f t="shared" ca="1" si="27"/>
        <v>4.0299715958635476</v>
      </c>
      <c r="V44" s="43">
        <f t="shared" ca="1" si="27"/>
        <v>2.8167160306519983</v>
      </c>
      <c r="W44" s="43">
        <f t="shared" ca="1" si="27"/>
        <v>1.6521910562348614</v>
      </c>
      <c r="X44" s="43">
        <f t="shared" ca="1" si="27"/>
        <v>0.47774746115484068</v>
      </c>
      <c r="Y44" s="43">
        <f t="shared" ca="1" si="27"/>
        <v>-0.87540471098653017</v>
      </c>
      <c r="Z44" s="43">
        <f t="shared" ca="1" si="27"/>
        <v>-2.2610584730150589</v>
      </c>
      <c r="AA44" s="43">
        <f t="shared" ca="1" si="27"/>
        <v>-2.0893714255876938</v>
      </c>
      <c r="AB44" s="43">
        <f t="shared" ca="1" si="27"/>
        <v>-1.7865635057381939</v>
      </c>
      <c r="AC44" s="43">
        <f t="shared" ca="1" si="27"/>
        <v>-1.3250466698212584</v>
      </c>
      <c r="AD44" s="43">
        <f t="shared" ca="1" si="27"/>
        <v>-0.63492924283711749</v>
      </c>
      <c r="AE44" s="43">
        <f t="shared" ca="1" si="27"/>
        <v>0.14280362998859419</v>
      </c>
      <c r="AF44" s="43">
        <f t="shared" ca="1" si="27"/>
        <v>1.0593053062542239</v>
      </c>
      <c r="AG44" s="43">
        <f t="shared" ca="1" si="27"/>
        <v>2.0588718917590612</v>
      </c>
      <c r="AH44" s="43">
        <f t="shared" ca="1" si="27"/>
        <v>3.1426007891590375</v>
      </c>
      <c r="AI44" s="43">
        <f t="shared" ca="1" si="27"/>
        <v>4.2824939015043277</v>
      </c>
      <c r="AJ44" s="43">
        <f t="shared" ca="1" si="27"/>
        <v>5.5314295188723666</v>
      </c>
      <c r="AK44" s="43">
        <f t="shared" ca="1" si="27"/>
        <v>6.8078577644274425</v>
      </c>
      <c r="AL44" s="43">
        <f t="shared" ca="1" si="27"/>
        <v>8.1531145268242788</v>
      </c>
      <c r="AM44" s="43">
        <f t="shared" ca="1" si="27"/>
        <v>9.545072110244913</v>
      </c>
      <c r="AN44" s="43">
        <f t="shared" ca="1" si="27"/>
        <v>10.948625478042795</v>
      </c>
      <c r="AO44" s="43">
        <f t="shared" ca="1" si="27"/>
        <v>12.29023832932973</v>
      </c>
      <c r="AP44" s="43">
        <f t="shared" ca="1" si="27"/>
        <v>13.52741502370379</v>
      </c>
      <c r="AQ44" s="43">
        <f t="shared" ca="1" si="27"/>
        <v>14.627603426494666</v>
      </c>
      <c r="AR44" s="43">
        <f t="shared" ca="1" si="27"/>
        <v>15.546373052925938</v>
      </c>
      <c r="AS44" s="43">
        <f t="shared" ca="1" si="27"/>
        <v>16.311105533871078</v>
      </c>
      <c r="AT44" s="43">
        <f t="shared" ca="1" si="27"/>
        <v>17.086989733965005</v>
      </c>
      <c r="AU44" s="43">
        <f t="shared" ca="1" si="27"/>
        <v>17.827731012430984</v>
      </c>
      <c r="AV44" s="43">
        <f t="shared" ca="1" si="27"/>
        <v>18.600157565877563</v>
      </c>
      <c r="AW44" s="43">
        <f t="shared" ca="1" si="27"/>
        <v>19.32913632341549</v>
      </c>
    </row>
    <row r="45" spans="1:49" x14ac:dyDescent="0.2">
      <c r="A45" s="1" t="s">
        <v>694</v>
      </c>
      <c r="D45" s="18">
        <f t="shared" ref="D45:I45" si="28">D$325</f>
        <v>4.5469999999999997</v>
      </c>
      <c r="E45" s="19">
        <f t="shared" si="28"/>
        <v>-3.4550000000000005</v>
      </c>
      <c r="F45" s="19">
        <f t="shared" si="28"/>
        <v>2.0570000000000004</v>
      </c>
      <c r="G45" s="19">
        <f t="shared" si="28"/>
        <v>2.2280000000000002</v>
      </c>
      <c r="H45" s="19">
        <f t="shared" si="28"/>
        <v>2.351</v>
      </c>
      <c r="I45" s="19">
        <f t="shared" si="28"/>
        <v>2.633</v>
      </c>
      <c r="J45" s="7">
        <f t="shared" ref="J45:AW45" ca="1" si="29">J$325</f>
        <v>2.367319290806599</v>
      </c>
      <c r="K45" s="7">
        <f t="shared" ca="1" si="29"/>
        <v>2.6899986987703763</v>
      </c>
      <c r="L45" s="7">
        <f t="shared" ca="1" si="29"/>
        <v>3.0374234830580384</v>
      </c>
      <c r="M45" s="7">
        <f t="shared" ca="1" si="29"/>
        <v>3.4095638063490661</v>
      </c>
      <c r="N45" s="7">
        <f t="shared" ca="1" si="29"/>
        <v>3.7857898144786883</v>
      </c>
      <c r="O45" s="7">
        <f t="shared" ca="1" si="29"/>
        <v>4.1146052922075951</v>
      </c>
      <c r="P45" s="7">
        <f t="shared" ca="1" si="29"/>
        <v>4.4474064112467353</v>
      </c>
      <c r="Q45" s="7">
        <f t="shared" ca="1" si="29"/>
        <v>4.782448050242933</v>
      </c>
      <c r="R45" s="7">
        <f t="shared" ca="1" si="29"/>
        <v>5.1194175736491667</v>
      </c>
      <c r="S45" s="7">
        <f t="shared" ca="1" si="29"/>
        <v>5.4596309232597138</v>
      </c>
      <c r="T45" s="7">
        <f t="shared" ca="1" si="29"/>
        <v>5.8045217229448252</v>
      </c>
      <c r="U45" s="7">
        <f t="shared" ca="1" si="29"/>
        <v>6.1543019798070695</v>
      </c>
      <c r="V45" s="7">
        <f t="shared" ca="1" si="29"/>
        <v>6.508517800692613</v>
      </c>
      <c r="W45" s="7">
        <f t="shared" ca="1" si="29"/>
        <v>6.8666766313626173</v>
      </c>
      <c r="X45" s="7">
        <f t="shared" ca="1" si="29"/>
        <v>7.2289045291724294</v>
      </c>
      <c r="Y45" s="7">
        <f t="shared" ca="1" si="29"/>
        <v>7.594725813186133</v>
      </c>
      <c r="Z45" s="7">
        <f t="shared" ca="1" si="29"/>
        <v>7.9643185673482577</v>
      </c>
      <c r="AA45" s="7">
        <f t="shared" ca="1" si="29"/>
        <v>8.340691057763415</v>
      </c>
      <c r="AB45" s="7">
        <f t="shared" ca="1" si="29"/>
        <v>8.728151984712083</v>
      </c>
      <c r="AC45" s="7">
        <f t="shared" ca="1" si="29"/>
        <v>9.1320602527217627</v>
      </c>
      <c r="AD45" s="7">
        <f t="shared" ca="1" si="29"/>
        <v>9.5588012389692274</v>
      </c>
      <c r="AE45" s="7">
        <f t="shared" ca="1" si="29"/>
        <v>10.01358039840027</v>
      </c>
      <c r="AF45" s="7">
        <f t="shared" ca="1" si="29"/>
        <v>10.500717939074811</v>
      </c>
      <c r="AG45" s="7">
        <f t="shared" ca="1" si="29"/>
        <v>11.023942488889746</v>
      </c>
      <c r="AH45" s="7">
        <f t="shared" ca="1" si="29"/>
        <v>11.585977860018568</v>
      </c>
      <c r="AI45" s="7">
        <f t="shared" ca="1" si="29"/>
        <v>12.190036099692572</v>
      </c>
      <c r="AJ45" s="7">
        <f t="shared" ca="1" si="29"/>
        <v>12.83912913020052</v>
      </c>
      <c r="AK45" s="7">
        <f t="shared" ca="1" si="29"/>
        <v>13.535493494491288</v>
      </c>
      <c r="AL45" s="7">
        <f t="shared" ca="1" si="29"/>
        <v>14.281226377035756</v>
      </c>
      <c r="AM45" s="7">
        <f t="shared" ca="1" si="29"/>
        <v>15.079328426436136</v>
      </c>
      <c r="AN45" s="7">
        <f t="shared" ca="1" si="29"/>
        <v>15.931747484002432</v>
      </c>
      <c r="AO45" s="7">
        <f t="shared" ca="1" si="29"/>
        <v>16.838683144348011</v>
      </c>
      <c r="AP45" s="7">
        <f t="shared" ca="1" si="29"/>
        <v>17.798010073079915</v>
      </c>
      <c r="AQ45" s="7">
        <f t="shared" ca="1" si="29"/>
        <v>18.805933411317987</v>
      </c>
      <c r="AR45" s="7">
        <f t="shared" ca="1" si="29"/>
        <v>19.857323409828897</v>
      </c>
      <c r="AS45" s="7">
        <f t="shared" ca="1" si="29"/>
        <v>20.945668780069941</v>
      </c>
      <c r="AT45" s="7">
        <f t="shared" ca="1" si="29"/>
        <v>22.065774569826484</v>
      </c>
      <c r="AU45" s="7">
        <f t="shared" ca="1" si="29"/>
        <v>23.22010818673877</v>
      </c>
      <c r="AV45" s="7">
        <f t="shared" ca="1" si="29"/>
        <v>24.409156433422432</v>
      </c>
      <c r="AW45" s="7">
        <f t="shared" ca="1" si="29"/>
        <v>25.632983881632946</v>
      </c>
    </row>
    <row r="46" spans="1:49" x14ac:dyDescent="0.2">
      <c r="A46" s="1" t="s">
        <v>696</v>
      </c>
      <c r="B46" s="4" t="str">
        <f t="shared" ref="B46" si="30">$B$43</f>
        <v>From Fiscal</v>
      </c>
      <c r="D46" s="18">
        <f>Fiscal!D$29</f>
        <v>0.218</v>
      </c>
      <c r="E46" s="19">
        <f>Fiscal!E$29</f>
        <v>6.2E-2</v>
      </c>
      <c r="F46" s="19">
        <f>Fiscal!F$29</f>
        <v>4.0000000000000001E-3</v>
      </c>
      <c r="G46" s="19">
        <f>Fiscal!G$29</f>
        <v>1.0999999999999999E-2</v>
      </c>
      <c r="H46" s="19">
        <f>Fiscal!H$29</f>
        <v>4.0000000000000001E-3</v>
      </c>
      <c r="I46" s="19">
        <f>Fiscal!I$29</f>
        <v>4.0000000000000001E-3</v>
      </c>
      <c r="J46" s="7">
        <f ca="1">IF(J$6=OFFSET(Assumptions!$B$8,0,$C$1),AVERAGE(G$46/G$407,H$46/H$407,I$46/I$407),I$46/I$407)*J$407</f>
        <v>6.497454889961801E-3</v>
      </c>
      <c r="K46" s="7">
        <f ca="1">IF(K$6=OFFSET(Assumptions!$B$8,0,$C$1),AVERAGE(H$46/H$407,I$46/I$407,J$46/J$407),J$46/J$407)*K$407</f>
        <v>6.5656294395663589E-3</v>
      </c>
      <c r="L46" s="7">
        <f ca="1">IF(L$6=OFFSET(Assumptions!$B$8,0,$C$1),AVERAGE(I$46/I$407,J$46/J$407,K$46/K$407),K$46/K$407)*L$407</f>
        <v>6.6443268417505485E-3</v>
      </c>
      <c r="M46" s="7">
        <f ca="1">IF(M$6=OFFSET(Assumptions!$B$8,0,$C$1),AVERAGE(J$46/J$407,K$46/K$407,L$46/L$407),L$46/L$407)*M$407</f>
        <v>6.7336797295963384E-3</v>
      </c>
      <c r="N46" s="7">
        <f ca="1">IF(N$6=OFFSET(Assumptions!$B$8,0,$C$1),AVERAGE(K$46/K$407,L$46/L$407,M$46/M$407),M$46/M$407)*N$407</f>
        <v>6.8338522500945506E-3</v>
      </c>
      <c r="O46" s="7">
        <f ca="1">IF(O$6=OFFSET(Assumptions!$B$8,0,$C$1),AVERAGE(L$46/L$407,M$46/M$407,N$46/N$407),N$46/N$407)*O$407</f>
        <v>6.9449004349268111E-3</v>
      </c>
      <c r="P46" s="7">
        <f ca="1">IF(P$6=OFFSET(Assumptions!$B$8,0,$C$1),AVERAGE(M$46/M$407,N$46/N$407,O$46/O$407),O$46/O$407)*P$407</f>
        <v>7.0669159554020092E-3</v>
      </c>
      <c r="Q46" s="7">
        <f ca="1">IF(Q$6=OFFSET(Assumptions!$B$8,0,$C$1),AVERAGE(N$46/N$407,O$46/O$407,P$46/P$407),P$46/P$407)*Q$407</f>
        <v>7.1999711780615198E-3</v>
      </c>
      <c r="R46" s="7">
        <f ca="1">IF(R$6=OFFSET(Assumptions!$B$8,0,$C$1),AVERAGE(O$46/O$407,P$46/P$407,Q$46/Q$407),Q$46/Q$407)*R$407</f>
        <v>7.3441245336665897E-3</v>
      </c>
      <c r="S46" s="7">
        <f ca="1">IF(S$6=OFFSET(Assumptions!$B$8,0,$C$1),AVERAGE(P$46/P$407,Q$46/Q$407,R$46/R$407),R$46/R$407)*S$407</f>
        <v>7.4994825650246079E-3</v>
      </c>
      <c r="T46" s="7">
        <f ca="1">IF(T$6=OFFSET(Assumptions!$B$8,0,$C$1),AVERAGE(Q$46/Q$407,R$46/R$407,S$46/S$407),S$46/S$407)*T$407</f>
        <v>7.6661539987265687E-3</v>
      </c>
      <c r="U46" s="7">
        <f ca="1">IF(U$6=OFFSET(Assumptions!$B$8,0,$C$1),AVERAGE(R$46/R$407,S$46/S$407,T$46/T$407),T$46/T$407)*U$407</f>
        <v>7.8443039831861284E-3</v>
      </c>
      <c r="V46" s="7">
        <f ca="1">IF(V$6=OFFSET(Assumptions!$B$8,0,$C$1),AVERAGE(S$46/S$407,T$46/T$407,U$46/U$407),U$46/U$407)*V$407</f>
        <v>8.0341346811044229E-3</v>
      </c>
      <c r="W46" s="7">
        <f ca="1">IF(W$6=OFFSET(Assumptions!$B$8,0,$C$1),AVERAGE(T$46/T$407,U$46/U$407,V$46/V$407),V$46/V$407)*W$407</f>
        <v>8.2358931625168049E-3</v>
      </c>
      <c r="X46" s="7">
        <f ca="1">IF(X$6=OFFSET(Assumptions!$B$8,0,$C$1),AVERAGE(U$46/U$407,V$46/V$407,W$46/W$407),W$46/W$407)*X$407</f>
        <v>8.4498767612727465E-3</v>
      </c>
      <c r="Y46" s="7">
        <f ca="1">IF(Y$6=OFFSET(Assumptions!$B$8,0,$C$1),AVERAGE(V$46/V$407,W$46/W$407,X$46/X$407),X$46/X$407)*Y$407</f>
        <v>8.6763703558738799E-3</v>
      </c>
      <c r="Z46" s="7">
        <f ca="1">IF(Z$6=OFFSET(Assumptions!$B$8,0,$C$1),AVERAGE(W$46/W$407,X$46/X$407,Y$46/Y$407),Y$46/Y$407)*Z$407</f>
        <v>8.915750277119612E-3</v>
      </c>
      <c r="AA46" s="7">
        <f ca="1">IF(AA$6=OFFSET(Assumptions!$B$8,0,$C$1),AVERAGE(X$46/X$407,Y$46/Y$407,Z$46/Z$407),Z$46/Z$407)*AA$407</f>
        <v>9.1684133583255639E-3</v>
      </c>
      <c r="AB46" s="7">
        <f ca="1">IF(AB$6=OFFSET(Assumptions!$B$8,0,$C$1),AVERAGE(Y$46/Y$407,Z$46/Z$407,AA$46/AA$407),AA$46/AA$407)*AB$407</f>
        <v>9.4348076729138738E-3</v>
      </c>
      <c r="AC46" s="7">
        <f ca="1">IF(AC$6=OFFSET(Assumptions!$B$8,0,$C$1),AVERAGE(Z$46/Z$407,AA$46/AA$407,AB$46/AB$407),AB$46/AB$407)*AC$407</f>
        <v>9.715450955680693E-3</v>
      </c>
      <c r="AD46" s="7">
        <f ca="1">IF(AD$6=OFFSET(Assumptions!$B$8,0,$C$1),AVERAGE(AA$46/AA$407,AB$46/AB$407,AC$46/AC$407),AC$46/AC$407)*AD$407</f>
        <v>1.0010867609365579E-2</v>
      </c>
      <c r="AE46" s="7">
        <f ca="1">IF(AE$6=OFFSET(Assumptions!$B$8,0,$C$1),AVERAGE(AB$46/AB$407,AC$46/AC$407,AD$46/AD$407),AD$46/AD$407)*AE$407</f>
        <v>1.0321540905339002E-2</v>
      </c>
      <c r="AF46" s="7">
        <f ca="1">IF(AF$6=OFFSET(Assumptions!$B$8,0,$C$1),AVERAGE(AC$46/AC$407,AD$46/AD$407,AE$46/AE$407),AE$46/AE$407)*AF$407</f>
        <v>1.064800809579469E-2</v>
      </c>
      <c r="AG46" s="7">
        <f ca="1">IF(AG$6=OFFSET(Assumptions!$B$8,0,$C$1),AVERAGE(AD$46/AD$407,AE$46/AE$407,AF$46/AF$407),AF$46/AF$407)*AG$407</f>
        <v>1.0990802452473806E-2</v>
      </c>
      <c r="AH46" s="7">
        <f ca="1">IF(AH$6=OFFSET(Assumptions!$B$8,0,$C$1),AVERAGE(AE$46/AE$407,AF$46/AF$407,AG$46/AG$407),AG$46/AG$407)*AH$407</f>
        <v>1.1350483084937135E-2</v>
      </c>
      <c r="AI46" s="7">
        <f ca="1">IF(AI$6=OFFSET(Assumptions!$B$8,0,$C$1),AVERAGE(AF$46/AF$407,AG$46/AG$407,AH$46/AH$407),AH$46/AH$407)*AI$407</f>
        <v>1.1727538783676975E-2</v>
      </c>
      <c r="AJ46" s="7">
        <f ca="1">IF(AJ$6=OFFSET(Assumptions!$B$8,0,$C$1),AVERAGE(AG$46/AG$407,AH$46/AH$407,AI$46/AI$407),AI$46/AI$407)*AJ$407</f>
        <v>1.2122537381296334E-2</v>
      </c>
      <c r="AK46" s="7">
        <f ca="1">IF(AK$6=OFFSET(Assumptions!$B$8,0,$C$1),AVERAGE(AH$46/AH$407,AI$46/AI$407,AJ$46/AJ$407),AJ$46/AJ$407)*AK$407</f>
        <v>1.2536001007232501E-2</v>
      </c>
      <c r="AL46" s="7">
        <f ca="1">IF(AL$6=OFFSET(Assumptions!$B$8,0,$C$1),AVERAGE(AI$46/AI$407,AJ$46/AJ$407,AK$46/AK$407),AK$46/AK$407)*AL$407</f>
        <v>1.2968407879080688E-2</v>
      </c>
      <c r="AM46" s="7">
        <f ca="1">IF(AM$6=OFFSET(Assumptions!$B$8,0,$C$1),AVERAGE(AJ$46/AJ$407,AK$46/AK$407,AL$46/AL$407),AL$46/AL$407)*AM$407</f>
        <v>1.3420265146300094E-2</v>
      </c>
      <c r="AN46" s="7">
        <f ca="1">IF(AN$6=OFFSET(Assumptions!$B$8,0,$C$1),AVERAGE(AK$46/AK$407,AL$46/AL$407,AM$46/AM$407),AM$46/AM$407)*AN$407</f>
        <v>1.3892110337833316E-2</v>
      </c>
      <c r="AO46" s="7">
        <f ca="1">IF(AO$6=OFFSET(Assumptions!$B$8,0,$C$1),AVERAGE(AL$46/AL$407,AM$46/AM$407,AN$46/AN$407),AN$46/AN$407)*AO$407</f>
        <v>1.4384321024068506E-2</v>
      </c>
      <c r="AP46" s="7">
        <f ca="1">IF(AP$6=OFFSET(Assumptions!$B$8,0,$C$1),AVERAGE(AM$46/AM$407,AN$46/AN$407,AO$46/AO$407),AO$46/AO$407)*AP$407</f>
        <v>1.4897418564918323E-2</v>
      </c>
      <c r="AQ46" s="7">
        <f ca="1">IF(AQ$6=OFFSET(Assumptions!$B$8,0,$C$1),AVERAGE(AN$46/AN$407,AO$46/AO$407,AP$46/AP$407),AP$46/AP$407)*AQ$407</f>
        <v>1.543179881693444E-2</v>
      </c>
      <c r="AR46" s="7">
        <f ca="1">IF(AR$6=OFFSET(Assumptions!$B$8,0,$C$1),AVERAGE(AO$46/AO$407,AP$46/AP$407,AQ$46/AQ$407),AQ$46/AQ$407)*AR$407</f>
        <v>1.5987888254436828E-2</v>
      </c>
      <c r="AS46" s="7">
        <f ca="1">IF(AS$6=OFFSET(Assumptions!$B$8,0,$C$1),AVERAGE(AP$46/AP$407,AQ$46/AQ$407,AR$46/AR$407),AR$46/AR$407)*AS$407</f>
        <v>1.656619290477207E-2</v>
      </c>
      <c r="AT46" s="7">
        <f ca="1">IF(AT$6=OFFSET(Assumptions!$B$8,0,$C$1),AVERAGE(AQ$46/AQ$407,AR$46/AR$407,AS$46/AS$407),AS$46/AS$407)*AT$407</f>
        <v>1.7167234356482385E-2</v>
      </c>
      <c r="AU46" s="7">
        <f ca="1">IF(AU$6=OFFSET(Assumptions!$B$8,0,$C$1),AVERAGE(AR$46/AR$407,AS$46/AS$407,AT$46/AT$407),AT$46/AT$407)*AU$407</f>
        <v>1.7791573152806588E-2</v>
      </c>
      <c r="AV46" s="7">
        <f ca="1">IF(AV$6=OFFSET(Assumptions!$B$8,0,$C$1),AVERAGE(AS$46/AS$407,AT$46/AT$407,AU$46/AU$407),AU$46/AU$407)*AV$407</f>
        <v>1.8439887607540461E-2</v>
      </c>
      <c r="AW46" s="7">
        <f ca="1">IF(AW$6=OFFSET(Assumptions!$B$8,0,$C$1),AVERAGE(AT$46/AT$407,AU$46/AU$407,AV$46/AV$407),AV$46/AV$407)*AW$407</f>
        <v>1.9112806171900181E-2</v>
      </c>
    </row>
    <row r="47" spans="1:49" x14ac:dyDescent="0.2">
      <c r="A47" s="1" t="s">
        <v>283</v>
      </c>
      <c r="B47" s="4"/>
      <c r="D47" s="18">
        <f t="shared" ref="D47" si="31">D$329</f>
        <v>1.028</v>
      </c>
      <c r="E47" s="19">
        <f>E$329</f>
        <v>0.28399999999999997</v>
      </c>
      <c r="F47" s="19">
        <f t="shared" ref="F47:I47" si="32">F$329</f>
        <v>0.28599999999999998</v>
      </c>
      <c r="G47" s="19">
        <f t="shared" si="32"/>
        <v>0.28499999999999998</v>
      </c>
      <c r="H47" s="19">
        <f t="shared" si="32"/>
        <v>0.28699999999999998</v>
      </c>
      <c r="I47" s="19">
        <f t="shared" si="32"/>
        <v>0.28899999999999998</v>
      </c>
      <c r="J47" s="7">
        <f t="shared" ref="J47:AW47" ca="1" si="33">J$329</f>
        <v>0.31241826732297806</v>
      </c>
      <c r="K47" s="7">
        <f t="shared" ca="1" si="33"/>
        <v>0.32547428836745085</v>
      </c>
      <c r="L47" s="7">
        <f t="shared" ca="1" si="33"/>
        <v>0.33958206588786044</v>
      </c>
      <c r="M47" s="7">
        <f t="shared" ca="1" si="33"/>
        <v>0.3542542026932084</v>
      </c>
      <c r="N47" s="7">
        <f t="shared" ca="1" si="33"/>
        <v>0.3695322925004827</v>
      </c>
      <c r="O47" s="7">
        <f t="shared" ca="1" si="33"/>
        <v>0.38530641883616568</v>
      </c>
      <c r="P47" s="7">
        <f t="shared" ca="1" si="33"/>
        <v>0.40160060392255903</v>
      </c>
      <c r="Q47" s="7">
        <f t="shared" ca="1" si="33"/>
        <v>0.41839724704785153</v>
      </c>
      <c r="R47" s="7">
        <f t="shared" ca="1" si="33"/>
        <v>0.4356838814494649</v>
      </c>
      <c r="S47" s="7">
        <f t="shared" ca="1" si="33"/>
        <v>0.45351544334662797</v>
      </c>
      <c r="T47" s="7">
        <f t="shared" ca="1" si="33"/>
        <v>0.4718984353062462</v>
      </c>
      <c r="U47" s="7">
        <f t="shared" ca="1" si="33"/>
        <v>0.490898833401893</v>
      </c>
      <c r="V47" s="7">
        <f t="shared" ca="1" si="33"/>
        <v>0.51056354022479344</v>
      </c>
      <c r="W47" s="7">
        <f t="shared" ca="1" si="33"/>
        <v>0.53094952939078699</v>
      </c>
      <c r="X47" s="7">
        <f t="shared" ca="1" si="33"/>
        <v>0.55212137265068106</v>
      </c>
      <c r="Y47" s="7">
        <f t="shared" ca="1" si="33"/>
        <v>0.57407690554107749</v>
      </c>
      <c r="Z47" s="7">
        <f t="shared" ca="1" si="33"/>
        <v>0.59692725911802325</v>
      </c>
      <c r="AA47" s="7">
        <f t="shared" ca="1" si="33"/>
        <v>0.62070940533240548</v>
      </c>
      <c r="AB47" s="7">
        <f t="shared" ca="1" si="33"/>
        <v>0.64549476416561702</v>
      </c>
      <c r="AC47" s="7">
        <f t="shared" ca="1" si="33"/>
        <v>0.67137690371068559</v>
      </c>
      <c r="AD47" s="7">
        <f t="shared" ca="1" si="33"/>
        <v>0.69838310406196613</v>
      </c>
      <c r="AE47" s="7">
        <f t="shared" ca="1" si="33"/>
        <v>0.72648856362399472</v>
      </c>
      <c r="AF47" s="7">
        <f t="shared" ca="1" si="33"/>
        <v>0.7557710389499257</v>
      </c>
      <c r="AG47" s="7">
        <f t="shared" ca="1" si="33"/>
        <v>0.78624690357550253</v>
      </c>
      <c r="AH47" s="7">
        <f t="shared" ca="1" si="33"/>
        <v>0.81796502766425983</v>
      </c>
      <c r="AI47" s="7">
        <f t="shared" ca="1" si="33"/>
        <v>0.85086998915365042</v>
      </c>
      <c r="AJ47" s="7">
        <f t="shared" ca="1" si="33"/>
        <v>0.8850671990296789</v>
      </c>
      <c r="AK47" s="7">
        <f t="shared" ca="1" si="33"/>
        <v>0.92052852561410481</v>
      </c>
      <c r="AL47" s="7">
        <f t="shared" ca="1" si="33"/>
        <v>0.95722603504166426</v>
      </c>
      <c r="AM47" s="7">
        <f t="shared" ca="1" si="33"/>
        <v>0.99520986088899543</v>
      </c>
      <c r="AN47" s="7">
        <f t="shared" ca="1" si="33"/>
        <v>1.0345328382900132</v>
      </c>
      <c r="AO47" s="7">
        <f t="shared" ca="1" si="33"/>
        <v>1.0750405595109798</v>
      </c>
      <c r="AP47" s="7">
        <f t="shared" ca="1" si="33"/>
        <v>1.1169050403923153</v>
      </c>
      <c r="AQ47" s="7">
        <f t="shared" ca="1" si="33"/>
        <v>1.1600089767907038</v>
      </c>
      <c r="AR47" s="7">
        <f t="shared" ca="1" si="33"/>
        <v>1.2044011700733073</v>
      </c>
      <c r="AS47" s="7">
        <f t="shared" ca="1" si="33"/>
        <v>1.2501851859466107</v>
      </c>
      <c r="AT47" s="7">
        <f t="shared" ca="1" si="33"/>
        <v>1.2973975906051645</v>
      </c>
      <c r="AU47" s="7">
        <f t="shared" ca="1" si="33"/>
        <v>1.3461011660072499</v>
      </c>
      <c r="AV47" s="7">
        <f t="shared" ca="1" si="33"/>
        <v>1.396446498643394</v>
      </c>
      <c r="AW47" s="7">
        <f t="shared" ca="1" si="33"/>
        <v>1.4484051657450239</v>
      </c>
    </row>
    <row r="48" spans="1:49" ht="15" x14ac:dyDescent="0.25">
      <c r="A48" s="2" t="s">
        <v>702</v>
      </c>
      <c r="B48" s="4"/>
      <c r="D48" s="40">
        <f t="shared" ref="D48" si="34">D$44+D$45-D$46+D$47</f>
        <v>5.7710000000000132</v>
      </c>
      <c r="E48" s="39">
        <f t="shared" ref="E48:AW48" ca="1" si="35">E$44+E$45-E$46+E$47</f>
        <v>-2.5649999999999942</v>
      </c>
      <c r="F48" s="39">
        <f t="shared" ca="1" si="35"/>
        <v>3.0579999999999621</v>
      </c>
      <c r="G48" s="39">
        <f t="shared" ca="1" si="35"/>
        <v>4.9570000000000007</v>
      </c>
      <c r="H48" s="39">
        <f t="shared" ca="1" si="35"/>
        <v>7.6059999999999883</v>
      </c>
      <c r="I48" s="39">
        <f t="shared" ca="1" si="35"/>
        <v>9.5989999999999931</v>
      </c>
      <c r="J48" s="43">
        <f t="shared" ca="1" si="35"/>
        <v>9.6770712815537898</v>
      </c>
      <c r="K48" s="43">
        <f t="shared" ca="1" si="35"/>
        <v>10.482304358620816</v>
      </c>
      <c r="L48" s="43">
        <f t="shared" ca="1" si="35"/>
        <v>11.313623365052665</v>
      </c>
      <c r="M48" s="43">
        <f t="shared" ca="1" si="35"/>
        <v>12.024871599719027</v>
      </c>
      <c r="N48" s="43">
        <f t="shared" ca="1" si="35"/>
        <v>12.720832283011024</v>
      </c>
      <c r="O48" s="43">
        <f t="shared" ca="1" si="35"/>
        <v>13.291246746660839</v>
      </c>
      <c r="P48" s="43">
        <f t="shared" ca="1" si="35"/>
        <v>13.085235871019245</v>
      </c>
      <c r="Q48" s="43">
        <f t="shared" ca="1" si="35"/>
        <v>12.84404503845715</v>
      </c>
      <c r="R48" s="43">
        <f t="shared" ca="1" si="35"/>
        <v>12.431039496665468</v>
      </c>
      <c r="S48" s="43">
        <f t="shared" ca="1" si="35"/>
        <v>11.949660593568376</v>
      </c>
      <c r="T48" s="43">
        <f t="shared" ca="1" si="35"/>
        <v>11.374141403299086</v>
      </c>
      <c r="U48" s="43">
        <f t="shared" ca="1" si="35"/>
        <v>10.667328105089323</v>
      </c>
      <c r="V48" s="43">
        <f t="shared" ca="1" si="35"/>
        <v>9.8277632368883019</v>
      </c>
      <c r="W48" s="43">
        <f t="shared" ca="1" si="35"/>
        <v>9.0415813238257474</v>
      </c>
      <c r="X48" s="43">
        <f t="shared" ca="1" si="35"/>
        <v>8.2503234862166774</v>
      </c>
      <c r="Y48" s="43">
        <f t="shared" ca="1" si="35"/>
        <v>7.2847216373848056</v>
      </c>
      <c r="Z48" s="43">
        <f t="shared" ca="1" si="35"/>
        <v>6.2912716031741027</v>
      </c>
      <c r="AA48" s="43">
        <f t="shared" ca="1" si="35"/>
        <v>6.8628606241498016</v>
      </c>
      <c r="AB48" s="43">
        <f t="shared" ca="1" si="35"/>
        <v>7.5776484354665925</v>
      </c>
      <c r="AC48" s="43">
        <f t="shared" ca="1" si="35"/>
        <v>8.4686750356555098</v>
      </c>
      <c r="AD48" s="43">
        <f t="shared" ca="1" si="35"/>
        <v>9.6122442325847111</v>
      </c>
      <c r="AE48" s="43">
        <f t="shared" ca="1" si="35"/>
        <v>10.87255105110752</v>
      </c>
      <c r="AF48" s="43">
        <f t="shared" ca="1" si="35"/>
        <v>12.305146276183166</v>
      </c>
      <c r="AG48" s="43">
        <f t="shared" ca="1" si="35"/>
        <v>13.858070481771836</v>
      </c>
      <c r="AH48" s="43">
        <f t="shared" ca="1" si="35"/>
        <v>15.535193193756928</v>
      </c>
      <c r="AI48" s="43">
        <f t="shared" ca="1" si="35"/>
        <v>17.311672451566874</v>
      </c>
      <c r="AJ48" s="43">
        <f t="shared" ca="1" si="35"/>
        <v>19.24350331072127</v>
      </c>
      <c r="AK48" s="43">
        <f t="shared" ca="1" si="35"/>
        <v>21.251343783525602</v>
      </c>
      <c r="AL48" s="43">
        <f t="shared" ca="1" si="35"/>
        <v>23.378598531022615</v>
      </c>
      <c r="AM48" s="43">
        <f t="shared" ca="1" si="35"/>
        <v>25.606190132423745</v>
      </c>
      <c r="AN48" s="43">
        <f t="shared" ca="1" si="35"/>
        <v>27.901013689997409</v>
      </c>
      <c r="AO48" s="43">
        <f t="shared" ca="1" si="35"/>
        <v>30.189577712164656</v>
      </c>
      <c r="AP48" s="43">
        <f t="shared" ca="1" si="35"/>
        <v>32.427432718611101</v>
      </c>
      <c r="AQ48" s="43">
        <f t="shared" ca="1" si="35"/>
        <v>34.578114015786426</v>
      </c>
      <c r="AR48" s="43">
        <f t="shared" ca="1" si="35"/>
        <v>36.592109744573705</v>
      </c>
      <c r="AS48" s="43">
        <f t="shared" ca="1" si="35"/>
        <v>38.490393306982867</v>
      </c>
      <c r="AT48" s="43">
        <f t="shared" ca="1" si="35"/>
        <v>40.432994660040166</v>
      </c>
      <c r="AU48" s="43">
        <f t="shared" ca="1" si="35"/>
        <v>42.376148792024203</v>
      </c>
      <c r="AV48" s="43">
        <f t="shared" ca="1" si="35"/>
        <v>44.387320610335841</v>
      </c>
      <c r="AW48" s="43">
        <f t="shared" ca="1" si="35"/>
        <v>46.391412564621561</v>
      </c>
    </row>
    <row r="49" spans="1:49" ht="15" x14ac:dyDescent="0.25">
      <c r="A49" s="30" t="s">
        <v>703</v>
      </c>
      <c r="D49" s="6" t="str">
        <f t="shared" ref="D49" si="36">IF(ROUND(D$42-SUM(D$183,D$216,D$229,D$231,D$236,D$242,D$260,D$272,D$276,D$280,D$287,D$293,D$297,D$301,D$305,D$309,D$313),3)=0,"OK","ERROR")</f>
        <v>OK</v>
      </c>
      <c r="E49" s="6" t="str">
        <f t="shared" ref="E49:AW49" ca="1" si="37">IF(ROUND(E$42-SUM(E$183,E$216,E$229,E$231,E$236,E$242,E$260,E$272,E$276,E$280,E$287,E$293,E$297,E$301,E$305,E$309,E$313),3)=0,"OK","ERROR")</f>
        <v>OK</v>
      </c>
      <c r="F49" s="6" t="str">
        <f t="shared" ca="1" si="37"/>
        <v>OK</v>
      </c>
      <c r="G49" s="6" t="str">
        <f t="shared" ca="1" si="37"/>
        <v>OK</v>
      </c>
      <c r="H49" s="6" t="str">
        <f t="shared" ca="1" si="37"/>
        <v>OK</v>
      </c>
      <c r="I49" s="6" t="str">
        <f t="shared" ca="1" si="37"/>
        <v>OK</v>
      </c>
      <c r="J49" s="6" t="str">
        <f t="shared" ca="1" si="37"/>
        <v>OK</v>
      </c>
      <c r="K49" s="6" t="str">
        <f t="shared" ca="1" si="37"/>
        <v>OK</v>
      </c>
      <c r="L49" s="6" t="str">
        <f t="shared" ca="1" si="37"/>
        <v>OK</v>
      </c>
      <c r="M49" s="6" t="str">
        <f t="shared" ca="1" si="37"/>
        <v>OK</v>
      </c>
      <c r="N49" s="6" t="str">
        <f t="shared" ca="1" si="37"/>
        <v>OK</v>
      </c>
      <c r="O49" s="6" t="str">
        <f t="shared" ca="1" si="37"/>
        <v>OK</v>
      </c>
      <c r="P49" s="6" t="str">
        <f t="shared" ca="1" si="37"/>
        <v>OK</v>
      </c>
      <c r="Q49" s="6" t="str">
        <f t="shared" ca="1" si="37"/>
        <v>OK</v>
      </c>
      <c r="R49" s="6" t="str">
        <f t="shared" ca="1" si="37"/>
        <v>OK</v>
      </c>
      <c r="S49" s="6" t="str">
        <f t="shared" ca="1" si="37"/>
        <v>OK</v>
      </c>
      <c r="T49" s="6" t="str">
        <f t="shared" ca="1" si="37"/>
        <v>OK</v>
      </c>
      <c r="U49" s="6" t="str">
        <f t="shared" ca="1" si="37"/>
        <v>OK</v>
      </c>
      <c r="V49" s="6" t="str">
        <f t="shared" ca="1" si="37"/>
        <v>OK</v>
      </c>
      <c r="W49" s="6" t="str">
        <f t="shared" ca="1" si="37"/>
        <v>OK</v>
      </c>
      <c r="X49" s="6" t="str">
        <f t="shared" ca="1" si="37"/>
        <v>OK</v>
      </c>
      <c r="Y49" s="6" t="str">
        <f t="shared" ca="1" si="37"/>
        <v>OK</v>
      </c>
      <c r="Z49" s="6" t="str">
        <f t="shared" ca="1" si="37"/>
        <v>OK</v>
      </c>
      <c r="AA49" s="6" t="str">
        <f t="shared" ca="1" si="37"/>
        <v>OK</v>
      </c>
      <c r="AB49" s="6" t="str">
        <f t="shared" ca="1" si="37"/>
        <v>OK</v>
      </c>
      <c r="AC49" s="6" t="str">
        <f t="shared" ca="1" si="37"/>
        <v>OK</v>
      </c>
      <c r="AD49" s="6" t="str">
        <f t="shared" ca="1" si="37"/>
        <v>OK</v>
      </c>
      <c r="AE49" s="6" t="str">
        <f t="shared" ca="1" si="37"/>
        <v>OK</v>
      </c>
      <c r="AF49" s="6" t="str">
        <f t="shared" ca="1" si="37"/>
        <v>OK</v>
      </c>
      <c r="AG49" s="6" t="str">
        <f t="shared" ca="1" si="37"/>
        <v>OK</v>
      </c>
      <c r="AH49" s="6" t="str">
        <f t="shared" ca="1" si="37"/>
        <v>OK</v>
      </c>
      <c r="AI49" s="6" t="str">
        <f t="shared" ca="1" si="37"/>
        <v>OK</v>
      </c>
      <c r="AJ49" s="6" t="str">
        <f t="shared" ca="1" si="37"/>
        <v>OK</v>
      </c>
      <c r="AK49" s="6" t="str">
        <f t="shared" ca="1" si="37"/>
        <v>OK</v>
      </c>
      <c r="AL49" s="6" t="str">
        <f t="shared" ca="1" si="37"/>
        <v>OK</v>
      </c>
      <c r="AM49" s="6" t="str">
        <f t="shared" ca="1" si="37"/>
        <v>OK</v>
      </c>
      <c r="AN49" s="6" t="str">
        <f t="shared" ca="1" si="37"/>
        <v>OK</v>
      </c>
      <c r="AO49" s="6" t="str">
        <f t="shared" ca="1" si="37"/>
        <v>OK</v>
      </c>
      <c r="AP49" s="6" t="str">
        <f t="shared" ca="1" si="37"/>
        <v>OK</v>
      </c>
      <c r="AQ49" s="6" t="str">
        <f t="shared" ca="1" si="37"/>
        <v>OK</v>
      </c>
      <c r="AR49" s="6" t="str">
        <f t="shared" ca="1" si="37"/>
        <v>OK</v>
      </c>
      <c r="AS49" s="6" t="str">
        <f t="shared" ca="1" si="37"/>
        <v>OK</v>
      </c>
      <c r="AT49" s="6" t="str">
        <f t="shared" ca="1" si="37"/>
        <v>OK</v>
      </c>
      <c r="AU49" s="6" t="str">
        <f t="shared" ca="1" si="37"/>
        <v>OK</v>
      </c>
      <c r="AV49" s="6" t="str">
        <f t="shared" ca="1" si="37"/>
        <v>OK</v>
      </c>
      <c r="AW49" s="6" t="str">
        <f t="shared" ca="1" si="37"/>
        <v>OK</v>
      </c>
    </row>
    <row r="50" spans="1:49" ht="15" x14ac:dyDescent="0.25">
      <c r="A50" s="1" t="s">
        <v>699</v>
      </c>
      <c r="D50" s="47">
        <f t="shared" ref="D50:I50" si="38">SUM(D$139,D$142,D$148,D$155,D$162)</f>
        <v>72.212999999999994</v>
      </c>
      <c r="E50" s="44">
        <f t="shared" si="38"/>
        <v>75.328999999999994</v>
      </c>
      <c r="F50" s="44">
        <f t="shared" si="38"/>
        <v>78.543999999999997</v>
      </c>
      <c r="G50" s="44">
        <f t="shared" si="38"/>
        <v>82.097999999999999</v>
      </c>
      <c r="H50" s="44">
        <f t="shared" si="38"/>
        <v>87.02000000000001</v>
      </c>
      <c r="I50" s="44">
        <f t="shared" si="38"/>
        <v>91.414000000000001</v>
      </c>
      <c r="J50" s="8">
        <f t="shared" ref="J50:AW50" ca="1" si="39">SUM(J$139,J$142,J$148,J$155,J$162)</f>
        <v>95.134689594366833</v>
      </c>
      <c r="K50" s="8">
        <f t="shared" ca="1" si="39"/>
        <v>99.661520331439633</v>
      </c>
      <c r="L50" s="8">
        <f t="shared" ca="1" si="39"/>
        <v>104.29404104011101</v>
      </c>
      <c r="M50" s="8">
        <f t="shared" ca="1" si="39"/>
        <v>108.97135338901252</v>
      </c>
      <c r="N50" s="8">
        <f t="shared" ca="1" si="39"/>
        <v>113.80932427296219</v>
      </c>
      <c r="O50" s="8">
        <f t="shared" ca="1" si="39"/>
        <v>118.72615328856307</v>
      </c>
      <c r="P50" s="8">
        <f t="shared" ca="1" si="39"/>
        <v>123.99288883611852</v>
      </c>
      <c r="Q50" s="8">
        <f t="shared" ca="1" si="39"/>
        <v>129.32129905748076</v>
      </c>
      <c r="R50" s="8">
        <f t="shared" ca="1" si="39"/>
        <v>134.70391290799458</v>
      </c>
      <c r="S50" s="8">
        <f t="shared" ca="1" si="39"/>
        <v>140.25569682168984</v>
      </c>
      <c r="T50" s="8">
        <f t="shared" ca="1" si="39"/>
        <v>145.97827518221612</v>
      </c>
      <c r="U50" s="8">
        <f t="shared" ca="1" si="39"/>
        <v>151.88554273421693</v>
      </c>
      <c r="V50" s="8">
        <f t="shared" ca="1" si="39"/>
        <v>157.99859524865911</v>
      </c>
      <c r="W50" s="8">
        <f t="shared" ca="1" si="39"/>
        <v>164.33147391397074</v>
      </c>
      <c r="X50" s="8">
        <f t="shared" ca="1" si="39"/>
        <v>170.90577884644165</v>
      </c>
      <c r="Y50" s="8">
        <f t="shared" ca="1" si="39"/>
        <v>177.71687851177344</v>
      </c>
      <c r="Z50" s="8">
        <f t="shared" ca="1" si="39"/>
        <v>184.80217797735989</v>
      </c>
      <c r="AA50" s="8">
        <f t="shared" ca="1" si="39"/>
        <v>192.17017841271579</v>
      </c>
      <c r="AB50" s="8">
        <f t="shared" ca="1" si="39"/>
        <v>199.85205818055817</v>
      </c>
      <c r="AC50" s="8">
        <f t="shared" ca="1" si="39"/>
        <v>207.86915387011837</v>
      </c>
      <c r="AD50" s="8">
        <f t="shared" ca="1" si="39"/>
        <v>216.24027094221668</v>
      </c>
      <c r="AE50" s="8">
        <f t="shared" ca="1" si="39"/>
        <v>224.95590717578528</v>
      </c>
      <c r="AF50" s="8">
        <f t="shared" ca="1" si="39"/>
        <v>234.0399714310789</v>
      </c>
      <c r="AG50" s="8">
        <f t="shared" ca="1" si="39"/>
        <v>243.50596564456103</v>
      </c>
      <c r="AH50" s="8">
        <f t="shared" ca="1" si="39"/>
        <v>253.35956868608821</v>
      </c>
      <c r="AI50" s="8">
        <f t="shared" ca="1" si="39"/>
        <v>263.59047005489214</v>
      </c>
      <c r="AJ50" s="8">
        <f t="shared" ca="1" si="39"/>
        <v>274.22924378043336</v>
      </c>
      <c r="AK50" s="8">
        <f t="shared" ca="1" si="39"/>
        <v>285.26747974177096</v>
      </c>
      <c r="AL50" s="8">
        <f t="shared" ca="1" si="39"/>
        <v>296.70540867867157</v>
      </c>
      <c r="AM50" s="8">
        <f t="shared" ca="1" si="39"/>
        <v>308.54506505410382</v>
      </c>
      <c r="AN50" s="8">
        <f t="shared" ca="1" si="39"/>
        <v>320.81512695251274</v>
      </c>
      <c r="AO50" s="8">
        <f t="shared" ca="1" si="39"/>
        <v>333.4613313786104</v>
      </c>
      <c r="AP50" s="8">
        <f t="shared" ca="1" si="39"/>
        <v>346.54000086256855</v>
      </c>
      <c r="AQ50" s="8">
        <f t="shared" ca="1" si="39"/>
        <v>360.0088583949879</v>
      </c>
      <c r="AR50" s="8">
        <f t="shared" ca="1" si="39"/>
        <v>373.88613638463687</v>
      </c>
      <c r="AS50" s="8">
        <f t="shared" ca="1" si="39"/>
        <v>388.19544735609031</v>
      </c>
      <c r="AT50" s="8">
        <f t="shared" ca="1" si="39"/>
        <v>402.95310349774508</v>
      </c>
      <c r="AU50" s="8">
        <f t="shared" ca="1" si="39"/>
        <v>418.17133542933669</v>
      </c>
      <c r="AV50" s="8">
        <f t="shared" ca="1" si="39"/>
        <v>433.89668187113347</v>
      </c>
      <c r="AW50" s="8">
        <f t="shared" ca="1" si="39"/>
        <v>450.12698591766195</v>
      </c>
    </row>
    <row r="51" spans="1:49" ht="15" x14ac:dyDescent="0.25">
      <c r="A51" s="1" t="s">
        <v>700</v>
      </c>
      <c r="D51" s="47">
        <f t="shared" ref="D51" si="40">SUM(D$178,D$192,D$199,D$205,D$212,D$221,D$229,D$231)</f>
        <v>72.363</v>
      </c>
      <c r="E51" s="44">
        <f t="shared" ref="E51:AW51" ca="1" si="41">SUM(E$178,E$192,E$199,E$205,E$212,E$221,E$229,E$231)</f>
        <v>74.382000000000005</v>
      </c>
      <c r="F51" s="44">
        <f t="shared" ca="1" si="41"/>
        <v>77.388000000000005</v>
      </c>
      <c r="G51" s="44">
        <f t="shared" ca="1" si="41"/>
        <v>79.718999999999994</v>
      </c>
      <c r="H51" s="44">
        <f t="shared" ca="1" si="41"/>
        <v>82.046999999999997</v>
      </c>
      <c r="I51" s="44">
        <f t="shared" ca="1" si="41"/>
        <v>84.817999999999998</v>
      </c>
      <c r="J51" s="8">
        <f t="shared" ca="1" si="41"/>
        <v>88.198615854715072</v>
      </c>
      <c r="K51" s="8">
        <f t="shared" ca="1" si="41"/>
        <v>92.382270105723464</v>
      </c>
      <c r="L51" s="8">
        <f t="shared" ca="1" si="41"/>
        <v>96.673401871999985</v>
      </c>
      <c r="M51" s="8">
        <f t="shared" ca="1" si="41"/>
        <v>101.13866880348944</v>
      </c>
      <c r="N51" s="8">
        <f t="shared" ca="1" si="41"/>
        <v>105.82057495171067</v>
      </c>
      <c r="O51" s="8">
        <f t="shared" ca="1" si="41"/>
        <v>110.63798562570354</v>
      </c>
      <c r="P51" s="8">
        <f t="shared" ca="1" si="41"/>
        <v>116.60954129934615</v>
      </c>
      <c r="Q51" s="8">
        <f t="shared" ca="1" si="41"/>
        <v>122.67144329995185</v>
      </c>
      <c r="R51" s="8">
        <f t="shared" ca="1" si="41"/>
        <v>128.97607887876666</v>
      </c>
      <c r="S51" s="8">
        <f t="shared" ca="1" si="41"/>
        <v>135.51838384638347</v>
      </c>
      <c r="T51" s="8">
        <f t="shared" ca="1" si="41"/>
        <v>142.35071818414326</v>
      </c>
      <c r="U51" s="8">
        <f t="shared" ca="1" si="41"/>
        <v>149.51130354802712</v>
      </c>
      <c r="V51" s="8">
        <f t="shared" ca="1" si="41"/>
        <v>157.02915494679337</v>
      </c>
      <c r="W51" s="8">
        <f t="shared" ca="1" si="41"/>
        <v>164.73260394963657</v>
      </c>
      <c r="X51" s="8">
        <f t="shared" ca="1" si="41"/>
        <v>172.70142410695826</v>
      </c>
      <c r="Y51" s="8">
        <f t="shared" ca="1" si="41"/>
        <v>181.08197590979501</v>
      </c>
      <c r="Z51" s="8">
        <f t="shared" ca="1" si="41"/>
        <v>189.81907390178395</v>
      </c>
      <c r="AA51" s="8">
        <f t="shared" ca="1" si="41"/>
        <v>197.29958707745652</v>
      </c>
      <c r="AB51" s="8">
        <f t="shared" ca="1" si="41"/>
        <v>204.97788383542502</v>
      </c>
      <c r="AC51" s="8">
        <f t="shared" ca="1" si="41"/>
        <v>212.85348254529774</v>
      </c>
      <c r="AD51" s="8">
        <f t="shared" ca="1" si="41"/>
        <v>220.91440204298877</v>
      </c>
      <c r="AE51" s="8">
        <f t="shared" ca="1" si="41"/>
        <v>229.25518079931368</v>
      </c>
      <c r="AF51" s="8">
        <f t="shared" ca="1" si="41"/>
        <v>237.84155695774822</v>
      </c>
      <c r="AG51" s="8">
        <f t="shared" ca="1" si="41"/>
        <v>246.77775154099353</v>
      </c>
      <c r="AH51" s="8">
        <f t="shared" ca="1" si="41"/>
        <v>256.04239458811776</v>
      </c>
      <c r="AI51" s="8">
        <f t="shared" ca="1" si="41"/>
        <v>265.64437642266108</v>
      </c>
      <c r="AJ51" s="8">
        <f t="shared" ca="1" si="41"/>
        <v>275.60416244708773</v>
      </c>
      <c r="AK51" s="8">
        <f t="shared" ca="1" si="41"/>
        <v>285.97374031647126</v>
      </c>
      <c r="AL51" s="8">
        <f t="shared" ca="1" si="41"/>
        <v>296.71185434129291</v>
      </c>
      <c r="AM51" s="8">
        <f t="shared" ca="1" si="41"/>
        <v>307.84779224769721</v>
      </c>
      <c r="AN51" s="8">
        <f t="shared" ca="1" si="41"/>
        <v>319.44554246251136</v>
      </c>
      <c r="AO51" s="8">
        <f t="shared" ca="1" si="41"/>
        <v>331.52701691669677</v>
      </c>
      <c r="AP51" s="8">
        <f t="shared" ca="1" si="41"/>
        <v>344.19327747310035</v>
      </c>
      <c r="AQ51" s="8">
        <f t="shared" ca="1" si="41"/>
        <v>357.43872133522632</v>
      </c>
      <c r="AR51" s="8">
        <f t="shared" ca="1" si="41"/>
        <v>371.33952520032858</v>
      </c>
      <c r="AS51" s="8">
        <f t="shared" ca="1" si="41"/>
        <v>385.91063125631308</v>
      </c>
      <c r="AT51" s="8">
        <f t="shared" ca="1" si="41"/>
        <v>400.96012005155364</v>
      </c>
      <c r="AU51" s="8">
        <f t="shared" ca="1" si="41"/>
        <v>416.57894858566931</v>
      </c>
      <c r="AV51" s="8">
        <f t="shared" ca="1" si="41"/>
        <v>432.75073353868663</v>
      </c>
      <c r="AW51" s="8">
        <f t="shared" ca="1" si="41"/>
        <v>449.55180568051321</v>
      </c>
    </row>
    <row r="52" spans="1:49" ht="15" x14ac:dyDescent="0.25">
      <c r="A52" s="1" t="s">
        <v>933</v>
      </c>
      <c r="D52" s="47">
        <f t="shared" ref="D52:AW52" si="42">SUM(D$178,D$192,D$199,D$205,D$221,D$229,D$231)</f>
        <v>68.58</v>
      </c>
      <c r="E52" s="44">
        <f t="shared" ca="1" si="42"/>
        <v>70.734999999999999</v>
      </c>
      <c r="F52" s="44">
        <f t="shared" ca="1" si="42"/>
        <v>73.706000000000003</v>
      </c>
      <c r="G52" s="44">
        <f t="shared" ca="1" si="42"/>
        <v>75.937999999999988</v>
      </c>
      <c r="H52" s="44">
        <f t="shared" ca="1" si="42"/>
        <v>78.308999999999997</v>
      </c>
      <c r="I52" s="44">
        <f t="shared" ca="1" si="42"/>
        <v>81.075000000000003</v>
      </c>
      <c r="J52" s="8">
        <f t="shared" ca="1" si="42"/>
        <v>84.297393502963359</v>
      </c>
      <c r="K52" s="8">
        <f t="shared" ca="1" si="42"/>
        <v>88.26666151789523</v>
      </c>
      <c r="L52" s="8">
        <f t="shared" ca="1" si="42"/>
        <v>92.365653146761744</v>
      </c>
      <c r="M52" s="8">
        <f t="shared" ca="1" si="42"/>
        <v>96.646779139161666</v>
      </c>
      <c r="N52" s="8">
        <f t="shared" ca="1" si="42"/>
        <v>101.1526302848707</v>
      </c>
      <c r="O52" s="8">
        <f t="shared" ca="1" si="42"/>
        <v>105.80194238005433</v>
      </c>
      <c r="P52" s="8">
        <f t="shared" ca="1" si="42"/>
        <v>111.59395174027421</v>
      </c>
      <c r="Q52" s="8">
        <f t="shared" ca="1" si="42"/>
        <v>117.6109834382772</v>
      </c>
      <c r="R52" s="8">
        <f t="shared" ca="1" si="42"/>
        <v>123.83638417387363</v>
      </c>
      <c r="S52" s="8">
        <f t="shared" ca="1" si="42"/>
        <v>130.25252257621071</v>
      </c>
      <c r="T52" s="8">
        <f t="shared" ca="1" si="42"/>
        <v>136.90501326770706</v>
      </c>
      <c r="U52" s="8">
        <f t="shared" ca="1" si="42"/>
        <v>143.82491460622919</v>
      </c>
      <c r="V52" s="8">
        <f t="shared" ca="1" si="42"/>
        <v>151.03355760480798</v>
      </c>
      <c r="W52" s="8">
        <f t="shared" ca="1" si="42"/>
        <v>158.3564302917049</v>
      </c>
      <c r="X52" s="8">
        <f t="shared" ca="1" si="42"/>
        <v>165.87330396604</v>
      </c>
      <c r="Y52" s="8">
        <f t="shared" ca="1" si="42"/>
        <v>173.72610012497324</v>
      </c>
      <c r="Z52" s="8">
        <f t="shared" ca="1" si="42"/>
        <v>181.85218218400087</v>
      </c>
      <c r="AA52" s="8">
        <f t="shared" ca="1" si="42"/>
        <v>188.67127048256188</v>
      </c>
      <c r="AB52" s="8">
        <f t="shared" ca="1" si="42"/>
        <v>195.67614146551892</v>
      </c>
      <c r="AC52" s="8">
        <f t="shared" ca="1" si="42"/>
        <v>202.86819463631366</v>
      </c>
      <c r="AD52" s="8">
        <f t="shared" ca="1" si="42"/>
        <v>210.23690421577959</v>
      </c>
      <c r="AE52" s="8">
        <f t="shared" ca="1" si="42"/>
        <v>217.87828278200368</v>
      </c>
      <c r="AF52" s="8">
        <f t="shared" ca="1" si="42"/>
        <v>225.75909591277173</v>
      </c>
      <c r="AG52" s="8">
        <f t="shared" ca="1" si="42"/>
        <v>233.98532768213215</v>
      </c>
      <c r="AH52" s="8">
        <f t="shared" ca="1" si="42"/>
        <v>242.53739693583447</v>
      </c>
      <c r="AI52" s="8">
        <f t="shared" ca="1" si="42"/>
        <v>251.4255958341393</v>
      </c>
      <c r="AJ52" s="8">
        <f t="shared" ca="1" si="42"/>
        <v>260.67134539530826</v>
      </c>
      <c r="AK52" s="8">
        <f t="shared" ca="1" si="42"/>
        <v>270.3265470799567</v>
      </c>
      <c r="AL52" s="8">
        <f t="shared" ca="1" si="42"/>
        <v>280.350520291831</v>
      </c>
      <c r="AM52" s="8">
        <f t="shared" ca="1" si="42"/>
        <v>290.7728227847914</v>
      </c>
      <c r="AN52" s="8">
        <f t="shared" ca="1" si="42"/>
        <v>301.65754701997088</v>
      </c>
      <c r="AO52" s="8">
        <f t="shared" ca="1" si="42"/>
        <v>313.02506087061181</v>
      </c>
      <c r="AP52" s="8">
        <f t="shared" ca="1" si="42"/>
        <v>324.97459967556574</v>
      </c>
      <c r="AQ52" s="8">
        <f t="shared" ca="1" si="42"/>
        <v>337.4975060680564</v>
      </c>
      <c r="AR52" s="8">
        <f t="shared" ca="1" si="42"/>
        <v>350.66697006245192</v>
      </c>
      <c r="AS52" s="8">
        <f t="shared" ca="1" si="42"/>
        <v>364.4930327805202</v>
      </c>
      <c r="AT52" s="8">
        <f t="shared" ca="1" si="42"/>
        <v>378.77961458848915</v>
      </c>
      <c r="AU52" s="8">
        <f t="shared" ca="1" si="42"/>
        <v>393.61517496723792</v>
      </c>
      <c r="AV52" s="8">
        <f t="shared" ca="1" si="42"/>
        <v>408.97919062196712</v>
      </c>
      <c r="AW52" s="8">
        <f t="shared" ca="1" si="42"/>
        <v>424.9430800265892</v>
      </c>
    </row>
    <row r="53" spans="1:49" ht="15" x14ac:dyDescent="0.25">
      <c r="A53" s="1" t="s">
        <v>284</v>
      </c>
      <c r="D53" s="47">
        <f t="shared" ref="D53" si="43">D$50-D$51+D$321+D$328</f>
        <v>3.8789999999999947</v>
      </c>
      <c r="E53" s="44">
        <f t="shared" ref="E53:AW53" ca="1" si="44">E$50-E$51+E$321+E$328</f>
        <v>-0.43700000000001149</v>
      </c>
      <c r="F53" s="44">
        <f t="shared" ca="1" si="44"/>
        <v>3.2169999999999916</v>
      </c>
      <c r="G53" s="44">
        <f t="shared" ca="1" si="44"/>
        <v>4.5480000000000054</v>
      </c>
      <c r="H53" s="44">
        <f t="shared" ca="1" si="44"/>
        <v>7.308000000000014</v>
      </c>
      <c r="I53" s="44">
        <f t="shared" ca="1" si="44"/>
        <v>9.1100000000000048</v>
      </c>
      <c r="J53" s="8">
        <f t="shared" ca="1" si="44"/>
        <v>9.1299705569701999</v>
      </c>
      <c r="K53" s="8">
        <f t="shared" ca="1" si="44"/>
        <v>9.8071808568417111</v>
      </c>
      <c r="L53" s="8">
        <f t="shared" ca="1" si="44"/>
        <v>10.509807153605788</v>
      </c>
      <c r="M53" s="8">
        <f t="shared" ca="1" si="44"/>
        <v>11.109664604356134</v>
      </c>
      <c r="N53" s="8">
        <f t="shared" ca="1" si="44"/>
        <v>11.657943753916269</v>
      </c>
      <c r="O53" s="8">
        <f t="shared" ca="1" si="44"/>
        <v>12.096835350496898</v>
      </c>
      <c r="P53" s="8">
        <f t="shared" ca="1" si="44"/>
        <v>11.734606917739985</v>
      </c>
      <c r="Q53" s="8">
        <f t="shared" ca="1" si="44"/>
        <v>11.345442541493679</v>
      </c>
      <c r="R53" s="8">
        <f t="shared" ca="1" si="44"/>
        <v>10.769343435798007</v>
      </c>
      <c r="S53" s="8">
        <f t="shared" ca="1" si="44"/>
        <v>10.127558730261098</v>
      </c>
      <c r="T53" s="8">
        <f t="shared" ca="1" si="44"/>
        <v>9.3708174227048477</v>
      </c>
      <c r="U53" s="8">
        <f t="shared" ca="1" si="44"/>
        <v>8.4749465772661559</v>
      </c>
      <c r="V53" s="8">
        <f t="shared" ca="1" si="44"/>
        <v>7.4314605580268971</v>
      </c>
      <c r="W53" s="8">
        <f t="shared" ca="1" si="44"/>
        <v>6.4254367099978014</v>
      </c>
      <c r="X53" s="8">
        <f t="shared" ca="1" si="44"/>
        <v>5.398782287909996</v>
      </c>
      <c r="Y53" s="8">
        <f t="shared" ca="1" si="44"/>
        <v>4.1999933642154659</v>
      </c>
      <c r="Z53" s="8">
        <f t="shared" ca="1" si="44"/>
        <v>2.9217274722354643</v>
      </c>
      <c r="AA53" s="8">
        <f t="shared" ca="1" si="44"/>
        <v>3.1886851034633286</v>
      </c>
      <c r="AB53" s="8">
        <f t="shared" ca="1" si="44"/>
        <v>3.5823454615126229</v>
      </c>
      <c r="AC53" s="8">
        <f t="shared" ca="1" si="44"/>
        <v>4.1303564090903242</v>
      </c>
      <c r="AD53" s="8">
        <f t="shared" ca="1" si="44"/>
        <v>4.8702560985442718</v>
      </c>
      <c r="AE53" s="8">
        <f t="shared" ca="1" si="44"/>
        <v>5.7034211477728958</v>
      </c>
      <c r="AF53" s="8">
        <f t="shared" ca="1" si="44"/>
        <v>6.6927304745651393</v>
      </c>
      <c r="AG53" s="8">
        <f t="shared" ca="1" si="44"/>
        <v>7.751375693476624</v>
      </c>
      <c r="AH53" s="8">
        <f t="shared" ca="1" si="44"/>
        <v>8.909152896730701</v>
      </c>
      <c r="AI53" s="8">
        <f t="shared" ca="1" si="44"/>
        <v>10.150323131973394</v>
      </c>
      <c r="AJ53" s="8">
        <f t="shared" ca="1" si="44"/>
        <v>11.488104672764452</v>
      </c>
      <c r="AK53" s="8">
        <f t="shared" ca="1" si="44"/>
        <v>12.864198549425065</v>
      </c>
      <c r="AL53" s="8">
        <f t="shared" ca="1" si="44"/>
        <v>14.322146615819715</v>
      </c>
      <c r="AM53" s="8">
        <f t="shared" ca="1" si="44"/>
        <v>15.837761867171977</v>
      </c>
      <c r="AN53" s="8">
        <f t="shared" ca="1" si="44"/>
        <v>17.377627851083247</v>
      </c>
      <c r="AO53" s="8">
        <f t="shared" ca="1" si="44"/>
        <v>18.865476768132844</v>
      </c>
      <c r="AP53" s="8">
        <f t="shared" ca="1" si="44"/>
        <v>20.253981638357999</v>
      </c>
      <c r="AQ53" s="8">
        <f t="shared" ca="1" si="44"/>
        <v>21.501959394299671</v>
      </c>
      <c r="AR53" s="8">
        <f t="shared" ca="1" si="44"/>
        <v>22.545444023356087</v>
      </c>
      <c r="AS53" s="8">
        <f t="shared" ca="1" si="44"/>
        <v>23.385414150517242</v>
      </c>
      <c r="AT53" s="8">
        <f t="shared" ca="1" si="44"/>
        <v>24.227237551646088</v>
      </c>
      <c r="AU53" s="8">
        <f t="shared" ca="1" si="44"/>
        <v>24.992935731398116</v>
      </c>
      <c r="AV53" s="8">
        <f t="shared" ca="1" si="44"/>
        <v>25.745739353219491</v>
      </c>
      <c r="AW53" s="8">
        <f t="shared" ca="1" si="44"/>
        <v>26.406949984106358</v>
      </c>
    </row>
    <row r="54" spans="1:49" ht="15" x14ac:dyDescent="0.25">
      <c r="A54" s="1" t="s">
        <v>704</v>
      </c>
      <c r="B54" s="4"/>
      <c r="D54" s="47">
        <f t="shared" ref="D54" si="45">D$50-D$155-(D$51-D$212)</f>
        <v>1.1809999999999974</v>
      </c>
      <c r="E54" s="44">
        <f t="shared" ref="E54:AW54" ca="1" si="46">E$50-E$155-(E$51-E$212)</f>
        <v>2.1899999999999977</v>
      </c>
      <c r="F54" s="44">
        <f t="shared" ca="1" si="46"/>
        <v>1.583999999999989</v>
      </c>
      <c r="G54" s="44">
        <f t="shared" ca="1" si="46"/>
        <v>3.1710000000000065</v>
      </c>
      <c r="H54" s="44">
        <f t="shared" ca="1" si="46"/>
        <v>5.4690000000000083</v>
      </c>
      <c r="I54" s="44">
        <f t="shared" ca="1" si="46"/>
        <v>6.8529999999999944</v>
      </c>
      <c r="J54" s="8">
        <f t="shared" ca="1" si="46"/>
        <v>7.9213392785853927</v>
      </c>
      <c r="K54" s="8">
        <f t="shared" ca="1" si="46"/>
        <v>8.196687509022567</v>
      </c>
      <c r="L54" s="8">
        <f t="shared" ca="1" si="46"/>
        <v>8.4343067553070625</v>
      </c>
      <c r="M54" s="8">
        <f t="shared" ca="1" si="46"/>
        <v>8.5083895628474977</v>
      </c>
      <c r="N54" s="8">
        <f t="shared" ca="1" si="46"/>
        <v>8.5376154858492441</v>
      </c>
      <c r="O54" s="8">
        <f t="shared" ca="1" si="46"/>
        <v>8.5790401586139922</v>
      </c>
      <c r="P54" s="8">
        <f t="shared" ca="1" si="46"/>
        <v>7.8244778736650318</v>
      </c>
      <c r="Q54" s="8">
        <f t="shared" ca="1" si="46"/>
        <v>6.8979623221991631</v>
      </c>
      <c r="R54" s="8">
        <f t="shared" ca="1" si="46"/>
        <v>5.8168129894937834</v>
      </c>
      <c r="S54" s="8">
        <f t="shared" ca="1" si="46"/>
        <v>4.7070885005936702</v>
      </c>
      <c r="T54" s="8">
        <f t="shared" ca="1" si="46"/>
        <v>3.5251093025766522</v>
      </c>
      <c r="U54" s="8">
        <f t="shared" ca="1" si="46"/>
        <v>2.2594505591254119</v>
      </c>
      <c r="V54" s="8">
        <f t="shared" ca="1" si="46"/>
        <v>0.90273878735067115</v>
      </c>
      <c r="W54" s="8">
        <f t="shared" ca="1" si="46"/>
        <v>-0.35355952016922743</v>
      </c>
      <c r="X54" s="8">
        <f t="shared" ca="1" si="46"/>
        <v>-1.5700000470702946</v>
      </c>
      <c r="Y54" s="8">
        <f t="shared" ca="1" si="46"/>
        <v>-2.8891484033924542</v>
      </c>
      <c r="Z54" s="8">
        <f t="shared" ca="1" si="46"/>
        <v>-4.2152970159308722</v>
      </c>
      <c r="AA54" s="8">
        <f t="shared" ca="1" si="46"/>
        <v>-3.9571639083587513</v>
      </c>
      <c r="AB54" s="8">
        <f t="shared" ca="1" si="46"/>
        <v>-3.5862719760657455</v>
      </c>
      <c r="AC54" s="8">
        <f t="shared" ca="1" si="46"/>
        <v>-3.0761762165796824</v>
      </c>
      <c r="AD54" s="8">
        <f t="shared" ca="1" si="46"/>
        <v>-2.4082326907502818</v>
      </c>
      <c r="AE54" s="8">
        <f t="shared" ca="1" si="46"/>
        <v>-1.6858345713652056</v>
      </c>
      <c r="AF54" s="8">
        <f t="shared" ca="1" si="46"/>
        <v>-0.85260821498567907</v>
      </c>
      <c r="AG54" s="8">
        <f t="shared" ca="1" si="46"/>
        <v>-9.6651691599447531E-3</v>
      </c>
      <c r="AH54" s="8">
        <f t="shared" ca="1" si="46"/>
        <v>0.87711877145494554</v>
      </c>
      <c r="AI54" s="8">
        <f t="shared" ca="1" si="46"/>
        <v>1.7809586454906139</v>
      </c>
      <c r="AJ54" s="8">
        <f t="shared" ca="1" si="46"/>
        <v>2.7118022135950355</v>
      </c>
      <c r="AK54" s="8">
        <f t="shared" ca="1" si="46"/>
        <v>3.6093764361692706</v>
      </c>
      <c r="AL54" s="8">
        <f t="shared" ca="1" si="46"/>
        <v>4.5060491967528264</v>
      </c>
      <c r="AM54" s="8">
        <f t="shared" ca="1" si="46"/>
        <v>5.3871817659734234</v>
      </c>
      <c r="AN54" s="8">
        <f t="shared" ca="1" si="46"/>
        <v>6.2044046514064348</v>
      </c>
      <c r="AO54" s="8">
        <f t="shared" ca="1" si="46"/>
        <v>6.8914004801873148</v>
      </c>
      <c r="AP54" s="8">
        <f t="shared" ca="1" si="46"/>
        <v>7.4001233299726437</v>
      </c>
      <c r="AQ54" s="8">
        <f t="shared" ca="1" si="46"/>
        <v>7.7043225576970258</v>
      </c>
      <c r="AR54" s="8">
        <f t="shared" ca="1" si="46"/>
        <v>7.7453307272832035</v>
      </c>
      <c r="AS54" s="8">
        <f t="shared" ca="1" si="46"/>
        <v>7.5439263674806512</v>
      </c>
      <c r="AT54" s="8">
        <f t="shared" ca="1" si="46"/>
        <v>7.3070706806332737</v>
      </c>
      <c r="AU54" s="8">
        <f t="shared" ca="1" si="46"/>
        <v>6.9649871850774048</v>
      </c>
      <c r="AV54" s="8">
        <f t="shared" ca="1" si="46"/>
        <v>6.5830115287373019</v>
      </c>
      <c r="AW54" s="8">
        <f t="shared" ca="1" si="46"/>
        <v>6.081267034460609</v>
      </c>
    </row>
    <row r="55" spans="1:49" ht="15" x14ac:dyDescent="0.25">
      <c r="A55" s="1" t="s">
        <v>705</v>
      </c>
      <c r="B55" s="4"/>
      <c r="D55" s="47">
        <f t="shared" ref="D55" si="47">D$487</f>
        <v>-1.8270000000000008</v>
      </c>
      <c r="E55" s="44">
        <f t="shared" ref="E55:AW55" ca="1" si="48">E$487</f>
        <v>-2.1150000000000047</v>
      </c>
      <c r="F55" s="44">
        <f t="shared" ca="1" si="48"/>
        <v>-4.1619999999999981</v>
      </c>
      <c r="G55" s="44">
        <f t="shared" ca="1" si="48"/>
        <v>-2.0720000000000045</v>
      </c>
      <c r="H55" s="44">
        <f t="shared" ca="1" si="48"/>
        <v>1.9590000000000103</v>
      </c>
      <c r="I55" s="44">
        <f t="shared" ca="1" si="48"/>
        <v>3.9000000000000021</v>
      </c>
      <c r="J55" s="8">
        <f t="shared" ca="1" si="48"/>
        <v>0.32243928272706768</v>
      </c>
      <c r="K55" s="8">
        <f t="shared" ca="1" si="48"/>
        <v>0.56720611472743876</v>
      </c>
      <c r="L55" s="8">
        <f t="shared" ca="1" si="48"/>
        <v>0.89690780204246678</v>
      </c>
      <c r="M55" s="8">
        <f t="shared" ca="1" si="48"/>
        <v>1.1380107388642777</v>
      </c>
      <c r="N55" s="8">
        <f t="shared" ca="1" si="48"/>
        <v>1.3481654216188126</v>
      </c>
      <c r="O55" s="8">
        <f t="shared" ca="1" si="48"/>
        <v>1.5458793528691288</v>
      </c>
      <c r="P55" s="8">
        <f t="shared" ca="1" si="48"/>
        <v>0.97822099491204284</v>
      </c>
      <c r="Q55" s="8">
        <f t="shared" ca="1" si="48"/>
        <v>0.38458779727726089</v>
      </c>
      <c r="R55" s="8">
        <f t="shared" ca="1" si="48"/>
        <v>-0.41472677512943612</v>
      </c>
      <c r="S55" s="8">
        <f t="shared" ca="1" si="48"/>
        <v>-1.3212206364341963</v>
      </c>
      <c r="T55" s="8">
        <f t="shared" ca="1" si="48"/>
        <v>-2.3602550222989382</v>
      </c>
      <c r="U55" s="8">
        <f t="shared" ca="1" si="48"/>
        <v>-3.5386475679890772</v>
      </c>
      <c r="V55" s="8">
        <f t="shared" ca="1" si="48"/>
        <v>-4.8581440269511038</v>
      </c>
      <c r="W55" s="8">
        <f t="shared" ca="1" si="48"/>
        <v>-6.1327770545278284</v>
      </c>
      <c r="X55" s="8">
        <f t="shared" ca="1" si="48"/>
        <v>-7.4374040967471018</v>
      </c>
      <c r="Y55" s="8">
        <f t="shared" ca="1" si="48"/>
        <v>-8.8805429265273919</v>
      </c>
      <c r="Z55" s="8">
        <f t="shared" ca="1" si="48"/>
        <v>-10.461299995444566</v>
      </c>
      <c r="AA55" s="8">
        <f t="shared" ca="1" si="48"/>
        <v>-10.597159727179335</v>
      </c>
      <c r="AB55" s="8">
        <f t="shared" ca="1" si="48"/>
        <v>-10.708679342636184</v>
      </c>
      <c r="AC55" s="8">
        <f t="shared" ca="1" si="48"/>
        <v>-10.787298847213997</v>
      </c>
      <c r="AD55" s="8">
        <f t="shared" ca="1" si="48"/>
        <v>-10.81810024189015</v>
      </c>
      <c r="AE55" s="8">
        <f t="shared" ca="1" si="48"/>
        <v>-10.837647779752944</v>
      </c>
      <c r="AF55" s="8">
        <f t="shared" ca="1" si="48"/>
        <v>-10.821510642843165</v>
      </c>
      <c r="AG55" s="8">
        <f t="shared" ca="1" si="48"/>
        <v>-10.763119774799163</v>
      </c>
      <c r="AH55" s="8">
        <f t="shared" ca="1" si="48"/>
        <v>-10.669264389103313</v>
      </c>
      <c r="AI55" s="8">
        <f t="shared" ca="1" si="48"/>
        <v>-10.547904553733247</v>
      </c>
      <c r="AJ55" s="8">
        <f t="shared" ca="1" si="48"/>
        <v>-10.422254413640054</v>
      </c>
      <c r="AK55" s="8">
        <f t="shared" ca="1" si="48"/>
        <v>-10.288524126801347</v>
      </c>
      <c r="AL55" s="8">
        <f t="shared" ca="1" si="48"/>
        <v>-10.139932726128533</v>
      </c>
      <c r="AM55" s="8">
        <f t="shared" ca="1" si="48"/>
        <v>-9.9959244283513726</v>
      </c>
      <c r="AN55" s="8">
        <f t="shared" ca="1" si="48"/>
        <v>-9.835458323341836</v>
      </c>
      <c r="AO55" s="8">
        <f t="shared" ca="1" si="48"/>
        <v>-9.7494595684678984</v>
      </c>
      <c r="AP55" s="8">
        <f t="shared" ca="1" si="48"/>
        <v>-9.6939103079385873</v>
      </c>
      <c r="AQ55" s="8">
        <f t="shared" ca="1" si="48"/>
        <v>-9.7019113055730912</v>
      </c>
      <c r="AR55" s="8">
        <f t="shared" ca="1" si="48"/>
        <v>-9.7980348476186521</v>
      </c>
      <c r="AS55" s="8">
        <f t="shared" ca="1" si="48"/>
        <v>-9.9938143740055736</v>
      </c>
      <c r="AT55" s="8">
        <f t="shared" ca="1" si="48"/>
        <v>-10.21583239727061</v>
      </c>
      <c r="AU55" s="8">
        <f t="shared" ca="1" si="48"/>
        <v>-10.505575845170465</v>
      </c>
      <c r="AV55" s="8">
        <f t="shared" ca="1" si="48"/>
        <v>-10.869348747603311</v>
      </c>
      <c r="AW55" s="8">
        <f t="shared" ca="1" si="48"/>
        <v>-11.330839180671102</v>
      </c>
    </row>
    <row r="56" spans="1:49" ht="15" x14ac:dyDescent="0.25">
      <c r="A56" s="30" t="s">
        <v>706</v>
      </c>
      <c r="D56" s="6" t="str">
        <f t="shared" ref="D56" si="49">IF(ROUND(D$51-SUM(D$180,D$212,D$229,D$231,D$235,D$239,D$257,D$271,D$275,D$279,D$283,D$292,D$296,D$300,D$304,D$308,D$312),3)=0,"OK","ERROR")</f>
        <v>OK</v>
      </c>
      <c r="E56" s="6" t="str">
        <f t="shared" ref="E56:AW56" ca="1" si="50">IF(ROUND(E$51-SUM(E$180,E$212,E$229,E$231,E$235,E$239,E$257,E$271,E$275,E$279,E$283,E$292,E$296,E$300,E$304,E$308,E$312),3)=0,"OK","ERROR")</f>
        <v>OK</v>
      </c>
      <c r="F56" s="6" t="str">
        <f t="shared" ca="1" si="50"/>
        <v>OK</v>
      </c>
      <c r="G56" s="6" t="str">
        <f t="shared" ca="1" si="50"/>
        <v>OK</v>
      </c>
      <c r="H56" s="6" t="str">
        <f t="shared" ca="1" si="50"/>
        <v>OK</v>
      </c>
      <c r="I56" s="6" t="str">
        <f t="shared" ca="1" si="50"/>
        <v>OK</v>
      </c>
      <c r="J56" s="6" t="str">
        <f t="shared" ca="1" si="50"/>
        <v>OK</v>
      </c>
      <c r="K56" s="6" t="str">
        <f t="shared" ca="1" si="50"/>
        <v>OK</v>
      </c>
      <c r="L56" s="6" t="str">
        <f t="shared" ca="1" si="50"/>
        <v>OK</v>
      </c>
      <c r="M56" s="6" t="str">
        <f t="shared" ca="1" si="50"/>
        <v>OK</v>
      </c>
      <c r="N56" s="6" t="str">
        <f t="shared" ca="1" si="50"/>
        <v>OK</v>
      </c>
      <c r="O56" s="6" t="str">
        <f t="shared" ca="1" si="50"/>
        <v>OK</v>
      </c>
      <c r="P56" s="6" t="str">
        <f t="shared" ca="1" si="50"/>
        <v>OK</v>
      </c>
      <c r="Q56" s="6" t="str">
        <f t="shared" ca="1" si="50"/>
        <v>OK</v>
      </c>
      <c r="R56" s="6" t="str">
        <f t="shared" ca="1" si="50"/>
        <v>OK</v>
      </c>
      <c r="S56" s="6" t="str">
        <f t="shared" ca="1" si="50"/>
        <v>OK</v>
      </c>
      <c r="T56" s="6" t="str">
        <f t="shared" ca="1" si="50"/>
        <v>OK</v>
      </c>
      <c r="U56" s="6" t="str">
        <f t="shared" ca="1" si="50"/>
        <v>OK</v>
      </c>
      <c r="V56" s="6" t="str">
        <f t="shared" ca="1" si="50"/>
        <v>OK</v>
      </c>
      <c r="W56" s="6" t="str">
        <f t="shared" ca="1" si="50"/>
        <v>OK</v>
      </c>
      <c r="X56" s="6" t="str">
        <f t="shared" ca="1" si="50"/>
        <v>OK</v>
      </c>
      <c r="Y56" s="6" t="str">
        <f t="shared" ca="1" si="50"/>
        <v>OK</v>
      </c>
      <c r="Z56" s="6" t="str">
        <f t="shared" ca="1" si="50"/>
        <v>OK</v>
      </c>
      <c r="AA56" s="6" t="str">
        <f t="shared" ca="1" si="50"/>
        <v>OK</v>
      </c>
      <c r="AB56" s="6" t="str">
        <f t="shared" ca="1" si="50"/>
        <v>OK</v>
      </c>
      <c r="AC56" s="6" t="str">
        <f t="shared" ca="1" si="50"/>
        <v>OK</v>
      </c>
      <c r="AD56" s="6" t="str">
        <f t="shared" ca="1" si="50"/>
        <v>OK</v>
      </c>
      <c r="AE56" s="6" t="str">
        <f t="shared" ca="1" si="50"/>
        <v>OK</v>
      </c>
      <c r="AF56" s="6" t="str">
        <f t="shared" ca="1" si="50"/>
        <v>OK</v>
      </c>
      <c r="AG56" s="6" t="str">
        <f t="shared" ca="1" si="50"/>
        <v>OK</v>
      </c>
      <c r="AH56" s="6" t="str">
        <f t="shared" ca="1" si="50"/>
        <v>OK</v>
      </c>
      <c r="AI56" s="6" t="str">
        <f t="shared" ca="1" si="50"/>
        <v>OK</v>
      </c>
      <c r="AJ56" s="6" t="str">
        <f t="shared" ca="1" si="50"/>
        <v>OK</v>
      </c>
      <c r="AK56" s="6" t="str">
        <f t="shared" ca="1" si="50"/>
        <v>OK</v>
      </c>
      <c r="AL56" s="6" t="str">
        <f t="shared" ca="1" si="50"/>
        <v>OK</v>
      </c>
      <c r="AM56" s="6" t="str">
        <f t="shared" ca="1" si="50"/>
        <v>OK</v>
      </c>
      <c r="AN56" s="6" t="str">
        <f t="shared" ca="1" si="50"/>
        <v>OK</v>
      </c>
      <c r="AO56" s="6" t="str">
        <f t="shared" ca="1" si="50"/>
        <v>OK</v>
      </c>
      <c r="AP56" s="6" t="str">
        <f t="shared" ca="1" si="50"/>
        <v>OK</v>
      </c>
      <c r="AQ56" s="6" t="str">
        <f t="shared" ca="1" si="50"/>
        <v>OK</v>
      </c>
      <c r="AR56" s="6" t="str">
        <f t="shared" ca="1" si="50"/>
        <v>OK</v>
      </c>
      <c r="AS56" s="6" t="str">
        <f t="shared" ca="1" si="50"/>
        <v>OK</v>
      </c>
      <c r="AT56" s="6" t="str">
        <f t="shared" ca="1" si="50"/>
        <v>OK</v>
      </c>
      <c r="AU56" s="6" t="str">
        <f t="shared" ca="1" si="50"/>
        <v>OK</v>
      </c>
      <c r="AV56" s="6" t="str">
        <f t="shared" ca="1" si="50"/>
        <v>OK</v>
      </c>
      <c r="AW56" s="6" t="str">
        <f t="shared" ca="1" si="50"/>
        <v>OK</v>
      </c>
    </row>
    <row r="57" spans="1:49" ht="15" x14ac:dyDescent="0.25">
      <c r="A57" s="30"/>
      <c r="D57" s="6"/>
      <c r="E57" s="6"/>
      <c r="F57" s="6"/>
      <c r="G57" s="6"/>
      <c r="H57" s="6"/>
      <c r="I57" s="6"/>
      <c r="J57" s="6"/>
      <c r="K57" s="6"/>
      <c r="L57" s="6"/>
      <c r="M57" s="6"/>
      <c r="N57" s="6"/>
      <c r="O57" s="6"/>
      <c r="P57" s="6"/>
      <c r="Q57" s="6"/>
      <c r="R57" s="6"/>
      <c r="S57" s="6"/>
    </row>
    <row r="58" spans="1:49" x14ac:dyDescent="0.2">
      <c r="A58" s="22" t="s">
        <v>231</v>
      </c>
    </row>
    <row r="59" spans="1:49" x14ac:dyDescent="0.2">
      <c r="A59" s="1" t="s">
        <v>707</v>
      </c>
      <c r="D59" s="18">
        <f t="shared" ref="D59:AW59" ca="1" si="51">SUM(D$335,D$342,D$351,D$360,D$383,D$396,D$400,D$408,D$421,D$427,D$439,D$440)</f>
        <v>278.70300000000003</v>
      </c>
      <c r="E59" s="19">
        <f t="shared" ca="1" si="51"/>
        <v>280.39300000000003</v>
      </c>
      <c r="F59" s="19">
        <f t="shared" ca="1" si="51"/>
        <v>291.58800000000002</v>
      </c>
      <c r="G59" s="19">
        <f t="shared" ca="1" si="51"/>
        <v>293.34699999999998</v>
      </c>
      <c r="H59" s="19">
        <f t="shared" ca="1" si="51"/>
        <v>298.72099999999995</v>
      </c>
      <c r="I59" s="19">
        <f t="shared" ca="1" si="51"/>
        <v>310.71800000000002</v>
      </c>
      <c r="J59" s="7">
        <f t="shared" ca="1" si="51"/>
        <v>322.91891227448292</v>
      </c>
      <c r="K59" s="7">
        <f t="shared" ca="1" si="51"/>
        <v>336.40041758731502</v>
      </c>
      <c r="L59" s="7">
        <f t="shared" ca="1" si="51"/>
        <v>350.56577218724084</v>
      </c>
      <c r="M59" s="7">
        <f t="shared" ca="1" si="51"/>
        <v>365.35796028133683</v>
      </c>
      <c r="N59" s="7">
        <f t="shared" ca="1" si="51"/>
        <v>380.79443474045246</v>
      </c>
      <c r="O59" s="7">
        <f t="shared" ca="1" si="51"/>
        <v>396.79769209193415</v>
      </c>
      <c r="P59" s="7">
        <f t="shared" ca="1" si="51"/>
        <v>413.30102855573978</v>
      </c>
      <c r="Q59" s="7">
        <f t="shared" ca="1" si="51"/>
        <v>430.29215761420994</v>
      </c>
      <c r="R59" s="7">
        <f t="shared" ca="1" si="51"/>
        <v>447.78863965430423</v>
      </c>
      <c r="S59" s="7">
        <f t="shared" ca="1" si="51"/>
        <v>465.84763922443318</v>
      </c>
      <c r="T59" s="7">
        <f t="shared" ca="1" si="51"/>
        <v>484.50090590318388</v>
      </c>
      <c r="U59" s="7">
        <f t="shared" ca="1" si="51"/>
        <v>503.76281882037244</v>
      </c>
      <c r="V59" s="7">
        <f t="shared" ca="1" si="51"/>
        <v>523.63836623520228</v>
      </c>
      <c r="W59" s="7">
        <f t="shared" ca="1" si="51"/>
        <v>544.14034985032299</v>
      </c>
      <c r="X59" s="7">
        <f t="shared" ca="1" si="51"/>
        <v>565.30016672748479</v>
      </c>
      <c r="Y59" s="7">
        <f t="shared" ca="1" si="51"/>
        <v>587.08582506335324</v>
      </c>
      <c r="Z59" s="7">
        <f t="shared" ca="1" si="51"/>
        <v>609.60204732127488</v>
      </c>
      <c r="AA59" s="7">
        <f t="shared" ca="1" si="51"/>
        <v>632.96958885025958</v>
      </c>
      <c r="AB59" s="7">
        <f t="shared" ca="1" si="51"/>
        <v>657.31951850141445</v>
      </c>
      <c r="AC59" s="7">
        <f t="shared" ca="1" si="51"/>
        <v>682.80901300419953</v>
      </c>
      <c r="AD59" s="7">
        <f t="shared" ca="1" si="51"/>
        <v>709.63499251105122</v>
      </c>
      <c r="AE59" s="7">
        <f t="shared" ca="1" si="51"/>
        <v>737.89418533425339</v>
      </c>
      <c r="AF59" s="7">
        <f t="shared" ca="1" si="51"/>
        <v>767.7359573117908</v>
      </c>
      <c r="AG59" s="7">
        <f t="shared" ca="1" si="51"/>
        <v>799.2243200026569</v>
      </c>
      <c r="AH59" s="7">
        <f t="shared" ca="1" si="51"/>
        <v>832.44884585328271</v>
      </c>
      <c r="AI59" s="7">
        <f t="shared" ca="1" si="51"/>
        <v>867.4720938483099</v>
      </c>
      <c r="AJ59" s="7">
        <f t="shared" ca="1" si="51"/>
        <v>904.43967974888392</v>
      </c>
      <c r="AK59" s="7">
        <f t="shared" ca="1" si="51"/>
        <v>943.4038500522546</v>
      </c>
      <c r="AL59" s="7">
        <f t="shared" ca="1" si="51"/>
        <v>984.45325935458868</v>
      </c>
      <c r="AM59" s="7">
        <f t="shared" ca="1" si="51"/>
        <v>1027.6820980284447</v>
      </c>
      <c r="AN59" s="7">
        <f t="shared" ca="1" si="51"/>
        <v>1073.1318519127356</v>
      </c>
      <c r="AO59" s="7">
        <f t="shared" ca="1" si="51"/>
        <v>1120.8244914523414</v>
      </c>
      <c r="AP59" s="7">
        <f t="shared" ca="1" si="51"/>
        <v>1170.7313153651726</v>
      </c>
      <c r="AQ59" s="7">
        <f t="shared" ca="1" si="51"/>
        <v>1222.7787060609019</v>
      </c>
      <c r="AR59" s="7">
        <f t="shared" ca="1" si="51"/>
        <v>1276.8788810812759</v>
      </c>
      <c r="AS59" s="7">
        <f t="shared" ca="1" si="51"/>
        <v>1332.9731209027116</v>
      </c>
      <c r="AT59" s="7">
        <f t="shared" ca="1" si="51"/>
        <v>1390.9249630198567</v>
      </c>
      <c r="AU59" s="7">
        <f t="shared" ca="1" si="51"/>
        <v>1450.864051816322</v>
      </c>
      <c r="AV59" s="7">
        <f t="shared" ca="1" si="51"/>
        <v>1512.9003276545743</v>
      </c>
      <c r="AW59" s="7">
        <f t="shared" ca="1" si="51"/>
        <v>1577.0567934814317</v>
      </c>
    </row>
    <row r="60" spans="1:49" x14ac:dyDescent="0.2">
      <c r="A60" s="1" t="s">
        <v>711</v>
      </c>
      <c r="D60" s="18">
        <f t="shared" ref="D60:I60" si="52">SUM(D$74,D$443,D$450,D$454,D$460,D$465,D$469)</f>
        <v>186.46700000000001</v>
      </c>
      <c r="E60" s="19">
        <f t="shared" si="52"/>
        <v>191.09100000000001</v>
      </c>
      <c r="F60" s="19">
        <f t="shared" si="52"/>
        <v>199.16300000000004</v>
      </c>
      <c r="G60" s="19">
        <f t="shared" si="52"/>
        <v>195.869</v>
      </c>
      <c r="H60" s="19">
        <f t="shared" si="52"/>
        <v>193.56</v>
      </c>
      <c r="I60" s="19">
        <f t="shared" si="52"/>
        <v>195.84699999999998</v>
      </c>
      <c r="J60" s="7">
        <f t="shared" ref="J60:AW60" ca="1" si="53">SUM(J$74,J$443,J$450,J$454,J$460,J$465,J$469)</f>
        <v>198.370840992929</v>
      </c>
      <c r="K60" s="7">
        <f t="shared" ca="1" si="53"/>
        <v>201.37004194714038</v>
      </c>
      <c r="L60" s="7">
        <f t="shared" ca="1" si="53"/>
        <v>204.22177318201349</v>
      </c>
      <c r="M60" s="7">
        <f t="shared" ca="1" si="53"/>
        <v>206.98908967639039</v>
      </c>
      <c r="N60" s="7">
        <f t="shared" ca="1" si="53"/>
        <v>209.70473185249503</v>
      </c>
      <c r="O60" s="7">
        <f t="shared" ca="1" si="53"/>
        <v>212.41674245731588</v>
      </c>
      <c r="P60" s="7">
        <f t="shared" ca="1" si="53"/>
        <v>215.83484305010222</v>
      </c>
      <c r="Q60" s="7">
        <f t="shared" ca="1" si="53"/>
        <v>219.98192707011535</v>
      </c>
      <c r="R60" s="7">
        <f t="shared" ca="1" si="53"/>
        <v>225.04736961354405</v>
      </c>
      <c r="S60" s="7">
        <f t="shared" ca="1" si="53"/>
        <v>231.15670859010461</v>
      </c>
      <c r="T60" s="7">
        <f t="shared" ca="1" si="53"/>
        <v>238.43583386555625</v>
      </c>
      <c r="U60" s="7">
        <f t="shared" ca="1" si="53"/>
        <v>247.03041867765555</v>
      </c>
      <c r="V60" s="7">
        <f t="shared" ca="1" si="53"/>
        <v>257.07820285559711</v>
      </c>
      <c r="W60" s="7">
        <f t="shared" ca="1" si="53"/>
        <v>268.53860514689194</v>
      </c>
      <c r="X60" s="7">
        <f t="shared" ca="1" si="53"/>
        <v>281.4480985378371</v>
      </c>
      <c r="Y60" s="7">
        <f t="shared" ca="1" si="53"/>
        <v>295.94903523632075</v>
      </c>
      <c r="Z60" s="7">
        <f t="shared" ca="1" si="53"/>
        <v>312.17398589106818</v>
      </c>
      <c r="AA60" s="7">
        <f t="shared" ca="1" si="53"/>
        <v>328.67866679590321</v>
      </c>
      <c r="AB60" s="7">
        <f t="shared" ca="1" si="53"/>
        <v>345.45094801159144</v>
      </c>
      <c r="AC60" s="7">
        <f t="shared" ca="1" si="53"/>
        <v>362.47176747872106</v>
      </c>
      <c r="AD60" s="7">
        <f t="shared" ca="1" si="53"/>
        <v>379.68550275298799</v>
      </c>
      <c r="AE60" s="7">
        <f t="shared" ca="1" si="53"/>
        <v>397.07214452508271</v>
      </c>
      <c r="AF60" s="7">
        <f t="shared" ca="1" si="53"/>
        <v>414.60877022643695</v>
      </c>
      <c r="AG60" s="7">
        <f t="shared" ca="1" si="53"/>
        <v>432.23906243553125</v>
      </c>
      <c r="AH60" s="7">
        <f t="shared" ca="1" si="53"/>
        <v>449.92839509240008</v>
      </c>
      <c r="AI60" s="7">
        <f t="shared" ca="1" si="53"/>
        <v>467.63997063586038</v>
      </c>
      <c r="AJ60" s="7">
        <f t="shared" ca="1" si="53"/>
        <v>485.36405322571301</v>
      </c>
      <c r="AK60" s="7">
        <f t="shared" ca="1" si="53"/>
        <v>503.07687974555796</v>
      </c>
      <c r="AL60" s="7">
        <f t="shared" ca="1" si="53"/>
        <v>520.74769051686917</v>
      </c>
      <c r="AM60" s="7">
        <f t="shared" ca="1" si="53"/>
        <v>538.37033905830151</v>
      </c>
      <c r="AN60" s="7">
        <f t="shared" ca="1" si="53"/>
        <v>555.91907925259511</v>
      </c>
      <c r="AO60" s="7">
        <f t="shared" ca="1" si="53"/>
        <v>573.42214108003645</v>
      </c>
      <c r="AP60" s="7">
        <f t="shared" ca="1" si="53"/>
        <v>590.90153227425617</v>
      </c>
      <c r="AQ60" s="7">
        <f t="shared" ca="1" si="53"/>
        <v>608.37080895419933</v>
      </c>
      <c r="AR60" s="7">
        <f t="shared" ca="1" si="53"/>
        <v>625.8788742299995</v>
      </c>
      <c r="AS60" s="7">
        <f t="shared" ca="1" si="53"/>
        <v>643.48272074445242</v>
      </c>
      <c r="AT60" s="7">
        <f t="shared" ca="1" si="53"/>
        <v>661.00156820155757</v>
      </c>
      <c r="AU60" s="7">
        <f t="shared" ca="1" si="53"/>
        <v>678.56450820599821</v>
      </c>
      <c r="AV60" s="7">
        <f t="shared" ca="1" si="53"/>
        <v>696.21346343391508</v>
      </c>
      <c r="AW60" s="7">
        <f t="shared" ca="1" si="53"/>
        <v>713.97851669615102</v>
      </c>
    </row>
    <row r="61" spans="1:49" ht="15" x14ac:dyDescent="0.25">
      <c r="A61" s="2" t="s">
        <v>712</v>
      </c>
      <c r="B61" s="4"/>
      <c r="D61" s="40">
        <f t="shared" ref="D61:AW61" ca="1" si="54">D$59-D$60</f>
        <v>92.236000000000018</v>
      </c>
      <c r="E61" s="39">
        <f t="shared" ca="1" si="54"/>
        <v>89.302000000000021</v>
      </c>
      <c r="F61" s="39">
        <f t="shared" ca="1" si="54"/>
        <v>92.424999999999983</v>
      </c>
      <c r="G61" s="39">
        <f t="shared" ca="1" si="54"/>
        <v>97.47799999999998</v>
      </c>
      <c r="H61" s="39">
        <f t="shared" ca="1" si="54"/>
        <v>105.16099999999994</v>
      </c>
      <c r="I61" s="39">
        <f t="shared" ca="1" si="54"/>
        <v>114.87100000000004</v>
      </c>
      <c r="J61" s="43">
        <f t="shared" ca="1" si="54"/>
        <v>124.54807128155392</v>
      </c>
      <c r="K61" s="43">
        <f t="shared" ca="1" si="54"/>
        <v>135.03037564017464</v>
      </c>
      <c r="L61" s="43">
        <f t="shared" ca="1" si="54"/>
        <v>146.34399900522735</v>
      </c>
      <c r="M61" s="43">
        <f t="shared" ca="1" si="54"/>
        <v>158.36887060494644</v>
      </c>
      <c r="N61" s="43">
        <f t="shared" ca="1" si="54"/>
        <v>171.08970288795743</v>
      </c>
      <c r="O61" s="43">
        <f t="shared" ca="1" si="54"/>
        <v>184.38094963461828</v>
      </c>
      <c r="P61" s="43">
        <f t="shared" ca="1" si="54"/>
        <v>197.46618550563755</v>
      </c>
      <c r="Q61" s="43">
        <f t="shared" ca="1" si="54"/>
        <v>210.31023054409459</v>
      </c>
      <c r="R61" s="43">
        <f t="shared" ca="1" si="54"/>
        <v>222.74127004076018</v>
      </c>
      <c r="S61" s="43">
        <f t="shared" ca="1" si="54"/>
        <v>234.69093063432857</v>
      </c>
      <c r="T61" s="43">
        <f t="shared" ca="1" si="54"/>
        <v>246.06507203762763</v>
      </c>
      <c r="U61" s="43">
        <f t="shared" ca="1" si="54"/>
        <v>256.73240014271687</v>
      </c>
      <c r="V61" s="43">
        <f t="shared" ca="1" si="54"/>
        <v>266.56016337960517</v>
      </c>
      <c r="W61" s="43">
        <f t="shared" ca="1" si="54"/>
        <v>275.60174470343105</v>
      </c>
      <c r="X61" s="43">
        <f t="shared" ca="1" si="54"/>
        <v>283.8520681896477</v>
      </c>
      <c r="Y61" s="43">
        <f t="shared" ca="1" si="54"/>
        <v>291.13678982703249</v>
      </c>
      <c r="Z61" s="43">
        <f t="shared" ca="1" si="54"/>
        <v>297.4280614302067</v>
      </c>
      <c r="AA61" s="43">
        <f t="shared" ca="1" si="54"/>
        <v>304.29092205435637</v>
      </c>
      <c r="AB61" s="43">
        <f t="shared" ca="1" si="54"/>
        <v>311.86857048982301</v>
      </c>
      <c r="AC61" s="43">
        <f t="shared" ca="1" si="54"/>
        <v>320.33724552547847</v>
      </c>
      <c r="AD61" s="43">
        <f t="shared" ca="1" si="54"/>
        <v>329.94948975806324</v>
      </c>
      <c r="AE61" s="43">
        <f t="shared" ca="1" si="54"/>
        <v>340.82204080917069</v>
      </c>
      <c r="AF61" s="43">
        <f t="shared" ca="1" si="54"/>
        <v>353.12718708535385</v>
      </c>
      <c r="AG61" s="43">
        <f t="shared" ca="1" si="54"/>
        <v>366.98525756712564</v>
      </c>
      <c r="AH61" s="43">
        <f t="shared" ca="1" si="54"/>
        <v>382.52045076088262</v>
      </c>
      <c r="AI61" s="43">
        <f t="shared" ca="1" si="54"/>
        <v>399.83212321244952</v>
      </c>
      <c r="AJ61" s="43">
        <f t="shared" ca="1" si="54"/>
        <v>419.07562652317091</v>
      </c>
      <c r="AK61" s="43">
        <f t="shared" ca="1" si="54"/>
        <v>440.32697030669664</v>
      </c>
      <c r="AL61" s="43">
        <f t="shared" ca="1" si="54"/>
        <v>463.70556883771951</v>
      </c>
      <c r="AM61" s="43">
        <f t="shared" ca="1" si="54"/>
        <v>489.31175897014316</v>
      </c>
      <c r="AN61" s="43">
        <f t="shared" ca="1" si="54"/>
        <v>517.21277266014044</v>
      </c>
      <c r="AO61" s="43">
        <f t="shared" ca="1" si="54"/>
        <v>547.40235037230491</v>
      </c>
      <c r="AP61" s="43">
        <f t="shared" ca="1" si="54"/>
        <v>579.82978309091641</v>
      </c>
      <c r="AQ61" s="43">
        <f t="shared" ca="1" si="54"/>
        <v>614.40789710670253</v>
      </c>
      <c r="AR61" s="43">
        <f t="shared" ca="1" si="54"/>
        <v>651.00000685127645</v>
      </c>
      <c r="AS61" s="43">
        <f t="shared" ca="1" si="54"/>
        <v>689.49040015825915</v>
      </c>
      <c r="AT61" s="43">
        <f t="shared" ca="1" si="54"/>
        <v>729.92339481829913</v>
      </c>
      <c r="AU61" s="43">
        <f t="shared" ca="1" si="54"/>
        <v>772.29954361032378</v>
      </c>
      <c r="AV61" s="43">
        <f t="shared" ca="1" si="54"/>
        <v>816.68686422065923</v>
      </c>
      <c r="AW61" s="43">
        <f t="shared" ca="1" si="54"/>
        <v>863.07827678528065</v>
      </c>
    </row>
    <row r="62" spans="1:49" x14ac:dyDescent="0.2">
      <c r="A62" s="1" t="s">
        <v>312</v>
      </c>
      <c r="B62" s="4" t="str">
        <f>$B$43</f>
        <v>From Fiscal</v>
      </c>
      <c r="D62" s="18">
        <f>Fiscal!D$137</f>
        <v>5.782</v>
      </c>
      <c r="E62" s="19">
        <f>Fiscal!E$137</f>
        <v>5.7549999999999999</v>
      </c>
      <c r="F62" s="19">
        <f>Fiscal!F$137</f>
        <v>5.7839999999999998</v>
      </c>
      <c r="G62" s="19">
        <f>Fiscal!G$137</f>
        <v>5.8520000000000003</v>
      </c>
      <c r="H62" s="19">
        <f>Fiscal!H$137</f>
        <v>5.8940000000000001</v>
      </c>
      <c r="I62" s="19">
        <f>Fiscal!I$137</f>
        <v>5.9589999999999996</v>
      </c>
      <c r="J62" s="7">
        <f ca="1">IF(J$6=OFFSET(Assumptions!$B$8,0,$C$1),AVERAGE(G$62/G$407,H$62/H$407,I$62/I$407),I$62/I$407)*J$407</f>
        <v>6.0449567035547309</v>
      </c>
      <c r="K62" s="7">
        <f ca="1">IF(K$6=OFFSET(Assumptions!$B$8,0,$C$1),AVERAGE(H$62/H$407,I$62/I$407,J$62/J$407),J$62/J$407)*K$407</f>
        <v>6.1083834156478893</v>
      </c>
      <c r="L62" s="7">
        <f ca="1">IF(L$6=OFFSET(Assumptions!$B$8,0,$C$1),AVERAGE(I$62/I$407,J$62/J$407,K$62/K$407),K$62/K$407)*L$407</f>
        <v>6.1816001438810666</v>
      </c>
      <c r="M62" s="7">
        <f ca="1">IF(M$6=OFFSET(Assumptions!$B$8,0,$C$1),AVERAGE(J$62/J$407,K$62/K$407,L$62/L$407),L$62/L$407)*M$407</f>
        <v>6.2647302844534707</v>
      </c>
      <c r="N62" s="7">
        <f ca="1">IF(N$6=OFFSET(Assumptions!$B$8,0,$C$1),AVERAGE(K$62/K$407,L$62/L$407,M$62/M$407),M$62/M$407)*N$407</f>
        <v>6.357926552769726</v>
      </c>
      <c r="O62" s="7">
        <f ca="1">IF(O$6=OFFSET(Assumptions!$B$8,0,$C$1),AVERAGE(L$62/L$407,M$62/M$407,N$62/N$407),N$62/N$407)*O$407</f>
        <v>6.4612410783321046</v>
      </c>
      <c r="P62" s="7">
        <f ca="1">IF(P$6=OFFSET(Assumptions!$B$8,0,$C$1),AVERAGE(M$62/M$407,N$62/N$407,O$62/O$407),O$62/O$407)*P$407</f>
        <v>6.5747591482418759</v>
      </c>
      <c r="Q62" s="7">
        <f ca="1">IF(Q$6=OFFSET(Assumptions!$B$8,0,$C$1),AVERAGE(N$62/N$407,O$62/O$407,P$62/P$407),P$62/P$407)*Q$407</f>
        <v>6.6985480892626423</v>
      </c>
      <c r="R62" s="7">
        <f ca="1">IF(R$6=OFFSET(Assumptions!$B$8,0,$C$1),AVERAGE(O$62/O$407,P$62/P$407,Q$62/Q$407),Q$62/Q$407)*R$407</f>
        <v>6.8326622628986984</v>
      </c>
      <c r="S62" s="7">
        <f ca="1">IF(S$6=OFFSET(Assumptions!$B$8,0,$C$1),AVERAGE(P$62/P$407,Q$62/Q$407,R$62/R$407),R$62/R$407)*S$407</f>
        <v>6.9772007920633445</v>
      </c>
      <c r="T62" s="7">
        <f ca="1">IF(T$6=OFFSET(Assumptions!$B$8,0,$C$1),AVERAGE(Q$62/Q$407,R$62/R$407,S$62/S$407),S$62/S$407)*T$407</f>
        <v>7.1322648313696133</v>
      </c>
      <c r="U62" s="7">
        <f ca="1">IF(U$6=OFFSET(Assumptions!$B$8,0,$C$1),AVERAGE(R$62/R$407,S$62/S$407,T$62/T$407),T$62/T$407)*U$407</f>
        <v>7.2980080279034976</v>
      </c>
      <c r="V62" s="7">
        <f ca="1">IF(V$6=OFFSET(Assumptions!$B$8,0,$C$1),AVERAGE(S$62/S$407,T$62/T$407,U$62/U$407),U$62/U$407)*V$407</f>
        <v>7.4746184652756007</v>
      </c>
      <c r="W62" s="7">
        <f ca="1">IF(W$6=OFFSET(Assumptions!$B$8,0,$C$1),AVERAGE(T$62/T$407,U$62/U$407,V$62/V$407),V$62/V$407)*W$407</f>
        <v>7.6623260069773593</v>
      </c>
      <c r="X62" s="7">
        <f ca="1">IF(X$6=OFFSET(Assumptions!$B$8,0,$C$1),AVERAGE(U$62/U$407,V$62/V$407,W$62/W$407),W$62/W$407)*X$407</f>
        <v>7.8614072798229646</v>
      </c>
      <c r="Y62" s="7">
        <f ca="1">IF(Y$6=OFFSET(Assumptions!$B$8,0,$C$1),AVERAGE(V$62/V$407,W$62/W$407,X$62/X$407),X$62/X$407)*Y$407</f>
        <v>8.0721273226987655</v>
      </c>
      <c r="Z62" s="7">
        <f ca="1">IF(Z$6=OFFSET(Assumptions!$B$8,0,$C$1),AVERAGE(W$62/W$407,X$62/X$407,Y$62/Y$407),Y$62/Y$407)*Z$407</f>
        <v>8.2948362578337189</v>
      </c>
      <c r="AA62" s="7">
        <f ca="1">IF(AA$6=OFFSET(Assumptions!$B$8,0,$C$1),AVERAGE(X$62/X$407,Y$62/Y$407,Z$62/Z$407),Z$62/Z$407)*AA$407</f>
        <v>8.5299032821290872</v>
      </c>
      <c r="AB62" s="7">
        <f ca="1">IF(AB$6=OFFSET(Assumptions!$B$8,0,$C$1),AVERAGE(Y$62/Y$407,Z$62/Z$407,AA$62/AA$407),AA$62/AA$407)*AB$407</f>
        <v>8.7777452641099636</v>
      </c>
      <c r="AC62" s="7">
        <f ca="1">IF(AC$6=OFFSET(Assumptions!$B$8,0,$C$1),AVERAGE(Z$62/Z$407,AA$62/AA$407,AB$62/AB$407),AB$62/AB$407)*AC$407</f>
        <v>9.0388438822919603</v>
      </c>
      <c r="AD62" s="7">
        <f ca="1">IF(AD$6=OFFSET(Assumptions!$B$8,0,$C$1),AVERAGE(AA$62/AA$407,AB$62/AB$407,AC$62/AC$407),AC$62/AC$407)*AD$407</f>
        <v>9.3136870187626855</v>
      </c>
      <c r="AE62" s="7">
        <f ca="1">IF(AE$6=OFFSET(Assumptions!$B$8,0,$C$1),AVERAGE(AB$62/AB$407,AC$62/AC$407,AD$62/AD$407),AD$62/AD$407)*AE$407</f>
        <v>9.6027242887268685</v>
      </c>
      <c r="AF62" s="7">
        <f ca="1">IF(AF$6=OFFSET(Assumptions!$B$8,0,$C$1),AVERAGE(AC$62/AC$407,AD$62/AD$407,AE$62/AE$407),AE$62/AE$407)*AF$407</f>
        <v>9.9064555288597873</v>
      </c>
      <c r="AG62" s="7">
        <f ca="1">IF(AG$6=OFFSET(Assumptions!$B$8,0,$C$1),AVERAGE(AD$62/AD$407,AE$62/AE$407,AF$62/AF$407),AF$62/AF$407)*AG$407</f>
        <v>10.225376872592323</v>
      </c>
      <c r="AH62" s="7">
        <f ca="1">IF(AH$6=OFFSET(Assumptions!$B$8,0,$C$1),AVERAGE(AE$62/AE$407,AF$62/AF$407,AG$62/AG$407),AG$62/AG$407)*AH$407</f>
        <v>10.560008491767872</v>
      </c>
      <c r="AI62" s="7">
        <f ca="1">IF(AI$6=OFFSET(Assumptions!$B$8,0,$C$1),AVERAGE(AF$62/AF$407,AG$62/AG$407,AH$62/AH$407),AH$62/AH$407)*AI$407</f>
        <v>10.910805136348241</v>
      </c>
      <c r="AJ62" s="7">
        <f ca="1">IF(AJ$6=OFFSET(Assumptions!$B$8,0,$C$1),AVERAGE(AG$62/AG$407,AH$62/AH$407,AI$62/AI$407),AI$62/AI$407)*AJ$407</f>
        <v>11.278295093725674</v>
      </c>
      <c r="AK62" s="7">
        <f ca="1">IF(AK$6=OFFSET(Assumptions!$B$8,0,$C$1),AVERAGE(AH$62/AH$407,AI$62/AI$407,AJ$62/AJ$407),AJ$62/AJ$407)*AK$407</f>
        <v>11.66296413100368</v>
      </c>
      <c r="AL62" s="7">
        <f ca="1">IF(AL$6=OFFSET(Assumptions!$B$8,0,$C$1),AVERAGE(AI$62/AI$407,AJ$62/AJ$407,AK$62/AK$407),AK$62/AK$407)*AL$407</f>
        <v>12.065257161568637</v>
      </c>
      <c r="AM62" s="7">
        <f ca="1">IF(AM$6=OFFSET(Assumptions!$B$8,0,$C$1),AVERAGE(AJ$62/AJ$407,AK$62/AK$407,AL$62/AL$407),AL$62/AL$407)*AM$407</f>
        <v>12.485646015787205</v>
      </c>
      <c r="AN62" s="7">
        <f ca="1">IF(AN$6=OFFSET(Assumptions!$B$8,0,$C$1),AVERAGE(AK$62/AK$407,AL$62/AL$407,AM$62/AM$407),AM$62/AM$407)*AN$407</f>
        <v>12.924630787810083</v>
      </c>
      <c r="AO62" s="7">
        <f ca="1">IF(AO$6=OFFSET(Assumptions!$B$8,0,$C$1),AVERAGE(AL$62/AL$407,AM$62/AM$407,AN$62/AN$407),AN$62/AN$407)*AO$407</f>
        <v>13.38256275312707</v>
      </c>
      <c r="AP62" s="7">
        <f ca="1">IF(AP$6=OFFSET(Assumptions!$B$8,0,$C$1),AVERAGE(AM$62/AM$407,AN$62/AN$407,AO$62/AO$407),AO$62/AO$407)*AP$407</f>
        <v>13.859926962908569</v>
      </c>
      <c r="AQ62" s="7">
        <f ca="1">IF(AQ$6=OFFSET(Assumptions!$B$8,0,$C$1),AVERAGE(AN$62/AN$407,AO$62/AO$407,AP$62/AP$407),AP$62/AP$407)*AQ$407</f>
        <v>14.357091705316051</v>
      </c>
      <c r="AR62" s="7">
        <f ca="1">IF(AR$6=OFFSET(Assumptions!$B$8,0,$C$1),AVERAGE(AO$62/AO$407,AP$62/AP$407,AQ$62/AQ$407),AQ$62/AQ$407)*AR$407</f>
        <v>14.874453753985202</v>
      </c>
      <c r="AS62" s="7">
        <f ca="1">IF(AS$6=OFFSET(Assumptions!$B$8,0,$C$1),AVERAGE(AP$62/AP$407,AQ$62/AQ$407,AR$62/AR$407),AR$62/AR$407)*AS$407</f>
        <v>15.412483895316655</v>
      </c>
      <c r="AT62" s="7">
        <f ca="1">IF(AT$6=OFFSET(Assumptions!$B$8,0,$C$1),AVERAGE(AQ$62/AQ$407,AR$62/AR$407,AS$62/AS$407),AS$62/AS$407)*AT$407</f>
        <v>15.971667393188065</v>
      </c>
      <c r="AU62" s="7">
        <f ca="1">IF(AU$6=OFFSET(Assumptions!$B$8,0,$C$1),AVERAGE(AR$62/AR$407,AS$62/AS$407,AT$62/AT$407),AT$62/AT$407)*AU$407</f>
        <v>16.552525753276115</v>
      </c>
      <c r="AV62" s="7">
        <f ca="1">IF(AV$6=OFFSET(Assumptions!$B$8,0,$C$1),AVERAGE(AS$62/AS$407,AT$62/AT$407,AU$62/AU$407),AU$62/AU$407)*AV$407</f>
        <v>17.155690049993225</v>
      </c>
      <c r="AW62" s="7">
        <f ca="1">IF(AW$6=OFFSET(Assumptions!$B$8,0,$C$1),AVERAGE(AT$62/AT$407,AU$62/AU$407,AV$62/AV$407),AV$62/AV$407)*AW$407</f>
        <v>17.781744967720655</v>
      </c>
    </row>
    <row r="63" spans="1:49" ht="15" x14ac:dyDescent="0.25">
      <c r="A63" s="2" t="s">
        <v>708</v>
      </c>
      <c r="D63" s="40">
        <f t="shared" ref="D63:AW63" ca="1" si="55">D$61-D$62</f>
        <v>86.454000000000022</v>
      </c>
      <c r="E63" s="39">
        <f t="shared" ca="1" si="55"/>
        <v>83.547000000000025</v>
      </c>
      <c r="F63" s="39">
        <f t="shared" ca="1" si="55"/>
        <v>86.640999999999977</v>
      </c>
      <c r="G63" s="39">
        <f t="shared" ca="1" si="55"/>
        <v>91.625999999999976</v>
      </c>
      <c r="H63" s="39">
        <f t="shared" ca="1" si="55"/>
        <v>99.266999999999939</v>
      </c>
      <c r="I63" s="39">
        <f t="shared" ca="1" si="55"/>
        <v>108.91200000000003</v>
      </c>
      <c r="J63" s="43">
        <f t="shared" ca="1" si="55"/>
        <v>118.50311457799918</v>
      </c>
      <c r="K63" s="43">
        <f t="shared" ca="1" si="55"/>
        <v>128.92199222452675</v>
      </c>
      <c r="L63" s="43">
        <f t="shared" ca="1" si="55"/>
        <v>140.16239886134628</v>
      </c>
      <c r="M63" s="43">
        <f t="shared" ca="1" si="55"/>
        <v>152.10414032049297</v>
      </c>
      <c r="N63" s="43">
        <f t="shared" ca="1" si="55"/>
        <v>164.7317763351877</v>
      </c>
      <c r="O63" s="43">
        <f t="shared" ca="1" si="55"/>
        <v>177.91970855628617</v>
      </c>
      <c r="P63" s="43">
        <f t="shared" ca="1" si="55"/>
        <v>190.89142635739569</v>
      </c>
      <c r="Q63" s="43">
        <f t="shared" ca="1" si="55"/>
        <v>203.61168245483196</v>
      </c>
      <c r="R63" s="43">
        <f t="shared" ca="1" si="55"/>
        <v>215.90860777786148</v>
      </c>
      <c r="S63" s="43">
        <f t="shared" ca="1" si="55"/>
        <v>227.71372984226522</v>
      </c>
      <c r="T63" s="43">
        <f t="shared" ca="1" si="55"/>
        <v>238.93280720625802</v>
      </c>
      <c r="U63" s="43">
        <f t="shared" ca="1" si="55"/>
        <v>249.43439211481336</v>
      </c>
      <c r="V63" s="43">
        <f t="shared" ca="1" si="55"/>
        <v>259.08554491432955</v>
      </c>
      <c r="W63" s="43">
        <f t="shared" ca="1" si="55"/>
        <v>267.93941869645369</v>
      </c>
      <c r="X63" s="43">
        <f t="shared" ca="1" si="55"/>
        <v>275.99066090982473</v>
      </c>
      <c r="Y63" s="43">
        <f t="shared" ca="1" si="55"/>
        <v>283.06466250433374</v>
      </c>
      <c r="Z63" s="43">
        <f t="shared" ca="1" si="55"/>
        <v>289.13322517237299</v>
      </c>
      <c r="AA63" s="43">
        <f t="shared" ca="1" si="55"/>
        <v>295.76101877222726</v>
      </c>
      <c r="AB63" s="43">
        <f t="shared" ca="1" si="55"/>
        <v>303.09082522571305</v>
      </c>
      <c r="AC63" s="43">
        <f t="shared" ca="1" si="55"/>
        <v>311.29840164318648</v>
      </c>
      <c r="AD63" s="43">
        <f t="shared" ca="1" si="55"/>
        <v>320.63580273930057</v>
      </c>
      <c r="AE63" s="43">
        <f t="shared" ca="1" si="55"/>
        <v>331.21931652044384</v>
      </c>
      <c r="AF63" s="43">
        <f t="shared" ca="1" si="55"/>
        <v>343.22073155649406</v>
      </c>
      <c r="AG63" s="43">
        <f t="shared" ca="1" si="55"/>
        <v>356.75988069453331</v>
      </c>
      <c r="AH63" s="43">
        <f t="shared" ca="1" si="55"/>
        <v>371.96044226911476</v>
      </c>
      <c r="AI63" s="43">
        <f t="shared" ca="1" si="55"/>
        <v>388.92131807610127</v>
      </c>
      <c r="AJ63" s="43">
        <f t="shared" ca="1" si="55"/>
        <v>407.79733142944525</v>
      </c>
      <c r="AK63" s="43">
        <f t="shared" ca="1" si="55"/>
        <v>428.66400617569298</v>
      </c>
      <c r="AL63" s="43">
        <f t="shared" ca="1" si="55"/>
        <v>451.64031167615087</v>
      </c>
      <c r="AM63" s="43">
        <f t="shared" ca="1" si="55"/>
        <v>476.82611295435595</v>
      </c>
      <c r="AN63" s="43">
        <f t="shared" ca="1" si="55"/>
        <v>504.28814187233036</v>
      </c>
      <c r="AO63" s="43">
        <f t="shared" ca="1" si="55"/>
        <v>534.01978761917781</v>
      </c>
      <c r="AP63" s="43">
        <f t="shared" ca="1" si="55"/>
        <v>565.96985612800779</v>
      </c>
      <c r="AQ63" s="43">
        <f t="shared" ca="1" si="55"/>
        <v>600.05080540138647</v>
      </c>
      <c r="AR63" s="43">
        <f t="shared" ca="1" si="55"/>
        <v>636.12555309729123</v>
      </c>
      <c r="AS63" s="43">
        <f t="shared" ca="1" si="55"/>
        <v>674.07791626294249</v>
      </c>
      <c r="AT63" s="43">
        <f t="shared" ca="1" si="55"/>
        <v>713.95172742511102</v>
      </c>
      <c r="AU63" s="43">
        <f t="shared" ca="1" si="55"/>
        <v>755.74701785704769</v>
      </c>
      <c r="AV63" s="43">
        <f t="shared" ca="1" si="55"/>
        <v>799.53117417066596</v>
      </c>
      <c r="AW63" s="43">
        <f t="shared" ca="1" si="55"/>
        <v>845.29653181755998</v>
      </c>
    </row>
    <row r="64" spans="1:49" ht="15" x14ac:dyDescent="0.25">
      <c r="A64" s="30" t="s">
        <v>709</v>
      </c>
      <c r="B64" s="4" t="s">
        <v>785</v>
      </c>
      <c r="D64" s="6" t="str">
        <f ca="1">IF(ROUND(Fiscal!D$135-D$61,3)=0,"OK","ERROR")</f>
        <v>OK</v>
      </c>
      <c r="E64" s="6" t="str">
        <f ca="1">IF(ROUND(Fiscal!E$135-E$61,3)=0,"OK","ERROR")</f>
        <v>OK</v>
      </c>
      <c r="F64" s="6" t="str">
        <f ca="1">IF(ROUND(Fiscal!F$135-F$61,3)=0,"OK","ERROR")</f>
        <v>OK</v>
      </c>
      <c r="G64" s="6" t="str">
        <f ca="1">IF(ROUND(Fiscal!G$135-G$61,3)=0,"OK","ERROR")</f>
        <v>OK</v>
      </c>
      <c r="H64" s="6" t="str">
        <f ca="1">IF(ROUND(Fiscal!H$135-H$61,3)=0,"OK","ERROR")</f>
        <v>OK</v>
      </c>
      <c r="I64" s="6" t="str">
        <f ca="1">IF(ROUND(Fiscal!I$135-I$61,3)=0,"OK","ERROR")</f>
        <v>OK</v>
      </c>
    </row>
    <row r="65" spans="1:49" ht="15" x14ac:dyDescent="0.25">
      <c r="A65" s="30" t="s">
        <v>710</v>
      </c>
      <c r="B65" s="4" t="s">
        <v>313</v>
      </c>
      <c r="J65" s="6" t="str">
        <f t="shared" ref="J65:AW65" ca="1" si="56">IF(ROUND(J$48-(J$61-I$61),3)=0,"OK","ERROR")</f>
        <v>OK</v>
      </c>
      <c r="K65" s="6" t="str">
        <f t="shared" ca="1" si="56"/>
        <v>OK</v>
      </c>
      <c r="L65" s="6" t="str">
        <f t="shared" ca="1" si="56"/>
        <v>OK</v>
      </c>
      <c r="M65" s="6" t="str">
        <f t="shared" ca="1" si="56"/>
        <v>OK</v>
      </c>
      <c r="N65" s="6" t="str">
        <f t="shared" ca="1" si="56"/>
        <v>OK</v>
      </c>
      <c r="O65" s="6" t="str">
        <f t="shared" ca="1" si="56"/>
        <v>OK</v>
      </c>
      <c r="P65" s="6" t="str">
        <f t="shared" ca="1" si="56"/>
        <v>OK</v>
      </c>
      <c r="Q65" s="6" t="str">
        <f t="shared" ca="1" si="56"/>
        <v>OK</v>
      </c>
      <c r="R65" s="6" t="str">
        <f t="shared" ca="1" si="56"/>
        <v>OK</v>
      </c>
      <c r="S65" s="6" t="str">
        <f t="shared" ca="1" si="56"/>
        <v>OK</v>
      </c>
      <c r="T65" s="6" t="str">
        <f t="shared" ca="1" si="56"/>
        <v>OK</v>
      </c>
      <c r="U65" s="6" t="str">
        <f t="shared" ca="1" si="56"/>
        <v>OK</v>
      </c>
      <c r="V65" s="6" t="str">
        <f t="shared" ca="1" si="56"/>
        <v>OK</v>
      </c>
      <c r="W65" s="6" t="str">
        <f t="shared" ca="1" si="56"/>
        <v>OK</v>
      </c>
      <c r="X65" s="6" t="str">
        <f t="shared" ca="1" si="56"/>
        <v>OK</v>
      </c>
      <c r="Y65" s="6" t="str">
        <f t="shared" ca="1" si="56"/>
        <v>OK</v>
      </c>
      <c r="Z65" s="6" t="str">
        <f t="shared" ca="1" si="56"/>
        <v>OK</v>
      </c>
      <c r="AA65" s="6" t="str">
        <f t="shared" ca="1" si="56"/>
        <v>OK</v>
      </c>
      <c r="AB65" s="6" t="str">
        <f t="shared" ca="1" si="56"/>
        <v>OK</v>
      </c>
      <c r="AC65" s="6" t="str">
        <f t="shared" ca="1" si="56"/>
        <v>OK</v>
      </c>
      <c r="AD65" s="6" t="str">
        <f t="shared" ca="1" si="56"/>
        <v>OK</v>
      </c>
      <c r="AE65" s="6" t="str">
        <f t="shared" ca="1" si="56"/>
        <v>OK</v>
      </c>
      <c r="AF65" s="6" t="str">
        <f t="shared" ca="1" si="56"/>
        <v>OK</v>
      </c>
      <c r="AG65" s="6" t="str">
        <f t="shared" ca="1" si="56"/>
        <v>OK</v>
      </c>
      <c r="AH65" s="6" t="str">
        <f t="shared" ca="1" si="56"/>
        <v>OK</v>
      </c>
      <c r="AI65" s="6" t="str">
        <f t="shared" ca="1" si="56"/>
        <v>OK</v>
      </c>
      <c r="AJ65" s="6" t="str">
        <f t="shared" ca="1" si="56"/>
        <v>OK</v>
      </c>
      <c r="AK65" s="6" t="str">
        <f t="shared" ca="1" si="56"/>
        <v>OK</v>
      </c>
      <c r="AL65" s="6" t="str">
        <f t="shared" ca="1" si="56"/>
        <v>OK</v>
      </c>
      <c r="AM65" s="6" t="str">
        <f t="shared" ca="1" si="56"/>
        <v>OK</v>
      </c>
      <c r="AN65" s="6" t="str">
        <f t="shared" ca="1" si="56"/>
        <v>OK</v>
      </c>
      <c r="AO65" s="6" t="str">
        <f t="shared" ca="1" si="56"/>
        <v>OK</v>
      </c>
      <c r="AP65" s="6" t="str">
        <f t="shared" ca="1" si="56"/>
        <v>OK</v>
      </c>
      <c r="AQ65" s="6" t="str">
        <f t="shared" ca="1" si="56"/>
        <v>OK</v>
      </c>
      <c r="AR65" s="6" t="str">
        <f t="shared" ca="1" si="56"/>
        <v>OK</v>
      </c>
      <c r="AS65" s="6" t="str">
        <f t="shared" ca="1" si="56"/>
        <v>OK</v>
      </c>
      <c r="AT65" s="6" t="str">
        <f t="shared" ca="1" si="56"/>
        <v>OK</v>
      </c>
      <c r="AU65" s="6" t="str">
        <f t="shared" ca="1" si="56"/>
        <v>OK</v>
      </c>
      <c r="AV65" s="6" t="str">
        <f t="shared" ca="1" si="56"/>
        <v>OK</v>
      </c>
      <c r="AW65" s="6" t="str">
        <f t="shared" ca="1" si="56"/>
        <v>OK</v>
      </c>
    </row>
    <row r="66" spans="1:49" x14ac:dyDescent="0.2">
      <c r="A66" s="1" t="s">
        <v>287</v>
      </c>
      <c r="D66" s="18">
        <f t="shared" ref="D66:AW66" ca="1" si="57">SUM(D$334,D$341,D$347,D$356,D$380,D$395,D$399,D$405,D$420,D$424,D$439,D$440)</f>
        <v>158.71300000000002</v>
      </c>
      <c r="E66" s="19">
        <f t="shared" ca="1" si="57"/>
        <v>161.357</v>
      </c>
      <c r="F66" s="19">
        <f t="shared" ca="1" si="57"/>
        <v>170.84499999999997</v>
      </c>
      <c r="G66" s="19">
        <f t="shared" ca="1" si="57"/>
        <v>169.85599999999999</v>
      </c>
      <c r="H66" s="19">
        <f t="shared" ca="1" si="57"/>
        <v>172.18700000000001</v>
      </c>
      <c r="I66" s="19">
        <f t="shared" ca="1" si="57"/>
        <v>180.26</v>
      </c>
      <c r="J66" s="7">
        <f t="shared" ca="1" si="57"/>
        <v>191.25778396732798</v>
      </c>
      <c r="K66" s="7">
        <f t="shared" ca="1" si="57"/>
        <v>202.62618855568689</v>
      </c>
      <c r="L66" s="7">
        <f t="shared" ca="1" si="57"/>
        <v>214.47055848614812</v>
      </c>
      <c r="M66" s="7">
        <f t="shared" ca="1" si="57"/>
        <v>226.71878472809911</v>
      </c>
      <c r="N66" s="7">
        <f t="shared" ca="1" si="57"/>
        <v>239.35904041401585</v>
      </c>
      <c r="O66" s="7">
        <f t="shared" ca="1" si="57"/>
        <v>252.26747114187745</v>
      </c>
      <c r="P66" s="7">
        <f t="shared" ca="1" si="57"/>
        <v>265.47275923054718</v>
      </c>
      <c r="Q66" s="7">
        <f t="shared" ca="1" si="57"/>
        <v>278.94808454452158</v>
      </c>
      <c r="R66" s="7">
        <f t="shared" ca="1" si="57"/>
        <v>292.70155607901359</v>
      </c>
      <c r="S66" s="7">
        <f t="shared" ca="1" si="57"/>
        <v>306.7936070926969</v>
      </c>
      <c r="T66" s="7">
        <f t="shared" ca="1" si="57"/>
        <v>321.24298523294692</v>
      </c>
      <c r="U66" s="7">
        <f t="shared" ca="1" si="57"/>
        <v>336.06141943678836</v>
      </c>
      <c r="V66" s="7">
        <f t="shared" ca="1" si="57"/>
        <v>351.24514166285553</v>
      </c>
      <c r="W66" s="7">
        <f t="shared" ca="1" si="57"/>
        <v>366.79786077548482</v>
      </c>
      <c r="X66" s="7">
        <f t="shared" ca="1" si="57"/>
        <v>382.74219440857507</v>
      </c>
      <c r="Y66" s="7">
        <f t="shared" ca="1" si="57"/>
        <v>399.05051688028021</v>
      </c>
      <c r="Z66" s="7">
        <f t="shared" ca="1" si="57"/>
        <v>415.79483332499325</v>
      </c>
      <c r="AA66" s="7">
        <f t="shared" ca="1" si="57"/>
        <v>433.08571337591007</v>
      </c>
      <c r="AB66" s="7">
        <f t="shared" ca="1" si="57"/>
        <v>451.04509157912139</v>
      </c>
      <c r="AC66" s="7">
        <f t="shared" ca="1" si="57"/>
        <v>469.81849399112423</v>
      </c>
      <c r="AD66" s="7">
        <f t="shared" ca="1" si="57"/>
        <v>489.56338805382353</v>
      </c>
      <c r="AE66" s="7">
        <f t="shared" ca="1" si="57"/>
        <v>510.36447168131076</v>
      </c>
      <c r="AF66" s="7">
        <f t="shared" ca="1" si="57"/>
        <v>532.36459149068799</v>
      </c>
      <c r="AG66" s="7">
        <f t="shared" ca="1" si="57"/>
        <v>555.59437400185345</v>
      </c>
      <c r="AH66" s="7">
        <f t="shared" ca="1" si="57"/>
        <v>580.129929889864</v>
      </c>
      <c r="AI66" s="7">
        <f t="shared" ca="1" si="57"/>
        <v>606.02585148261596</v>
      </c>
      <c r="AJ66" s="7">
        <f t="shared" ca="1" si="57"/>
        <v>633.3914486741686</v>
      </c>
      <c r="AK66" s="7">
        <f t="shared" ca="1" si="57"/>
        <v>662.25736824307182</v>
      </c>
      <c r="AL66" s="7">
        <f t="shared" ca="1" si="57"/>
        <v>692.69055654394947</v>
      </c>
      <c r="AM66" s="7">
        <f t="shared" ca="1" si="57"/>
        <v>724.76312966508465</v>
      </c>
      <c r="AN66" s="7">
        <f t="shared" ca="1" si="57"/>
        <v>758.49320393357868</v>
      </c>
      <c r="AO66" s="7">
        <f t="shared" ca="1" si="57"/>
        <v>793.87858704773578</v>
      </c>
      <c r="AP66" s="7">
        <f t="shared" ca="1" si="57"/>
        <v>830.86703240463305</v>
      </c>
      <c r="AQ66" s="7">
        <f t="shared" ca="1" si="57"/>
        <v>869.35893093503375</v>
      </c>
      <c r="AR66" s="7">
        <f t="shared" ca="1" si="57"/>
        <v>909.23277675617476</v>
      </c>
      <c r="AS66" s="7">
        <f t="shared" ca="1" si="57"/>
        <v>950.38553271112858</v>
      </c>
      <c r="AT66" s="7">
        <f t="shared" ca="1" si="57"/>
        <v>992.85562691357688</v>
      </c>
      <c r="AU66" s="7">
        <f t="shared" ca="1" si="57"/>
        <v>1036.6397024907467</v>
      </c>
      <c r="AV66" s="7">
        <f t="shared" ca="1" si="57"/>
        <v>1081.8228312325266</v>
      </c>
      <c r="AW66" s="7">
        <f t="shared" ca="1" si="57"/>
        <v>1128.4010287330839</v>
      </c>
    </row>
    <row r="67" spans="1:49" x14ac:dyDescent="0.2">
      <c r="A67" s="1" t="s">
        <v>714</v>
      </c>
      <c r="B67" s="4" t="str">
        <f>$B$43</f>
        <v>From Fiscal</v>
      </c>
      <c r="D67" s="18">
        <f>Fiscal!D$178</f>
        <v>95.549000000000007</v>
      </c>
      <c r="E67" s="19">
        <f>Fiscal!E$178</f>
        <v>95.671000000000006</v>
      </c>
      <c r="F67" s="19">
        <f>Fiscal!F$178</f>
        <v>102.813</v>
      </c>
      <c r="G67" s="19">
        <f>Fiscal!G$178</f>
        <v>98.238</v>
      </c>
      <c r="H67" s="19">
        <f>Fiscal!H$178</f>
        <v>93.287999999999997</v>
      </c>
      <c r="I67" s="19">
        <f>Fiscal!I$178</f>
        <v>92.504999999999995</v>
      </c>
      <c r="J67" s="7">
        <f t="shared" ref="J67:AW67" ca="1" si="58">J$75</f>
        <v>93.442288960037402</v>
      </c>
      <c r="K67" s="7">
        <f t="shared" ca="1" si="58"/>
        <v>94.066006853064351</v>
      </c>
      <c r="L67" s="7">
        <f t="shared" ca="1" si="58"/>
        <v>94.446210225107293</v>
      </c>
      <c r="M67" s="7">
        <f t="shared" ca="1" si="58"/>
        <v>94.634813021285467</v>
      </c>
      <c r="N67" s="7">
        <f t="shared" ca="1" si="58"/>
        <v>94.664886763489903</v>
      </c>
      <c r="O67" s="7">
        <f t="shared" ca="1" si="58"/>
        <v>94.535185035805654</v>
      </c>
      <c r="P67" s="7">
        <f t="shared" ca="1" si="58"/>
        <v>95.011867408700411</v>
      </c>
      <c r="Q67" s="7">
        <f t="shared" ca="1" si="58"/>
        <v>96.118373955621379</v>
      </c>
      <c r="R67" s="7">
        <f t="shared" ca="1" si="58"/>
        <v>98.059871004837703</v>
      </c>
      <c r="S67" s="7">
        <f t="shared" ca="1" si="58"/>
        <v>100.9495594782537</v>
      </c>
      <c r="T67" s="7">
        <f t="shared" ca="1" si="58"/>
        <v>104.92126526212522</v>
      </c>
      <c r="U67" s="7">
        <f t="shared" ca="1" si="58"/>
        <v>110.11902834817957</v>
      </c>
      <c r="V67" s="7">
        <f t="shared" ca="1" si="58"/>
        <v>116.68711254782319</v>
      </c>
      <c r="W67" s="7">
        <f t="shared" ca="1" si="58"/>
        <v>124.5846211530221</v>
      </c>
      <c r="X67" s="7">
        <f t="shared" ca="1" si="58"/>
        <v>133.84723431225657</v>
      </c>
      <c r="Y67" s="7">
        <f t="shared" ca="1" si="58"/>
        <v>144.61203622622247</v>
      </c>
      <c r="Z67" s="7">
        <f t="shared" ca="1" si="58"/>
        <v>157.02692935877855</v>
      </c>
      <c r="AA67" s="7">
        <f t="shared" ca="1" si="58"/>
        <v>169.6532508477413</v>
      </c>
      <c r="AB67" s="7">
        <f t="shared" ca="1" si="58"/>
        <v>182.4762496443166</v>
      </c>
      <c r="AC67" s="7">
        <f t="shared" ca="1" si="58"/>
        <v>195.47504904727046</v>
      </c>
      <c r="AD67" s="7">
        <f t="shared" ca="1" si="58"/>
        <v>208.60975068794929</v>
      </c>
      <c r="AE67" s="7">
        <f t="shared" ca="1" si="58"/>
        <v>221.87010734308902</v>
      </c>
      <c r="AF67" s="7">
        <f t="shared" ca="1" si="58"/>
        <v>235.23100497772364</v>
      </c>
      <c r="AG67" s="7">
        <f t="shared" ca="1" si="58"/>
        <v>248.65262198001352</v>
      </c>
      <c r="AH67" s="7">
        <f t="shared" ca="1" si="58"/>
        <v>262.10623660378786</v>
      </c>
      <c r="AI67" s="7">
        <f t="shared" ca="1" si="58"/>
        <v>275.56266047089031</v>
      </c>
      <c r="AJ67" s="7">
        <f t="shared" ca="1" si="58"/>
        <v>289.0277847400925</v>
      </c>
      <c r="AK67" s="7">
        <f t="shared" ca="1" si="58"/>
        <v>302.49215394094557</v>
      </c>
      <c r="AL67" s="7">
        <f t="shared" ca="1" si="58"/>
        <v>315.94146898418819</v>
      </c>
      <c r="AM67" s="7">
        <f t="shared" ca="1" si="58"/>
        <v>329.38614897553271</v>
      </c>
      <c r="AN67" s="7">
        <f t="shared" ca="1" si="58"/>
        <v>342.81416897818849</v>
      </c>
      <c r="AO67" s="7">
        <f t="shared" ca="1" si="58"/>
        <v>356.28778820970871</v>
      </c>
      <c r="AP67" s="7">
        <f t="shared" ca="1" si="58"/>
        <v>369.84612336745357</v>
      </c>
      <c r="AQ67" s="7">
        <f t="shared" ca="1" si="58"/>
        <v>383.54042522963567</v>
      </c>
      <c r="AR67" s="7">
        <f t="shared" ca="1" si="58"/>
        <v>397.45573930974734</v>
      </c>
      <c r="AS67" s="7">
        <f t="shared" ca="1" si="58"/>
        <v>411.69289415221692</v>
      </c>
      <c r="AT67" s="7">
        <f t="shared" ca="1" si="58"/>
        <v>426.28266584570866</v>
      </c>
      <c r="AU67" s="7">
        <f t="shared" ca="1" si="58"/>
        <v>441.29646585606866</v>
      </c>
      <c r="AV67" s="7">
        <f t="shared" ca="1" si="58"/>
        <v>456.82063352636101</v>
      </c>
      <c r="AW67" s="7">
        <f t="shared" ca="1" si="58"/>
        <v>472.94897565256264</v>
      </c>
    </row>
    <row r="68" spans="1:49" x14ac:dyDescent="0.2">
      <c r="A68" s="1" t="s">
        <v>713</v>
      </c>
      <c r="D68" s="18">
        <f t="shared" ref="D68:I68" si="59">SUM(D$443,D$449,D$453,D$457,D$463,D$468)</f>
        <v>29.762</v>
      </c>
      <c r="E68" s="19">
        <f t="shared" si="59"/>
        <v>31.271000000000001</v>
      </c>
      <c r="F68" s="19">
        <f t="shared" si="59"/>
        <v>30.354999999999997</v>
      </c>
      <c r="G68" s="19">
        <f t="shared" si="59"/>
        <v>29.368000000000002</v>
      </c>
      <c r="H68" s="19">
        <f t="shared" si="59"/>
        <v>29.305</v>
      </c>
      <c r="I68" s="19">
        <f t="shared" si="59"/>
        <v>29.013999999999999</v>
      </c>
      <c r="J68" s="7">
        <f t="shared" ref="J68:AW68" ca="1" si="60">SUM(J$443,J$449,J$453,J$457,J$463,J$468)</f>
        <v>29.943524450320389</v>
      </c>
      <c r="K68" s="7">
        <f t="shared" ca="1" si="60"/>
        <v>30.881030288810621</v>
      </c>
      <c r="L68" s="7">
        <f t="shared" ca="1" si="60"/>
        <v>31.835389693623096</v>
      </c>
      <c r="M68" s="7">
        <f t="shared" ca="1" si="60"/>
        <v>32.785348535039816</v>
      </c>
      <c r="N68" s="7">
        <f t="shared" ca="1" si="60"/>
        <v>33.737586724835765</v>
      </c>
      <c r="O68" s="7">
        <f t="shared" ca="1" si="60"/>
        <v>34.678883829884747</v>
      </c>
      <c r="P68" s="7">
        <f t="shared" ca="1" si="60"/>
        <v>35.672882627919684</v>
      </c>
      <c r="Q68" s="7">
        <f t="shared" ca="1" si="60"/>
        <v>36.696258853479456</v>
      </c>
      <c r="R68" s="7">
        <f t="shared" ca="1" si="60"/>
        <v>37.738889902957148</v>
      </c>
      <c r="S68" s="7">
        <f t="shared" ca="1" si="60"/>
        <v>38.813693712963378</v>
      </c>
      <c r="T68" s="7">
        <f t="shared" ca="1" si="60"/>
        <v>39.920548646636966</v>
      </c>
      <c r="U68" s="7">
        <f t="shared" ca="1" si="60"/>
        <v>41.066273187157996</v>
      </c>
      <c r="V68" s="7">
        <f t="shared" ca="1" si="60"/>
        <v>42.250450655554559</v>
      </c>
      <c r="W68" s="7">
        <f t="shared" ca="1" si="60"/>
        <v>43.480224452987059</v>
      </c>
      <c r="X68" s="7">
        <f t="shared" ca="1" si="60"/>
        <v>44.763162638932748</v>
      </c>
      <c r="Y68" s="7">
        <f t="shared" ca="1" si="60"/>
        <v>46.106689832456581</v>
      </c>
      <c r="Z68" s="7">
        <f t="shared" ca="1" si="60"/>
        <v>47.514385672378069</v>
      </c>
      <c r="AA68" s="7">
        <f t="shared" ca="1" si="60"/>
        <v>48.990259130868822</v>
      </c>
      <c r="AB68" s="7">
        <f t="shared" ca="1" si="60"/>
        <v>50.544293075992137</v>
      </c>
      <c r="AC68" s="7">
        <f t="shared" ca="1" si="60"/>
        <v>52.188539675950778</v>
      </c>
      <c r="AD68" s="7">
        <f t="shared" ca="1" si="60"/>
        <v>53.928475999426951</v>
      </c>
      <c r="AE68" s="7">
        <f t="shared" ca="1" si="60"/>
        <v>55.765781824001529</v>
      </c>
      <c r="AF68" s="7">
        <f t="shared" ca="1" si="60"/>
        <v>57.712273524178826</v>
      </c>
      <c r="AG68" s="7">
        <f t="shared" ca="1" si="60"/>
        <v>59.769063339577876</v>
      </c>
      <c r="AH68" s="7">
        <f t="shared" ca="1" si="60"/>
        <v>61.941851707083323</v>
      </c>
      <c r="AI68" s="7">
        <f t="shared" ca="1" si="60"/>
        <v>64.231026300759538</v>
      </c>
      <c r="AJ68" s="7">
        <f t="shared" ca="1" si="60"/>
        <v>66.643394550345377</v>
      </c>
      <c r="AK68" s="7">
        <f t="shared" ca="1" si="60"/>
        <v>69.18074636897046</v>
      </c>
      <c r="AL68" s="7">
        <f t="shared" ca="1" si="60"/>
        <v>71.842473010785966</v>
      </c>
      <c r="AM68" s="7">
        <f t="shared" ca="1" si="60"/>
        <v>74.632604273404624</v>
      </c>
      <c r="AN68" s="7">
        <f t="shared" ca="1" si="60"/>
        <v>77.557030688159784</v>
      </c>
      <c r="AO68" s="7">
        <f t="shared" ca="1" si="60"/>
        <v>80.603317802663639</v>
      </c>
      <c r="AP68" s="7">
        <f t="shared" ca="1" si="60"/>
        <v>83.779446363458177</v>
      </c>
      <c r="AQ68" s="7">
        <f t="shared" ca="1" si="60"/>
        <v>87.075083637377261</v>
      </c>
      <c r="AR68" s="7">
        <f t="shared" ca="1" si="60"/>
        <v>90.488171355050767</v>
      </c>
      <c r="AS68" s="7">
        <f t="shared" ca="1" si="60"/>
        <v>94.018358317017515</v>
      </c>
      <c r="AT68" s="7">
        <f t="shared" ca="1" si="60"/>
        <v>97.671443274327899</v>
      </c>
      <c r="AU68" s="7">
        <f t="shared" ca="1" si="60"/>
        <v>101.44878310973999</v>
      </c>
      <c r="AV68" s="7">
        <f t="shared" ca="1" si="60"/>
        <v>105.36200482800795</v>
      </c>
      <c r="AW68" s="7">
        <f t="shared" ca="1" si="60"/>
        <v>109.40491021825714</v>
      </c>
    </row>
    <row r="69" spans="1:49" ht="15" x14ac:dyDescent="0.25">
      <c r="A69" s="2" t="s">
        <v>367</v>
      </c>
      <c r="B69" s="4"/>
      <c r="D69" s="40">
        <f t="shared" ref="D69:AW69" ca="1" si="61">D$66-SUM(D$67:D$68)</f>
        <v>33.402000000000015</v>
      </c>
      <c r="E69" s="39">
        <f t="shared" ca="1" si="61"/>
        <v>34.414999999999992</v>
      </c>
      <c r="F69" s="39">
        <f t="shared" ca="1" si="61"/>
        <v>37.676999999999964</v>
      </c>
      <c r="G69" s="39">
        <f t="shared" ca="1" si="61"/>
        <v>42.25</v>
      </c>
      <c r="H69" s="39">
        <f t="shared" ca="1" si="61"/>
        <v>49.594000000000023</v>
      </c>
      <c r="I69" s="39">
        <f t="shared" ca="1" si="61"/>
        <v>58.741</v>
      </c>
      <c r="J69" s="43">
        <f t="shared" ca="1" si="61"/>
        <v>67.871970556970183</v>
      </c>
      <c r="K69" s="43">
        <f t="shared" ca="1" si="61"/>
        <v>77.679151413811923</v>
      </c>
      <c r="L69" s="43">
        <f t="shared" ca="1" si="61"/>
        <v>88.188958567417728</v>
      </c>
      <c r="M69" s="43">
        <f t="shared" ca="1" si="61"/>
        <v>99.298623171773826</v>
      </c>
      <c r="N69" s="43">
        <f t="shared" ca="1" si="61"/>
        <v>110.9565669256902</v>
      </c>
      <c r="O69" s="43">
        <f t="shared" ca="1" si="61"/>
        <v>123.05340227618706</v>
      </c>
      <c r="P69" s="43">
        <f t="shared" ca="1" si="61"/>
        <v>134.78800919392708</v>
      </c>
      <c r="Q69" s="43">
        <f t="shared" ca="1" si="61"/>
        <v>146.13345173542075</v>
      </c>
      <c r="R69" s="43">
        <f t="shared" ca="1" si="61"/>
        <v>156.90279517121874</v>
      </c>
      <c r="S69" s="43">
        <f t="shared" ca="1" si="61"/>
        <v>167.03035390147983</v>
      </c>
      <c r="T69" s="43">
        <f t="shared" ca="1" si="61"/>
        <v>176.40117132418473</v>
      </c>
      <c r="U69" s="43">
        <f t="shared" ca="1" si="61"/>
        <v>184.87611790145078</v>
      </c>
      <c r="V69" s="43">
        <f t="shared" ca="1" si="61"/>
        <v>192.30757845947778</v>
      </c>
      <c r="W69" s="43">
        <f t="shared" ca="1" si="61"/>
        <v>198.73301516947566</v>
      </c>
      <c r="X69" s="43">
        <f t="shared" ca="1" si="61"/>
        <v>204.13179745738574</v>
      </c>
      <c r="Y69" s="43">
        <f t="shared" ca="1" si="61"/>
        <v>208.33179082160115</v>
      </c>
      <c r="Z69" s="43">
        <f t="shared" ca="1" si="61"/>
        <v>211.25351829383663</v>
      </c>
      <c r="AA69" s="43">
        <f t="shared" ca="1" si="61"/>
        <v>214.44220339729995</v>
      </c>
      <c r="AB69" s="43">
        <f t="shared" ca="1" si="61"/>
        <v>218.02454885881266</v>
      </c>
      <c r="AC69" s="43">
        <f t="shared" ca="1" si="61"/>
        <v>222.15490526790299</v>
      </c>
      <c r="AD69" s="43">
        <f t="shared" ca="1" si="61"/>
        <v>227.02516136644732</v>
      </c>
      <c r="AE69" s="43">
        <f t="shared" ca="1" si="61"/>
        <v>232.72858251422019</v>
      </c>
      <c r="AF69" s="43">
        <f t="shared" ca="1" si="61"/>
        <v>239.42131298878553</v>
      </c>
      <c r="AG69" s="43">
        <f t="shared" ca="1" si="61"/>
        <v>247.17268868226205</v>
      </c>
      <c r="AH69" s="43">
        <f t="shared" ca="1" si="61"/>
        <v>256.08184157899279</v>
      </c>
      <c r="AI69" s="43">
        <f t="shared" ca="1" si="61"/>
        <v>266.23216471096612</v>
      </c>
      <c r="AJ69" s="43">
        <f t="shared" ca="1" si="61"/>
        <v>277.72026938373074</v>
      </c>
      <c r="AK69" s="43">
        <f t="shared" ca="1" si="61"/>
        <v>290.58446793315579</v>
      </c>
      <c r="AL69" s="43">
        <f t="shared" ca="1" si="61"/>
        <v>304.90661454897531</v>
      </c>
      <c r="AM69" s="43">
        <f t="shared" ca="1" si="61"/>
        <v>320.7443764161473</v>
      </c>
      <c r="AN69" s="43">
        <f t="shared" ca="1" si="61"/>
        <v>338.12200426723041</v>
      </c>
      <c r="AO69" s="43">
        <f t="shared" ca="1" si="61"/>
        <v>356.98748103536343</v>
      </c>
      <c r="AP69" s="43">
        <f t="shared" ca="1" si="61"/>
        <v>377.24146267372129</v>
      </c>
      <c r="AQ69" s="43">
        <f t="shared" ca="1" si="61"/>
        <v>398.74342206802083</v>
      </c>
      <c r="AR69" s="43">
        <f t="shared" ca="1" si="61"/>
        <v>421.28886609137663</v>
      </c>
      <c r="AS69" s="43">
        <f t="shared" ca="1" si="61"/>
        <v>444.67428024189417</v>
      </c>
      <c r="AT69" s="43">
        <f t="shared" ca="1" si="61"/>
        <v>468.90151779354028</v>
      </c>
      <c r="AU69" s="43">
        <f t="shared" ca="1" si="61"/>
        <v>493.89445352493806</v>
      </c>
      <c r="AV69" s="43">
        <f t="shared" ca="1" si="61"/>
        <v>519.64019287815768</v>
      </c>
      <c r="AW69" s="43">
        <f t="shared" ca="1" si="61"/>
        <v>546.04714286226408</v>
      </c>
    </row>
    <row r="70" spans="1:49" ht="15" x14ac:dyDescent="0.25">
      <c r="A70" s="30" t="s">
        <v>368</v>
      </c>
      <c r="B70" s="4" t="str">
        <f>$B$64</f>
        <v>History &amp; Forecast only</v>
      </c>
      <c r="D70" s="6" t="str">
        <f ca="1">IF(ROUND(Fiscal!D$186-D$69,3)=0,"OK","ERROR")</f>
        <v>OK</v>
      </c>
      <c r="E70" s="6" t="str">
        <f ca="1">IF(ROUND(Fiscal!E$186-E$69,3)=0,"OK","ERROR")</f>
        <v>OK</v>
      </c>
      <c r="F70" s="6" t="str">
        <f ca="1">IF(ROUND(Fiscal!F$186-F$69,3)=0,"OK","ERROR")</f>
        <v>OK</v>
      </c>
      <c r="G70" s="6" t="str">
        <f ca="1">IF(ROUND(Fiscal!G$186-G$69,3)=0,"OK","ERROR")</f>
        <v>OK</v>
      </c>
      <c r="H70" s="6" t="str">
        <f ca="1">IF(ROUND(Fiscal!H$186-H$69,3)=0,"OK","ERROR")</f>
        <v>OK</v>
      </c>
      <c r="I70" s="6" t="str">
        <f ca="1">IF(ROUND(Fiscal!I$186-I$69,3)=0,"OK","ERROR")</f>
        <v>OK</v>
      </c>
    </row>
    <row r="71" spans="1:49" ht="15" x14ac:dyDescent="0.25">
      <c r="A71" s="30" t="s">
        <v>369</v>
      </c>
      <c r="B71" s="4" t="str">
        <f>$B$65</f>
        <v>Projected Years only</v>
      </c>
      <c r="E71" s="61"/>
      <c r="F71" s="61"/>
      <c r="G71" s="61"/>
      <c r="H71" s="61"/>
      <c r="I71" s="61"/>
      <c r="J71" s="6" t="str">
        <f t="shared" ref="J71:AW71" ca="1" si="62">IF(ROUND(J$53-(J$69-I$69)-(I$75-I$67),3)=0,"OK","ERROR")</f>
        <v>OK</v>
      </c>
      <c r="K71" s="6" t="str">
        <f t="shared" ca="1" si="62"/>
        <v>OK</v>
      </c>
      <c r="L71" s="6" t="str">
        <f t="shared" ca="1" si="62"/>
        <v>OK</v>
      </c>
      <c r="M71" s="6" t="str">
        <f t="shared" ca="1" si="62"/>
        <v>OK</v>
      </c>
      <c r="N71" s="6" t="str">
        <f t="shared" ca="1" si="62"/>
        <v>OK</v>
      </c>
      <c r="O71" s="6" t="str">
        <f t="shared" ca="1" si="62"/>
        <v>OK</v>
      </c>
      <c r="P71" s="6" t="str">
        <f t="shared" ca="1" si="62"/>
        <v>OK</v>
      </c>
      <c r="Q71" s="6" t="str">
        <f t="shared" ca="1" si="62"/>
        <v>OK</v>
      </c>
      <c r="R71" s="6" t="str">
        <f t="shared" ca="1" si="62"/>
        <v>OK</v>
      </c>
      <c r="S71" s="6" t="str">
        <f t="shared" ca="1" si="62"/>
        <v>OK</v>
      </c>
      <c r="T71" s="6" t="str">
        <f t="shared" ca="1" si="62"/>
        <v>OK</v>
      </c>
      <c r="U71" s="6" t="str">
        <f t="shared" ca="1" si="62"/>
        <v>OK</v>
      </c>
      <c r="V71" s="6" t="str">
        <f t="shared" ca="1" si="62"/>
        <v>OK</v>
      </c>
      <c r="W71" s="6" t="str">
        <f t="shared" ca="1" si="62"/>
        <v>OK</v>
      </c>
      <c r="X71" s="6" t="str">
        <f t="shared" ca="1" si="62"/>
        <v>OK</v>
      </c>
      <c r="Y71" s="6" t="str">
        <f t="shared" ca="1" si="62"/>
        <v>OK</v>
      </c>
      <c r="Z71" s="6" t="str">
        <f t="shared" ca="1" si="62"/>
        <v>OK</v>
      </c>
      <c r="AA71" s="6" t="str">
        <f t="shared" ca="1" si="62"/>
        <v>OK</v>
      </c>
      <c r="AB71" s="6" t="str">
        <f t="shared" ca="1" si="62"/>
        <v>OK</v>
      </c>
      <c r="AC71" s="6" t="str">
        <f t="shared" ca="1" si="62"/>
        <v>OK</v>
      </c>
      <c r="AD71" s="6" t="str">
        <f t="shared" ca="1" si="62"/>
        <v>OK</v>
      </c>
      <c r="AE71" s="6" t="str">
        <f t="shared" ca="1" si="62"/>
        <v>OK</v>
      </c>
      <c r="AF71" s="6" t="str">
        <f t="shared" ca="1" si="62"/>
        <v>OK</v>
      </c>
      <c r="AG71" s="6" t="str">
        <f t="shared" ca="1" si="62"/>
        <v>OK</v>
      </c>
      <c r="AH71" s="6" t="str">
        <f t="shared" ca="1" si="62"/>
        <v>OK</v>
      </c>
      <c r="AI71" s="6" t="str">
        <f t="shared" ca="1" si="62"/>
        <v>OK</v>
      </c>
      <c r="AJ71" s="6" t="str">
        <f t="shared" ca="1" si="62"/>
        <v>OK</v>
      </c>
      <c r="AK71" s="6" t="str">
        <f t="shared" ca="1" si="62"/>
        <v>OK</v>
      </c>
      <c r="AL71" s="6" t="str">
        <f t="shared" ca="1" si="62"/>
        <v>OK</v>
      </c>
      <c r="AM71" s="6" t="str">
        <f t="shared" ca="1" si="62"/>
        <v>OK</v>
      </c>
      <c r="AN71" s="6" t="str">
        <f t="shared" ca="1" si="62"/>
        <v>OK</v>
      </c>
      <c r="AO71" s="6" t="str">
        <f t="shared" ca="1" si="62"/>
        <v>OK</v>
      </c>
      <c r="AP71" s="6" t="str">
        <f t="shared" ca="1" si="62"/>
        <v>OK</v>
      </c>
      <c r="AQ71" s="6" t="str">
        <f t="shared" ca="1" si="62"/>
        <v>OK</v>
      </c>
      <c r="AR71" s="6" t="str">
        <f t="shared" ca="1" si="62"/>
        <v>OK</v>
      </c>
      <c r="AS71" s="6" t="str">
        <f t="shared" ca="1" si="62"/>
        <v>OK</v>
      </c>
      <c r="AT71" s="6" t="str">
        <f t="shared" ca="1" si="62"/>
        <v>OK</v>
      </c>
      <c r="AU71" s="6" t="str">
        <f t="shared" ca="1" si="62"/>
        <v>OK</v>
      </c>
      <c r="AV71" s="6" t="str">
        <f t="shared" ca="1" si="62"/>
        <v>OK</v>
      </c>
      <c r="AW71" s="6" t="str">
        <f t="shared" ca="1" si="62"/>
        <v>OK</v>
      </c>
    </row>
    <row r="72" spans="1:49" ht="15" x14ac:dyDescent="0.25">
      <c r="A72" s="30"/>
      <c r="B72" s="4"/>
    </row>
    <row r="73" spans="1:49" ht="15" x14ac:dyDescent="0.25">
      <c r="A73" s="22" t="s">
        <v>256</v>
      </c>
      <c r="J73" s="61"/>
      <c r="K73" s="61"/>
      <c r="L73" s="61"/>
      <c r="M73" s="61"/>
      <c r="N73" s="61"/>
      <c r="O73" s="61"/>
      <c r="P73" s="61"/>
      <c r="Q73" s="61"/>
      <c r="R73" s="61"/>
      <c r="S73" s="61"/>
    </row>
    <row r="74" spans="1:49" x14ac:dyDescent="0.2">
      <c r="A74" s="1" t="s">
        <v>311</v>
      </c>
      <c r="B74" s="4" t="str">
        <f>$B$43</f>
        <v>From Fiscal</v>
      </c>
      <c r="D74" s="18">
        <f>Fiscal!D$130</f>
        <v>112.58</v>
      </c>
      <c r="E74" s="19">
        <f>Fiscal!E$130</f>
        <v>113.009</v>
      </c>
      <c r="F74" s="19">
        <f>Fiscal!F$130</f>
        <v>121.69799999999999</v>
      </c>
      <c r="G74" s="19">
        <f>Fiscal!G$130</f>
        <v>118.767</v>
      </c>
      <c r="H74" s="19">
        <f>Fiscal!H$130</f>
        <v>115.123</v>
      </c>
      <c r="I74" s="19">
        <f>Fiscal!I$130</f>
        <v>115.901</v>
      </c>
      <c r="J74" s="7">
        <f t="shared" ref="J74:AW74" ca="1" si="63">SUM(I$74,J$106,J$216-J$94)</f>
        <v>115.31709925163916</v>
      </c>
      <c r="K74" s="7">
        <f t="shared" ca="1" si="63"/>
        <v>115.12431940405105</v>
      </c>
      <c r="L74" s="7">
        <f t="shared" ca="1" si="63"/>
        <v>114.65564681083791</v>
      </c>
      <c r="M74" s="7">
        <f t="shared" ca="1" si="63"/>
        <v>114.02341908366775</v>
      </c>
      <c r="N74" s="7">
        <f t="shared" ca="1" si="63"/>
        <v>113.218122346809</v>
      </c>
      <c r="O74" s="7">
        <f t="shared" ca="1" si="63"/>
        <v>112.40189581302997</v>
      </c>
      <c r="P74" s="7">
        <f t="shared" ca="1" si="63"/>
        <v>112.15038582618162</v>
      </c>
      <c r="Q74" s="7">
        <f t="shared" ca="1" si="63"/>
        <v>112.52935915231937</v>
      </c>
      <c r="R74" s="7">
        <f t="shared" ca="1" si="63"/>
        <v>113.73341852228796</v>
      </c>
      <c r="S74" s="7">
        <f t="shared" ca="1" si="63"/>
        <v>115.84803847939591</v>
      </c>
      <c r="T74" s="7">
        <f t="shared" ca="1" si="63"/>
        <v>118.99499343593955</v>
      </c>
      <c r="U74" s="7">
        <f t="shared" ca="1" si="63"/>
        <v>123.31191289222193</v>
      </c>
      <c r="V74" s="7">
        <f t="shared" ca="1" si="63"/>
        <v>128.93681975706065</v>
      </c>
      <c r="W74" s="7">
        <f t="shared" ca="1" si="63"/>
        <v>135.82716673210084</v>
      </c>
      <c r="X74" s="7">
        <f t="shared" ca="1" si="63"/>
        <v>143.98992597544083</v>
      </c>
      <c r="Y74" s="7">
        <f t="shared" ca="1" si="63"/>
        <v>153.54817583297833</v>
      </c>
      <c r="Z74" s="7">
        <f t="shared" ca="1" si="63"/>
        <v>164.62582172877376</v>
      </c>
      <c r="AA74" s="7">
        <f t="shared" ca="1" si="63"/>
        <v>175.77110829757692</v>
      </c>
      <c r="AB74" s="7">
        <f t="shared" ca="1" si="63"/>
        <v>186.96014506495422</v>
      </c>
      <c r="AC74" s="7">
        <f t="shared" ca="1" si="63"/>
        <v>198.13208684188788</v>
      </c>
      <c r="AD74" s="7">
        <f t="shared" ca="1" si="63"/>
        <v>209.17930750710988</v>
      </c>
      <c r="AE74" s="7">
        <f t="shared" ca="1" si="63"/>
        <v>220.0660124437558</v>
      </c>
      <c r="AF74" s="7">
        <f t="shared" ca="1" si="63"/>
        <v>230.79089488471871</v>
      </c>
      <c r="AG74" s="7">
        <f t="shared" ca="1" si="63"/>
        <v>241.30541615891082</v>
      </c>
      <c r="AH74" s="7">
        <f t="shared" ca="1" si="63"/>
        <v>251.5599746976082</v>
      </c>
      <c r="AI74" s="7">
        <f t="shared" ca="1" si="63"/>
        <v>261.51059578696993</v>
      </c>
      <c r="AJ74" s="7">
        <f t="shared" ca="1" si="63"/>
        <v>271.12904576923199</v>
      </c>
      <c r="AK74" s="7">
        <f t="shared" ca="1" si="63"/>
        <v>280.38133046629127</v>
      </c>
      <c r="AL74" s="7">
        <f t="shared" ca="1" si="63"/>
        <v>289.22836773202351</v>
      </c>
      <c r="AM74" s="7">
        <f t="shared" ca="1" si="63"/>
        <v>297.64837304793645</v>
      </c>
      <c r="AN74" s="7">
        <f t="shared" ca="1" si="63"/>
        <v>305.59748596520734</v>
      </c>
      <c r="AO74" s="7">
        <f t="shared" ca="1" si="63"/>
        <v>313.1093268856925</v>
      </c>
      <c r="AP74" s="7">
        <f t="shared" ca="1" si="63"/>
        <v>320.18122190534314</v>
      </c>
      <c r="AQ74" s="7">
        <f t="shared" ca="1" si="63"/>
        <v>326.82774598357565</v>
      </c>
      <c r="AR74" s="7">
        <f t="shared" ca="1" si="63"/>
        <v>333.08526794015233</v>
      </c>
      <c r="AS74" s="7">
        <f t="shared" ca="1" si="63"/>
        <v>338.99429896944099</v>
      </c>
      <c r="AT74" s="7">
        <f t="shared" ca="1" si="63"/>
        <v>344.40300484099049</v>
      </c>
      <c r="AU74" s="7">
        <f t="shared" ca="1" si="63"/>
        <v>349.39941541314255</v>
      </c>
      <c r="AV74" s="7">
        <f t="shared" ca="1" si="63"/>
        <v>353.99784572469036</v>
      </c>
      <c r="AW74" s="7">
        <f t="shared" ca="1" si="63"/>
        <v>358.22307701574573</v>
      </c>
    </row>
    <row r="75" spans="1:49" x14ac:dyDescent="0.2">
      <c r="A75" s="1" t="s">
        <v>370</v>
      </c>
      <c r="B75" s="4" t="str">
        <f>$B$43</f>
        <v>From Fiscal</v>
      </c>
      <c r="D75" s="18">
        <f>Fiscal!D$139</f>
        <v>95.649000000000001</v>
      </c>
      <c r="E75" s="19">
        <f>Fiscal!E$139</f>
        <v>95.67</v>
      </c>
      <c r="F75" s="19">
        <f>Fiscal!F$139</f>
        <v>102.812</v>
      </c>
      <c r="G75" s="19">
        <f>Fiscal!G$139</f>
        <v>98.236999999999995</v>
      </c>
      <c r="H75" s="19">
        <f>Fiscal!H$139</f>
        <v>93.287999999999997</v>
      </c>
      <c r="I75" s="19">
        <f>Fiscal!I$139</f>
        <v>92.504000000000005</v>
      </c>
      <c r="J75" s="7">
        <f t="shared" ref="J75:AW75" ca="1" si="64">SUM(I$75,J$502,J$212-J$478)</f>
        <v>93.442288960037402</v>
      </c>
      <c r="K75" s="7">
        <f t="shared" ca="1" si="64"/>
        <v>94.066006853064351</v>
      </c>
      <c r="L75" s="7">
        <f t="shared" ca="1" si="64"/>
        <v>94.446210225107293</v>
      </c>
      <c r="M75" s="7">
        <f t="shared" ca="1" si="64"/>
        <v>94.634813021285467</v>
      </c>
      <c r="N75" s="7">
        <f t="shared" ca="1" si="64"/>
        <v>94.664886763489903</v>
      </c>
      <c r="O75" s="7">
        <f t="shared" ca="1" si="64"/>
        <v>94.535185035805654</v>
      </c>
      <c r="P75" s="7">
        <f t="shared" ca="1" si="64"/>
        <v>95.011867408700411</v>
      </c>
      <c r="Q75" s="7">
        <f t="shared" ca="1" si="64"/>
        <v>96.118373955621379</v>
      </c>
      <c r="R75" s="7">
        <f t="shared" ca="1" si="64"/>
        <v>98.059871004837703</v>
      </c>
      <c r="S75" s="7">
        <f t="shared" ca="1" si="64"/>
        <v>100.9495594782537</v>
      </c>
      <c r="T75" s="7">
        <f t="shared" ca="1" si="64"/>
        <v>104.92126526212522</v>
      </c>
      <c r="U75" s="7">
        <f t="shared" ca="1" si="64"/>
        <v>110.11902834817957</v>
      </c>
      <c r="V75" s="7">
        <f t="shared" ca="1" si="64"/>
        <v>116.68711254782319</v>
      </c>
      <c r="W75" s="7">
        <f t="shared" ca="1" si="64"/>
        <v>124.5846211530221</v>
      </c>
      <c r="X75" s="7">
        <f t="shared" ca="1" si="64"/>
        <v>133.84723431225657</v>
      </c>
      <c r="Y75" s="7">
        <f t="shared" ca="1" si="64"/>
        <v>144.61203622622247</v>
      </c>
      <c r="Z75" s="7">
        <f t="shared" ca="1" si="64"/>
        <v>157.02692935877855</v>
      </c>
      <c r="AA75" s="7">
        <f t="shared" ca="1" si="64"/>
        <v>169.6532508477413</v>
      </c>
      <c r="AB75" s="7">
        <f t="shared" ca="1" si="64"/>
        <v>182.4762496443166</v>
      </c>
      <c r="AC75" s="7">
        <f t="shared" ca="1" si="64"/>
        <v>195.47504904727046</v>
      </c>
      <c r="AD75" s="7">
        <f t="shared" ca="1" si="64"/>
        <v>208.60975068794929</v>
      </c>
      <c r="AE75" s="7">
        <f t="shared" ca="1" si="64"/>
        <v>221.87010734308902</v>
      </c>
      <c r="AF75" s="7">
        <f t="shared" ca="1" si="64"/>
        <v>235.23100497772364</v>
      </c>
      <c r="AG75" s="7">
        <f t="shared" ca="1" si="64"/>
        <v>248.65262198001352</v>
      </c>
      <c r="AH75" s="7">
        <f t="shared" ca="1" si="64"/>
        <v>262.10623660378786</v>
      </c>
      <c r="AI75" s="7">
        <f t="shared" ca="1" si="64"/>
        <v>275.56266047089031</v>
      </c>
      <c r="AJ75" s="7">
        <f t="shared" ca="1" si="64"/>
        <v>289.0277847400925</v>
      </c>
      <c r="AK75" s="7">
        <f t="shared" ca="1" si="64"/>
        <v>302.49215394094557</v>
      </c>
      <c r="AL75" s="7">
        <f t="shared" ca="1" si="64"/>
        <v>315.94146898418819</v>
      </c>
      <c r="AM75" s="7">
        <f t="shared" ca="1" si="64"/>
        <v>329.38614897553271</v>
      </c>
      <c r="AN75" s="7">
        <f t="shared" ca="1" si="64"/>
        <v>342.81416897818849</v>
      </c>
      <c r="AO75" s="7">
        <f t="shared" ca="1" si="64"/>
        <v>356.28778820970871</v>
      </c>
      <c r="AP75" s="7">
        <f t="shared" ca="1" si="64"/>
        <v>369.84612336745357</v>
      </c>
      <c r="AQ75" s="7">
        <f t="shared" ca="1" si="64"/>
        <v>383.54042522963567</v>
      </c>
      <c r="AR75" s="7">
        <f t="shared" ca="1" si="64"/>
        <v>397.45573930974734</v>
      </c>
      <c r="AS75" s="7">
        <f t="shared" ca="1" si="64"/>
        <v>411.69289415221692</v>
      </c>
      <c r="AT75" s="7">
        <f t="shared" ca="1" si="64"/>
        <v>426.28266584570866</v>
      </c>
      <c r="AU75" s="7">
        <f t="shared" ca="1" si="64"/>
        <v>441.29646585606866</v>
      </c>
      <c r="AV75" s="7">
        <f t="shared" ca="1" si="64"/>
        <v>456.82063352636101</v>
      </c>
      <c r="AW75" s="7">
        <f t="shared" ca="1" si="64"/>
        <v>472.94897565256264</v>
      </c>
    </row>
    <row r="76" spans="1:49" x14ac:dyDescent="0.2">
      <c r="A76" s="1" t="s">
        <v>745</v>
      </c>
      <c r="B76" s="4" t="str">
        <f>$B$43</f>
        <v>From Fiscal</v>
      </c>
      <c r="D76" s="18">
        <f>Fiscal!D$140</f>
        <v>2.4929999999999999</v>
      </c>
      <c r="E76" s="19">
        <f>Fiscal!E$140</f>
        <v>1.6060000000000001</v>
      </c>
      <c r="F76" s="19">
        <f>Fiscal!F$140</f>
        <v>1.651</v>
      </c>
      <c r="G76" s="19">
        <f>Fiscal!G$140</f>
        <v>1.651</v>
      </c>
      <c r="H76" s="19">
        <f>Fiscal!H$140</f>
        <v>1.6519999999999999</v>
      </c>
      <c r="I76" s="19">
        <f>Fiscal!I$140</f>
        <v>1.655</v>
      </c>
      <c r="J76" s="7">
        <f t="shared" ref="J76:AW76" ca="1" si="65">SUM(I$76,J$373-I$373-(J$446-I$446))</f>
        <v>2.0033193086456045</v>
      </c>
      <c r="K76" s="7">
        <f t="shared" ca="1" si="65"/>
        <v>2.2510158324886973</v>
      </c>
      <c r="L76" s="7">
        <f t="shared" ca="1" si="65"/>
        <v>2.5085476901705777</v>
      </c>
      <c r="M76" s="7">
        <f t="shared" ca="1" si="65"/>
        <v>2.7749307062734903</v>
      </c>
      <c r="N76" s="7">
        <f t="shared" ca="1" si="65"/>
        <v>3.0495668650629701</v>
      </c>
      <c r="O76" s="7">
        <f t="shared" ca="1" si="65"/>
        <v>3.3274377858914961</v>
      </c>
      <c r="P76" s="7">
        <f t="shared" ca="1" si="65"/>
        <v>3.6067633634686356</v>
      </c>
      <c r="Q76" s="7">
        <f t="shared" ca="1" si="65"/>
        <v>3.8871007655697025</v>
      </c>
      <c r="R76" s="7">
        <f t="shared" ca="1" si="65"/>
        <v>4.168702286286786</v>
      </c>
      <c r="S76" s="7">
        <f t="shared" ca="1" si="65"/>
        <v>4.4533740567906914</v>
      </c>
      <c r="T76" s="7">
        <f t="shared" ca="1" si="65"/>
        <v>4.7416826575766464</v>
      </c>
      <c r="U76" s="7">
        <f t="shared" ca="1" si="65"/>
        <v>5.0332183302157505</v>
      </c>
      <c r="V76" s="7">
        <f t="shared" ca="1" si="65"/>
        <v>5.3274027742101397</v>
      </c>
      <c r="W76" s="7">
        <f t="shared" ca="1" si="65"/>
        <v>5.6237196159596978</v>
      </c>
      <c r="X76" s="7">
        <f t="shared" ca="1" si="65"/>
        <v>5.9228241562936486</v>
      </c>
      <c r="Y76" s="7">
        <f t="shared" ca="1" si="65"/>
        <v>6.2231021710827461</v>
      </c>
      <c r="Z76" s="7">
        <f t="shared" ca="1" si="65"/>
        <v>6.5263544224580032</v>
      </c>
      <c r="AA76" s="7">
        <f t="shared" ca="1" si="65"/>
        <v>6.835931047747108</v>
      </c>
      <c r="AB76" s="7">
        <f t="shared" ca="1" si="65"/>
        <v>7.1562462472060338</v>
      </c>
      <c r="AC76" s="7">
        <f t="shared" ca="1" si="65"/>
        <v>7.4925527681798529</v>
      </c>
      <c r="AD76" s="7">
        <f t="shared" ca="1" si="65"/>
        <v>7.8508473027330767</v>
      </c>
      <c r="AE76" s="7">
        <f t="shared" ca="1" si="65"/>
        <v>8.2340192296574344</v>
      </c>
      <c r="AF76" s="7">
        <f t="shared" ca="1" si="65"/>
        <v>8.6470526880608993</v>
      </c>
      <c r="AG76" s="7">
        <f t="shared" ca="1" si="65"/>
        <v>9.0912836240684847</v>
      </c>
      <c r="AH76" s="7">
        <f t="shared" ca="1" si="65"/>
        <v>9.5700026407025902</v>
      </c>
      <c r="AI76" s="7">
        <f t="shared" ca="1" si="65"/>
        <v>10.085685351509767</v>
      </c>
      <c r="AJ76" s="7">
        <f t="shared" ca="1" si="65"/>
        <v>10.640954005710782</v>
      </c>
      <c r="AK76" s="7">
        <f t="shared" ca="1" si="65"/>
        <v>11.236614466843895</v>
      </c>
      <c r="AL76" s="7">
        <f t="shared" ca="1" si="65"/>
        <v>11.875395857464609</v>
      </c>
      <c r="AM76" s="7">
        <f t="shared" ca="1" si="65"/>
        <v>12.559611866718742</v>
      </c>
      <c r="AN76" s="7">
        <f t="shared" ca="1" si="65"/>
        <v>13.289981973482407</v>
      </c>
      <c r="AO76" s="7">
        <f t="shared" ca="1" si="65"/>
        <v>14.065681289249545</v>
      </c>
      <c r="AP76" s="7">
        <f t="shared" ca="1" si="65"/>
        <v>14.882950640958573</v>
      </c>
      <c r="AQ76" s="7">
        <f t="shared" ca="1" si="65"/>
        <v>15.738144824891178</v>
      </c>
      <c r="AR76" s="7">
        <f t="shared" ca="1" si="65"/>
        <v>16.624709661359507</v>
      </c>
      <c r="AS76" s="7">
        <f t="shared" ca="1" si="65"/>
        <v>17.536327928508257</v>
      </c>
      <c r="AT76" s="7">
        <f t="shared" ca="1" si="65"/>
        <v>18.474916406192992</v>
      </c>
      <c r="AU76" s="7">
        <f t="shared" ca="1" si="65"/>
        <v>19.439619984360899</v>
      </c>
      <c r="AV76" s="7">
        <f t="shared" ca="1" si="65"/>
        <v>20.431793152395198</v>
      </c>
      <c r="AW76" s="7">
        <f t="shared" ca="1" si="65"/>
        <v>21.449600480855949</v>
      </c>
    </row>
    <row r="77" spans="1:49" ht="15" x14ac:dyDescent="0.25">
      <c r="A77" s="2" t="s">
        <v>371</v>
      </c>
      <c r="D77" s="40">
        <f t="shared" ref="D77:I77" si="66">D$75-D$76</f>
        <v>93.156000000000006</v>
      </c>
      <c r="E77" s="39">
        <f t="shared" si="66"/>
        <v>94.064000000000007</v>
      </c>
      <c r="F77" s="39">
        <f t="shared" si="66"/>
        <v>101.161</v>
      </c>
      <c r="G77" s="39">
        <f t="shared" si="66"/>
        <v>96.585999999999999</v>
      </c>
      <c r="H77" s="39">
        <f t="shared" si="66"/>
        <v>91.635999999999996</v>
      </c>
      <c r="I77" s="39">
        <f t="shared" si="66"/>
        <v>90.849000000000004</v>
      </c>
      <c r="J77" s="43">
        <f t="shared" ref="J77:AW77" ca="1" si="67">J$75-J$76</f>
        <v>91.438969651391801</v>
      </c>
      <c r="K77" s="43">
        <f t="shared" ca="1" si="67"/>
        <v>91.814991020575661</v>
      </c>
      <c r="L77" s="43">
        <f t="shared" ca="1" si="67"/>
        <v>91.93766253493672</v>
      </c>
      <c r="M77" s="43">
        <f t="shared" ca="1" si="67"/>
        <v>91.859882315011973</v>
      </c>
      <c r="N77" s="43">
        <f t="shared" ca="1" si="67"/>
        <v>91.615319898426932</v>
      </c>
      <c r="O77" s="43">
        <f t="shared" ca="1" si="67"/>
        <v>91.207747249914163</v>
      </c>
      <c r="P77" s="43">
        <f t="shared" ca="1" si="67"/>
        <v>91.405104045231781</v>
      </c>
      <c r="Q77" s="43">
        <f t="shared" ca="1" si="67"/>
        <v>92.231273190051681</v>
      </c>
      <c r="R77" s="43">
        <f t="shared" ca="1" si="67"/>
        <v>93.891168718550915</v>
      </c>
      <c r="S77" s="43">
        <f t="shared" ca="1" si="67"/>
        <v>96.496185421463011</v>
      </c>
      <c r="T77" s="43">
        <f t="shared" ca="1" si="67"/>
        <v>100.17958260454857</v>
      </c>
      <c r="U77" s="43">
        <f t="shared" ca="1" si="67"/>
        <v>105.08581001796382</v>
      </c>
      <c r="V77" s="43">
        <f t="shared" ca="1" si="67"/>
        <v>111.35970977361305</v>
      </c>
      <c r="W77" s="43">
        <f t="shared" ca="1" si="67"/>
        <v>118.9609015370624</v>
      </c>
      <c r="X77" s="43">
        <f t="shared" ca="1" si="67"/>
        <v>127.92441015596293</v>
      </c>
      <c r="Y77" s="43">
        <f t="shared" ca="1" si="67"/>
        <v>138.38893405513971</v>
      </c>
      <c r="Z77" s="43">
        <f t="shared" ca="1" si="67"/>
        <v>150.50057493632053</v>
      </c>
      <c r="AA77" s="43">
        <f t="shared" ca="1" si="67"/>
        <v>162.81731979999421</v>
      </c>
      <c r="AB77" s="43">
        <f t="shared" ca="1" si="67"/>
        <v>175.32000339711055</v>
      </c>
      <c r="AC77" s="43">
        <f t="shared" ca="1" si="67"/>
        <v>187.98249627909061</v>
      </c>
      <c r="AD77" s="43">
        <f t="shared" ca="1" si="67"/>
        <v>200.7589033852162</v>
      </c>
      <c r="AE77" s="43">
        <f t="shared" ca="1" si="67"/>
        <v>213.63608811343158</v>
      </c>
      <c r="AF77" s="43">
        <f t="shared" ca="1" si="67"/>
        <v>226.58395228966273</v>
      </c>
      <c r="AG77" s="43">
        <f t="shared" ca="1" si="67"/>
        <v>239.56133835594503</v>
      </c>
      <c r="AH77" s="43">
        <f t="shared" ca="1" si="67"/>
        <v>252.53623396308527</v>
      </c>
      <c r="AI77" s="43">
        <f t="shared" ca="1" si="67"/>
        <v>265.47697511938054</v>
      </c>
      <c r="AJ77" s="43">
        <f t="shared" ca="1" si="67"/>
        <v>278.3868307343817</v>
      </c>
      <c r="AK77" s="43">
        <f t="shared" ca="1" si="67"/>
        <v>291.25553947410168</v>
      </c>
      <c r="AL77" s="43">
        <f t="shared" ca="1" si="67"/>
        <v>304.06607312672361</v>
      </c>
      <c r="AM77" s="43">
        <f t="shared" ca="1" si="67"/>
        <v>316.82653710881397</v>
      </c>
      <c r="AN77" s="43">
        <f t="shared" ca="1" si="67"/>
        <v>329.52418700470611</v>
      </c>
      <c r="AO77" s="43">
        <f t="shared" ca="1" si="67"/>
        <v>342.22210692045917</v>
      </c>
      <c r="AP77" s="43">
        <f t="shared" ca="1" si="67"/>
        <v>354.96317272649497</v>
      </c>
      <c r="AQ77" s="43">
        <f t="shared" ca="1" si="67"/>
        <v>367.80228040474452</v>
      </c>
      <c r="AR77" s="43">
        <f t="shared" ca="1" si="67"/>
        <v>380.83102964838781</v>
      </c>
      <c r="AS77" s="43">
        <f t="shared" ca="1" si="67"/>
        <v>394.15656622370864</v>
      </c>
      <c r="AT77" s="43">
        <f t="shared" ca="1" si="67"/>
        <v>407.80774943951565</v>
      </c>
      <c r="AU77" s="43">
        <f t="shared" ca="1" si="67"/>
        <v>421.85684587170778</v>
      </c>
      <c r="AV77" s="43">
        <f t="shared" ca="1" si="67"/>
        <v>436.38884037396582</v>
      </c>
      <c r="AW77" s="43">
        <f t="shared" ca="1" si="67"/>
        <v>451.49937517170667</v>
      </c>
    </row>
    <row r="78" spans="1:49" x14ac:dyDescent="0.2">
      <c r="A78" s="1" t="s">
        <v>372</v>
      </c>
      <c r="B78" s="4" t="str">
        <f>$B$43</f>
        <v>From Fiscal</v>
      </c>
      <c r="D78" s="18">
        <f>Fiscal!D$142</f>
        <v>76.433999999999997</v>
      </c>
      <c r="E78" s="19">
        <f>Fiscal!E$142</f>
        <v>74.843000000000004</v>
      </c>
      <c r="F78" s="19">
        <f>Fiscal!F$142</f>
        <v>80.236000000000004</v>
      </c>
      <c r="G78" s="19">
        <f>Fiscal!G$142</f>
        <v>75.947000000000003</v>
      </c>
      <c r="H78" s="19">
        <f>Fiscal!H$142</f>
        <v>75.301000000000002</v>
      </c>
      <c r="I78" s="19">
        <f>Fiscal!I$142</f>
        <v>80.745999999999995</v>
      </c>
      <c r="J78" s="7">
        <f t="shared" ref="J78:AW78" ca="1" si="68">SUM(J$334,J$347,J$356,J$380)</f>
        <v>87.598812678903244</v>
      </c>
      <c r="K78" s="7">
        <f t="shared" ca="1" si="68"/>
        <v>94.67642936063389</v>
      </c>
      <c r="L78" s="7">
        <f t="shared" ca="1" si="68"/>
        <v>102.05491202309028</v>
      </c>
      <c r="M78" s="7">
        <f t="shared" ca="1" si="68"/>
        <v>109.66980687083276</v>
      </c>
      <c r="N78" s="7">
        <f t="shared" ca="1" si="68"/>
        <v>117.4944288731154</v>
      </c>
      <c r="O78" s="7">
        <f t="shared" ca="1" si="68"/>
        <v>125.41368924949008</v>
      </c>
      <c r="P78" s="7">
        <f t="shared" ca="1" si="68"/>
        <v>133.43013584384622</v>
      </c>
      <c r="Q78" s="7">
        <f t="shared" ca="1" si="68"/>
        <v>141.53236314578629</v>
      </c>
      <c r="R78" s="7">
        <f t="shared" ca="1" si="68"/>
        <v>149.72330363577552</v>
      </c>
      <c r="S78" s="7">
        <f t="shared" ca="1" si="68"/>
        <v>158.04655393066514</v>
      </c>
      <c r="T78" s="7">
        <f t="shared" ca="1" si="68"/>
        <v>166.51388002953195</v>
      </c>
      <c r="U78" s="7">
        <f t="shared" ca="1" si="68"/>
        <v>175.12944055783572</v>
      </c>
      <c r="V78" s="7">
        <f t="shared" ca="1" si="68"/>
        <v>183.88232172939024</v>
      </c>
      <c r="W78" s="7">
        <f t="shared" ca="1" si="68"/>
        <v>192.76807294515024</v>
      </c>
      <c r="X78" s="7">
        <f t="shared" ca="1" si="68"/>
        <v>201.79797658177981</v>
      </c>
      <c r="Y78" s="7">
        <f t="shared" ca="1" si="68"/>
        <v>210.93953842402343</v>
      </c>
      <c r="Z78" s="7">
        <f t="shared" ca="1" si="68"/>
        <v>220.24866150113121</v>
      </c>
      <c r="AA78" s="7">
        <f t="shared" ca="1" si="68"/>
        <v>229.81867297477572</v>
      </c>
      <c r="AB78" s="7">
        <f t="shared" ca="1" si="68"/>
        <v>239.7504115391983</v>
      </c>
      <c r="AC78" s="7">
        <f t="shared" ca="1" si="68"/>
        <v>250.16503853188493</v>
      </c>
      <c r="AD78" s="7">
        <f t="shared" ca="1" si="68"/>
        <v>261.19594378406617</v>
      </c>
      <c r="AE78" s="7">
        <f t="shared" ca="1" si="68"/>
        <v>272.91163187861667</v>
      </c>
      <c r="AF78" s="7">
        <f t="shared" ca="1" si="68"/>
        <v>285.43076133353458</v>
      </c>
      <c r="AG78" s="7">
        <f t="shared" ca="1" si="68"/>
        <v>298.76856567361278</v>
      </c>
      <c r="AH78" s="7">
        <f t="shared" ca="1" si="68"/>
        <v>312.98046825325252</v>
      </c>
      <c r="AI78" s="7">
        <f t="shared" ca="1" si="68"/>
        <v>328.10570169741038</v>
      </c>
      <c r="AJ78" s="7">
        <f t="shared" ca="1" si="68"/>
        <v>344.23195463466499</v>
      </c>
      <c r="AK78" s="7">
        <f t="shared" ca="1" si="68"/>
        <v>361.37613656107447</v>
      </c>
      <c r="AL78" s="7">
        <f t="shared" ca="1" si="68"/>
        <v>379.58799671518744</v>
      </c>
      <c r="AM78" s="7">
        <f t="shared" ca="1" si="68"/>
        <v>398.92037206162081</v>
      </c>
      <c r="AN78" s="7">
        <f t="shared" ca="1" si="68"/>
        <v>419.37457475692133</v>
      </c>
      <c r="AO78" s="7">
        <f t="shared" ca="1" si="68"/>
        <v>440.94250507711195</v>
      </c>
      <c r="AP78" s="7">
        <f t="shared" ca="1" si="68"/>
        <v>463.56002016134767</v>
      </c>
      <c r="AQ78" s="7">
        <f t="shared" ca="1" si="68"/>
        <v>487.12539847679511</v>
      </c>
      <c r="AR78" s="7">
        <f t="shared" ca="1" si="68"/>
        <v>511.51512767251802</v>
      </c>
      <c r="AS78" s="7">
        <f t="shared" ca="1" si="68"/>
        <v>536.62097090999907</v>
      </c>
      <c r="AT78" s="7">
        <f t="shared" ca="1" si="68"/>
        <v>562.46179802804591</v>
      </c>
      <c r="AU78" s="7">
        <f t="shared" ca="1" si="68"/>
        <v>589.01864252381847</v>
      </c>
      <c r="AV78" s="7">
        <f t="shared" ca="1" si="68"/>
        <v>616.35244655736801</v>
      </c>
      <c r="AW78" s="7">
        <f t="shared" ca="1" si="68"/>
        <v>644.44703766534906</v>
      </c>
    </row>
    <row r="79" spans="1:49" ht="15" x14ac:dyDescent="0.25">
      <c r="A79" s="2" t="s">
        <v>261</v>
      </c>
      <c r="D79" s="40">
        <f t="shared" ref="D79:I79" si="69">D$77-D$78</f>
        <v>16.722000000000008</v>
      </c>
      <c r="E79" s="39">
        <f t="shared" si="69"/>
        <v>19.221000000000004</v>
      </c>
      <c r="F79" s="39">
        <f t="shared" si="69"/>
        <v>20.924999999999997</v>
      </c>
      <c r="G79" s="39">
        <f t="shared" si="69"/>
        <v>20.638999999999996</v>
      </c>
      <c r="H79" s="39">
        <f t="shared" si="69"/>
        <v>16.334999999999994</v>
      </c>
      <c r="I79" s="39">
        <f t="shared" si="69"/>
        <v>10.103000000000009</v>
      </c>
      <c r="J79" s="43">
        <f t="shared" ref="J79:AW79" ca="1" si="70">J$77-J$78</f>
        <v>3.8401569724885576</v>
      </c>
      <c r="K79" s="43">
        <f t="shared" ca="1" si="70"/>
        <v>-2.8614383400582284</v>
      </c>
      <c r="L79" s="43">
        <f t="shared" ca="1" si="70"/>
        <v>-10.117249488153561</v>
      </c>
      <c r="M79" s="43">
        <f t="shared" ca="1" si="70"/>
        <v>-17.809924555820785</v>
      </c>
      <c r="N79" s="43">
        <f t="shared" ca="1" si="70"/>
        <v>-25.879108974688464</v>
      </c>
      <c r="O79" s="43">
        <f t="shared" ca="1" si="70"/>
        <v>-34.205941999575913</v>
      </c>
      <c r="P79" s="43">
        <f t="shared" ca="1" si="70"/>
        <v>-42.025031798614435</v>
      </c>
      <c r="Q79" s="43">
        <f t="shared" ca="1" si="70"/>
        <v>-49.301089955734611</v>
      </c>
      <c r="R79" s="43">
        <f t="shared" ca="1" si="70"/>
        <v>-55.832134917224607</v>
      </c>
      <c r="S79" s="43">
        <f t="shared" ca="1" si="70"/>
        <v>-61.55036850920213</v>
      </c>
      <c r="T79" s="43">
        <f t="shared" ca="1" si="70"/>
        <v>-66.334297424983376</v>
      </c>
      <c r="U79" s="43">
        <f t="shared" ca="1" si="70"/>
        <v>-70.043630539871899</v>
      </c>
      <c r="V79" s="43">
        <f t="shared" ca="1" si="70"/>
        <v>-72.522611955777194</v>
      </c>
      <c r="W79" s="43">
        <f t="shared" ca="1" si="70"/>
        <v>-73.807171408087839</v>
      </c>
      <c r="X79" s="43">
        <f t="shared" ca="1" si="70"/>
        <v>-73.873566425816875</v>
      </c>
      <c r="Y79" s="43">
        <f t="shared" ca="1" si="70"/>
        <v>-72.550604368883711</v>
      </c>
      <c r="Z79" s="43">
        <f t="shared" ca="1" si="70"/>
        <v>-69.748086564810677</v>
      </c>
      <c r="AA79" s="43">
        <f t="shared" ca="1" si="70"/>
        <v>-67.001353174781514</v>
      </c>
      <c r="AB79" s="43">
        <f t="shared" ca="1" si="70"/>
        <v>-64.430408142087742</v>
      </c>
      <c r="AC79" s="43">
        <f t="shared" ca="1" si="70"/>
        <v>-62.18254225279432</v>
      </c>
      <c r="AD79" s="43">
        <f t="shared" ca="1" si="70"/>
        <v>-60.437040398849973</v>
      </c>
      <c r="AE79" s="43">
        <f t="shared" ca="1" si="70"/>
        <v>-59.275543765185091</v>
      </c>
      <c r="AF79" s="43">
        <f t="shared" ca="1" si="70"/>
        <v>-58.846809043871843</v>
      </c>
      <c r="AG79" s="43">
        <f t="shared" ca="1" si="70"/>
        <v>-59.207227317667758</v>
      </c>
      <c r="AH79" s="43">
        <f t="shared" ca="1" si="70"/>
        <v>-60.444234290167259</v>
      </c>
      <c r="AI79" s="43">
        <f t="shared" ca="1" si="70"/>
        <v>-62.628726578029841</v>
      </c>
      <c r="AJ79" s="43">
        <f t="shared" ca="1" si="70"/>
        <v>-65.845123900283284</v>
      </c>
      <c r="AK79" s="43">
        <f t="shared" ca="1" si="70"/>
        <v>-70.120597086972793</v>
      </c>
      <c r="AL79" s="43">
        <f t="shared" ca="1" si="70"/>
        <v>-75.521923588463835</v>
      </c>
      <c r="AM79" s="43">
        <f t="shared" ca="1" si="70"/>
        <v>-82.093834952806844</v>
      </c>
      <c r="AN79" s="43">
        <f t="shared" ca="1" si="70"/>
        <v>-89.850387752215227</v>
      </c>
      <c r="AO79" s="43">
        <f t="shared" ca="1" si="70"/>
        <v>-98.720398156652777</v>
      </c>
      <c r="AP79" s="43">
        <f t="shared" ca="1" si="70"/>
        <v>-108.59684743485269</v>
      </c>
      <c r="AQ79" s="43">
        <f t="shared" ca="1" si="70"/>
        <v>-119.32311807205059</v>
      </c>
      <c r="AR79" s="43">
        <f t="shared" ca="1" si="70"/>
        <v>-130.68409802413021</v>
      </c>
      <c r="AS79" s="43">
        <f t="shared" ca="1" si="70"/>
        <v>-142.46440468629044</v>
      </c>
      <c r="AT79" s="43">
        <f t="shared" ca="1" si="70"/>
        <v>-154.65404858853026</v>
      </c>
      <c r="AU79" s="43">
        <f t="shared" ca="1" si="70"/>
        <v>-167.1617966521107</v>
      </c>
      <c r="AV79" s="43">
        <f t="shared" ca="1" si="70"/>
        <v>-179.96360618340219</v>
      </c>
      <c r="AW79" s="43">
        <f t="shared" ca="1" si="70"/>
        <v>-192.94766249364238</v>
      </c>
    </row>
    <row r="80" spans="1:49" x14ac:dyDescent="0.2">
      <c r="A80" s="1" t="s">
        <v>373</v>
      </c>
      <c r="B80" s="4" t="str">
        <f>$B$43</f>
        <v>From Fiscal</v>
      </c>
      <c r="D80" s="18">
        <f>Fiscal!D$144</f>
        <v>14.14</v>
      </c>
      <c r="E80" s="19">
        <f>Fiscal!E$144</f>
        <v>14.151999999999999</v>
      </c>
      <c r="F80" s="19">
        <f>Fiscal!F$144</f>
        <v>14.571999999999999</v>
      </c>
      <c r="G80" s="19">
        <f>Fiscal!G$144</f>
        <v>14.773</v>
      </c>
      <c r="H80" s="19">
        <f>Fiscal!H$144</f>
        <v>14.847</v>
      </c>
      <c r="I80" s="19">
        <f>Fiscal!I$144</f>
        <v>14.786</v>
      </c>
      <c r="J80" s="7">
        <f t="shared" ref="J80:AW80" ca="1" si="71">J$380-J$377</f>
        <v>15.345917528541024</v>
      </c>
      <c r="K80" s="7">
        <f t="shared" ca="1" si="71"/>
        <v>15.89388220675446</v>
      </c>
      <c r="L80" s="7">
        <f t="shared" ca="1" si="71"/>
        <v>16.439120972929146</v>
      </c>
      <c r="M80" s="7">
        <f t="shared" ca="1" si="71"/>
        <v>16.985321546390971</v>
      </c>
      <c r="N80" s="7">
        <f t="shared" ca="1" si="71"/>
        <v>17.515462611442516</v>
      </c>
      <c r="O80" s="7">
        <f t="shared" ca="1" si="71"/>
        <v>18.032465889559393</v>
      </c>
      <c r="P80" s="7">
        <f t="shared" ca="1" si="71"/>
        <v>18.56616219119266</v>
      </c>
      <c r="Q80" s="7">
        <f t="shared" ca="1" si="71"/>
        <v>19.116223468572212</v>
      </c>
      <c r="R80" s="7">
        <f t="shared" ca="1" si="71"/>
        <v>19.681417362137367</v>
      </c>
      <c r="S80" s="7">
        <f t="shared" ca="1" si="71"/>
        <v>20.261767790943729</v>
      </c>
      <c r="T80" s="7">
        <f t="shared" ca="1" si="71"/>
        <v>20.856395951940382</v>
      </c>
      <c r="U80" s="7">
        <f t="shared" ca="1" si="71"/>
        <v>21.471861528565586</v>
      </c>
      <c r="V80" s="7">
        <f t="shared" ca="1" si="71"/>
        <v>22.10504860651297</v>
      </c>
      <c r="W80" s="7">
        <f t="shared" ca="1" si="71"/>
        <v>22.757029275496382</v>
      </c>
      <c r="X80" s="7">
        <f t="shared" ca="1" si="71"/>
        <v>23.419017547641289</v>
      </c>
      <c r="Y80" s="7">
        <f t="shared" ca="1" si="71"/>
        <v>24.092983898974808</v>
      </c>
      <c r="Z80" s="7">
        <f t="shared" ca="1" si="71"/>
        <v>24.78601076866784</v>
      </c>
      <c r="AA80" s="7">
        <f t="shared" ca="1" si="71"/>
        <v>25.516798728734798</v>
      </c>
      <c r="AB80" s="7">
        <f t="shared" ca="1" si="71"/>
        <v>26.285690749049667</v>
      </c>
      <c r="AC80" s="7">
        <f t="shared" ca="1" si="71"/>
        <v>27.093442957801514</v>
      </c>
      <c r="AD80" s="7">
        <f t="shared" ca="1" si="71"/>
        <v>27.943576351252609</v>
      </c>
      <c r="AE80" s="7">
        <f t="shared" ca="1" si="71"/>
        <v>28.845641586484476</v>
      </c>
      <c r="AF80" s="7">
        <f t="shared" ca="1" si="71"/>
        <v>29.805101220103303</v>
      </c>
      <c r="AG80" s="7">
        <f t="shared" ca="1" si="71"/>
        <v>30.807274131289326</v>
      </c>
      <c r="AH80" s="7">
        <f t="shared" ca="1" si="71"/>
        <v>31.833085293019231</v>
      </c>
      <c r="AI80" s="7">
        <f t="shared" ca="1" si="71"/>
        <v>32.87451626941597</v>
      </c>
      <c r="AJ80" s="7">
        <f t="shared" ca="1" si="71"/>
        <v>33.95354671923252</v>
      </c>
      <c r="AK80" s="7">
        <f t="shared" ca="1" si="71"/>
        <v>35.072667739011436</v>
      </c>
      <c r="AL80" s="7">
        <f t="shared" ca="1" si="71"/>
        <v>36.226374574913926</v>
      </c>
      <c r="AM80" s="7">
        <f t="shared" ca="1" si="71"/>
        <v>37.413617995978314</v>
      </c>
      <c r="AN80" s="7">
        <f t="shared" ca="1" si="71"/>
        <v>38.615399614638577</v>
      </c>
      <c r="AO80" s="7">
        <f t="shared" ca="1" si="71"/>
        <v>39.855858889228706</v>
      </c>
      <c r="AP80" s="7">
        <f t="shared" ca="1" si="71"/>
        <v>41.134219787223984</v>
      </c>
      <c r="AQ80" s="7">
        <f t="shared" ca="1" si="71"/>
        <v>42.437314372906094</v>
      </c>
      <c r="AR80" s="7">
        <f t="shared" ca="1" si="71"/>
        <v>43.77607119139364</v>
      </c>
      <c r="AS80" s="7">
        <f t="shared" ca="1" si="71"/>
        <v>45.166440072390145</v>
      </c>
      <c r="AT80" s="7">
        <f t="shared" ca="1" si="71"/>
        <v>46.583122673140252</v>
      </c>
      <c r="AU80" s="7">
        <f t="shared" ca="1" si="71"/>
        <v>48.019309872527884</v>
      </c>
      <c r="AV80" s="7">
        <f t="shared" ca="1" si="71"/>
        <v>49.492829700613314</v>
      </c>
      <c r="AW80" s="7">
        <f t="shared" ca="1" si="71"/>
        <v>51.029174395386846</v>
      </c>
    </row>
    <row r="81" spans="1:49" x14ac:dyDescent="0.2">
      <c r="A81" s="1" t="s">
        <v>374</v>
      </c>
      <c r="B81" s="4" t="str">
        <f>$B$43</f>
        <v>From Fiscal</v>
      </c>
      <c r="D81" s="18">
        <f>Fiscal!D$145</f>
        <v>29.768999999999998</v>
      </c>
      <c r="E81" s="19">
        <f>Fiscal!E$145</f>
        <v>28.899000000000001</v>
      </c>
      <c r="F81" s="19">
        <f>Fiscal!F$145</f>
        <v>30.837</v>
      </c>
      <c r="G81" s="19">
        <f>Fiscal!G$145</f>
        <v>32.896000000000001</v>
      </c>
      <c r="H81" s="19">
        <f>Fiscal!H$145</f>
        <v>35.095999999999997</v>
      </c>
      <c r="I81" s="19">
        <f>Fiscal!I$145</f>
        <v>37.46</v>
      </c>
      <c r="J81" s="7">
        <f t="shared" ref="J81:AW81" ca="1" si="72">J$372-J$338</f>
        <v>42.51581279212877</v>
      </c>
      <c r="K81" s="7">
        <f t="shared" ca="1" si="72"/>
        <v>47.77259786454632</v>
      </c>
      <c r="L81" s="7">
        <f t="shared" ca="1" si="72"/>
        <v>53.238115119813223</v>
      </c>
      <c r="M81" s="7">
        <f t="shared" ca="1" si="72"/>
        <v>58.89147771396253</v>
      </c>
      <c r="N81" s="7">
        <f t="shared" ca="1" si="72"/>
        <v>64.7199941479887</v>
      </c>
      <c r="O81" s="7">
        <f t="shared" ca="1" si="72"/>
        <v>70.617160914832894</v>
      </c>
      <c r="P81" s="7">
        <f t="shared" ca="1" si="72"/>
        <v>76.545199402292894</v>
      </c>
      <c r="Q81" s="7">
        <f t="shared" ca="1" si="72"/>
        <v>82.494711521965201</v>
      </c>
      <c r="R81" s="7">
        <f t="shared" ca="1" si="72"/>
        <v>88.471051631660799</v>
      </c>
      <c r="S81" s="7">
        <f t="shared" ca="1" si="72"/>
        <v>94.512550682618567</v>
      </c>
      <c r="T81" s="7">
        <f t="shared" ca="1" si="72"/>
        <v>100.63123303369288</v>
      </c>
      <c r="U81" s="7">
        <f t="shared" ca="1" si="72"/>
        <v>106.81840251119944</v>
      </c>
      <c r="V81" s="7">
        <f t="shared" ca="1" si="72"/>
        <v>113.06178602637043</v>
      </c>
      <c r="W81" s="7">
        <f t="shared" ca="1" si="72"/>
        <v>119.35042474542534</v>
      </c>
      <c r="X81" s="7">
        <f t="shared" ca="1" si="72"/>
        <v>125.69822591083789</v>
      </c>
      <c r="Y81" s="7">
        <f t="shared" ca="1" si="72"/>
        <v>132.07093135388416</v>
      </c>
      <c r="Z81" s="7">
        <f t="shared" ca="1" si="72"/>
        <v>138.50675808036769</v>
      </c>
      <c r="AA81" s="7">
        <f t="shared" ca="1" si="72"/>
        <v>145.07680499640776</v>
      </c>
      <c r="AB81" s="7">
        <f t="shared" ca="1" si="72"/>
        <v>151.87475327948803</v>
      </c>
      <c r="AC81" s="7">
        <f t="shared" ca="1" si="72"/>
        <v>159.01208032704778</v>
      </c>
      <c r="AD81" s="7">
        <f t="shared" ca="1" si="72"/>
        <v>166.61605204027745</v>
      </c>
      <c r="AE81" s="7">
        <f t="shared" ca="1" si="72"/>
        <v>174.74798879245148</v>
      </c>
      <c r="AF81" s="7">
        <f t="shared" ca="1" si="72"/>
        <v>183.51366739325306</v>
      </c>
      <c r="AG81" s="7">
        <f t="shared" ca="1" si="72"/>
        <v>192.9414402052364</v>
      </c>
      <c r="AH81" s="7">
        <f t="shared" ca="1" si="72"/>
        <v>203.10114265676808</v>
      </c>
      <c r="AI81" s="7">
        <f t="shared" ca="1" si="72"/>
        <v>214.04531391204253</v>
      </c>
      <c r="AJ81" s="7">
        <f t="shared" ca="1" si="72"/>
        <v>225.82960513784226</v>
      </c>
      <c r="AK81" s="7">
        <f t="shared" ca="1" si="72"/>
        <v>238.47111892144869</v>
      </c>
      <c r="AL81" s="7">
        <f t="shared" ca="1" si="72"/>
        <v>252.02777456866389</v>
      </c>
      <c r="AM81" s="7">
        <f t="shared" ca="1" si="72"/>
        <v>266.5486747732819</v>
      </c>
      <c r="AN81" s="7">
        <f t="shared" ca="1" si="72"/>
        <v>282.0490888081892</v>
      </c>
      <c r="AO81" s="7">
        <f t="shared" ca="1" si="72"/>
        <v>298.51151032522358</v>
      </c>
      <c r="AP81" s="7">
        <f t="shared" ca="1" si="72"/>
        <v>315.8561595821094</v>
      </c>
      <c r="AQ81" s="7">
        <f t="shared" ca="1" si="72"/>
        <v>334.00567557193818</v>
      </c>
      <c r="AR81" s="7">
        <f t="shared" ca="1" si="72"/>
        <v>352.82096100981215</v>
      </c>
      <c r="AS81" s="7">
        <f t="shared" ca="1" si="72"/>
        <v>372.16794749205451</v>
      </c>
      <c r="AT81" s="7">
        <f t="shared" ca="1" si="72"/>
        <v>392.08731423198344</v>
      </c>
      <c r="AU81" s="7">
        <f t="shared" ca="1" si="72"/>
        <v>412.5609134990986</v>
      </c>
      <c r="AV81" s="7">
        <f t="shared" ca="1" si="72"/>
        <v>433.6174911936638</v>
      </c>
      <c r="AW81" s="7">
        <f t="shared" ca="1" si="72"/>
        <v>455.21809457653148</v>
      </c>
    </row>
    <row r="82" spans="1:49" ht="15" x14ac:dyDescent="0.25">
      <c r="A82" s="2" t="s">
        <v>375</v>
      </c>
      <c r="D82" s="40">
        <f t="shared" ref="D82:I82" si="73">SUM(D$79:D$81)</f>
        <v>60.631000000000007</v>
      </c>
      <c r="E82" s="39">
        <f t="shared" si="73"/>
        <v>62.272000000000006</v>
      </c>
      <c r="F82" s="39">
        <f t="shared" si="73"/>
        <v>66.334000000000003</v>
      </c>
      <c r="G82" s="39">
        <f t="shared" si="73"/>
        <v>68.307999999999993</v>
      </c>
      <c r="H82" s="39">
        <f t="shared" si="73"/>
        <v>66.277999999999992</v>
      </c>
      <c r="I82" s="39">
        <f t="shared" si="73"/>
        <v>62.349000000000011</v>
      </c>
      <c r="J82" s="43">
        <f t="shared" ref="J82:AW82" ca="1" si="74">SUM(J$79:J$81)</f>
        <v>61.70188729315835</v>
      </c>
      <c r="K82" s="43">
        <f t="shared" ca="1" si="74"/>
        <v>60.805041731242554</v>
      </c>
      <c r="L82" s="43">
        <f t="shared" ca="1" si="74"/>
        <v>59.559986604588808</v>
      </c>
      <c r="M82" s="43">
        <f t="shared" ca="1" si="74"/>
        <v>58.066874704532715</v>
      </c>
      <c r="N82" s="43">
        <f t="shared" ca="1" si="74"/>
        <v>56.356347784742752</v>
      </c>
      <c r="O82" s="43">
        <f t="shared" ca="1" si="74"/>
        <v>54.443684804816371</v>
      </c>
      <c r="P82" s="43">
        <f t="shared" ca="1" si="74"/>
        <v>53.086329794871119</v>
      </c>
      <c r="Q82" s="43">
        <f t="shared" ca="1" si="74"/>
        <v>52.309845034802805</v>
      </c>
      <c r="R82" s="43">
        <f t="shared" ca="1" si="74"/>
        <v>52.320334076573559</v>
      </c>
      <c r="S82" s="43">
        <f t="shared" ca="1" si="74"/>
        <v>53.223949964360166</v>
      </c>
      <c r="T82" s="43">
        <f t="shared" ca="1" si="74"/>
        <v>55.153331560649889</v>
      </c>
      <c r="U82" s="43">
        <f t="shared" ca="1" si="74"/>
        <v>58.246633499893122</v>
      </c>
      <c r="V82" s="43">
        <f t="shared" ca="1" si="74"/>
        <v>62.6442226771062</v>
      </c>
      <c r="W82" s="43">
        <f t="shared" ca="1" si="74"/>
        <v>68.300282612833882</v>
      </c>
      <c r="X82" s="43">
        <f t="shared" ca="1" si="74"/>
        <v>75.243677032662305</v>
      </c>
      <c r="Y82" s="43">
        <f t="shared" ca="1" si="74"/>
        <v>83.613310883975259</v>
      </c>
      <c r="Z82" s="43">
        <f t="shared" ca="1" si="74"/>
        <v>93.544682284224848</v>
      </c>
      <c r="AA82" s="43">
        <f t="shared" ca="1" si="74"/>
        <v>103.59225055036104</v>
      </c>
      <c r="AB82" s="43">
        <f t="shared" ca="1" si="74"/>
        <v>113.73003588644995</v>
      </c>
      <c r="AC82" s="43">
        <f t="shared" ca="1" si="74"/>
        <v>123.92298103205498</v>
      </c>
      <c r="AD82" s="43">
        <f t="shared" ca="1" si="74"/>
        <v>134.12258799268008</v>
      </c>
      <c r="AE82" s="43">
        <f t="shared" ca="1" si="74"/>
        <v>144.31808661375086</v>
      </c>
      <c r="AF82" s="43">
        <f t="shared" ca="1" si="74"/>
        <v>154.47195956948451</v>
      </c>
      <c r="AG82" s="43">
        <f t="shared" ca="1" si="74"/>
        <v>164.54148701885796</v>
      </c>
      <c r="AH82" s="43">
        <f t="shared" ca="1" si="74"/>
        <v>174.48999365962004</v>
      </c>
      <c r="AI82" s="43">
        <f t="shared" ca="1" si="74"/>
        <v>184.29110360342867</v>
      </c>
      <c r="AJ82" s="43">
        <f t="shared" ca="1" si="74"/>
        <v>193.9380279567915</v>
      </c>
      <c r="AK82" s="43">
        <f t="shared" ca="1" si="74"/>
        <v>203.42318957348732</v>
      </c>
      <c r="AL82" s="43">
        <f t="shared" ca="1" si="74"/>
        <v>212.73222555511398</v>
      </c>
      <c r="AM82" s="43">
        <f t="shared" ca="1" si="74"/>
        <v>221.86845781645337</v>
      </c>
      <c r="AN82" s="43">
        <f t="shared" ca="1" si="74"/>
        <v>230.81410067061256</v>
      </c>
      <c r="AO82" s="43">
        <f t="shared" ca="1" si="74"/>
        <v>239.6469710577995</v>
      </c>
      <c r="AP82" s="43">
        <f t="shared" ca="1" si="74"/>
        <v>248.39353193448068</v>
      </c>
      <c r="AQ82" s="43">
        <f t="shared" ca="1" si="74"/>
        <v>257.11987187279368</v>
      </c>
      <c r="AR82" s="43">
        <f t="shared" ca="1" si="74"/>
        <v>265.91293417707561</v>
      </c>
      <c r="AS82" s="43">
        <f t="shared" ca="1" si="74"/>
        <v>274.86998287815425</v>
      </c>
      <c r="AT82" s="43">
        <f t="shared" ca="1" si="74"/>
        <v>284.01638831659341</v>
      </c>
      <c r="AU82" s="43">
        <f t="shared" ca="1" si="74"/>
        <v>293.41842671951576</v>
      </c>
      <c r="AV82" s="43">
        <f t="shared" ca="1" si="74"/>
        <v>303.1467147108749</v>
      </c>
      <c r="AW82" s="43">
        <f t="shared" ca="1" si="74"/>
        <v>313.29960647827596</v>
      </c>
    </row>
    <row r="83" spans="1:49" ht="15" x14ac:dyDescent="0.25">
      <c r="A83" s="30" t="s">
        <v>376</v>
      </c>
      <c r="B83" s="4" t="str">
        <f>$B$64</f>
        <v>History &amp; Forecast only</v>
      </c>
      <c r="D83" s="6" t="str">
        <f>IF(ROUND(Fiscal!D$146-D$82,3)=0,"OK","ERROR")</f>
        <v>OK</v>
      </c>
      <c r="E83" s="6" t="str">
        <f>IF(ROUND(Fiscal!E$146-E$82,3)=0,"OK","ERROR")</f>
        <v>OK</v>
      </c>
      <c r="F83" s="6" t="str">
        <f>IF(ROUND(Fiscal!F$146-F$82,3)=0,"OK","ERROR")</f>
        <v>OK</v>
      </c>
      <c r="G83" s="6" t="str">
        <f>IF(ROUND(Fiscal!G$146-G$82,3)=0,"OK","ERROR")</f>
        <v>OK</v>
      </c>
      <c r="H83" s="6" t="str">
        <f>IF(ROUND(Fiscal!H$146-H$82,3)=0,"OK","ERROR")</f>
        <v>OK</v>
      </c>
      <c r="I83" s="6" t="str">
        <f>IF(ROUND(Fiscal!I$146-I$82,3)=0,"OK","ERROR")</f>
        <v>OK</v>
      </c>
    </row>
    <row r="84" spans="1:49" ht="15" x14ac:dyDescent="0.25">
      <c r="A84" s="30"/>
      <c r="B84" s="4"/>
      <c r="D84" s="6"/>
      <c r="E84" s="6"/>
      <c r="F84" s="6"/>
      <c r="G84" s="6"/>
      <c r="H84" s="6"/>
      <c r="I84" s="6"/>
      <c r="J84" s="6"/>
      <c r="K84" s="6"/>
      <c r="L84" s="6"/>
      <c r="M84" s="6"/>
      <c r="N84" s="6"/>
      <c r="O84" s="6"/>
      <c r="P84" s="6"/>
      <c r="Q84" s="6"/>
      <c r="R84" s="6"/>
      <c r="S84" s="6"/>
    </row>
    <row r="85" spans="1:49" x14ac:dyDescent="0.2">
      <c r="A85" s="22" t="s">
        <v>191</v>
      </c>
    </row>
    <row r="86" spans="1:49" x14ac:dyDescent="0.2">
      <c r="A86" s="1" t="s">
        <v>192</v>
      </c>
      <c r="B86" s="4" t="str">
        <f>$B$43</f>
        <v>From Fiscal</v>
      </c>
      <c r="D86" s="18">
        <f>Fiscal!D$70</f>
        <v>64.944999999999993</v>
      </c>
      <c r="E86" s="19">
        <f>Fiscal!E$70</f>
        <v>68.400999999999996</v>
      </c>
      <c r="F86" s="19">
        <f>Fiscal!F$70</f>
        <v>70.058000000000007</v>
      </c>
      <c r="G86" s="19">
        <f>Fiscal!G$70</f>
        <v>73.436999999999998</v>
      </c>
      <c r="H86" s="19">
        <f>Fiscal!H$70</f>
        <v>78.221000000000004</v>
      </c>
      <c r="I86" s="19">
        <f>Fiscal!I$70</f>
        <v>82.203000000000003</v>
      </c>
      <c r="J86" s="7">
        <f t="shared" ref="J86:AW86" ca="1" si="75">J$472-J$364+J$138</f>
        <v>85.985914086526364</v>
      </c>
      <c r="K86" s="7">
        <f t="shared" ca="1" si="75"/>
        <v>89.963429359674961</v>
      </c>
      <c r="L86" s="7">
        <f t="shared" ca="1" si="75"/>
        <v>94.015663041180972</v>
      </c>
      <c r="M86" s="7">
        <f t="shared" ca="1" si="75"/>
        <v>98.077746432950022</v>
      </c>
      <c r="N86" s="7">
        <f t="shared" ca="1" si="75"/>
        <v>102.30759213895956</v>
      </c>
      <c r="O86" s="7">
        <f t="shared" ca="1" si="75"/>
        <v>106.68304470623168</v>
      </c>
      <c r="P86" s="7">
        <f t="shared" ca="1" si="75"/>
        <v>111.39155427987299</v>
      </c>
      <c r="Q86" s="7">
        <f t="shared" ca="1" si="75"/>
        <v>116.14472477384892</v>
      </c>
      <c r="R86" s="7">
        <f t="shared" ca="1" si="75"/>
        <v>120.94339734879516</v>
      </c>
      <c r="S86" s="7">
        <f t="shared" ca="1" si="75"/>
        <v>125.89333873451606</v>
      </c>
      <c r="T86" s="7">
        <f t="shared" ca="1" si="75"/>
        <v>130.99635400704619</v>
      </c>
      <c r="U86" s="7">
        <f t="shared" ca="1" si="75"/>
        <v>136.27075775368482</v>
      </c>
      <c r="V86" s="7">
        <f t="shared" ca="1" si="75"/>
        <v>141.72956987020666</v>
      </c>
      <c r="W86" s="7">
        <f t="shared" ca="1" si="75"/>
        <v>147.38860591222968</v>
      </c>
      <c r="X86" s="7">
        <f t="shared" ca="1" si="75"/>
        <v>153.26579063494421</v>
      </c>
      <c r="Y86" s="7">
        <f t="shared" ca="1" si="75"/>
        <v>159.36052319547332</v>
      </c>
      <c r="Z86" s="7">
        <f t="shared" ca="1" si="75"/>
        <v>165.70365295052164</v>
      </c>
      <c r="AA86" s="7">
        <f t="shared" ca="1" si="75"/>
        <v>172.30544310590705</v>
      </c>
      <c r="AB86" s="7">
        <f t="shared" ca="1" si="75"/>
        <v>179.18571944714981</v>
      </c>
      <c r="AC86" s="7">
        <f t="shared" ca="1" si="75"/>
        <v>186.37045595110808</v>
      </c>
      <c r="AD86" s="7">
        <f t="shared" ca="1" si="75"/>
        <v>193.86722541868579</v>
      </c>
      <c r="AE86" s="7">
        <f t="shared" ca="1" si="75"/>
        <v>201.66914306634425</v>
      </c>
      <c r="AF86" s="7">
        <f t="shared" ca="1" si="75"/>
        <v>209.797793676319</v>
      </c>
      <c r="AG86" s="7">
        <f t="shared" ca="1" si="75"/>
        <v>218.25772245012831</v>
      </c>
      <c r="AH86" s="7">
        <f t="shared" ca="1" si="75"/>
        <v>227.06249547056404</v>
      </c>
      <c r="AI86" s="7">
        <f t="shared" ca="1" si="75"/>
        <v>236.19672788448403</v>
      </c>
      <c r="AJ86" s="7">
        <f t="shared" ca="1" si="75"/>
        <v>245.68968118929064</v>
      </c>
      <c r="AK86" s="7">
        <f t="shared" ca="1" si="75"/>
        <v>255.53354618917834</v>
      </c>
      <c r="AL86" s="7">
        <f t="shared" ca="1" si="75"/>
        <v>265.72056860011253</v>
      </c>
      <c r="AM86" s="7">
        <f t="shared" ca="1" si="75"/>
        <v>276.26466522126344</v>
      </c>
      <c r="AN86" s="7">
        <f t="shared" ca="1" si="75"/>
        <v>287.18050278892116</v>
      </c>
      <c r="AO86" s="7">
        <f t="shared" ca="1" si="75"/>
        <v>298.42521858382901</v>
      </c>
      <c r="AP86" s="7">
        <f t="shared" ca="1" si="75"/>
        <v>310.04656323671742</v>
      </c>
      <c r="AQ86" s="7">
        <f t="shared" ca="1" si="75"/>
        <v>322.0119737765429</v>
      </c>
      <c r="AR86" s="7">
        <f t="shared" ca="1" si="75"/>
        <v>334.33499718861088</v>
      </c>
      <c r="AS86" s="7">
        <f t="shared" ca="1" si="75"/>
        <v>347.04438273109793</v>
      </c>
      <c r="AT86" s="7">
        <f t="shared" ca="1" si="75"/>
        <v>360.15028097414302</v>
      </c>
      <c r="AU86" s="7">
        <f t="shared" ca="1" si="75"/>
        <v>373.6701198365883</v>
      </c>
      <c r="AV86" s="7">
        <f t="shared" ca="1" si="75"/>
        <v>387.64570128204667</v>
      </c>
      <c r="AW86" s="7">
        <f t="shared" ca="1" si="75"/>
        <v>402.06913530967222</v>
      </c>
    </row>
    <row r="87" spans="1:49" x14ac:dyDescent="0.2">
      <c r="A87" s="1" t="s">
        <v>193</v>
      </c>
      <c r="B87" s="4" t="str">
        <f t="shared" ref="B87:B94" si="76">$B$43</f>
        <v>From Fiscal</v>
      </c>
      <c r="D87" s="18">
        <f>Fiscal!D$71</f>
        <v>4.7309999999999999</v>
      </c>
      <c r="E87" s="19">
        <f>Fiscal!E$71</f>
        <v>4.5659999999999998</v>
      </c>
      <c r="F87" s="19">
        <f>Fiscal!F$71</f>
        <v>4.1539999999999999</v>
      </c>
      <c r="G87" s="19">
        <f>Fiscal!G$71</f>
        <v>4.2859999999999996</v>
      </c>
      <c r="H87" s="19">
        <f>Fiscal!H$71</f>
        <v>4.4740000000000002</v>
      </c>
      <c r="I87" s="19">
        <f>Fiscal!I$71</f>
        <v>4.5679999999999996</v>
      </c>
      <c r="J87" s="7">
        <f ca="1">IF(J$6=OFFSET(Assumptions!$B$8,0,$C$1),AVERAGE(G$87/G$145,H$87/H$145,I$87/I$145),I$87/I$145) *J$145</f>
        <v>4.850982082800436</v>
      </c>
      <c r="K87" s="7">
        <f ca="1">IF(K$6=OFFSET(Assumptions!$B$8,0,$C$1),AVERAGE(H$87/H$145,I$87/I$145,J$87/J$145),J$87/J$145) *K$145</f>
        <v>5.0662568757633233</v>
      </c>
      <c r="L87" s="7">
        <f ca="1">IF(L$6=OFFSET(Assumptions!$B$8,0,$C$1),AVERAGE(I$87/I$145,J$87/J$145,K$87/K$145),K$87/K$145) *L$145</f>
        <v>5.2996604419096096</v>
      </c>
      <c r="M87" s="7">
        <f ca="1">IF(M$6=OFFSET(Assumptions!$B$8,0,$C$1),AVERAGE(J$87/J$145,K$87/K$145,L$87/L$145),L$87/L$145) *M$145</f>
        <v>5.5332365563438346</v>
      </c>
      <c r="N87" s="7">
        <f ca="1">IF(N$6=OFFSET(Assumptions!$B$8,0,$C$1),AVERAGE(K$87/K$145,L$87/L$145,M$87/M$145),M$87/M$145) *N$145</f>
        <v>5.7787061351624986</v>
      </c>
      <c r="O87" s="7">
        <f ca="1">IF(O$6=OFFSET(Assumptions!$B$8,0,$C$1),AVERAGE(L$87/L$145,M$87/M$145,N$87/N$145),N$87/N$145) *O$145</f>
        <v>6.0329190060205153</v>
      </c>
      <c r="P87" s="7">
        <f ca="1">IF(P$6=OFFSET(Assumptions!$B$8,0,$C$1),AVERAGE(M$87/M$145,N$87/N$145,O$87/O$145),O$87/O$145) *P$145</f>
        <v>6.3015824806984346</v>
      </c>
      <c r="Q87" s="7">
        <f ca="1">IF(Q$6=OFFSET(Assumptions!$B$8,0,$C$1),AVERAGE(N$87/N$145,O$87/O$145,P$87/P$145),P$87/P$145) *Q$145</f>
        <v>6.563654829944972</v>
      </c>
      <c r="R87" s="7">
        <f ca="1">IF(R$6=OFFSET(Assumptions!$B$8,0,$C$1),AVERAGE(O$87/O$145,P$87/P$145,Q$87/Q$145),Q$87/Q$145) *R$145</f>
        <v>6.8436566847234817</v>
      </c>
      <c r="S87" s="7">
        <f ca="1">IF(S$6=OFFSET(Assumptions!$B$8,0,$C$1),AVERAGE(P$87/P$145,Q$87/Q$145,R$87/R$145),R$87/R$145) *S$145</f>
        <v>7.1261781543415115</v>
      </c>
      <c r="T87" s="7">
        <f ca="1">IF(T$6=OFFSET(Assumptions!$B$8,0,$C$1),AVERAGE(Q$87/Q$145,R$87/R$145,S$87/S$145),S$87/S$145) *T$145</f>
        <v>7.4310739259963139</v>
      </c>
      <c r="U87" s="7">
        <f ca="1">IF(U$6=OFFSET(Assumptions!$B$8,0,$C$1),AVERAGE(R$87/R$145,S$87/S$145,T$87/T$145),T$87/T$145) *U$145</f>
        <v>7.7454087715379396</v>
      </c>
      <c r="V87" s="7">
        <f ca="1">IF(V$6=OFFSET(Assumptions!$B$8,0,$C$1),AVERAGE(S$87/S$145,T$87/T$145,U$87/U$145),U$87/U$145) *V$145</f>
        <v>8.0762705277665923</v>
      </c>
      <c r="W87" s="7">
        <f ca="1">IF(W$6=OFFSET(Assumptions!$B$8,0,$C$1),AVERAGE(T$87/T$145,U$87/U$145,V$87/V$145),V$87/V$145) *W$145</f>
        <v>8.423704023472963</v>
      </c>
      <c r="X87" s="7">
        <f ca="1">IF(X$6=OFFSET(Assumptions!$B$8,0,$C$1),AVERAGE(U$87/U$145,V$87/V$145,W$87/W$145),W$87/W$145) *X$145</f>
        <v>8.7869534176525601</v>
      </c>
      <c r="Y87" s="7">
        <f ca="1">IF(Y$6=OFFSET(Assumptions!$B$8,0,$C$1),AVERAGE(V$87/V$145,W$87/W$145,X$87/X$145),X$87/X$145) *Y$145</f>
        <v>9.1490024181766447</v>
      </c>
      <c r="Z87" s="7">
        <f ca="1">IF(Z$6=OFFSET(Assumptions!$B$8,0,$C$1),AVERAGE(W$87/W$145,X$87/X$145,Y$87/Y$145),Y$87/Y$145) *Z$145</f>
        <v>9.5573448771209097</v>
      </c>
      <c r="AA87" s="7">
        <f ca="1">IF(AA$6=OFFSET(Assumptions!$B$8,0,$C$1),AVERAGE(X$87/X$145,Y$87/Y$145,Z$87/Z$145),Z$87/Z$145) *AA$145</f>
        <v>9.9816990373269814</v>
      </c>
      <c r="AB87" s="7">
        <f ca="1">IF(AB$6=OFFSET(Assumptions!$B$8,0,$C$1),AVERAGE(Y$87/Y$145,Z$87/Z$145,AA$87/AA$145),AA$87/AA$145) *AB$145</f>
        <v>10.42083234226706</v>
      </c>
      <c r="AC87" s="7">
        <f ca="1">IF(AC$6=OFFSET(Assumptions!$B$8,0,$C$1),AVERAGE(Z$87/Z$145,AA$87/AA$145,AB$87/AB$145),AB$87/AB$145) *AC$145</f>
        <v>10.877644080704023</v>
      </c>
      <c r="AD87" s="7">
        <f ca="1">IF(AD$6=OFFSET(Assumptions!$B$8,0,$C$1),AVERAGE(AA$87/AA$145,AB$87/AB$145,AC$87/AC$145),AC$87/AC$145) *AD$145</f>
        <v>11.385985363295651</v>
      </c>
      <c r="AE87" s="7">
        <f ca="1">IF(AE$6=OFFSET(Assumptions!$B$8,0,$C$1),AVERAGE(AB$87/AB$145,AC$87/AC$145,AD$87/AD$145),AD$87/AD$145) *AE$145</f>
        <v>11.910452720177613</v>
      </c>
      <c r="AF87" s="7">
        <f ca="1">IF(AF$6=OFFSET(Assumptions!$B$8,0,$C$1),AVERAGE(AC$87/AC$145,AD$87/AD$145,AE$87/AE$145),AE$87/AE$145) *AF$145</f>
        <v>12.445338992179577</v>
      </c>
      <c r="AG87" s="7">
        <f ca="1">IF(AG$6=OFFSET(Assumptions!$B$8,0,$C$1),AVERAGE(AD$87/AD$145,AE$87/AE$145,AF$87/AF$145),AF$87/AF$145) *AG$145</f>
        <v>13.023873422215544</v>
      </c>
      <c r="AH87" s="7">
        <f ca="1">IF(AH$6=OFFSET(Assumptions!$B$8,0,$C$1),AVERAGE(AE$87/AE$145,AF$87/AF$145,AG$87/AG$145),AG$87/AG$145) *AH$145</f>
        <v>13.620774919134643</v>
      </c>
      <c r="AI87" s="7">
        <f ca="1">IF(AI$6=OFFSET(Assumptions!$B$8,0,$C$1),AVERAGE(AF$87/AF$145,AG$87/AG$145,AH$87/AH$145),AH$87/AH$145) *AI$145</f>
        <v>14.228967663215693</v>
      </c>
      <c r="AJ87" s="7">
        <f ca="1">IF(AJ$6=OFFSET(Assumptions!$B$8,0,$C$1),AVERAGE(AG$87/AG$145,AH$87/AH$145,AI$87/AI$145),AI$87/AI$145) *AJ$145</f>
        <v>14.885767693399194</v>
      </c>
      <c r="AK87" s="7">
        <f ca="1">IF(AK$6=OFFSET(Assumptions!$B$8,0,$C$1),AVERAGE(AH$87/AH$145,AI$87/AI$145,AJ$87/AJ$145),AJ$87/AJ$145) *AK$145</f>
        <v>15.570713871336418</v>
      </c>
      <c r="AL87" s="7">
        <f ca="1">IF(AL$6=OFFSET(Assumptions!$B$8,0,$C$1),AVERAGE(AI$87/AI$145,AJ$87/AJ$145,AK$87/AK$145),AK$87/AK$145) *AL$145</f>
        <v>16.284515126548794</v>
      </c>
      <c r="AM87" s="7">
        <f ca="1">IF(AM$6=OFFSET(Assumptions!$B$8,0,$C$1),AVERAGE(AJ$87/AJ$145,AK$87/AK$145,AL$87/AL$145),AL$87/AL$145) *AM$145</f>
        <v>17.028446114858902</v>
      </c>
      <c r="AN87" s="7">
        <f ca="1">IF(AN$6=OFFSET(Assumptions!$B$8,0,$C$1),AVERAGE(AK$87/AK$145,AL$87/AL$145,AM$87/AM$145),AM$87/AM$145) *AN$145</f>
        <v>17.803791931730448</v>
      </c>
      <c r="AO87" s="7">
        <f ca="1">IF(AO$6=OFFSET(Assumptions!$B$8,0,$C$1),AVERAGE(AL$87/AL$145,AM$87/AM$145,AN$87/AN$145),AN$87/AN$145) *AO$145</f>
        <v>18.610513170574063</v>
      </c>
      <c r="AP87" s="7">
        <f ca="1">IF(AP$6=OFFSET(Assumptions!$B$8,0,$C$1),AVERAGE(AM$87/AM$145,AN$87/AN$145,AO$87/AO$145),AO$87/AO$145) *AP$145</f>
        <v>19.450803345865747</v>
      </c>
      <c r="AQ87" s="7">
        <f ca="1">IF(AQ$6=OFFSET(Assumptions!$B$8,0,$C$1),AVERAGE(AN$87/AN$145,AO$87/AO$145,AP$87/AP$145),AP$87/AP$145) *AQ$145</f>
        <v>20.324989880349946</v>
      </c>
      <c r="AR87" s="7">
        <f ca="1">IF(AR$6=OFFSET(Assumptions!$B$8,0,$C$1),AVERAGE(AO$87/AO$145,AP$87/AP$145,AQ$87/AQ$145),AQ$87/AQ$145) *AR$145</f>
        <v>21.244656602944094</v>
      </c>
      <c r="AS87" s="7">
        <f ca="1">IF(AS$6=OFFSET(Assumptions!$B$8,0,$C$1),AVERAGE(AP$87/AP$145,AQ$87/AQ$145,AR$87/AR$145),AR$87/AR$145) *AS$145</f>
        <v>22.222194765597365</v>
      </c>
      <c r="AT87" s="7">
        <f ca="1">IF(AT$6=OFFSET(Assumptions!$B$8,0,$C$1),AVERAGE(AQ$87/AQ$145,AR$87/AR$145,AS$87/AS$145),AS$87/AS$145) *AT$145</f>
        <v>23.2166789815812</v>
      </c>
      <c r="AU87" s="7">
        <f ca="1">IF(AU$6=OFFSET(Assumptions!$B$8,0,$C$1),AVERAGE(AR$87/AR$145,AS$87/AS$145,AT$87/AT$145),AT$87/AT$145) *AU$145</f>
        <v>24.250971465708464</v>
      </c>
      <c r="AV87" s="7">
        <f ca="1">IF(AV$6=OFFSET(Assumptions!$B$8,0,$C$1),AVERAGE(AS$87/AS$145,AT$87/AT$145,AU$87/AU$145),AU$87/AU$145) *AV$145</f>
        <v>25.327342448300186</v>
      </c>
      <c r="AW87" s="7">
        <f ca="1">IF(AW$6=OFFSET(Assumptions!$B$8,0,$C$1),AVERAGE(AT$87/AT$145,AU$87/AU$145,AV$87/AV$145),AV$87/AV$145) *AW$145</f>
        <v>26.446950776890418</v>
      </c>
    </row>
    <row r="88" spans="1:49" x14ac:dyDescent="0.2">
      <c r="A88" s="1" t="s">
        <v>154</v>
      </c>
      <c r="B88" s="4" t="str">
        <f t="shared" si="76"/>
        <v>From Fiscal</v>
      </c>
      <c r="D88" s="18">
        <f>Fiscal!D$72</f>
        <v>17.231999999999999</v>
      </c>
      <c r="E88" s="19">
        <f>Fiscal!E$72</f>
        <v>17.13</v>
      </c>
      <c r="F88" s="19">
        <f>Fiscal!F$72</f>
        <v>17.327000000000002</v>
      </c>
      <c r="G88" s="19">
        <f>Fiscal!G$72</f>
        <v>17.920999999999999</v>
      </c>
      <c r="H88" s="19">
        <f>Fiscal!H$72</f>
        <v>18.297999999999998</v>
      </c>
      <c r="I88" s="19">
        <f>Fiscal!I$72</f>
        <v>18.59</v>
      </c>
      <c r="J88" s="7">
        <f ca="1">IF(J$6=OFFSET(Assumptions!$B$8,0,$C$1),AVERAGE((G$88+G$90-(G$454-F$454))/SUM(G$149,G$163),(H$88+H$90-(H$454-G$454))/SUM(H$149,H$163),(I$88+I$90-(I$454-H$454))/SUM(I$149,I$163)),(I$88+I$90-(I$454-H$454))/SUM(I$149,I$163)) *SUM(J$149,J$163) +J$454-I$454 -J$90</f>
        <v>19.97979802496944</v>
      </c>
      <c r="K88" s="7">
        <f ca="1">IF(K$6=OFFSET(Assumptions!$B$8,0,$C$1),AVERAGE((H$88+H$90-(H$454-G$454))/SUM(H$149,H$163),(I$88+I$90-(I$454-H$454))/SUM(I$149,I$163),(J$88+J$90-(J$454-I$454))/SUM(J$149,J$163)),(J$88+J$90-(J$454-I$454))/SUM(J$149,J$163)) *SUM(K$149,K$163) +K$454-J$454 -K$90</f>
        <v>20.809470198313811</v>
      </c>
      <c r="L88" s="7">
        <f ca="1">IF(L$6=OFFSET(Assumptions!$B$8,0,$C$1),AVERAGE((I$88+I$90-(I$454-H$454))/SUM(I$149,I$163),(J$88+J$90-(J$454-I$454))/SUM(J$149,J$163),(K$88+K$90-(K$454-J$454))/SUM(K$149,K$163)),(K$88+K$90-(K$454-J$454))/SUM(K$149,K$163)) *SUM(L$149,L$163) +L$454-K$454 -L$90</f>
        <v>21.710112994739788</v>
      </c>
      <c r="M88" s="7">
        <f ca="1">IF(M$6=OFFSET(Assumptions!$B$8,0,$C$1),AVERAGE((J$88+J$90-(J$454-I$454))/SUM(J$149,J$163),(K$88+K$90-(K$454-J$454))/SUM(K$149,K$163),(L$88+L$90-(L$454-K$454))/SUM(L$149,L$163)),(L$88+L$90-(L$454-K$454))/SUM(L$149,L$163)) *SUM(M$149,M$163) +M$454-L$454 -M$90</f>
        <v>22.642392417636401</v>
      </c>
      <c r="N88" s="7">
        <f ca="1">IF(N$6=OFFSET(Assumptions!$B$8,0,$C$1),AVERAGE((K$88+K$90-(K$454-J$454))/SUM(K$149,K$163),(L$88+L$90-(L$454-K$454))/SUM(L$149,L$163),(M$88+M$90-(M$454-L$454))/SUM(M$149,M$163)),(M$88+M$90-(M$454-L$454))/SUM(M$149,M$163)) *SUM(N$149,N$163) +N$454-M$454 -N$90</f>
        <v>23.61279897790029</v>
      </c>
      <c r="O88" s="7">
        <f ca="1">IF(O$6=OFFSET(Assumptions!$B$8,0,$C$1),AVERAGE((L$88+L$90-(L$454-K$454))/SUM(L$149,L$163),(M$88+M$90-(M$454-L$454))/SUM(M$149,M$163),(N$88+N$90-(N$454-M$454))/SUM(N$149,N$163)),(N$88+N$90-(N$454-M$454))/SUM(N$149,N$163)) *SUM(O$149,O$163) +O$454-N$454 -O$90</f>
        <v>24.613143420620897</v>
      </c>
      <c r="P88" s="7">
        <f ca="1">IF(P$6=OFFSET(Assumptions!$B$8,0,$C$1),AVERAGE((M$88+M$90-(M$454-L$454))/SUM(M$149,M$163),(N$88+N$90-(N$454-M$454))/SUM(N$149,N$163),(O$88+O$90-(O$454-N$454))/SUM(O$149,O$163)),(O$88+O$90-(O$454-N$454))/SUM(O$149,O$163)) *SUM(P$149,P$163) +P$454-O$454 -P$90</f>
        <v>25.652897299554184</v>
      </c>
      <c r="Q88" s="7">
        <f ca="1">IF(Q$6=OFFSET(Assumptions!$B$8,0,$C$1),AVERAGE((N$88+N$90-(N$454-M$454))/SUM(N$149,N$163),(O$88+O$90-(O$454-N$454))/SUM(O$149,O$163),(P$88+P$90-(P$454-O$454))/SUM(P$149,P$163)),(P$88+P$90-(P$454-O$454))/SUM(P$149,P$163)) *SUM(Q$149,Q$163) +Q$454-P$454 -Q$90</f>
        <v>26.724459973304505</v>
      </c>
      <c r="R88" s="7">
        <f ca="1">IF(R$6=OFFSET(Assumptions!$B$8,0,$C$1),AVERAGE((O$88+O$90-(O$454-N$454))/SUM(O$149,O$163),(P$88+P$90-(P$454-O$454))/SUM(P$149,P$163),(Q$88+Q$90-(Q$454-P$454))/SUM(Q$149,Q$163)),(Q$88+Q$90-(Q$454-P$454))/SUM(Q$149,Q$163)) *SUM(R$149,R$163) +R$454-Q$454 -R$90</f>
        <v>27.827077647805204</v>
      </c>
      <c r="S88" s="7">
        <f ca="1">IF(S$6=OFFSET(Assumptions!$B$8,0,$C$1),AVERAGE((P$88+P$90-(P$454-O$454))/SUM(P$149,P$163),(Q$88+Q$90-(Q$454-P$454))/SUM(Q$149,Q$163),(R$88+R$90-(R$454-Q$454))/SUM(R$149,R$163)),(R$88+R$90-(R$454-Q$454))/SUM(R$149,R$163)) *SUM(S$149,S$163) +S$454-R$454 -S$90</f>
        <v>28.964751073144811</v>
      </c>
      <c r="T88" s="7">
        <f ca="1">IF(T$6=OFFSET(Assumptions!$B$8,0,$C$1),AVERAGE((Q$88+Q$90-(Q$454-P$454))/SUM(Q$149,Q$163),(R$88+R$90-(R$454-Q$454))/SUM(R$149,R$163),(S$88+S$90-(S$454-R$454))/SUM(S$149,S$163)),(S$88+S$90-(S$454-R$454))/SUM(S$149,S$163)) *SUM(T$149,T$163) +T$454-S$454 -T$90</f>
        <v>30.137528285503237</v>
      </c>
      <c r="U88" s="7">
        <f ca="1">IF(U$6=OFFSET(Assumptions!$B$8,0,$C$1),AVERAGE((R$88+R$90-(R$454-Q$454))/SUM(R$149,R$163),(S$88+S$90-(S$454-R$454))/SUM(S$149,S$163),(T$88+T$90-(T$454-S$454))/SUM(T$149,T$163)),(T$88+T$90-(T$454-S$454))/SUM(T$149,T$163)) *SUM(U$149,U$163) +U$454-T$454 -U$90</f>
        <v>31.350052032927678</v>
      </c>
      <c r="V88" s="7">
        <f ca="1">IF(V$6=OFFSET(Assumptions!$B$8,0,$C$1),AVERAGE((S$88+S$90-(S$454-R$454))/SUM(S$149,S$163),(T$88+T$90-(T$454-S$454))/SUM(T$149,T$163),(U$88+U$90-(U$454-T$454))/SUM(U$149,U$163)),(U$88+U$90-(U$454-T$454))/SUM(U$149,U$163)) *SUM(V$149,V$163) +V$454-U$454 -V$90</f>
        <v>32.605160069516216</v>
      </c>
      <c r="W88" s="7">
        <f ca="1">IF(W$6=OFFSET(Assumptions!$B$8,0,$C$1),AVERAGE((T$88+T$90-(T$454-S$454))/SUM(T$149,T$163),(U$88+U$90-(U$454-T$454))/SUM(U$149,U$163),(V$88+V$90-(V$454-U$454))/SUM(V$149,V$163)),(V$88+V$90-(V$454-U$454))/SUM(V$149,V$163)) *SUM(W$149,W$163) +W$454-V$454 -W$90</f>
        <v>33.906550207930188</v>
      </c>
      <c r="X88" s="7">
        <f ca="1">IF(X$6=OFFSET(Assumptions!$B$8,0,$C$1),AVERAGE((U$88+U$90-(U$454-T$454))/SUM(U$149,U$163),(V$88+V$90-(V$454-U$454))/SUM(V$149,V$163),(W$88+W$90-(W$454-V$454))/SUM(W$149,W$163)),(W$88+W$90-(W$454-V$454))/SUM(W$149,W$163)) *SUM(X$149,X$163) +X$454-W$454 -X$90</f>
        <v>35.258384625754395</v>
      </c>
      <c r="Y88" s="7">
        <f ca="1">IF(Y$6=OFFSET(Assumptions!$B$8,0,$C$1),AVERAGE((V$88+V$90-(V$454-U$454))/SUM(V$149,V$163),(W$88+W$90-(W$454-V$454))/SUM(W$149,W$163),(X$88+X$90-(X$454-W$454))/SUM(X$149,X$163)),(X$88+X$90-(X$454-W$454))/SUM(X$149,X$163)) *SUM(Y$149,Y$163) +Y$454-X$454 -Y$90</f>
        <v>36.660022334340752</v>
      </c>
      <c r="Z88" s="7">
        <f ca="1">IF(Z$6=OFFSET(Assumptions!$B$8,0,$C$1),AVERAGE((W$88+W$90-(W$454-V$454))/SUM(W$149,W$163),(X$88+X$90-(X$454-W$454))/SUM(X$149,X$163),(Y$88+Y$90-(Y$454-X$454))/SUM(Y$149,Y$163)),(Y$88+Y$90-(Y$454-X$454))/SUM(Y$149,Y$163)) *SUM(Z$149,Z$163) +Z$454-Y$454 -Z$90</f>
        <v>38.119382591284754</v>
      </c>
      <c r="AA88" s="7">
        <f ca="1">IF(AA$6=OFFSET(Assumptions!$B$8,0,$C$1),AVERAGE((X$88+X$90-(X$454-W$454))/SUM(X$149,X$163),(Y$88+Y$90-(Y$454-X$454))/SUM(Y$149,Y$163),(Z$88+Z$90-(Z$454-Y$454))/SUM(Z$149,Z$163)),(Z$88+Z$90-(Z$454-Y$454))/SUM(Z$149,Z$163)) *SUM(AA$149,AA$163) +AA$454-Z$454 -AA$90</f>
        <v>39.638256342147621</v>
      </c>
      <c r="AB88" s="7">
        <f ca="1">IF(AB$6=OFFSET(Assumptions!$B$8,0,$C$1),AVERAGE((Y$88+Y$90-(Y$454-X$454))/SUM(Y$149,Y$163),(Z$88+Z$90-(Z$454-Y$454))/SUM(Z$149,Z$163),(AA$88+AA$90-(AA$454-Z$454))/SUM(AA$149,AA$163)),(AA$88+AA$90-(AA$454-Z$454))/SUM(AA$149,AA$163)) *SUM(AB$149,AB$163) +AB$454-AA$454 -AB$90</f>
        <v>41.221443639844658</v>
      </c>
      <c r="AC88" s="7">
        <f ca="1">IF(AC$6=OFFSET(Assumptions!$B$8,0,$C$1),AVERAGE((Z$88+Z$90-(Z$454-Y$454))/SUM(Z$149,Z$163),(AA$88+AA$90-(AA$454-Z$454))/SUM(AA$149,AA$163),(AB$88+AB$90-(AB$454-AA$454))/SUM(AB$149,AB$163)),(AB$88+AB$90-(AB$454-AA$454))/SUM(AB$149,AB$163)) *SUM(AC$149,AC$163) +AC$454-AB$454 -AC$90</f>
        <v>42.875059727460112</v>
      </c>
      <c r="AD88" s="7">
        <f ca="1">IF(AD$6=OFFSET(Assumptions!$B$8,0,$C$1),AVERAGE((AA$88+AA$90-(AA$454-Z$454))/SUM(AA$149,AA$163),(AB$88+AB$90-(AB$454-AA$454))/SUM(AB$149,AB$163),(AC$88+AC$90-(AC$454-AB$454))/SUM(AC$149,AC$163)),(AC$88+AC$90-(AC$454-AB$454))/SUM(AC$149,AC$163)) *SUM(AD$149,AD$163) +AD$454-AC$454 -AD$90</f>
        <v>44.600338805345928</v>
      </c>
      <c r="AE88" s="7">
        <f ca="1">IF(AE$6=OFFSET(Assumptions!$B$8,0,$C$1),AVERAGE((AB$88+AB$90-(AB$454-AA$454))/SUM(AB$149,AB$163),(AC$88+AC$90-(AC$454-AB$454))/SUM(AC$149,AC$163),(AD$88+AD$90-(AD$454-AC$454))/SUM(AD$149,AD$163)),(AD$88+AD$90-(AD$454-AC$454))/SUM(AD$149,AD$163)) *SUM(AE$149,AE$163) +AE$454-AD$454 -AE$90</f>
        <v>46.395311368194712</v>
      </c>
      <c r="AF88" s="7">
        <f ca="1">IF(AF$6=OFFSET(Assumptions!$B$8,0,$C$1),AVERAGE((AC$88+AC$90-(AC$454-AB$454))/SUM(AC$149,AC$163),(AD$88+AD$90-(AD$454-AC$454))/SUM(AD$149,AD$163),(AE$88+AE$90-(AE$454-AD$454))/SUM(AE$149,AE$163)),(AE$88+AE$90-(AE$454-AD$454))/SUM(AE$149,AE$163)) *SUM(AF$149,AF$163) +AF$454-AE$454 -AF$90</f>
        <v>48.265694044368431</v>
      </c>
      <c r="AG88" s="7">
        <f ca="1">IF(AG$6=OFFSET(Assumptions!$B$8,0,$C$1),AVERAGE((AD$88+AD$90-(AD$454-AC$454))/SUM(AD$149,AD$163),(AE$88+AE$90-(AE$454-AD$454))/SUM(AE$149,AE$163),(AF$88+AF$90-(AF$454-AE$454))/SUM(AF$149,AF$163)),(AF$88+AF$90-(AF$454-AE$454))/SUM(AF$149,AF$163)) *SUM(AG$149,AG$163) +AG$454-AF$454 -AG$90</f>
        <v>50.212064696139983</v>
      </c>
      <c r="AH88" s="7">
        <f ca="1">IF(AH$6=OFFSET(Assumptions!$B$8,0,$C$1),AVERAGE((AE$88+AE$90-(AE$454-AD$454))/SUM(AE$149,AE$163),(AF$88+AF$90-(AF$454-AE$454))/SUM(AF$149,AF$163),(AG$88+AG$90-(AG$454-AF$454))/SUM(AG$149,AG$163)),(AG$88+AG$90-(AG$454-AF$454))/SUM(AG$149,AG$163)) *SUM(AH$149,AH$163) +AH$454-AG$454 -AH$90</f>
        <v>52.237775151586099</v>
      </c>
      <c r="AI88" s="7">
        <f ca="1">IF(AI$6=OFFSET(Assumptions!$B$8,0,$C$1),AVERAGE((AF$88+AF$90-(AF$454-AE$454))/SUM(AF$149,AF$163),(AG$88+AG$90-(AG$454-AF$454))/SUM(AG$149,AG$163),(AH$88+AH$90-(AH$454-AG$454))/SUM(AH$149,AH$163)),(AH$88+AH$90-(AH$454-AG$454))/SUM(AH$149,AH$163)) *SUM(AI$149,AI$163) +AI$454-AH$454 -AI$90</f>
        <v>54.338515519060842</v>
      </c>
      <c r="AJ88" s="7">
        <f ca="1">IF(AJ$6=OFFSET(Assumptions!$B$8,0,$C$1),AVERAGE((AG$88+AG$90-(AG$454-AF$454))/SUM(AG$149,AG$163),(AH$88+AH$90-(AH$454-AG$454))/SUM(AH$149,AH$163),(AI$88+AI$90-(AI$454-AH$454))/SUM(AI$149,AI$163)),(AI$88+AI$90-(AI$454-AH$454))/SUM(AI$149,AI$163)) *SUM(AJ$149,AJ$163) +AJ$454-AI$454 -AJ$90</f>
        <v>56.522200004299123</v>
      </c>
      <c r="AK88" s="7">
        <f ca="1">IF(AK$6=OFFSET(Assumptions!$B$8,0,$C$1),AVERAGE((AH$88+AH$90-(AH$454-AG$454))/SUM(AH$149,AH$163),(AI$88+AI$90-(AI$454-AH$454))/SUM(AI$149,AI$163),(AJ$88+AJ$90-(AJ$454-AI$454))/SUM(AJ$149,AJ$163)),(AJ$88+AJ$90-(AJ$454-AI$454))/SUM(AJ$149,AJ$163)) *SUM(AK$149,AK$163) +AK$454-AJ$454 -AK$90</f>
        <v>58.786032945105198</v>
      </c>
      <c r="AL88" s="7">
        <f ca="1">IF(AL$6=OFFSET(Assumptions!$B$8,0,$C$1),AVERAGE((AI$88+AI$90-(AI$454-AH$454))/SUM(AI$149,AI$163),(AJ$88+AJ$90-(AJ$454-AI$454))/SUM(AJ$149,AJ$163),(AK$88+AK$90-(AK$454-AJ$454))/SUM(AK$149,AK$163)),(AK$88+AK$90-(AK$454-AJ$454))/SUM(AK$149,AK$163)) *SUM(AL$149,AL$163) +AL$454-AK$454 -AL$90</f>
        <v>61.128240061105977</v>
      </c>
      <c r="AM88" s="7">
        <f ca="1">IF(AM$6=OFFSET(Assumptions!$B$8,0,$C$1),AVERAGE((AJ$88+AJ$90-(AJ$454-AI$454))/SUM(AJ$149,AJ$163),(AK$88+AK$90-(AK$454-AJ$454))/SUM(AK$149,AK$163),(AL$88+AL$90-(AL$454-AK$454))/SUM(AL$149,AL$163)),(AL$88+AL$90-(AL$454-AK$454))/SUM(AL$149,AL$163)) *SUM(AM$149,AM$163) +AM$454-AL$454 -AM$90</f>
        <v>63.552597237742397</v>
      </c>
      <c r="AN88" s="7">
        <f ca="1">IF(AN$6=OFFSET(Assumptions!$B$8,0,$C$1),AVERAGE((AK$88+AK$90-(AK$454-AJ$454))/SUM(AK$149,AK$163),(AL$88+AL$90-(AL$454-AK$454))/SUM(AL$149,AL$163),(AM$88+AM$90-(AM$454-AL$454))/SUM(AM$149,AM$163)),(AM$88+AM$90-(AM$454-AL$454))/SUM(AM$149,AM$163)) *SUM(AN$149,AN$163) +AN$454-AM$454 -AN$90</f>
        <v>66.06248361389126</v>
      </c>
      <c r="AO88" s="7">
        <f ca="1">IF(AO$6=OFFSET(Assumptions!$B$8,0,$C$1),AVERAGE((AL$88+AL$90-(AL$454-AK$454))/SUM(AL$149,AL$163),(AM$88+AM$90-(AM$454-AL$454))/SUM(AM$149,AM$163),(AN$88+AN$90-(AN$454-AM$454))/SUM(AN$149,AN$163)),(AN$88+AN$90-(AN$454-AM$454))/SUM(AN$149,AN$163)) *SUM(AO$149,AO$163) +AO$454-AN$454 -AO$90</f>
        <v>68.646520161264931</v>
      </c>
      <c r="AP88" s="7">
        <f ca="1">IF(AP$6=OFFSET(Assumptions!$B$8,0,$C$1),AVERAGE((AM$88+AM$90-(AM$454-AL$454))/SUM(AM$149,AM$163),(AN$88+AN$90-(AN$454-AM$454))/SUM(AN$149,AN$163),(AO$88+AO$90-(AO$454-AN$454))/SUM(AO$149,AO$163)),(AO$88+AO$90-(AO$454-AN$454))/SUM(AO$149,AO$163)) *SUM(AP$149,AP$163) +AP$454-AO$454 -AP$90</f>
        <v>71.318104248129018</v>
      </c>
      <c r="AQ88" s="7">
        <f ca="1">IF(AQ$6=OFFSET(Assumptions!$B$8,0,$C$1),AVERAGE((AN$88+AN$90-(AN$454-AM$454))/SUM(AN$149,AN$163),(AO$88+AO$90-(AO$454-AN$454))/SUM(AO$149,AO$163),(AP$88+AP$90-(AP$454-AO$454))/SUM(AP$149,AP$163)),(AP$88+AP$90-(AP$454-AO$454))/SUM(AP$149,AP$163)) *SUM(AQ$149,AQ$163) +AQ$454-AP$454 -AQ$90</f>
        <v>74.067596434467504</v>
      </c>
      <c r="AR88" s="7">
        <f ca="1">IF(AR$6=OFFSET(Assumptions!$B$8,0,$C$1),AVERAGE((AO$88+AO$90-(AO$454-AN$454))/SUM(AO$149,AO$163),(AP$88+AP$90-(AP$454-AO$454))/SUM(AP$149,AP$163),(AQ$88+AQ$90-(AQ$454-AP$454))/SUM(AQ$149,AQ$163)),(AQ$88+AQ$90-(AQ$454-AP$454))/SUM(AQ$149,AQ$163)) *SUM(AR$149,AR$163) +AR$454-AQ$454 -AR$90</f>
        <v>76.899351989044803</v>
      </c>
      <c r="AS88" s="7">
        <f ca="1">IF(AS$6=OFFSET(Assumptions!$B$8,0,$C$1),AVERAGE((AP$88+AP$90-(AP$454-AO$454))/SUM(AP$149,AP$163),(AQ$88+AQ$90-(AQ$454-AP$454))/SUM(AQ$149,AQ$163),(AR$88+AR$90-(AR$454-AQ$454))/SUM(AR$149,AR$163)),(AR$88+AR$90-(AR$454-AQ$454))/SUM(AR$149,AR$163)) *SUM(AS$149,AS$163) +AS$454-AR$454 -AS$90</f>
        <v>79.820367733966833</v>
      </c>
      <c r="AT88" s="7">
        <f ca="1">IF(AT$6=OFFSET(Assumptions!$B$8,0,$C$1),AVERAGE((AQ$88+AQ$90-(AQ$454-AP$454))/SUM(AQ$149,AQ$163),(AR$88+AR$90-(AR$454-AQ$454))/SUM(AR$149,AR$163),(AS$88+AS$90-(AS$454-AR$454))/SUM(AS$149,AS$163)),(AS$88+AS$90-(AS$454-AR$454))/SUM(AS$149,AS$163)) *SUM(AT$149,AT$163) +AT$454-AS$454 -AT$90</f>
        <v>82.832462825558139</v>
      </c>
      <c r="AU88" s="7">
        <f ca="1">IF(AU$6=OFFSET(Assumptions!$B$8,0,$C$1),AVERAGE((AR$88+AR$90-(AR$454-AQ$454))/SUM(AR$149,AR$163),(AS$88+AS$90-(AS$454-AR$454))/SUM(AS$149,AS$163),(AT$88+AT$90-(AT$454-AS$454))/SUM(AT$149,AT$163)),(AT$88+AT$90-(AT$454-AS$454))/SUM(AT$149,AT$163)) *SUM(AU$149,AU$163) +AU$454-AT$454 -AU$90</f>
        <v>85.939826096320701</v>
      </c>
      <c r="AV88" s="7">
        <f ca="1">IF(AV$6=OFFSET(Assumptions!$B$8,0,$C$1),AVERAGE((AS$88+AS$90-(AS$454-AR$454))/SUM(AS$149,AS$163),(AT$88+AT$90-(AT$454-AS$454))/SUM(AT$149,AT$163),(AU$88+AU$90-(AU$454-AT$454))/SUM(AU$149,AU$163)),(AU$88+AU$90-(AU$454-AT$454))/SUM(AU$149,AU$163)) *SUM(AV$149,AV$163) +AV$454-AU$454 -AV$90</f>
        <v>89.152692730400773</v>
      </c>
      <c r="AW88" s="7">
        <f ca="1">IF(AW$6=OFFSET(Assumptions!$B$8,0,$C$1),AVERAGE((AT$88+AT$90-(AT$454-AS$454))/SUM(AT$149,AT$163),(AU$88+AU$90-(AU$454-AT$454))/SUM(AU$149,AU$163),(AV$88+AV$90-(AV$454-AU$454))/SUM(AV$149,AV$163)),(AV$88+AV$90-(AV$454-AU$454))/SUM(AV$149,AV$163)) *SUM(AW$149,AW$163) +AW$454-AV$454 -AW$90</f>
        <v>92.467905605504711</v>
      </c>
    </row>
    <row r="89" spans="1:49" x14ac:dyDescent="0.2">
      <c r="A89" s="1" t="s">
        <v>194</v>
      </c>
      <c r="B89" s="4" t="str">
        <f t="shared" si="76"/>
        <v>From Fiscal</v>
      </c>
      <c r="D89" s="18">
        <f>Fiscal!D$73</f>
        <v>3.3639999999999999</v>
      </c>
      <c r="E89" s="19">
        <f>Fiscal!E$73</f>
        <v>3.4009999999999998</v>
      </c>
      <c r="F89" s="19">
        <f>Fiscal!F$73</f>
        <v>3.504</v>
      </c>
      <c r="G89" s="19">
        <f>Fiscal!G$73</f>
        <v>3.8250000000000002</v>
      </c>
      <c r="H89" s="19">
        <f>Fiscal!H$73</f>
        <v>4.1310000000000002</v>
      </c>
      <c r="I89" s="19">
        <f>Fiscal!I$73</f>
        <v>4.4630000000000001</v>
      </c>
      <c r="J89" s="7">
        <f ca="1">IF(J$6=OFFSET(Assumptions!$B$8,0,$C$1),AVERAGE(G$89/(G$159-G$389-(G$338-F$338)+G$446-F$446),H$89/(H$159-H$389-(H$338-G$338)+H$446-G$446),I$89/(I$159-I$389-(I$338-H$338)+I$446-H$446)),I$89/(I$159-I$389-(I$338-H$338)+I$446-H$446)) *(J$159-J$389-(J$338-I$338)+I$446-H$446)</f>
        <v>3.6531052252513745</v>
      </c>
      <c r="K89" s="7">
        <f ca="1">IF(K$6=OFFSET(Assumptions!$B$8,0,$C$1),AVERAGE(H$89/(H$159-H$389-(H$338-G$338)+H$446-G$446),I$89/(I$159-I$389-(I$338-H$338)+I$446-H$446),J$89/(J$159-J$389-(J$338-I$338)+J$446-I$446)),J$89/(J$159-J$389-(J$338-I$338)+J$446-I$446)) *(K$159-K$389-(K$338-J$338)+J$446-I$446)</f>
        <v>4.0467645651870789</v>
      </c>
      <c r="L89" s="7">
        <f ca="1">IF(L$6=OFFSET(Assumptions!$B$8,0,$C$1),AVERAGE(I$89/(I$159-I$389-(I$338-H$338)+I$446-H$446),J$89/(J$159-J$389-(J$338-I$338)+J$446-I$446),K$89/(K$159-K$389-(K$338-J$338)+K$446-J$446)),K$89/(K$159-K$389-(K$338-J$338)+K$446-J$446)) *(L$159-L$389-(L$338-K$338)+K$446-J$446)</f>
        <v>4.3912201576312846</v>
      </c>
      <c r="M89" s="7">
        <f ca="1">IF(M$6=OFFSET(Assumptions!$B$8,0,$C$1),AVERAGE(J$89/(J$159-J$389-(J$338-I$338)+J$446-I$446),K$89/(K$159-K$389-(K$338-J$338)+K$446-J$446),L$89/(L$159-L$389-(L$338-K$338)+L$446-K$446)),L$89/(L$159-L$389-(L$338-K$338)+L$446-K$446)) *(M$159-M$389-(M$338-L$338)+L$446-K$446)</f>
        <v>4.7586673628103506</v>
      </c>
      <c r="N89" s="7">
        <f ca="1">IF(N$6=OFFSET(Assumptions!$B$8,0,$C$1),AVERAGE(K$89/(K$159-K$389-(K$338-J$338)+K$446-J$446),L$89/(L$159-L$389-(L$338-K$338)+L$446-K$446),M$89/(M$159-M$389-(M$338-L$338)+M$446-L$446)),M$89/(M$159-M$389-(M$338-L$338)+M$446-L$446)) *(N$159-N$389-(N$338-M$338)+M$446-L$446)</f>
        <v>5.1150983862413666</v>
      </c>
      <c r="O89" s="7">
        <f ca="1">IF(O$6=OFFSET(Assumptions!$B$8,0,$C$1),AVERAGE(L$89/(L$159-L$389-(L$338-K$338)+L$446-K$446),M$89/(M$159-M$389-(M$338-L$338)+M$446-L$446),N$89/(N$159-N$389-(N$338-M$338)+N$446-M$446)),N$89/(N$159-N$389-(N$338-M$338)+N$446-M$446)) *(O$159-O$389-(O$338-N$338)+N$446-M$446)</f>
        <v>5.3876905151474901</v>
      </c>
      <c r="P89" s="7">
        <f ca="1">IF(P$6=OFFSET(Assumptions!$B$8,0,$C$1),AVERAGE(M$89/(M$159-M$389-(M$338-L$338)+M$446-L$446),N$89/(N$159-N$389-(N$338-M$338)+N$446-M$446),O$89/(O$159-O$389-(O$338-N$338)+O$446-N$446)),O$89/(O$159-O$389-(O$338-N$338)+O$446-N$446)) *(P$159-P$389-(P$338-O$338)+O$446-N$446)</f>
        <v>5.6706053800779159</v>
      </c>
      <c r="Q89" s="7">
        <f ca="1">IF(Q$6=OFFSET(Assumptions!$B$8,0,$C$1),AVERAGE(N$89/(N$159-N$389-(N$338-M$338)+N$446-M$446),O$89/(O$159-O$389-(O$338-N$338)+O$446-N$446),P$89/(P$159-P$389-(P$338-O$338)+P$446-O$446)),P$89/(P$159-P$389-(P$338-O$338)+P$446-O$446)) *(Q$159-Q$389-(Q$338-P$338)+P$446-O$446)</f>
        <v>5.95976914349691</v>
      </c>
      <c r="R89" s="7">
        <f ca="1">IF(R$6=OFFSET(Assumptions!$B$8,0,$C$1),AVERAGE(O$89/(O$159-O$389-(O$338-N$338)+O$446-N$446),P$89/(P$159-P$389-(P$338-O$338)+P$446-O$446),Q$89/(Q$159-Q$389-(Q$338-P$338)+Q$446-P$446)),Q$89/(Q$159-Q$389-(Q$338-P$338)+Q$446-P$446)) *(R$159-R$389-(R$338-Q$338)+Q$446-P$446)</f>
        <v>6.2552664030076111</v>
      </c>
      <c r="S89" s="7">
        <f ca="1">IF(S$6=OFFSET(Assumptions!$B$8,0,$C$1),AVERAGE(P$89/(P$159-P$389-(P$338-O$338)+P$446-O$446),Q$89/(Q$159-Q$389-(Q$338-P$338)+Q$446-P$446),R$89/(R$159-R$389-(R$338-Q$338)+R$446-Q$446)),R$89/(R$159-R$389-(R$338-Q$338)+R$446-Q$446)) *(S$159-S$389-(S$338-R$338)+R$446-Q$446)</f>
        <v>6.5552285253948117</v>
      </c>
      <c r="T89" s="7">
        <f ca="1">IF(T$6=OFFSET(Assumptions!$B$8,0,$C$1),AVERAGE(Q$89/(Q$159-Q$389-(Q$338-P$338)+Q$446-P$446),R$89/(R$159-R$389-(R$338-Q$338)+R$446-Q$446),S$89/(S$159-S$389-(S$338-R$338)+S$446-R$446)),S$89/(S$159-S$389-(S$338-R$338)+S$446-R$446)) *(T$159-T$389-(T$338-S$338)+S$446-R$446)</f>
        <v>6.8621273079055527</v>
      </c>
      <c r="U89" s="7">
        <f ca="1">IF(U$6=OFFSET(Assumptions!$B$8,0,$C$1),AVERAGE(R$89/(R$159-R$389-(R$338-Q$338)+R$446-Q$446),S$89/(S$159-S$389-(S$338-R$338)+S$446-R$446),T$89/(T$159-T$389-(T$338-S$338)+T$446-S$446)),T$89/(T$159-T$389-(T$338-S$338)+T$446-S$446)) *(U$159-U$389-(U$338-T$338)+T$446-S$446)</f>
        <v>7.1787892359794299</v>
      </c>
      <c r="V89" s="7">
        <f ca="1">IF(V$6=OFFSET(Assumptions!$B$8,0,$C$1),AVERAGE(S$89/(S$159-S$389-(S$338-R$338)+S$446-R$446),T$89/(T$159-T$389-(T$338-S$338)+T$446-S$446),U$89/(U$159-U$389-(U$338-T$338)+U$446-T$446)),U$89/(U$159-U$389-(U$338-T$338)+U$446-T$446)) *(V$159-V$389-(V$338-U$338)+U$446-T$446)</f>
        <v>7.5045871040385519</v>
      </c>
      <c r="W89" s="7">
        <f ca="1">IF(W$6=OFFSET(Assumptions!$B$8,0,$C$1),AVERAGE(T$89/(T$159-T$389-(T$338-S$338)+T$446-S$446),U$89/(U$159-U$389-(U$338-T$338)+U$446-T$446),V$89/(V$159-V$389-(V$338-U$338)+V$446-U$446)),V$89/(V$159-V$389-(V$338-U$338)+V$446-U$446)) *(W$159-W$389-(W$338-V$338)+V$446-U$446)</f>
        <v>7.8405650893921095</v>
      </c>
      <c r="X89" s="7">
        <f ca="1">IF(X$6=OFFSET(Assumptions!$B$8,0,$C$1),AVERAGE(U$89/(U$159-U$389-(U$338-T$338)+U$446-T$446),V$89/(V$159-V$389-(V$338-U$338)+V$446-U$446),W$89/(W$159-W$389-(W$338-V$338)+W$446-V$446)),W$89/(W$159-W$389-(W$338-V$338)+W$446-V$446)) *(X$159-X$389-(X$338-W$338)+W$446-V$446)</f>
        <v>8.1857081617922915</v>
      </c>
      <c r="Y89" s="7">
        <f ca="1">IF(Y$6=OFFSET(Assumptions!$B$8,0,$C$1),AVERAGE(V$89/(V$159-V$389-(V$338-U$338)+V$446-U$446),W$89/(W$159-W$389-(W$338-V$338)+W$446-V$446),X$89/(X$159-X$389-(X$338-W$338)+X$446-W$446)),X$89/(X$159-X$389-(X$338-W$338)+X$446-W$446)) *(Y$159-Y$389-(Y$338-X$338)+X$446-W$446)</f>
        <v>8.5434706195443013</v>
      </c>
      <c r="Z89" s="7">
        <f ca="1">IF(Z$6=OFFSET(Assumptions!$B$8,0,$C$1),AVERAGE(W$89/(W$159-W$389-(W$338-V$338)+W$446-V$446),X$89/(X$159-X$389-(X$338-W$338)+X$446-W$446),Y$89/(Y$159-Y$389-(Y$338-X$338)+Y$446-X$446)),Y$89/(Y$159-Y$389-(Y$338-X$338)+Y$446-X$446)) *(Z$159-Z$389-(Z$338-Y$338)+Y$446-X$446)</f>
        <v>8.910050924086006</v>
      </c>
      <c r="AA89" s="7">
        <f ca="1">IF(AA$6=OFFSET(Assumptions!$B$8,0,$C$1),AVERAGE(X$89/(X$159-X$389-(X$338-W$338)+X$446-W$446),Y$89/(Y$159-Y$389-(Y$338-X$338)+Y$446-X$446),Z$89/(Z$159-Z$389-(Z$338-Y$338)+Z$446-Y$446)),Z$89/(Z$159-Z$389-(Z$338-Y$338)+Z$446-Y$446)) *(AA$159-AA$389-(AA$338-Z$338)+Z$446-Y$446)</f>
        <v>9.2863980911949149</v>
      </c>
      <c r="AB89" s="7">
        <f ca="1">IF(AB$6=OFFSET(Assumptions!$B$8,0,$C$1),AVERAGE(Y$89/(Y$159-Y$389-(Y$338-X$338)+Y$446-X$446),Z$89/(Z$159-Z$389-(Z$338-Y$338)+Z$446-Y$446),AA$89/(AA$159-AA$389-(AA$338-Z$338)+AA$446-Z$446)),AA$89/(AA$159-AA$389-(AA$338-Z$338)+AA$446-Z$446)) *(AB$159-AB$389-(AB$338-AA$338)+AA$446-Z$446)</f>
        <v>9.6715065234678352</v>
      </c>
      <c r="AC89" s="7">
        <f ca="1">IF(AC$6=OFFSET(Assumptions!$B$8,0,$C$1),AVERAGE(Z$89/(Z$159-Z$389-(Z$338-Y$338)+Z$446-Y$446),AA$89/(AA$159-AA$389-(AA$338-Z$338)+AA$446-Z$446),AB$89/(AB$159-AB$389-(AB$338-AA$338)+AB$446-AA$446)),AB$89/(AB$159-AB$389-(AB$338-AA$338)+AB$446-AA$446)) *(AC$159-AC$389-(AC$338-AB$338)+AB$446-AA$446)</f>
        <v>10.068391152966099</v>
      </c>
      <c r="AD89" s="7">
        <f ca="1">IF(AD$6=OFFSET(Assumptions!$B$8,0,$C$1),AVERAGE(AA$89/(AA$159-AA$389-(AA$338-Z$338)+AA$446-Z$446),AB$89/(AB$159-AB$389-(AB$338-AA$338)+AB$446-AA$446),AC$89/(AC$159-AC$389-(AC$338-AB$338)+AC$446-AB$446)),AC$89/(AC$159-AC$389-(AC$338-AB$338)+AC$446-AB$446)) *(AD$159-AD$389-(AD$338-AC$338)+AC$446-AB$446)</f>
        <v>10.477418510632935</v>
      </c>
      <c r="AE89" s="7">
        <f ca="1">IF(AE$6=OFFSET(Assumptions!$B$8,0,$C$1),AVERAGE(AB$89/(AB$159-AB$389-(AB$338-AA$338)+AB$446-AA$446),AC$89/(AC$159-AC$389-(AC$338-AB$338)+AC$446-AB$446),AD$89/(AD$159-AD$389-(AD$338-AC$338)+AD$446-AC$446)),AD$89/(AD$159-AD$389-(AD$338-AC$338)+AD$446-AC$446)) *(AE$159-AE$389-(AE$338-AD$338)+AD$446-AC$446)</f>
        <v>10.904865777724092</v>
      </c>
      <c r="AF89" s="7">
        <f ca="1">IF(AF$6=OFFSET(Assumptions!$B$8,0,$C$1),AVERAGE(AC$89/(AC$159-AC$389-(AC$338-AB$338)+AC$446-AB$446),AD$89/(AD$159-AD$389-(AD$338-AC$338)+AD$446-AC$446),AE$89/(AE$159-AE$389-(AE$338-AD$338)+AE$446-AD$446)),AE$89/(AE$159-AE$389-(AE$338-AD$338)+AE$446-AD$446)) *(AF$159-AF$389-(AF$338-AE$338)+AE$446-AD$446)</f>
        <v>11.349979179946708</v>
      </c>
      <c r="AG89" s="7">
        <f ca="1">IF(AG$6=OFFSET(Assumptions!$B$8,0,$C$1),AVERAGE(AD$89/(AD$159-AD$389-(AD$338-AC$338)+AD$446-AC$446),AE$89/(AE$159-AE$389-(AE$338-AD$338)+AE$446-AD$446),AF$89/(AF$159-AF$389-(AF$338-AE$338)+AF$446-AE$446)),AF$89/(AF$159-AF$389-(AF$338-AE$338)+AF$446-AE$446)) *(AG$159-AG$389-(AG$338-AF$338)+AF$446-AE$446)</f>
        <v>11.817266096501772</v>
      </c>
      <c r="AH89" s="7">
        <f ca="1">IF(AH$6=OFFSET(Assumptions!$B$8,0,$C$1),AVERAGE(AE$89/(AE$159-AE$389-(AE$338-AD$338)+AE$446-AD$446),AF$89/(AF$159-AF$389-(AF$338-AE$338)+AF$446-AE$446),AG$89/(AG$159-AG$389-(AG$338-AF$338)+AG$446-AF$446)),AG$89/(AG$159-AG$389-(AG$338-AF$338)+AG$446-AF$446)) *(AH$159-AH$389-(AH$338-AG$338)+AG$446-AF$446)</f>
        <v>12.307915692767706</v>
      </c>
      <c r="AI89" s="7">
        <f ca="1">IF(AI$6=OFFSET(Assumptions!$B$8,0,$C$1),AVERAGE(AF$89/(AF$159-AF$389-(AF$338-AE$338)+AF$446-AE$446),AG$89/(AG$159-AG$389-(AG$338-AF$338)+AG$446-AF$446),AH$89/(AH$159-AH$389-(AH$338-AG$338)+AH$446-AG$446)),AH$89/(AH$159-AH$389-(AH$338-AG$338)+AH$446-AG$446)) *(AI$159-AI$389-(AI$338-AH$338)+AH$446-AG$446)</f>
        <v>12.822753375901403</v>
      </c>
      <c r="AJ89" s="7">
        <f ca="1">IF(AJ$6=OFFSET(Assumptions!$B$8,0,$C$1),AVERAGE(AG$89/(AG$159-AG$389-(AG$338-AF$338)+AG$446-AF$446),AH$89/(AH$159-AH$389-(AH$338-AG$338)+AH$446-AG$446),AI$89/(AI$159-AI$389-(AI$338-AH$338)+AI$446-AH$446)),AI$89/(AI$159-AI$389-(AI$338-AH$338)+AI$446-AH$446)) *(AJ$159-AJ$389-(AJ$338-AI$338)+AI$446-AH$446)</f>
        <v>13.363398003697826</v>
      </c>
      <c r="AK89" s="7">
        <f ca="1">IF(AK$6=OFFSET(Assumptions!$B$8,0,$C$1),AVERAGE(AH$89/(AH$159-AH$389-(AH$338-AG$338)+AH$446-AG$446),AI$89/(AI$159-AI$389-(AI$338-AH$338)+AI$446-AH$446),AJ$89/(AJ$159-AJ$389-(AJ$338-AI$338)+AJ$446-AI$446)),AJ$89/(AJ$159-AJ$389-(AJ$338-AI$338)+AJ$446-AI$446)) *(AK$159-AK$389-(AK$338-AJ$338)+AJ$446-AI$446)</f>
        <v>13.933664805119788</v>
      </c>
      <c r="AL89" s="7">
        <f ca="1">IF(AL$6=OFFSET(Assumptions!$B$8,0,$C$1),AVERAGE(AI$89/(AI$159-AI$389-(AI$338-AH$338)+AI$446-AH$446),AJ$89/(AJ$159-AJ$389-(AJ$338-AI$338)+AJ$446-AI$446),AK$89/(AK$159-AK$389-(AK$338-AJ$338)+AK$446-AJ$446)),AK$89/(AK$159-AK$389-(AK$338-AJ$338)+AK$446-AJ$446)) *(AL$159-AL$389-(AL$338-AK$338)+AK$446-AJ$446)</f>
        <v>14.530661991166996</v>
      </c>
      <c r="AM89" s="7">
        <f ca="1">IF(AM$6=OFFSET(Assumptions!$B$8,0,$C$1),AVERAGE(AJ$89/(AJ$159-AJ$389-(AJ$338-AI$338)+AJ$446-AI$446),AK$89/(AK$159-AK$389-(AK$338-AJ$338)+AK$446-AJ$446),AL$89/(AL$159-AL$389-(AL$338-AK$338)+AL$446-AK$446)),AL$89/(AL$159-AL$389-(AL$338-AK$338)+AL$446-AK$446)) *(AM$159-AM$389-(AM$338-AL$338)+AL$446-AK$446)</f>
        <v>15.158801517794426</v>
      </c>
      <c r="AN89" s="7">
        <f ca="1">IF(AN$6=OFFSET(Assumptions!$B$8,0,$C$1),AVERAGE(AK$89/(AK$159-AK$389-(AK$338-AJ$338)+AK$446-AJ$446),AL$89/(AL$159-AL$389-(AL$338-AK$338)+AL$446-AK$446),AM$89/(AM$159-AM$389-(AM$338-AL$338)+AM$446-AL$446)),AM$89/(AM$159-AM$389-(AM$338-AL$338)+AM$446-AL$446)) *(AN$159-AN$389-(AN$338-AM$338)+AM$446-AL$446)</f>
        <v>15.818992662547245</v>
      </c>
      <c r="AO89" s="7">
        <f ca="1">IF(AO$6=OFFSET(Assumptions!$B$8,0,$C$1),AVERAGE(AL$89/(AL$159-AL$389-(AL$338-AK$338)+AL$446-AK$446),AM$89/(AM$159-AM$389-(AM$338-AL$338)+AM$446-AL$446),AN$89/(AN$159-AN$389-(AN$338-AM$338)+AN$446-AM$446)),AN$89/(AN$159-AN$389-(AN$338-AM$338)+AN$446-AM$446)) *(AO$159-AO$389-(AO$338-AN$338)+AN$446-AM$446)</f>
        <v>16.514615357711094</v>
      </c>
      <c r="AP89" s="7">
        <f ca="1">IF(AP$6=OFFSET(Assumptions!$B$8,0,$C$1),AVERAGE(AM$89/(AM$159-AM$389-(AM$338-AL$338)+AM$446-AL$446),AN$89/(AN$159-AN$389-(AN$338-AM$338)+AN$446-AM$446),AO$89/(AO$159-AO$389-(AO$338-AN$338)+AO$446-AN$446)),AO$89/(AO$159-AO$389-(AO$338-AN$338)+AO$446-AN$446)) *(AP$159-AP$389-(AP$338-AO$338)+AO$446-AN$446)</f>
        <v>17.247875547148855</v>
      </c>
      <c r="AQ89" s="7">
        <f ca="1">IF(AQ$6=OFFSET(Assumptions!$B$8,0,$C$1),AVERAGE(AN$89/(AN$159-AN$389-(AN$338-AM$338)+AN$446-AM$446),AO$89/(AO$159-AO$389-(AO$338-AN$338)+AO$446-AN$446),AP$89/(AP$159-AP$389-(AP$338-AO$338)+AP$446-AO$446)),AP$89/(AP$159-AP$389-(AP$338-AO$338)+AP$446-AO$446)) *(AQ$159-AQ$389-(AQ$338-AP$338)+AP$446-AO$446)</f>
        <v>18.019651591745575</v>
      </c>
      <c r="AR89" s="7">
        <f ca="1">IF(AR$6=OFFSET(Assumptions!$B$8,0,$C$1),AVERAGE(AO$89/(AO$159-AO$389-(AO$338-AN$338)+AO$446-AN$446),AP$89/(AP$159-AP$389-(AP$338-AO$338)+AP$446-AO$446),AQ$89/(AQ$159-AQ$389-(AQ$338-AP$338)+AQ$446-AP$446)),AQ$89/(AQ$159-AQ$389-(AQ$338-AP$338)+AQ$446-AP$446)) *(AR$159-AR$389-(AR$338-AQ$338)+AQ$446-AP$446)</f>
        <v>18.83126768970568</v>
      </c>
      <c r="AS89" s="7">
        <f ca="1">IF(AS$6=OFFSET(Assumptions!$B$8,0,$C$1),AVERAGE(AP$89/(AP$159-AP$389-(AP$338-AO$338)+AP$446-AO$446),AQ$89/(AQ$159-AQ$389-(AQ$338-AP$338)+AQ$446-AP$446),AR$89/(AR$159-AR$389-(AR$338-AQ$338)+AR$446-AQ$446)),AR$89/(AR$159-AR$389-(AR$338-AQ$338)+AR$446-AQ$446)) *(AS$159-AS$389-(AS$338-AR$338)+AR$446-AQ$446)</f>
        <v>19.683555737770924</v>
      </c>
      <c r="AT89" s="7">
        <f ca="1">IF(AT$6=OFFSET(Assumptions!$B$8,0,$C$1),AVERAGE(AQ$89/(AQ$159-AQ$389-(AQ$338-AP$338)+AQ$446-AP$446),AR$89/(AR$159-AR$389-(AR$338-AQ$338)+AR$446-AQ$446),AS$89/(AS$159-AS$389-(AS$338-AR$338)+AS$446-AR$446)),AS$89/(AS$159-AS$389-(AS$338-AR$338)+AS$446-AR$446)) *(AT$159-AT$389-(AT$338-AS$338)+AS$446-AR$446)</f>
        <v>20.559431893867348</v>
      </c>
      <c r="AU89" s="7">
        <f ca="1">IF(AU$6=OFFSET(Assumptions!$B$8,0,$C$1),AVERAGE(AR$89/(AR$159-AR$389-(AR$338-AQ$338)+AR$446-AQ$446),AS$89/(AS$159-AS$389-(AS$338-AR$338)+AS$446-AR$446),AT$89/(AT$159-AT$389-(AT$338-AS$338)+AT$446-AS$446)),AT$89/(AT$159-AT$389-(AT$338-AS$338)+AT$446-AS$446)) *(AU$159-AU$389-(AU$338-AT$338)+AT$446-AS$446)</f>
        <v>21.468531313054601</v>
      </c>
      <c r="AV89" s="7">
        <f ca="1">IF(AV$6=OFFSET(Assumptions!$B$8,0,$C$1),AVERAGE(AS$89/(AS$159-AS$389-(AS$338-AR$338)+AS$446-AR$446),AT$89/(AT$159-AT$389-(AT$338-AS$338)+AT$446-AS$446),AU$89/(AU$159-AU$389-(AU$338-AT$338)+AU$446-AT$446)),AU$89/(AU$159-AU$389-(AU$338-AT$338)+AU$446-AT$446)) *(AV$159-AV$389-(AV$338-AU$338)+AU$446-AT$446)</f>
        <v>22.409761623409828</v>
      </c>
      <c r="AW89" s="7">
        <f ca="1">IF(AW$6=OFFSET(Assumptions!$B$8,0,$C$1),AVERAGE(AT$89/(AT$159-AT$389-(AT$338-AS$338)+AT$446-AS$446),AU$89/(AU$159-AU$389-(AU$338-AT$338)+AU$446-AT$446),AV$89/(AV$159-AV$389-(AV$338-AU$338)+AV$446-AU$446)),AV$89/(AV$159-AV$389-(AV$338-AU$338)+AV$446-AU$446)) *(AW$159-AW$389-(AW$338-AV$338)+AV$446-AU$446)</f>
        <v>23.386587224011304</v>
      </c>
    </row>
    <row r="90" spans="1:49" x14ac:dyDescent="0.2">
      <c r="A90" s="1" t="s">
        <v>195</v>
      </c>
      <c r="B90" s="4" t="str">
        <f t="shared" si="76"/>
        <v>From Fiscal</v>
      </c>
      <c r="D90" s="18">
        <f>Fiscal!D$74</f>
        <v>3.823</v>
      </c>
      <c r="E90" s="19">
        <f>Fiscal!E$74</f>
        <v>4.0439999999999996</v>
      </c>
      <c r="F90" s="19">
        <f>Fiscal!F$74</f>
        <v>3.59</v>
      </c>
      <c r="G90" s="19">
        <f>Fiscal!G$74</f>
        <v>3.605</v>
      </c>
      <c r="H90" s="19">
        <f>Fiscal!H$74</f>
        <v>3.512</v>
      </c>
      <c r="I90" s="19">
        <f>Fiscal!I$74</f>
        <v>3.61</v>
      </c>
      <c r="J90" s="7">
        <f ca="1">IF(J$6=OFFSET(Assumptions!$B$8,0,$C$1),AVERAGE(G$90/G$163,H$90/H$163,I$90/I$163),I$90/I$163) *J$163</f>
        <v>3.8917355775092335</v>
      </c>
      <c r="K90" s="7">
        <f ca="1">IF(K$6=OFFSET(Assumptions!$B$8,0,$C$1),AVERAGE(H$90/H$163,I$90/I$163,J$90/J$163),J$90/J$163) *K$163</f>
        <v>4.0543719752937335</v>
      </c>
      <c r="L90" s="7">
        <f ca="1">IF(L$6=OFFSET(Assumptions!$B$8,0,$C$1),AVERAGE(I$90/I$163,J$90/J$163,K$90/K$163),K$90/K$163) *L$163</f>
        <v>4.2301099056209761</v>
      </c>
      <c r="M90" s="7">
        <f ca="1">IF(M$6=OFFSET(Assumptions!$B$8,0,$C$1),AVERAGE(J$90/J$163,K$90/K$163,L$90/L$163),L$90/L$163) *M$163</f>
        <v>4.4128779533818498</v>
      </c>
      <c r="N90" s="7">
        <f ca="1">IF(N$6=OFFSET(Assumptions!$B$8,0,$C$1),AVERAGE(K$90/K$163,L$90/L$163,M$90/M$163),M$90/M$163) *N$163</f>
        <v>4.6031942436834115</v>
      </c>
      <c r="O90" s="7">
        <f ca="1">IF(O$6=OFFSET(Assumptions!$B$8,0,$C$1),AVERAGE(L$90/L$163,M$90/M$163,N$90/N$163),N$90/N$163) *O$163</f>
        <v>4.7996895676947924</v>
      </c>
      <c r="P90" s="7">
        <f ca="1">IF(P$6=OFFSET(Assumptions!$B$8,0,$C$1),AVERAGE(M$90/M$163,N$90/N$163,O$90/O$163),O$90/O$163) *P$163</f>
        <v>5.0026631657196523</v>
      </c>
      <c r="Q90" s="7">
        <f ca="1">IF(Q$6=OFFSET(Assumptions!$B$8,0,$C$1),AVERAGE(N$90/N$163,O$90/O$163,P$90/P$163),P$90/P$163) *Q$163</f>
        <v>5.2118957890023641</v>
      </c>
      <c r="R90" s="7">
        <f ca="1">IF(R$6=OFFSET(Assumptions!$B$8,0,$C$1),AVERAGE(O$90/O$163,P$90/P$163,Q$90/Q$163),Q$90/Q$163) *R$163</f>
        <v>5.4272321414269973</v>
      </c>
      <c r="S90" s="7">
        <f ca="1">IF(S$6=OFFSET(Assumptions!$B$8,0,$C$1),AVERAGE(P$90/P$163,Q$90/Q$163,R$90/R$163),R$90/R$163) *S$163</f>
        <v>5.6493565531407537</v>
      </c>
      <c r="T90" s="7">
        <f ca="1">IF(T$6=OFFSET(Assumptions!$B$8,0,$C$1),AVERAGE(Q$90/Q$163,R$90/R$163,S$90/S$163),S$90/S$163) *T$163</f>
        <v>5.8783500253961796</v>
      </c>
      <c r="U90" s="7">
        <f ca="1">IF(U$6=OFFSET(Assumptions!$B$8,0,$C$1),AVERAGE(R$90/R$163,S$90/S$163,T$90/T$163),T$90/T$163) *U$163</f>
        <v>6.1150344097290068</v>
      </c>
      <c r="V90" s="7">
        <f ca="1">IF(V$6=OFFSET(Assumptions!$B$8,0,$C$1),AVERAGE(S$90/S$163,T$90/T$163,U$90/U$163),U$90/U$163) *V$163</f>
        <v>6.3599939628938467</v>
      </c>
      <c r="W90" s="7">
        <f ca="1">IF(W$6=OFFSET(Assumptions!$B$8,0,$C$1),AVERAGE(T$90/T$163,U$90/U$163,V$90/V$163),V$90/V$163) *W$163</f>
        <v>6.6139383945041681</v>
      </c>
      <c r="X90" s="7">
        <f ca="1">IF(X$6=OFFSET(Assumptions!$B$8,0,$C$1),AVERAGE(U$90/U$163,V$90/V$163,W$90/W$163),W$90/W$163) *X$163</f>
        <v>6.8776720627112153</v>
      </c>
      <c r="Y90" s="7">
        <f ca="1">IF(Y$6=OFFSET(Assumptions!$B$8,0,$C$1),AVERAGE(V$90/V$163,W$90/W$163,X$90/X$163),X$90/X$163) *Y$163</f>
        <v>7.1511680052016597</v>
      </c>
      <c r="Z90" s="7">
        <f ca="1">IF(Z$6=OFFSET(Assumptions!$B$8,0,$C$1),AVERAGE(W$90/W$163,X$90/X$163,Y$90/Y$163),Y$90/Y$163) *Z$163</f>
        <v>7.4358105606324303</v>
      </c>
      <c r="AA90" s="7">
        <f ca="1">IF(AA$6=OFFSET(Assumptions!$B$8,0,$C$1),AVERAGE(X$90/X$163,Y$90/Y$163,Z$90/Z$163),Z$90/Z$163) *AA$163</f>
        <v>7.7320602816397992</v>
      </c>
      <c r="AB90" s="7">
        <f ca="1">IF(AB$6=OFFSET(Assumptions!$B$8,0,$C$1),AVERAGE(Y$90/Y$163,Z$90/Z$163,AA$90/AA$163),AA$90/AA$163) *AB$163</f>
        <v>8.0408068334949885</v>
      </c>
      <c r="AC90" s="7">
        <f ca="1">IF(AC$6=OFFSET(Assumptions!$B$8,0,$C$1),AVERAGE(Z$90/Z$163,AA$90/AA$163,AB$90/AB$163),AB$90/AB$163) *AC$163</f>
        <v>8.3632157763288948</v>
      </c>
      <c r="AD90" s="7">
        <f ca="1">IF(AD$6=OFFSET(Assumptions!$B$8,0,$C$1),AVERAGE(AA$90/AA$163,AB$90/AB$163,AC$90/AC$163),AC$90/AC$163) *AD$163</f>
        <v>8.6996269331444065</v>
      </c>
      <c r="AE90" s="7">
        <f ca="1">IF(AE$6=OFFSET(Assumptions!$B$8,0,$C$1),AVERAGE(AB$90/AB$163,AC$90/AC$163,AD$90/AD$163),AD$90/AD$163) *AE$163</f>
        <v>9.0497313551330159</v>
      </c>
      <c r="AF90" s="7">
        <f ca="1">IF(AF$6=OFFSET(Assumptions!$B$8,0,$C$1),AVERAGE(AC$90/AC$163,AD$90/AD$163,AE$90/AE$163),AE$90/AE$163) *AF$163</f>
        <v>9.4144976410482055</v>
      </c>
      <c r="AG90" s="7">
        <f ca="1">IF(AG$6=OFFSET(Assumptions!$B$8,0,$C$1),AVERAGE(AD$90/AD$163,AE$90/AE$163,AF$90/AF$163),AF$90/AF$163) *AG$163</f>
        <v>9.79412975294421</v>
      </c>
      <c r="AH90" s="7">
        <f ca="1">IF(AH$6=OFFSET(Assumptions!$B$8,0,$C$1),AVERAGE(AE$90/AE$163,AF$90/AF$163,AG$90/AG$163),AG$90/AG$163) *AH$163</f>
        <v>10.189236457253722</v>
      </c>
      <c r="AI90" s="7">
        <f ca="1">IF(AI$6=OFFSET(Assumptions!$B$8,0,$C$1),AVERAGE(AF$90/AF$163,AG$90/AG$163,AH$90/AH$163),AH$90/AH$163) *AI$163</f>
        <v>10.599127371770727</v>
      </c>
      <c r="AJ90" s="7">
        <f ca="1">IF(AJ$6=OFFSET(Assumptions!$B$8,0,$C$1),AVERAGE(AG$90/AG$163,AH$90/AH$163,AI$90/AI$163),AI$90/AI$163) *AJ$163</f>
        <v>11.0251155813158</v>
      </c>
      <c r="AK90" s="7">
        <f ca="1">IF(AK$6=OFFSET(Assumptions!$B$8,0,$C$1),AVERAGE(AH$90/AH$163,AI$90/AI$163,AJ$90/AJ$163),AJ$90/AJ$163) *AK$163</f>
        <v>11.466850654865818</v>
      </c>
      <c r="AL90" s="7">
        <f ca="1">IF(AL$6=OFFSET(Assumptions!$B$8,0,$C$1),AVERAGE(AI$90/AI$163,AJ$90/AJ$163,AK$90/AK$163),AK$90/AK$163) *AL$163</f>
        <v>11.923984625516672</v>
      </c>
      <c r="AM90" s="7">
        <f ca="1">IF(AM$6=OFFSET(Assumptions!$B$8,0,$C$1),AVERAGE(AJ$90/AJ$163,AK$90/AK$163,AL$90/AL$163),AL$90/AL$163) *AM$163</f>
        <v>12.397141997800395</v>
      </c>
      <c r="AN90" s="7">
        <f ca="1">IF(AN$6=OFFSET(Assumptions!$B$8,0,$C$1),AVERAGE(AK$90/AK$163,AL$90/AL$163,AM$90/AM$163),AM$90/AM$163) *AN$163</f>
        <v>12.886980929039732</v>
      </c>
      <c r="AO90" s="7">
        <f ca="1">IF(AO$6=OFFSET(Assumptions!$B$8,0,$C$1),AVERAGE(AL$90/AL$163,AM$90/AM$163,AN$90/AN$163),AN$90/AN$163) *AO$163</f>
        <v>13.391577991145855</v>
      </c>
      <c r="AP90" s="7">
        <f ca="1">IF(AP$6=OFFSET(Assumptions!$B$8,0,$C$1),AVERAGE(AM$90/AM$163,AN$90/AN$163,AO$90/AO$163),AO$90/AO$163) *AP$163</f>
        <v>13.913075953079741</v>
      </c>
      <c r="AQ90" s="7">
        <f ca="1">IF(AQ$6=OFFSET(Assumptions!$B$8,0,$C$1),AVERAGE(AN$90/AN$163,AO$90/AO$163,AP$90/AP$163),AP$90/AP$163) *AQ$163</f>
        <v>14.450013579197757</v>
      </c>
      <c r="AR90" s="7">
        <f ca="1">IF(AR$6=OFFSET(Assumptions!$B$8,0,$C$1),AVERAGE(AO$90/AO$163,AP$90/AP$163,AQ$90/AQ$163),AQ$90/AQ$163) *AR$163</f>
        <v>15.002998778949125</v>
      </c>
      <c r="AS90" s="7">
        <f ca="1">IF(AS$6=OFFSET(Assumptions!$B$8,0,$C$1),AVERAGE(AP$90/AP$163,AQ$90/AQ$163,AR$90/AR$163),AR$90/AR$163) *AS$163</f>
        <v>15.573321650854629</v>
      </c>
      <c r="AT90" s="7">
        <f ca="1">IF(AT$6=OFFSET(Assumptions!$B$8,0,$C$1),AVERAGE(AQ$90/AQ$163,AR$90/AR$163,AS$90/AS$163),AS$90/AS$163) *AT$163</f>
        <v>16.161437693120199</v>
      </c>
      <c r="AU90" s="7">
        <f ca="1">IF(AU$6=OFFSET(Assumptions!$B$8,0,$C$1),AVERAGE(AR$90/AR$163,AS$90/AS$163,AT$90/AT$163),AT$90/AT$163) *AU$163</f>
        <v>16.768128968788314</v>
      </c>
      <c r="AV90" s="7">
        <f ca="1">IF(AV$6=OFFSET(Assumptions!$B$8,0,$C$1),AVERAGE(AS$90/AS$163,AT$90/AT$163,AU$90/AU$163),AU$90/AU$163) *AV$163</f>
        <v>17.395271305440051</v>
      </c>
      <c r="AW90" s="7">
        <f ca="1">IF(AW$6=OFFSET(Assumptions!$B$8,0,$C$1),AVERAGE(AT$90/AT$163,AU$90/AU$163,AV$90/AV$163),AV$90/AV$163) *AW$163</f>
        <v>18.042510645994771</v>
      </c>
    </row>
    <row r="91" spans="1:49" ht="15" x14ac:dyDescent="0.25">
      <c r="A91" s="2" t="s">
        <v>196</v>
      </c>
      <c r="D91" s="40">
        <f t="shared" ref="D91:I91" si="77">SUM(D$86:D$90)</f>
        <v>94.094999999999985</v>
      </c>
      <c r="E91" s="39">
        <f t="shared" si="77"/>
        <v>97.541999999999987</v>
      </c>
      <c r="F91" s="39">
        <f t="shared" si="77"/>
        <v>98.63300000000001</v>
      </c>
      <c r="G91" s="39">
        <f t="shared" si="77"/>
        <v>103.07400000000001</v>
      </c>
      <c r="H91" s="39">
        <f t="shared" si="77"/>
        <v>108.63600000000001</v>
      </c>
      <c r="I91" s="39">
        <f t="shared" si="77"/>
        <v>113.434</v>
      </c>
      <c r="J91" s="43">
        <f t="shared" ref="J91:AW91" ca="1" si="78">SUM(J$86:J$90)</f>
        <v>118.36153499705686</v>
      </c>
      <c r="K91" s="43">
        <f t="shared" ca="1" si="78"/>
        <v>123.9402929742329</v>
      </c>
      <c r="L91" s="43">
        <f t="shared" ca="1" si="78"/>
        <v>129.64676654108263</v>
      </c>
      <c r="M91" s="43">
        <f t="shared" ca="1" si="78"/>
        <v>135.42492072312245</v>
      </c>
      <c r="N91" s="43">
        <f t="shared" ca="1" si="78"/>
        <v>141.41738988194712</v>
      </c>
      <c r="O91" s="43">
        <f t="shared" ca="1" si="78"/>
        <v>147.51648721571539</v>
      </c>
      <c r="P91" s="43">
        <f t="shared" ca="1" si="78"/>
        <v>154.01930260592314</v>
      </c>
      <c r="Q91" s="43">
        <f t="shared" ca="1" si="78"/>
        <v>160.60450450959766</v>
      </c>
      <c r="R91" s="43">
        <f t="shared" ca="1" si="78"/>
        <v>167.29663022575846</v>
      </c>
      <c r="S91" s="43">
        <f t="shared" ca="1" si="78"/>
        <v>174.18885304053796</v>
      </c>
      <c r="T91" s="43">
        <f t="shared" ca="1" si="78"/>
        <v>181.30543355184747</v>
      </c>
      <c r="U91" s="43">
        <f t="shared" ca="1" si="78"/>
        <v>188.66004220385886</v>
      </c>
      <c r="V91" s="43">
        <f t="shared" ca="1" si="78"/>
        <v>196.27558153442186</v>
      </c>
      <c r="W91" s="43">
        <f t="shared" ca="1" si="78"/>
        <v>204.17336362752911</v>
      </c>
      <c r="X91" s="43">
        <f t="shared" ca="1" si="78"/>
        <v>212.37450890285467</v>
      </c>
      <c r="Y91" s="43">
        <f t="shared" ca="1" si="78"/>
        <v>220.86418657273671</v>
      </c>
      <c r="Z91" s="43">
        <f t="shared" ca="1" si="78"/>
        <v>229.72624190364573</v>
      </c>
      <c r="AA91" s="43">
        <f t="shared" ca="1" si="78"/>
        <v>238.94385685821638</v>
      </c>
      <c r="AB91" s="43">
        <f t="shared" ca="1" si="78"/>
        <v>248.54030878622436</v>
      </c>
      <c r="AC91" s="43">
        <f t="shared" ca="1" si="78"/>
        <v>258.55476668856716</v>
      </c>
      <c r="AD91" s="43">
        <f t="shared" ca="1" si="78"/>
        <v>269.03059503110472</v>
      </c>
      <c r="AE91" s="43">
        <f t="shared" ca="1" si="78"/>
        <v>279.92950428757365</v>
      </c>
      <c r="AF91" s="43">
        <f t="shared" ca="1" si="78"/>
        <v>291.27330353386196</v>
      </c>
      <c r="AG91" s="43">
        <f t="shared" ca="1" si="78"/>
        <v>303.10505641792986</v>
      </c>
      <c r="AH91" s="43">
        <f t="shared" ca="1" si="78"/>
        <v>315.41819769130626</v>
      </c>
      <c r="AI91" s="43">
        <f t="shared" ca="1" si="78"/>
        <v>328.1860918144327</v>
      </c>
      <c r="AJ91" s="43">
        <f t="shared" ca="1" si="78"/>
        <v>341.4861624720026</v>
      </c>
      <c r="AK91" s="43">
        <f t="shared" ca="1" si="78"/>
        <v>355.29080846560561</v>
      </c>
      <c r="AL91" s="43">
        <f t="shared" ca="1" si="78"/>
        <v>369.58797040445097</v>
      </c>
      <c r="AM91" s="43">
        <f t="shared" ca="1" si="78"/>
        <v>384.40165208945962</v>
      </c>
      <c r="AN91" s="43">
        <f t="shared" ca="1" si="78"/>
        <v>399.75275192612986</v>
      </c>
      <c r="AO91" s="43">
        <f t="shared" ca="1" si="78"/>
        <v>415.58844526452492</v>
      </c>
      <c r="AP91" s="43">
        <f t="shared" ca="1" si="78"/>
        <v>431.97642233094075</v>
      </c>
      <c r="AQ91" s="43">
        <f t="shared" ca="1" si="78"/>
        <v>448.8742252623037</v>
      </c>
      <c r="AR91" s="43">
        <f t="shared" ca="1" si="78"/>
        <v>466.31327224925457</v>
      </c>
      <c r="AS91" s="43">
        <f t="shared" ca="1" si="78"/>
        <v>484.34382261928761</v>
      </c>
      <c r="AT91" s="43">
        <f t="shared" ca="1" si="78"/>
        <v>502.92029236826988</v>
      </c>
      <c r="AU91" s="43">
        <f t="shared" ca="1" si="78"/>
        <v>522.0975776804604</v>
      </c>
      <c r="AV91" s="43">
        <f t="shared" ca="1" si="78"/>
        <v>541.93076938959746</v>
      </c>
      <c r="AW91" s="43">
        <f t="shared" ca="1" si="78"/>
        <v>562.41308956207342</v>
      </c>
    </row>
    <row r="92" spans="1:49" x14ac:dyDescent="0.2">
      <c r="A92" s="1" t="s">
        <v>158</v>
      </c>
      <c r="B92" s="4" t="str">
        <f t="shared" si="76"/>
        <v>From Fiscal</v>
      </c>
      <c r="D92" s="18">
        <f>Fiscal!D$76</f>
        <v>23.896000000000001</v>
      </c>
      <c r="E92" s="19">
        <f>Fiscal!E$76</f>
        <v>24.449000000000002</v>
      </c>
      <c r="F92" s="19">
        <f>Fiscal!F$76</f>
        <v>25.384</v>
      </c>
      <c r="G92" s="19">
        <f>Fiscal!G$76</f>
        <v>26.039000000000001</v>
      </c>
      <c r="H92" s="19">
        <f>Fiscal!H$76</f>
        <v>26.815000000000001</v>
      </c>
      <c r="I92" s="19">
        <f>Fiscal!I$76</f>
        <v>27.83</v>
      </c>
      <c r="J92" s="7">
        <f t="shared" ref="J92:AW92" ca="1" si="79">J$177</f>
        <v>29.68333610928552</v>
      </c>
      <c r="K92" s="7">
        <f t="shared" ca="1" si="79"/>
        <v>31.772385841837348</v>
      </c>
      <c r="L92" s="7">
        <f t="shared" ca="1" si="79"/>
        <v>33.983950794995771</v>
      </c>
      <c r="M92" s="7">
        <f t="shared" ca="1" si="79"/>
        <v>36.2937738783315</v>
      </c>
      <c r="N92" s="7">
        <f t="shared" ca="1" si="79"/>
        <v>38.733875764795172</v>
      </c>
      <c r="O92" s="7">
        <f t="shared" ca="1" si="79"/>
        <v>41.235254289084693</v>
      </c>
      <c r="P92" s="7">
        <f t="shared" ca="1" si="79"/>
        <v>43.784210719566552</v>
      </c>
      <c r="Q92" s="7">
        <f t="shared" ca="1" si="79"/>
        <v>46.430691657400104</v>
      </c>
      <c r="R92" s="7">
        <f t="shared" ca="1" si="79"/>
        <v>49.160235948216403</v>
      </c>
      <c r="S92" s="7">
        <f t="shared" ca="1" si="79"/>
        <v>51.939510564326909</v>
      </c>
      <c r="T92" s="7">
        <f t="shared" ca="1" si="79"/>
        <v>54.807576101995245</v>
      </c>
      <c r="U92" s="7">
        <f t="shared" ca="1" si="79"/>
        <v>57.795919425224959</v>
      </c>
      <c r="V92" s="7">
        <f t="shared" ca="1" si="79"/>
        <v>60.918297992108464</v>
      </c>
      <c r="W92" s="7">
        <f t="shared" ca="1" si="79"/>
        <v>63.993070743986749</v>
      </c>
      <c r="X92" s="7">
        <f t="shared" ca="1" si="79"/>
        <v>67.093851455952759</v>
      </c>
      <c r="Y92" s="7">
        <f t="shared" ca="1" si="79"/>
        <v>70.35306656449373</v>
      </c>
      <c r="Z92" s="7">
        <f t="shared" ca="1" si="79"/>
        <v>73.698061862357577</v>
      </c>
      <c r="AA92" s="7">
        <f t="shared" ca="1" si="79"/>
        <v>77.096349300327816</v>
      </c>
      <c r="AB92" s="7">
        <f t="shared" ca="1" si="79"/>
        <v>80.538880960475211</v>
      </c>
      <c r="AC92" s="7">
        <f t="shared" ca="1" si="79"/>
        <v>84.020279546922168</v>
      </c>
      <c r="AD92" s="7">
        <f t="shared" ca="1" si="79"/>
        <v>87.533165051181413</v>
      </c>
      <c r="AE92" s="7">
        <f t="shared" ca="1" si="79"/>
        <v>91.162382565072733</v>
      </c>
      <c r="AF92" s="7">
        <f t="shared" ca="1" si="79"/>
        <v>94.871275417606284</v>
      </c>
      <c r="AG92" s="7">
        <f t="shared" ca="1" si="79"/>
        <v>98.757767288900766</v>
      </c>
      <c r="AH92" s="7">
        <f t="shared" ca="1" si="79"/>
        <v>102.78524262264594</v>
      </c>
      <c r="AI92" s="7">
        <f t="shared" ca="1" si="79"/>
        <v>106.97099062379525</v>
      </c>
      <c r="AJ92" s="7">
        <f t="shared" ca="1" si="79"/>
        <v>111.33052832691722</v>
      </c>
      <c r="AK92" s="7">
        <f t="shared" ca="1" si="79"/>
        <v>115.9098097394203</v>
      </c>
      <c r="AL92" s="7">
        <f t="shared" ca="1" si="79"/>
        <v>120.65934366807859</v>
      </c>
      <c r="AM92" s="7">
        <f t="shared" ca="1" si="79"/>
        <v>125.60317878851941</v>
      </c>
      <c r="AN92" s="7">
        <f t="shared" ca="1" si="79"/>
        <v>130.78949566218435</v>
      </c>
      <c r="AO92" s="7">
        <f t="shared" ca="1" si="79"/>
        <v>136.24072925513516</v>
      </c>
      <c r="AP92" s="7">
        <f t="shared" ca="1" si="79"/>
        <v>142.05013988359156</v>
      </c>
      <c r="AQ92" s="7">
        <f t="shared" ca="1" si="79"/>
        <v>148.19594097787495</v>
      </c>
      <c r="AR92" s="7">
        <f t="shared" ca="1" si="79"/>
        <v>154.75226859319369</v>
      </c>
      <c r="AS92" s="7">
        <f t="shared" ca="1" si="79"/>
        <v>161.71833891017457</v>
      </c>
      <c r="AT92" s="7">
        <f t="shared" ca="1" si="79"/>
        <v>168.88747588696103</v>
      </c>
      <c r="AU92" s="7">
        <f t="shared" ca="1" si="79"/>
        <v>176.34189330529401</v>
      </c>
      <c r="AV92" s="7">
        <f t="shared" ca="1" si="79"/>
        <v>184.0460498973458</v>
      </c>
      <c r="AW92" s="7">
        <f t="shared" ca="1" si="79"/>
        <v>192.07702097990114</v>
      </c>
    </row>
    <row r="93" spans="1:49" x14ac:dyDescent="0.2">
      <c r="A93" s="1" t="s">
        <v>197</v>
      </c>
      <c r="B93" s="4" t="str">
        <f t="shared" si="76"/>
        <v>From Fiscal</v>
      </c>
      <c r="D93" s="18">
        <f>Fiscal!D$77</f>
        <v>60.009</v>
      </c>
      <c r="E93" s="19">
        <f ca="1">Fiscal!E$77 +IF(OR(OFFSET(Assumptions!$B$72,0,$C$1)="BU",OFFSET(Assumptions!$B$113,0,$C$1)="SND"),Allocate!C$25,0)</f>
        <v>61.512</v>
      </c>
      <c r="F93" s="19">
        <f ca="1">Fiscal!F$77 +IF(OR(OFFSET(Assumptions!$B$72,0,$C$1)="BU",OFFSET(Assumptions!$B$113,0,$C$1)="SND"),Allocate!D$25,0)</f>
        <v>63.26</v>
      </c>
      <c r="G93" s="19">
        <f ca="1">Fiscal!G$77 +IF(OR(OFFSET(Assumptions!$B$72,0,$C$1)="BU",OFFSET(Assumptions!$B$113,0,$C$1)="SND"),Allocate!E$25,0)</f>
        <v>64.628</v>
      </c>
      <c r="H93" s="19">
        <f ca="1">Fiscal!H$77 +IF(OR(OFFSET(Assumptions!$B$72,0,$C$1)="BU",OFFSET(Assumptions!$B$113,0,$C$1)="SND"),Allocate!F$25,0)</f>
        <v>65.316000000000003</v>
      </c>
      <c r="I93" s="19">
        <f ca="1">Fiscal!I$77 +IF(OR(OFFSET(Assumptions!$B$72,0,$C$1)="BU",OFFSET(Assumptions!$B$113,0,$C$1)="SND"),Allocate!G$25,0)</f>
        <v>67.343000000000004</v>
      </c>
      <c r="J93" s="7">
        <f t="shared" ref="J93:AW93" ca="1" si="80">SUM(J$196,J$209-(J$145-J$87),J$224)-SUM(J$269,J$387,J$390)+SUM(J$396-I$396,J$400-I$400)-SUM(J$450-J$446-J$447-(I$450-I$446-I$447),J$460-I$460,J$465-I$465,J$469-I$469)</f>
        <v>68.813433684853621</v>
      </c>
      <c r="K93" s="7">
        <f t="shared" ca="1" si="80"/>
        <v>71.485036785859606</v>
      </c>
      <c r="L93" s="7">
        <f t="shared" ca="1" si="80"/>
        <v>74.167483325458676</v>
      </c>
      <c r="M93" s="7">
        <f t="shared" ca="1" si="80"/>
        <v>77.003269315177064</v>
      </c>
      <c r="N93" s="7">
        <f t="shared" ca="1" si="80"/>
        <v>79.889080902189477</v>
      </c>
      <c r="O93" s="7">
        <f t="shared" ca="1" si="80"/>
        <v>82.989352029487421</v>
      </c>
      <c r="P93" s="7">
        <f t="shared" ca="1" si="80"/>
        <v>87.096618685819578</v>
      </c>
      <c r="Q93" s="7">
        <f t="shared" ca="1" si="80"/>
        <v>91.383118995751403</v>
      </c>
      <c r="R93" s="7">
        <f t="shared" ca="1" si="80"/>
        <v>95.828453777821125</v>
      </c>
      <c r="S93" s="7">
        <f t="shared" ca="1" si="80"/>
        <v>100.41540120644633</v>
      </c>
      <c r="T93" s="7">
        <f t="shared" ca="1" si="80"/>
        <v>105.17061594556036</v>
      </c>
      <c r="U93" s="7">
        <f t="shared" ca="1" si="80"/>
        <v>110.10501771687973</v>
      </c>
      <c r="V93" s="7">
        <f t="shared" ca="1" si="80"/>
        <v>115.23320404592677</v>
      </c>
      <c r="W93" s="7">
        <f t="shared" ca="1" si="80"/>
        <v>120.56295219435995</v>
      </c>
      <c r="X93" s="7">
        <f t="shared" ca="1" si="80"/>
        <v>126.0781325652429</v>
      </c>
      <c r="Y93" s="7">
        <f t="shared" ca="1" si="80"/>
        <v>131.79293381094558</v>
      </c>
      <c r="Z93" s="7">
        <f t="shared" ca="1" si="80"/>
        <v>137.73490053269398</v>
      </c>
      <c r="AA93" s="7">
        <f t="shared" ca="1" si="80"/>
        <v>142.36597291533874</v>
      </c>
      <c r="AB93" s="7">
        <f t="shared" ca="1" si="80"/>
        <v>147.18487753725438</v>
      </c>
      <c r="AC93" s="7">
        <f t="shared" ca="1" si="80"/>
        <v>152.17628970205314</v>
      </c>
      <c r="AD93" s="7">
        <f t="shared" ca="1" si="80"/>
        <v>157.32887097542184</v>
      </c>
      <c r="AE93" s="7">
        <f t="shared" ca="1" si="80"/>
        <v>162.6815972332428</v>
      </c>
      <c r="AF93" s="7">
        <f t="shared" ca="1" si="80"/>
        <v>168.29228762306298</v>
      </c>
      <c r="AG93" s="7">
        <f t="shared" ca="1" si="80"/>
        <v>174.1425585039739</v>
      </c>
      <c r="AH93" s="7">
        <f t="shared" ca="1" si="80"/>
        <v>180.22839266054783</v>
      </c>
      <c r="AI93" s="7">
        <f t="shared" ca="1" si="80"/>
        <v>186.55175055405792</v>
      </c>
      <c r="AJ93" s="7">
        <f t="shared" ca="1" si="80"/>
        <v>193.12150783910604</v>
      </c>
      <c r="AK93" s="7">
        <f t="shared" ca="1" si="80"/>
        <v>199.94383482011614</v>
      </c>
      <c r="AL93" s="7">
        <f t="shared" ca="1" si="80"/>
        <v>207.02691867550271</v>
      </c>
      <c r="AM93" s="7">
        <f t="shared" ca="1" si="80"/>
        <v>214.37728181397915</v>
      </c>
      <c r="AN93" s="7">
        <f t="shared" ca="1" si="80"/>
        <v>222.00248254215097</v>
      </c>
      <c r="AO93" s="7">
        <f t="shared" ca="1" si="80"/>
        <v>229.90881158186511</v>
      </c>
      <c r="AP93" s="7">
        <f t="shared" ca="1" si="80"/>
        <v>238.10199248790605</v>
      </c>
      <c r="AQ93" s="7">
        <f t="shared" ca="1" si="80"/>
        <v>246.58908187761853</v>
      </c>
      <c r="AR93" s="7">
        <f t="shared" ca="1" si="80"/>
        <v>255.37329886658512</v>
      </c>
      <c r="AS93" s="7">
        <f t="shared" ca="1" si="80"/>
        <v>264.46797574678897</v>
      </c>
      <c r="AT93" s="7">
        <f t="shared" ca="1" si="80"/>
        <v>273.93091485965908</v>
      </c>
      <c r="AU93" s="7">
        <f t="shared" ca="1" si="80"/>
        <v>283.70395418751576</v>
      </c>
      <c r="AV93" s="7">
        <f t="shared" ca="1" si="80"/>
        <v>293.82482434153349</v>
      </c>
      <c r="AW93" s="7">
        <f t="shared" ca="1" si="80"/>
        <v>304.31098023256192</v>
      </c>
    </row>
    <row r="94" spans="1:49" x14ac:dyDescent="0.2">
      <c r="A94" s="1" t="s">
        <v>198</v>
      </c>
      <c r="B94" s="4" t="str">
        <f t="shared" si="76"/>
        <v>From Fiscal</v>
      </c>
      <c r="D94" s="18">
        <f>Fiscal!D$78</f>
        <v>4.5979999999999999</v>
      </c>
      <c r="E94" s="19">
        <f>Fiscal!E$78</f>
        <v>4.4379999999999997</v>
      </c>
      <c r="F94" s="19">
        <f>Fiscal!F$78</f>
        <v>4.6820000000000004</v>
      </c>
      <c r="G94" s="19">
        <f>Fiscal!G$78</f>
        <v>4.8239999999999998</v>
      </c>
      <c r="H94" s="19">
        <f>Fiscal!H$78</f>
        <v>4.8929999999999998</v>
      </c>
      <c r="I94" s="19">
        <f>Fiscal!I$78</f>
        <v>4.6909999999999998</v>
      </c>
      <c r="J94" s="7">
        <f ca="1">IF(J$6=OFFSET(Assumptions!$B$8,0,$C$1),AVERAGE(G$94/G$216,H$94/H$216,I$94/I$216),I$94/I$216)*J$216</f>
        <v>5.0183461361341219</v>
      </c>
      <c r="K94" s="7">
        <f ca="1">IF(K$6=OFFSET(Assumptions!$B$8,0,$C$1),AVERAGE(H$94/H$216,I$94/I$216,J$94/J$216),J$94/J$216)*K$216</f>
        <v>5.1802684880619392</v>
      </c>
      <c r="L94" s="7">
        <f ca="1">IF(L$6=OFFSET(Assumptions!$B$8,0,$C$1),AVERAGE(I$94/I$216,J$94/J$216,K$94/K$216),K$94/K$216)*L$216</f>
        <v>5.3432644645425595</v>
      </c>
      <c r="M94" s="7">
        <f ca="1">IF(M$6=OFFSET(Assumptions!$B$8,0,$C$1),AVERAGE(J$94/J$216,K$94/K$216,L$94/L$216),L$94/L$216)*M$216</f>
        <v>5.494966074423818</v>
      </c>
      <c r="N94" s="7">
        <f ca="1">IF(N$6=OFFSET(Assumptions!$B$8,0,$C$1),AVERAGE(K$94/K$216,L$94/L$216,M$94/M$216),M$94/M$216)*N$216</f>
        <v>5.6365939355088157</v>
      </c>
      <c r="O94" s="7">
        <f ca="1">IF(O$6=OFFSET(Assumptions!$B$8,0,$C$1),AVERAGE(L$94/L$216,M$94/M$216,N$94/N$216),N$94/N$216)*O$216</f>
        <v>5.7712215231370152</v>
      </c>
      <c r="P94" s="7">
        <f ca="1">IF(P$6=OFFSET(Assumptions!$B$8,0,$C$1),AVERAGE(M$94/M$216,N$94/N$216,O$94/O$216),O$94/O$216)*P$216</f>
        <v>5.9174573489060949</v>
      </c>
      <c r="Q94" s="7">
        <f ca="1">IF(Q$6=OFFSET(Assumptions!$B$8,0,$C$1),AVERAGE(N$94/N$216,O$94/O$216,P$94/P$216),P$94/P$216)*Q$216</f>
        <v>5.9245069296111605</v>
      </c>
      <c r="R94" s="7">
        <f ca="1">IF(R$6=OFFSET(Assumptions!$B$8,0,$C$1),AVERAGE(O$94/O$216,P$94/P$216,Q$94/Q$216),Q$94/Q$216)*R$216</f>
        <v>5.9653550573091065</v>
      </c>
      <c r="S94" s="7">
        <f ca="1">IF(S$6=OFFSET(Assumptions!$B$8,0,$C$1),AVERAGE(P$94/P$216,Q$94/Q$216,R$94/R$216),R$94/R$216)*S$216</f>
        <v>6.0516623225274477</v>
      </c>
      <c r="T94" s="7">
        <f ca="1">IF(T$6=OFFSET(Assumptions!$B$8,0,$C$1),AVERAGE(Q$94/Q$216,R$94/R$216,S$94/S$216),S$94/S$216)*T$216</f>
        <v>6.1890537209781771</v>
      </c>
      <c r="U94" s="7">
        <f ca="1">IF(U$6=OFFSET(Assumptions!$B$8,0,$C$1),AVERAGE(R$94/R$216,S$94/S$216,T$94/T$216),T$94/T$216)*U$216</f>
        <v>6.3843382300160734</v>
      </c>
      <c r="V94" s="7">
        <f ca="1">IF(V$6=OFFSET(Assumptions!$B$8,0,$C$1),AVERAGE(S$94/S$216,T$94/T$216,U$94/U$216),U$94/U$216)*V$216</f>
        <v>6.6447727961434486</v>
      </c>
      <c r="W94" s="7">
        <f ca="1">IF(W$6=OFFSET(Assumptions!$B$8,0,$C$1),AVERAGE(T$94/T$216,U$94/U$216,V$94/V$216),V$94/V$216)*W$216</f>
        <v>6.9729974132286481</v>
      </c>
      <c r="X94" s="7">
        <f ca="1">IF(X$6=OFFSET(Assumptions!$B$8,0,$C$1),AVERAGE(U$94/U$216,V$94/V$216,W$94/W$216),W$94/W$216)*X$216</f>
        <v>7.3681663540288085</v>
      </c>
      <c r="Y94" s="7">
        <f ca="1">IF(Y$6=OFFSET(Assumptions!$B$8,0,$C$1),AVERAGE(V$94/V$216,W$94/W$216,X$94/X$216),X$94/X$216)*Y$216</f>
        <v>7.8335986206799069</v>
      </c>
      <c r="Z94" s="7">
        <f ca="1">IF(Z$6=OFFSET(Assumptions!$B$8,0,$C$1),AVERAGE(W$94/W$216,X$94/X$216,Y$94/Y$216),Y$94/Y$216)*Z$216</f>
        <v>8.3757246013034692</v>
      </c>
      <c r="AA94" s="7">
        <f ca="1">IF(AA$6=OFFSET(Assumptions!$B$8,0,$C$1),AVERAGE(X$94/X$216,Y$94/Y$216,Z$94/Z$216),Z$94/Z$216)*AA$216</f>
        <v>8.9605994923145644</v>
      </c>
      <c r="AB94" s="7">
        <f ca="1">IF(AB$6=OFFSET(Assumptions!$B$8,0,$C$1),AVERAGE(Y$94/Y$216,Z$94/Z$216,AA$94/AA$216),AA$94/AA$216)*AB$216</f>
        <v>9.5494394766646646</v>
      </c>
      <c r="AC94" s="7">
        <f ca="1">IF(AC$6=OFFSET(Assumptions!$B$8,0,$C$1),AVERAGE(Z$94/Z$216,AA$94/AA$216,AB$94/AB$216),AB$94/AB$216)*AC$216</f>
        <v>10.139066562454243</v>
      </c>
      <c r="AD94" s="7">
        <f ca="1">IF(AD$6=OFFSET(Assumptions!$B$8,0,$C$1),AVERAGE(AA$94/AA$216,AB$94/AB$216,AC$94/AC$216),AC$94/AC$216)*AD$216</f>
        <v>10.725070889081334</v>
      </c>
      <c r="AE94" s="7">
        <f ca="1">IF(AE$6=OFFSET(Assumptions!$B$8,0,$C$1),AVERAGE(AB$94/AB$216,AC$94/AC$216,AD$94/AD$216),AD$94/AD$216)*AE$216</f>
        <v>11.303654312141223</v>
      </c>
      <c r="AF94" s="7">
        <f ca="1">IF(AF$6=OFFSET(Assumptions!$B$8,0,$C$1),AVERAGE(AC$94/AC$216,AD$94/AD$216,AE$94/AE$216),AE$94/AE$216)*AF$216</f>
        <v>11.873765690892677</v>
      </c>
      <c r="AG94" s="7">
        <f ca="1">IF(AG$6=OFFSET(Assumptions!$B$8,0,$C$1),AVERAGE(AD$94/AD$216,AE$94/AE$216,AF$94/AF$216),AF$94/AF$216)*AG$216</f>
        <v>12.434097422042772</v>
      </c>
      <c r="AH94" s="7">
        <f ca="1">IF(AH$6=OFFSET(Assumptions!$B$8,0,$C$1),AVERAGE(AE$94/AE$216,AF$94/AF$216,AG$94/AG$216),AG$94/AG$216)*AH$216</f>
        <v>12.982094648242509</v>
      </c>
      <c r="AI94" s="7">
        <f ca="1">IF(AI$6=OFFSET(Assumptions!$B$8,0,$C$1),AVERAGE(AF$94/AF$216,AG$94/AG$216,AH$94/AH$216),AH$94/AH$216)*AI$216</f>
        <v>13.515287555555124</v>
      </c>
      <c r="AJ94" s="7">
        <f ca="1">IF(AJ$6=OFFSET(Assumptions!$B$8,0,$C$1),AVERAGE(AG$94/AG$216,AH$94/AH$216,AI$94/AI$216),AI$94/AI$216)*AJ$216</f>
        <v>14.03175744050991</v>
      </c>
      <c r="AK94" s="7">
        <f ca="1">IF(AK$6=OFFSET(Assumptions!$B$8,0,$C$1),AVERAGE(AH$94/AH$216,AI$94/AI$216,AJ$94/AJ$216),AJ$94/AJ$216)*AK$216</f>
        <v>14.529856214558867</v>
      </c>
      <c r="AL94" s="7">
        <f ca="1">IF(AL$6=OFFSET(Assumptions!$B$8,0,$C$1),AVERAGE(AI$94/AI$216,AJ$94/AJ$216,AK$94/AK$216),AK$94/AK$216)*AL$216</f>
        <v>15.00766409117376</v>
      </c>
      <c r="AM94" s="7">
        <f ca="1">IF(AM$6=OFFSET(Assumptions!$B$8,0,$C$1),AVERAGE(AJ$94/AJ$216,AK$94/AK$216,AL$94/AL$216),AL$94/AL$216)*AM$216</f>
        <v>15.46356792063912</v>
      </c>
      <c r="AN94" s="7">
        <f ca="1">IF(AN$6=OFFSET(Assumptions!$B$8,0,$C$1),AVERAGE(AK$94/AK$216,AL$94/AL$216,AM$94/AM$216),AM$94/AM$216)*AN$216</f>
        <v>15.89583972069863</v>
      </c>
      <c r="AO94" s="7">
        <f ca="1">IF(AO$6=OFFSET(Assumptions!$B$8,0,$C$1),AVERAGE(AL$94/AL$216,AM$94/AM$216,AN$94/AN$216),AN$94/AN$216)*AO$216</f>
        <v>16.304171827929665</v>
      </c>
      <c r="AP94" s="7">
        <f ca="1">IF(AP$6=OFFSET(Assumptions!$B$8,0,$C$1),AVERAGE(AM$94/AM$216,AN$94/AN$216,AO$94/AO$216),AO$94/AO$216)*AP$216</f>
        <v>16.689351276681609</v>
      </c>
      <c r="AQ94" s="7">
        <f ca="1">IF(AQ$6=OFFSET(Assumptions!$B$8,0,$C$1),AVERAGE(AN$94/AN$216,AO$94/AO$216,AP$94/AP$216),AP$94/AP$216)*AQ$216</f>
        <v>17.051704108214846</v>
      </c>
      <c r="AR94" s="7">
        <f ca="1">IF(AR$6=OFFSET(Assumptions!$B$8,0,$C$1),AVERAGE(AO$94/AO$216,AP$94/AP$216,AQ$94/AQ$216),AQ$94/AQ$216)*AR$216</f>
        <v>17.392547421752386</v>
      </c>
      <c r="AS94" s="7">
        <f ca="1">IF(AS$6=OFFSET(Assumptions!$B$8,0,$C$1),AVERAGE(AP$94/AP$216,AQ$94/AQ$216,AR$94/AR$216),AR$94/AR$216)*AS$216</f>
        <v>17.713890171093993</v>
      </c>
      <c r="AT94" s="7">
        <f ca="1">IF(AT$6=OFFSET(Assumptions!$B$8,0,$C$1),AVERAGE(AQ$94/AQ$216,AR$94/AR$216,AS$94/AS$216),AS$94/AS$216)*AT$216</f>
        <v>18.012924469125231</v>
      </c>
      <c r="AU94" s="7">
        <f ca="1">IF(AU$6=OFFSET(Assumptions!$B$8,0,$C$1),AVERAGE(AR$94/AR$216,AS$94/AS$216,AT$94/AT$216),AT$94/AT$216)*AU$216</f>
        <v>18.287938772989776</v>
      </c>
      <c r="AV94" s="7">
        <f ca="1">IF(AV$6=OFFSET(Assumptions!$B$8,0,$C$1),AVERAGE(AS$94/AS$216,AT$94/AT$216,AU$94/AU$216),AU$94/AU$216)*AV$216</f>
        <v>18.541518010529522</v>
      </c>
      <c r="AW94" s="7">
        <f ca="1">IF(AW$6=OFFSET(Assumptions!$B$8,0,$C$1),AVERAGE(AT$94/AT$216,AU$94/AU$216,AV$94/AV$216),AV$94/AV$216)*AW$216</f>
        <v>18.77473324859751</v>
      </c>
    </row>
    <row r="95" spans="1:49" x14ac:dyDescent="0.2">
      <c r="A95" s="1" t="s">
        <v>733</v>
      </c>
      <c r="B95" s="4"/>
      <c r="D95" s="18">
        <f t="shared" ref="D95" si="81">SUM(D$229,D$231)</f>
        <v>0</v>
      </c>
      <c r="E95" s="19">
        <f t="shared" ref="E95:AW95" ca="1" si="82">SUM(E$229,E$231)</f>
        <v>0</v>
      </c>
      <c r="F95" s="19">
        <f t="shared" ca="1" si="82"/>
        <v>0</v>
      </c>
      <c r="G95" s="19">
        <f t="shared" ca="1" si="82"/>
        <v>0</v>
      </c>
      <c r="H95" s="19">
        <f t="shared" ca="1" si="82"/>
        <v>0</v>
      </c>
      <c r="I95" s="19">
        <f t="shared" ca="1" si="82"/>
        <v>0</v>
      </c>
      <c r="J95" s="7">
        <f t="shared" ca="1" si="82"/>
        <v>0</v>
      </c>
      <c r="K95" s="7">
        <f t="shared" ca="1" si="82"/>
        <v>0</v>
      </c>
      <c r="L95" s="7">
        <f t="shared" ca="1" si="82"/>
        <v>0</v>
      </c>
      <c r="M95" s="7">
        <f t="shared" ca="1" si="82"/>
        <v>0</v>
      </c>
      <c r="N95" s="7">
        <f t="shared" ca="1" si="82"/>
        <v>0</v>
      </c>
      <c r="O95" s="7">
        <f t="shared" ca="1" si="82"/>
        <v>0</v>
      </c>
      <c r="P95" s="7">
        <f t="shared" ca="1" si="82"/>
        <v>0</v>
      </c>
      <c r="Q95" s="7">
        <f t="shared" ca="1" si="82"/>
        <v>0</v>
      </c>
      <c r="R95" s="7">
        <f t="shared" ca="1" si="82"/>
        <v>0</v>
      </c>
      <c r="S95" s="7">
        <f t="shared" ca="1" si="82"/>
        <v>0</v>
      </c>
      <c r="T95" s="7">
        <f t="shared" ca="1" si="82"/>
        <v>0</v>
      </c>
      <c r="U95" s="7">
        <f t="shared" ca="1" si="82"/>
        <v>0</v>
      </c>
      <c r="V95" s="7">
        <f t="shared" ca="1" si="82"/>
        <v>0</v>
      </c>
      <c r="W95" s="7">
        <f t="shared" ca="1" si="82"/>
        <v>0</v>
      </c>
      <c r="X95" s="7">
        <f t="shared" ca="1" si="82"/>
        <v>0</v>
      </c>
      <c r="Y95" s="7">
        <f t="shared" ca="1" si="82"/>
        <v>0</v>
      </c>
      <c r="Z95" s="7">
        <f t="shared" ca="1" si="82"/>
        <v>0</v>
      </c>
      <c r="AA95" s="7">
        <f t="shared" ca="1" si="82"/>
        <v>0</v>
      </c>
      <c r="AB95" s="7">
        <f t="shared" ca="1" si="82"/>
        <v>0</v>
      </c>
      <c r="AC95" s="7">
        <f t="shared" ca="1" si="82"/>
        <v>0</v>
      </c>
      <c r="AD95" s="7">
        <f t="shared" ca="1" si="82"/>
        <v>0</v>
      </c>
      <c r="AE95" s="7">
        <f t="shared" ca="1" si="82"/>
        <v>0</v>
      </c>
      <c r="AF95" s="7">
        <f t="shared" ca="1" si="82"/>
        <v>0</v>
      </c>
      <c r="AG95" s="7">
        <f t="shared" ca="1" si="82"/>
        <v>0</v>
      </c>
      <c r="AH95" s="7">
        <f t="shared" ca="1" si="82"/>
        <v>0</v>
      </c>
      <c r="AI95" s="7">
        <f t="shared" ca="1" si="82"/>
        <v>0</v>
      </c>
      <c r="AJ95" s="7">
        <f t="shared" ca="1" si="82"/>
        <v>0</v>
      </c>
      <c r="AK95" s="7">
        <f t="shared" ca="1" si="82"/>
        <v>0</v>
      </c>
      <c r="AL95" s="7">
        <f t="shared" ca="1" si="82"/>
        <v>0</v>
      </c>
      <c r="AM95" s="7">
        <f t="shared" ca="1" si="82"/>
        <v>0</v>
      </c>
      <c r="AN95" s="7">
        <f t="shared" ca="1" si="82"/>
        <v>0</v>
      </c>
      <c r="AO95" s="7">
        <f t="shared" ca="1" si="82"/>
        <v>0</v>
      </c>
      <c r="AP95" s="7">
        <f t="shared" ca="1" si="82"/>
        <v>0</v>
      </c>
      <c r="AQ95" s="7">
        <f t="shared" ca="1" si="82"/>
        <v>0</v>
      </c>
      <c r="AR95" s="7">
        <f t="shared" ca="1" si="82"/>
        <v>0</v>
      </c>
      <c r="AS95" s="7">
        <f t="shared" ca="1" si="82"/>
        <v>0</v>
      </c>
      <c r="AT95" s="7">
        <f t="shared" ca="1" si="82"/>
        <v>0</v>
      </c>
      <c r="AU95" s="7">
        <f t="shared" ca="1" si="82"/>
        <v>0</v>
      </c>
      <c r="AV95" s="7">
        <f t="shared" ca="1" si="82"/>
        <v>0</v>
      </c>
      <c r="AW95" s="7">
        <f t="shared" ca="1" si="82"/>
        <v>0</v>
      </c>
    </row>
    <row r="96" spans="1:49" ht="15" x14ac:dyDescent="0.25">
      <c r="A96" s="2" t="s">
        <v>735</v>
      </c>
      <c r="D96" s="40">
        <f t="shared" ref="D96" si="83">SUM(D$92:D$95)</f>
        <v>88.503</v>
      </c>
      <c r="E96" s="39">
        <f t="shared" ref="E96:AW96" ca="1" si="84">SUM(E$92:E$95)</f>
        <v>90.399000000000001</v>
      </c>
      <c r="F96" s="39">
        <f t="shared" ca="1" si="84"/>
        <v>93.326000000000008</v>
      </c>
      <c r="G96" s="39">
        <f t="shared" ca="1" si="84"/>
        <v>95.491</v>
      </c>
      <c r="H96" s="39">
        <f t="shared" ca="1" si="84"/>
        <v>97.024000000000001</v>
      </c>
      <c r="I96" s="39">
        <f t="shared" ca="1" si="84"/>
        <v>99.864000000000004</v>
      </c>
      <c r="J96" s="43">
        <f t="shared" ca="1" si="84"/>
        <v>103.51511593027327</v>
      </c>
      <c r="K96" s="43">
        <f t="shared" ca="1" si="84"/>
        <v>108.43769111575889</v>
      </c>
      <c r="L96" s="43">
        <f t="shared" ca="1" si="84"/>
        <v>113.494698584997</v>
      </c>
      <c r="M96" s="43">
        <f t="shared" ca="1" si="84"/>
        <v>118.79200926793237</v>
      </c>
      <c r="N96" s="43">
        <f t="shared" ca="1" si="84"/>
        <v>124.25955060249346</v>
      </c>
      <c r="O96" s="43">
        <f t="shared" ca="1" si="84"/>
        <v>129.99582784170912</v>
      </c>
      <c r="P96" s="43">
        <f t="shared" ca="1" si="84"/>
        <v>136.79828675429221</v>
      </c>
      <c r="Q96" s="43">
        <f t="shared" ca="1" si="84"/>
        <v>143.73831758276268</v>
      </c>
      <c r="R96" s="43">
        <f t="shared" ca="1" si="84"/>
        <v>150.95404478334663</v>
      </c>
      <c r="S96" s="43">
        <f t="shared" ca="1" si="84"/>
        <v>158.40657409330069</v>
      </c>
      <c r="T96" s="43">
        <f t="shared" ca="1" si="84"/>
        <v>166.16724576853377</v>
      </c>
      <c r="U96" s="43">
        <f t="shared" ca="1" si="84"/>
        <v>174.28527537212076</v>
      </c>
      <c r="V96" s="43">
        <f t="shared" ca="1" si="84"/>
        <v>182.79627483417869</v>
      </c>
      <c r="W96" s="43">
        <f t="shared" ca="1" si="84"/>
        <v>191.52902035157535</v>
      </c>
      <c r="X96" s="43">
        <f t="shared" ca="1" si="84"/>
        <v>200.54015037522447</v>
      </c>
      <c r="Y96" s="43">
        <f t="shared" ca="1" si="84"/>
        <v>209.97959899611922</v>
      </c>
      <c r="Z96" s="43">
        <f t="shared" ca="1" si="84"/>
        <v>219.80868699635502</v>
      </c>
      <c r="AA96" s="43">
        <f t="shared" ca="1" si="84"/>
        <v>228.42292170798115</v>
      </c>
      <c r="AB96" s="43">
        <f t="shared" ca="1" si="84"/>
        <v>237.27319797439426</v>
      </c>
      <c r="AC96" s="43">
        <f t="shared" ca="1" si="84"/>
        <v>246.33563581142957</v>
      </c>
      <c r="AD96" s="43">
        <f t="shared" ca="1" si="84"/>
        <v>255.58710691568459</v>
      </c>
      <c r="AE96" s="43">
        <f t="shared" ca="1" si="84"/>
        <v>265.14763411045675</v>
      </c>
      <c r="AF96" s="43">
        <f t="shared" ca="1" si="84"/>
        <v>275.03732873156196</v>
      </c>
      <c r="AG96" s="43">
        <f t="shared" ca="1" si="84"/>
        <v>285.33442321491748</v>
      </c>
      <c r="AH96" s="43">
        <f t="shared" ca="1" si="84"/>
        <v>295.99572993143624</v>
      </c>
      <c r="AI96" s="43">
        <f t="shared" ca="1" si="84"/>
        <v>307.03802873340828</v>
      </c>
      <c r="AJ96" s="43">
        <f t="shared" ca="1" si="84"/>
        <v>318.4837936065332</v>
      </c>
      <c r="AK96" s="43">
        <f t="shared" ca="1" si="84"/>
        <v>330.3835007740953</v>
      </c>
      <c r="AL96" s="43">
        <f t="shared" ca="1" si="84"/>
        <v>342.69392643475504</v>
      </c>
      <c r="AM96" s="43">
        <f t="shared" ca="1" si="84"/>
        <v>355.44402852313766</v>
      </c>
      <c r="AN96" s="43">
        <f t="shared" ca="1" si="84"/>
        <v>368.68781792503398</v>
      </c>
      <c r="AO96" s="43">
        <f t="shared" ca="1" si="84"/>
        <v>382.45371266492992</v>
      </c>
      <c r="AP96" s="43">
        <f t="shared" ca="1" si="84"/>
        <v>396.84148364817923</v>
      </c>
      <c r="AQ96" s="43">
        <f t="shared" ca="1" si="84"/>
        <v>411.83672696370832</v>
      </c>
      <c r="AR96" s="43">
        <f t="shared" ca="1" si="84"/>
        <v>427.51811488153123</v>
      </c>
      <c r="AS96" s="43">
        <f t="shared" ca="1" si="84"/>
        <v>443.90020482805755</v>
      </c>
      <c r="AT96" s="43">
        <f t="shared" ca="1" si="84"/>
        <v>460.83131521574535</v>
      </c>
      <c r="AU96" s="43">
        <f t="shared" ca="1" si="84"/>
        <v>478.33378626579957</v>
      </c>
      <c r="AV96" s="43">
        <f t="shared" ca="1" si="84"/>
        <v>496.41239224940881</v>
      </c>
      <c r="AW96" s="43">
        <f t="shared" ca="1" si="84"/>
        <v>515.16273446106061</v>
      </c>
    </row>
    <row r="97" spans="1:49" ht="15" x14ac:dyDescent="0.25">
      <c r="A97" s="2" t="s">
        <v>377</v>
      </c>
      <c r="D97" s="41">
        <f t="shared" ref="D97" si="85">D$91-D$96</f>
        <v>5.5919999999999845</v>
      </c>
      <c r="E97" s="42">
        <f t="shared" ref="E97:AW97" ca="1" si="86">E$91-E$96</f>
        <v>7.1429999999999865</v>
      </c>
      <c r="F97" s="42">
        <f t="shared" ca="1" si="86"/>
        <v>5.3070000000000022</v>
      </c>
      <c r="G97" s="42">
        <f t="shared" ca="1" si="86"/>
        <v>7.5830000000000126</v>
      </c>
      <c r="H97" s="42">
        <f t="shared" ca="1" si="86"/>
        <v>11.612000000000009</v>
      </c>
      <c r="I97" s="42">
        <f t="shared" ca="1" si="86"/>
        <v>13.569999999999993</v>
      </c>
      <c r="J97" s="31">
        <f t="shared" ca="1" si="86"/>
        <v>14.846419066783596</v>
      </c>
      <c r="K97" s="31">
        <f t="shared" ca="1" si="86"/>
        <v>15.502601858474009</v>
      </c>
      <c r="L97" s="31">
        <f t="shared" ca="1" si="86"/>
        <v>16.152067956085631</v>
      </c>
      <c r="M97" s="31">
        <f t="shared" ca="1" si="86"/>
        <v>16.632911455190083</v>
      </c>
      <c r="N97" s="31">
        <f t="shared" ca="1" si="86"/>
        <v>17.157839279453654</v>
      </c>
      <c r="O97" s="31">
        <f t="shared" ca="1" si="86"/>
        <v>17.520659374006271</v>
      </c>
      <c r="P97" s="31">
        <f t="shared" ca="1" si="86"/>
        <v>17.221015851630938</v>
      </c>
      <c r="Q97" s="31">
        <f t="shared" ca="1" si="86"/>
        <v>16.866186926834985</v>
      </c>
      <c r="R97" s="31">
        <f t="shared" ca="1" si="86"/>
        <v>16.342585442411831</v>
      </c>
      <c r="S97" s="31">
        <f t="shared" ca="1" si="86"/>
        <v>15.782278947237273</v>
      </c>
      <c r="T97" s="31">
        <f t="shared" ca="1" si="86"/>
        <v>15.138187783313697</v>
      </c>
      <c r="U97" s="31">
        <f t="shared" ca="1" si="86"/>
        <v>14.3747668317381</v>
      </c>
      <c r="V97" s="31">
        <f t="shared" ca="1" si="86"/>
        <v>13.479306700243171</v>
      </c>
      <c r="W97" s="31">
        <f t="shared" ca="1" si="86"/>
        <v>12.644343275953759</v>
      </c>
      <c r="X97" s="31">
        <f t="shared" ca="1" si="86"/>
        <v>11.834358527630201</v>
      </c>
      <c r="Y97" s="31">
        <f t="shared" ca="1" si="86"/>
        <v>10.884587576617491</v>
      </c>
      <c r="Z97" s="31">
        <f t="shared" ca="1" si="86"/>
        <v>9.9175549072907074</v>
      </c>
      <c r="AA97" s="31">
        <f t="shared" ca="1" si="86"/>
        <v>10.520935150235232</v>
      </c>
      <c r="AB97" s="31">
        <f t="shared" ca="1" si="86"/>
        <v>11.267110811830094</v>
      </c>
      <c r="AC97" s="31">
        <f t="shared" ca="1" si="86"/>
        <v>12.219130877137587</v>
      </c>
      <c r="AD97" s="31">
        <f t="shared" ca="1" si="86"/>
        <v>13.443488115420138</v>
      </c>
      <c r="AE97" s="31">
        <f t="shared" ca="1" si="86"/>
        <v>14.7818701771169</v>
      </c>
      <c r="AF97" s="31">
        <f t="shared" ca="1" si="86"/>
        <v>16.235974802300007</v>
      </c>
      <c r="AG97" s="31">
        <f t="shared" ca="1" si="86"/>
        <v>17.77063320301238</v>
      </c>
      <c r="AH97" s="31">
        <f t="shared" ca="1" si="86"/>
        <v>19.422467759870017</v>
      </c>
      <c r="AI97" s="31">
        <f t="shared" ca="1" si="86"/>
        <v>21.148063081024418</v>
      </c>
      <c r="AJ97" s="31">
        <f t="shared" ca="1" si="86"/>
        <v>23.002368865469407</v>
      </c>
      <c r="AK97" s="31">
        <f t="shared" ca="1" si="86"/>
        <v>24.907307691510312</v>
      </c>
      <c r="AL97" s="31">
        <f t="shared" ca="1" si="86"/>
        <v>26.894043969695929</v>
      </c>
      <c r="AM97" s="31">
        <f t="shared" ca="1" si="86"/>
        <v>28.957623566321956</v>
      </c>
      <c r="AN97" s="31">
        <f t="shared" ca="1" si="86"/>
        <v>31.064934001095878</v>
      </c>
      <c r="AO97" s="31">
        <f t="shared" ca="1" si="86"/>
        <v>33.134732599594997</v>
      </c>
      <c r="AP97" s="31">
        <f t="shared" ca="1" si="86"/>
        <v>35.134938682761515</v>
      </c>
      <c r="AQ97" s="31">
        <f t="shared" ca="1" si="86"/>
        <v>37.037498298595381</v>
      </c>
      <c r="AR97" s="31">
        <f t="shared" ca="1" si="86"/>
        <v>38.795157367723334</v>
      </c>
      <c r="AS97" s="31">
        <f t="shared" ca="1" si="86"/>
        <v>40.443617791230054</v>
      </c>
      <c r="AT97" s="31">
        <f t="shared" ca="1" si="86"/>
        <v>42.088977152524535</v>
      </c>
      <c r="AU97" s="31">
        <f t="shared" ca="1" si="86"/>
        <v>43.76379141466083</v>
      </c>
      <c r="AV97" s="31">
        <f t="shared" ca="1" si="86"/>
        <v>45.518377140188647</v>
      </c>
      <c r="AW97" s="31">
        <f t="shared" ca="1" si="86"/>
        <v>47.250355101012815</v>
      </c>
    </row>
    <row r="98" spans="1:49" x14ac:dyDescent="0.2">
      <c r="A98" s="1" t="s">
        <v>746</v>
      </c>
      <c r="B98" s="4" t="str">
        <f t="shared" ref="B98:B107" si="87">$B$43</f>
        <v>From Fiscal</v>
      </c>
      <c r="D98" s="18">
        <f>-Fiscal!D$81</f>
        <v>6.1769999999999996</v>
      </c>
      <c r="E98" s="19">
        <f>-Fiscal!E$81</f>
        <v>6.8840000000000003</v>
      </c>
      <c r="F98" s="19">
        <f>-Fiscal!F$81</f>
        <v>7.9710000000000001</v>
      </c>
      <c r="G98" s="19">
        <f>-Fiscal!G$81</f>
        <v>6.4649999999999999</v>
      </c>
      <c r="H98" s="19">
        <f>-Fiscal!H$81</f>
        <v>6.2590000000000003</v>
      </c>
      <c r="I98" s="19">
        <f>-Fiscal!I$81</f>
        <v>6.1390000000000002</v>
      </c>
      <c r="J98" s="7">
        <f t="shared" ref="J98:AW98" ca="1" si="88">SUM(J$408-I$408,J$414,J$46)</f>
        <v>7.4294324822132811</v>
      </c>
      <c r="K98" s="7">
        <f t="shared" ca="1" si="88"/>
        <v>7.7798557488228042</v>
      </c>
      <c r="L98" s="7">
        <f t="shared" ca="1" si="88"/>
        <v>8.1176864857396591</v>
      </c>
      <c r="M98" s="7">
        <f t="shared" ca="1" si="88"/>
        <v>8.4669246237190627</v>
      </c>
      <c r="N98" s="7">
        <f t="shared" ca="1" si="88"/>
        <v>8.8323783288213313</v>
      </c>
      <c r="O98" s="7">
        <f t="shared" ca="1" si="88"/>
        <v>9.2070676655207855</v>
      </c>
      <c r="P98" s="7">
        <f t="shared" ca="1" si="88"/>
        <v>9.595686481523618</v>
      </c>
      <c r="Q98" s="7">
        <f t="shared" ca="1" si="88"/>
        <v>9.9960231498537713</v>
      </c>
      <c r="R98" s="7">
        <f t="shared" ca="1" si="88"/>
        <v>10.408890926299041</v>
      </c>
      <c r="S98" s="7">
        <f t="shared" ca="1" si="88"/>
        <v>10.836442717293313</v>
      </c>
      <c r="T98" s="7">
        <f t="shared" ca="1" si="88"/>
        <v>11.277938485280099</v>
      </c>
      <c r="U98" s="7">
        <f t="shared" ca="1" si="88"/>
        <v>11.733756190705829</v>
      </c>
      <c r="V98" s="7">
        <f t="shared" ca="1" si="88"/>
        <v>12.20788039626672</v>
      </c>
      <c r="W98" s="7">
        <f t="shared" ca="1" si="88"/>
        <v>12.696606442277655</v>
      </c>
      <c r="X98" s="7">
        <f t="shared" ca="1" si="88"/>
        <v>13.207208668161787</v>
      </c>
      <c r="Y98" s="7">
        <f t="shared" ca="1" si="88"/>
        <v>13.733894070769221</v>
      </c>
      <c r="Z98" s="7">
        <f t="shared" ca="1" si="88"/>
        <v>14.284850535839908</v>
      </c>
      <c r="AA98" s="7">
        <f t="shared" ca="1" si="88"/>
        <v>14.8570631833368</v>
      </c>
      <c r="AB98" s="7">
        <f t="shared" ca="1" si="88"/>
        <v>15.45404853936374</v>
      </c>
      <c r="AC98" s="7">
        <f t="shared" ca="1" si="88"/>
        <v>16.078836668379488</v>
      </c>
      <c r="AD98" s="7">
        <f t="shared" ca="1" si="88"/>
        <v>16.732225670304199</v>
      </c>
      <c r="AE98" s="7">
        <f t="shared" ca="1" si="88"/>
        <v>17.411009275554097</v>
      </c>
      <c r="AF98" s="7">
        <f t="shared" ca="1" si="88"/>
        <v>18.120857049133296</v>
      </c>
      <c r="AG98" s="7">
        <f t="shared" ca="1" si="88"/>
        <v>18.858405911454483</v>
      </c>
      <c r="AH98" s="7">
        <f t="shared" ca="1" si="88"/>
        <v>19.626782639696106</v>
      </c>
      <c r="AI98" s="7">
        <f t="shared" ca="1" si="88"/>
        <v>20.425173181904629</v>
      </c>
      <c r="AJ98" s="7">
        <f t="shared" ca="1" si="88"/>
        <v>21.25587021405482</v>
      </c>
      <c r="AK98" s="7">
        <f t="shared" ca="1" si="88"/>
        <v>22.116597554403079</v>
      </c>
      <c r="AL98" s="7">
        <f t="shared" ca="1" si="88"/>
        <v>23.009006324786224</v>
      </c>
      <c r="AM98" s="7">
        <f t="shared" ca="1" si="88"/>
        <v>23.935326859115516</v>
      </c>
      <c r="AN98" s="7">
        <f t="shared" ca="1" si="88"/>
        <v>24.892886610949024</v>
      </c>
      <c r="AO98" s="7">
        <f t="shared" ca="1" si="88"/>
        <v>25.881863588680325</v>
      </c>
      <c r="AP98" s="7">
        <f t="shared" ca="1" si="88"/>
        <v>26.90384071659518</v>
      </c>
      <c r="AQ98" s="7">
        <f t="shared" ca="1" si="88"/>
        <v>27.956753897194037</v>
      </c>
      <c r="AR98" s="7">
        <f t="shared" ca="1" si="88"/>
        <v>29.041736738028035</v>
      </c>
      <c r="AS98" s="7">
        <f t="shared" ca="1" si="88"/>
        <v>30.159992940720389</v>
      </c>
      <c r="AT98" s="7">
        <f t="shared" ca="1" si="88"/>
        <v>31.314410844549439</v>
      </c>
      <c r="AU98" s="7">
        <f t="shared" ca="1" si="88"/>
        <v>32.506464842704219</v>
      </c>
      <c r="AV98" s="7">
        <f t="shared" ca="1" si="88"/>
        <v>33.740342232775127</v>
      </c>
      <c r="AW98" s="7">
        <f t="shared" ca="1" si="88"/>
        <v>35.013824242248582</v>
      </c>
    </row>
    <row r="99" spans="1:49" x14ac:dyDescent="0.2">
      <c r="A99" s="1" t="s">
        <v>747</v>
      </c>
      <c r="B99" s="4" t="str">
        <f t="shared" si="87"/>
        <v>From Fiscal</v>
      </c>
      <c r="D99" s="18">
        <f>-Fiscal!D$82</f>
        <v>4.9119999999999999</v>
      </c>
      <c r="E99" s="19">
        <f>-Fiscal!E$82</f>
        <v>4.4999999999999998E-2</v>
      </c>
      <c r="F99" s="19">
        <f>-Fiscal!F$82</f>
        <v>3.8809999999999998</v>
      </c>
      <c r="G99" s="19">
        <f>-Fiscal!G$82</f>
        <v>-5.95</v>
      </c>
      <c r="H99" s="19">
        <f>-Fiscal!H$82</f>
        <v>-2.3109999999999999</v>
      </c>
      <c r="I99" s="19">
        <f>-Fiscal!I$82</f>
        <v>3.6259999999999999</v>
      </c>
      <c r="J99" s="7">
        <f t="shared" ref="J99:AW99" ca="1" si="89">J$351-I$351+J$360-I$360-J$325-(J$159-J$389-(J$338-I$338)+J$446-I$446-J$89)</f>
        <v>4.1369345642344904</v>
      </c>
      <c r="K99" s="7">
        <f t="shared" ca="1" si="89"/>
        <v>3.6334352269540724</v>
      </c>
      <c r="L99" s="7">
        <f t="shared" ca="1" si="89"/>
        <v>3.5519672071033739</v>
      </c>
      <c r="M99" s="7">
        <f t="shared" ca="1" si="89"/>
        <v>3.3949730750976288</v>
      </c>
      <c r="N99" s="7">
        <f t="shared" ca="1" si="89"/>
        <v>3.2520118481458899</v>
      </c>
      <c r="O99" s="7">
        <f t="shared" ca="1" si="89"/>
        <v>3.1100161805035231</v>
      </c>
      <c r="P99" s="7">
        <f t="shared" ca="1" si="89"/>
        <v>2.8581182457890186</v>
      </c>
      <c r="Q99" s="7">
        <f t="shared" ca="1" si="89"/>
        <v>2.6078235577102573</v>
      </c>
      <c r="R99" s="7">
        <f t="shared" ca="1" si="89"/>
        <v>2.3667200652024611</v>
      </c>
      <c r="S99" s="7">
        <f t="shared" ca="1" si="89"/>
        <v>2.152196650177804</v>
      </c>
      <c r="T99" s="7">
        <f t="shared" ca="1" si="89"/>
        <v>1.9537151669027164</v>
      </c>
      <c r="U99" s="7">
        <f t="shared" ca="1" si="89"/>
        <v>1.7485317700073688</v>
      </c>
      <c r="V99" s="7">
        <f t="shared" ca="1" si="89"/>
        <v>1.5381379112162872</v>
      </c>
      <c r="W99" s="7">
        <f t="shared" ca="1" si="89"/>
        <v>1.3245353693112243</v>
      </c>
      <c r="X99" s="7">
        <f t="shared" ca="1" si="89"/>
        <v>1.1269028843773468</v>
      </c>
      <c r="Y99" s="7">
        <f t="shared" ca="1" si="89"/>
        <v>0.88848589633759634</v>
      </c>
      <c r="Z99" s="7">
        <f t="shared" ca="1" si="89"/>
        <v>0.71243672497449673</v>
      </c>
      <c r="AA99" s="7">
        <f t="shared" ca="1" si="89"/>
        <v>0.59215507740746354</v>
      </c>
      <c r="AB99" s="7">
        <f t="shared" ca="1" si="89"/>
        <v>0.54234349871789789</v>
      </c>
      <c r="AC99" s="7">
        <f t="shared" ca="1" si="89"/>
        <v>0.57475286115043467</v>
      </c>
      <c r="AD99" s="7">
        <f t="shared" ca="1" si="89"/>
        <v>0.71706533074469725</v>
      </c>
      <c r="AE99" s="7">
        <f t="shared" ca="1" si="89"/>
        <v>0.87988452624855462</v>
      </c>
      <c r="AF99" s="7">
        <f t="shared" ca="1" si="89"/>
        <v>1.0967408912276611</v>
      </c>
      <c r="AG99" s="7">
        <f t="shared" ca="1" si="89"/>
        <v>1.3236163505276473</v>
      </c>
      <c r="AH99" s="7">
        <f t="shared" ca="1" si="89"/>
        <v>1.5729646946433284</v>
      </c>
      <c r="AI99" s="7">
        <f t="shared" ca="1" si="89"/>
        <v>1.8139932113037354</v>
      </c>
      <c r="AJ99" s="7">
        <f t="shared" ca="1" si="89"/>
        <v>2.0872968150928415</v>
      </c>
      <c r="AK99" s="7">
        <f t="shared" ca="1" si="89"/>
        <v>2.333805123531139</v>
      </c>
      <c r="AL99" s="7">
        <f t="shared" ca="1" si="89"/>
        <v>2.5846520792060304</v>
      </c>
      <c r="AM99" s="7">
        <f t="shared" ca="1" si="89"/>
        <v>2.8361922431373348</v>
      </c>
      <c r="AN99" s="7">
        <f t="shared" ca="1" si="89"/>
        <v>3.060529631968425</v>
      </c>
      <c r="AO99" s="7">
        <f t="shared" ca="1" si="89"/>
        <v>3.2159946802264905</v>
      </c>
      <c r="AP99" s="7">
        <f t="shared" ca="1" si="89"/>
        <v>3.2813912819188609</v>
      </c>
      <c r="AQ99" s="7">
        <f t="shared" ca="1" si="89"/>
        <v>3.241031987553125</v>
      </c>
      <c r="AR99" s="7">
        <f t="shared" ca="1" si="89"/>
        <v>3.0731985863436435</v>
      </c>
      <c r="AS99" s="7">
        <f t="shared" ca="1" si="89"/>
        <v>2.8026652685702267</v>
      </c>
      <c r="AT99" s="7">
        <f t="shared" ca="1" si="89"/>
        <v>2.3492288073345833</v>
      </c>
      <c r="AU99" s="7">
        <f t="shared" ca="1" si="89"/>
        <v>1.9724741096117135</v>
      </c>
      <c r="AV99" s="7">
        <f t="shared" ca="1" si="89"/>
        <v>1.6069218912620968</v>
      </c>
      <c r="AW99" s="7">
        <f t="shared" ca="1" si="89"/>
        <v>1.1855014694102728</v>
      </c>
    </row>
    <row r="100" spans="1:49" x14ac:dyDescent="0.2">
      <c r="A100" s="1" t="s">
        <v>748</v>
      </c>
      <c r="B100" s="4" t="str">
        <f t="shared" si="87"/>
        <v>From Fiscal</v>
      </c>
      <c r="D100" s="18">
        <f>-Fiscal!D$83</f>
        <v>0.63100000000000001</v>
      </c>
      <c r="E100" s="19">
        <f>-Fiscal!E$83</f>
        <v>0.70299999999999996</v>
      </c>
      <c r="F100" s="19">
        <f>-Fiscal!F$83</f>
        <v>0.83699999999999997</v>
      </c>
      <c r="G100" s="19">
        <f>-Fiscal!G$83</f>
        <v>0.68400000000000005</v>
      </c>
      <c r="H100" s="19">
        <f>-Fiscal!H$83</f>
        <v>0.623</v>
      </c>
      <c r="I100" s="19">
        <f>-Fiscal!I$83</f>
        <v>0.58599999999999997</v>
      </c>
      <c r="J100" s="7">
        <f t="shared" ref="J100:AW100" ca="1" si="90">J$427-I$427+J$202-J$414</f>
        <v>1.0316092939701242</v>
      </c>
      <c r="K100" s="7">
        <f t="shared" ca="1" si="90"/>
        <v>1.0645751847930134</v>
      </c>
      <c r="L100" s="7">
        <f t="shared" ca="1" si="90"/>
        <v>1.1074124628961872</v>
      </c>
      <c r="M100" s="7">
        <f t="shared" ca="1" si="90"/>
        <v>1.1441563270877548</v>
      </c>
      <c r="N100" s="7">
        <f t="shared" ca="1" si="90"/>
        <v>1.1816610750196439</v>
      </c>
      <c r="O100" s="7">
        <f t="shared" ca="1" si="90"/>
        <v>1.2175122422499856</v>
      </c>
      <c r="P100" s="7">
        <f t="shared" ca="1" si="90"/>
        <v>1.2670470755599057</v>
      </c>
      <c r="Q100" s="7">
        <f t="shared" ca="1" si="90"/>
        <v>1.3176626657371697</v>
      </c>
      <c r="R100" s="7">
        <f t="shared" ca="1" si="90"/>
        <v>1.3693945803733953</v>
      </c>
      <c r="S100" s="7">
        <f t="shared" ca="1" si="90"/>
        <v>1.423281701211347</v>
      </c>
      <c r="T100" s="7">
        <f t="shared" ca="1" si="90"/>
        <v>1.478697806134436</v>
      </c>
      <c r="U100" s="7">
        <f t="shared" ca="1" si="90"/>
        <v>1.536605349684125</v>
      </c>
      <c r="V100" s="7">
        <f t="shared" ca="1" si="90"/>
        <v>1.5968737266080311</v>
      </c>
      <c r="W100" s="7">
        <f t="shared" ca="1" si="90"/>
        <v>1.6597857390598545</v>
      </c>
      <c r="X100" s="7">
        <f t="shared" ca="1" si="90"/>
        <v>1.7256112253178895</v>
      </c>
      <c r="Y100" s="7">
        <f t="shared" ca="1" si="90"/>
        <v>1.793458217771251</v>
      </c>
      <c r="Z100" s="7">
        <f t="shared" ca="1" si="90"/>
        <v>1.8651220984330426</v>
      </c>
      <c r="AA100" s="7">
        <f t="shared" ca="1" si="90"/>
        <v>1.9397147051885746</v>
      </c>
      <c r="AB100" s="7">
        <f t="shared" ca="1" si="90"/>
        <v>2.0178803783063408</v>
      </c>
      <c r="AC100" s="7">
        <f t="shared" ca="1" si="90"/>
        <v>2.1001580491080603</v>
      </c>
      <c r="AD100" s="7">
        <f t="shared" ca="1" si="90"/>
        <v>2.1857387340708225</v>
      </c>
      <c r="AE100" s="7">
        <f t="shared" ca="1" si="90"/>
        <v>2.2738658660373652</v>
      </c>
      <c r="AF100" s="7">
        <f t="shared" ca="1" si="90"/>
        <v>2.3661049141946009</v>
      </c>
      <c r="AG100" s="7">
        <f t="shared" ca="1" si="90"/>
        <v>2.4616835034834921</v>
      </c>
      <c r="AH100" s="7">
        <f t="shared" ca="1" si="90"/>
        <v>2.5611610643680738</v>
      </c>
      <c r="AI100" s="7">
        <f t="shared" ca="1" si="90"/>
        <v>2.663007528302753</v>
      </c>
      <c r="AJ100" s="7">
        <f t="shared" ca="1" si="90"/>
        <v>2.7696346453861356</v>
      </c>
      <c r="AK100" s="7">
        <f t="shared" ca="1" si="90"/>
        <v>2.8791952759788231</v>
      </c>
      <c r="AL100" s="7">
        <f t="shared" ca="1" si="90"/>
        <v>2.9916189679196421</v>
      </c>
      <c r="AM100" s="7">
        <f t="shared" ca="1" si="90"/>
        <v>3.1080736702239573</v>
      </c>
      <c r="AN100" s="7">
        <f t="shared" ca="1" si="90"/>
        <v>3.2287334863044599</v>
      </c>
      <c r="AO100" s="7">
        <f t="shared" ca="1" si="90"/>
        <v>3.3504421272223901</v>
      </c>
      <c r="AP100" s="7">
        <f t="shared" ca="1" si="90"/>
        <v>3.4779847531303076</v>
      </c>
      <c r="AQ100" s="7">
        <f t="shared" ca="1" si="90"/>
        <v>3.6072121004696776</v>
      </c>
      <c r="AR100" s="7">
        <f t="shared" ca="1" si="90"/>
        <v>3.7404578420216374</v>
      </c>
      <c r="AS100" s="7">
        <f t="shared" ca="1" si="90"/>
        <v>3.8787202314136522</v>
      </c>
      <c r="AT100" s="7">
        <f t="shared" ca="1" si="90"/>
        <v>4.021205129570804</v>
      </c>
      <c r="AU100" s="7">
        <f t="shared" ca="1" si="90"/>
        <v>4.1684249479346018</v>
      </c>
      <c r="AV100" s="7">
        <f t="shared" ca="1" si="90"/>
        <v>4.3219397512740478</v>
      </c>
      <c r="AW100" s="7">
        <f t="shared" ca="1" si="90"/>
        <v>4.4792978092501983</v>
      </c>
    </row>
    <row r="101" spans="1:49" x14ac:dyDescent="0.2">
      <c r="A101" s="1" t="s">
        <v>749</v>
      </c>
      <c r="B101" s="4" t="str">
        <f t="shared" si="87"/>
        <v>From Fiscal</v>
      </c>
      <c r="D101" s="18">
        <f>-Fiscal!D$84</f>
        <v>1.6859999999999999</v>
      </c>
      <c r="E101" s="19">
        <f>-Fiscal!E$84</f>
        <v>0.96199999999999997</v>
      </c>
      <c r="F101" s="19">
        <f>-Fiscal!F$84</f>
        <v>1.504</v>
      </c>
      <c r="G101" s="19">
        <f>-Fiscal!G$84</f>
        <v>1.603</v>
      </c>
      <c r="H101" s="19">
        <f>-Fiscal!H$84</f>
        <v>1.5049999999999999</v>
      </c>
      <c r="I101" s="19">
        <f>-Fiscal!I$84</f>
        <v>1.5429999999999999</v>
      </c>
      <c r="J101" s="7">
        <f t="shared" ref="J101:AW101" ca="1" si="91">J$383-I$383-(J$389-J$387-J$390)</f>
        <v>0.88087584692079601</v>
      </c>
      <c r="K101" s="7">
        <f t="shared" ca="1" si="91"/>
        <v>1.5005612682770224</v>
      </c>
      <c r="L101" s="7">
        <f t="shared" ca="1" si="91"/>
        <v>1.5556923698571672</v>
      </c>
      <c r="M101" s="7">
        <f t="shared" ca="1" si="91"/>
        <v>1.580676128077346</v>
      </c>
      <c r="N101" s="7">
        <f t="shared" ca="1" si="91"/>
        <v>1.6104024640335393</v>
      </c>
      <c r="O101" s="7">
        <f t="shared" ca="1" si="91"/>
        <v>1.6312982825545346</v>
      </c>
      <c r="P101" s="7">
        <f t="shared" ca="1" si="91"/>
        <v>1.6849367418557222</v>
      </c>
      <c r="Q101" s="7">
        <f t="shared" ca="1" si="91"/>
        <v>1.7319638675917088</v>
      </c>
      <c r="R101" s="7">
        <f t="shared" ca="1" si="91"/>
        <v>1.7772863075822012</v>
      </c>
      <c r="S101" s="7">
        <f t="shared" ca="1" si="91"/>
        <v>1.8239651947794682</v>
      </c>
      <c r="T101" s="7">
        <f t="shared" ca="1" si="91"/>
        <v>1.8725502859379093</v>
      </c>
      <c r="U101" s="7">
        <f t="shared" ca="1" si="91"/>
        <v>1.9319086522772979</v>
      </c>
      <c r="V101" s="7">
        <f t="shared" ca="1" si="91"/>
        <v>1.9862142330974157</v>
      </c>
      <c r="W101" s="7">
        <f t="shared" ca="1" si="91"/>
        <v>2.0442416094750011</v>
      </c>
      <c r="X101" s="7">
        <f t="shared" ca="1" si="91"/>
        <v>2.0954431565128004</v>
      </c>
      <c r="Y101" s="7">
        <f t="shared" ca="1" si="91"/>
        <v>2.1512539993802542</v>
      </c>
      <c r="Z101" s="7">
        <f t="shared" ca="1" si="91"/>
        <v>2.224482093073715</v>
      </c>
      <c r="AA101" s="7">
        <f t="shared" ca="1" si="91"/>
        <v>2.3219734057872703</v>
      </c>
      <c r="AB101" s="7">
        <f t="shared" ca="1" si="91"/>
        <v>2.4260342356583249</v>
      </c>
      <c r="AC101" s="7">
        <f t="shared" ca="1" si="91"/>
        <v>2.5469096086826548</v>
      </c>
      <c r="AD101" s="7">
        <f t="shared" ca="1" si="91"/>
        <v>2.6683919394450357</v>
      </c>
      <c r="AE101" s="7">
        <f t="shared" ca="1" si="91"/>
        <v>2.8013272100692657</v>
      </c>
      <c r="AF101" s="7">
        <f t="shared" ca="1" si="91"/>
        <v>2.9457303018369467</v>
      </c>
      <c r="AG101" s="7">
        <f t="shared" ca="1" si="91"/>
        <v>3.0713589460932802</v>
      </c>
      <c r="AH101" s="7">
        <f t="shared" ca="1" si="91"/>
        <v>3.1950658341364484</v>
      </c>
      <c r="AI101" s="7">
        <f t="shared" ca="1" si="91"/>
        <v>3.3066991512318542</v>
      </c>
      <c r="AJ101" s="7">
        <f t="shared" ca="1" si="91"/>
        <v>3.4439746958499602</v>
      </c>
      <c r="AK101" s="7">
        <f t="shared" ca="1" si="91"/>
        <v>3.5798580186580873</v>
      </c>
      <c r="AL101" s="7">
        <f t="shared" ca="1" si="91"/>
        <v>3.7028476554412144</v>
      </c>
      <c r="AM101" s="7">
        <f t="shared" ca="1" si="91"/>
        <v>3.8342552311755433</v>
      </c>
      <c r="AN101" s="7">
        <f t="shared" ca="1" si="91"/>
        <v>3.9510461821206979</v>
      </c>
      <c r="AO101" s="7">
        <f t="shared" ca="1" si="91"/>
        <v>4.0860793669526192</v>
      </c>
      <c r="AP101" s="7">
        <f t="shared" ca="1" si="91"/>
        <v>4.2206391534792651</v>
      </c>
      <c r="AQ101" s="7">
        <f t="shared" ca="1" si="91"/>
        <v>4.3419429370908409</v>
      </c>
      <c r="AR101" s="7">
        <f t="shared" ca="1" si="91"/>
        <v>4.4667295609457769</v>
      </c>
      <c r="AS101" s="7">
        <f t="shared" ca="1" si="91"/>
        <v>4.6101330177616475</v>
      </c>
      <c r="AT101" s="7">
        <f t="shared" ca="1" si="91"/>
        <v>4.7306732289765208</v>
      </c>
      <c r="AU101" s="7">
        <f t="shared" ca="1" si="91"/>
        <v>4.8511034347145046</v>
      </c>
      <c r="AV101" s="7">
        <f t="shared" ca="1" si="91"/>
        <v>5.0074630478231192</v>
      </c>
      <c r="AW101" s="7">
        <f t="shared" ca="1" si="91"/>
        <v>5.1743782375626983</v>
      </c>
    </row>
    <row r="102" spans="1:49" x14ac:dyDescent="0.2">
      <c r="A102" s="1" t="s">
        <v>750</v>
      </c>
      <c r="B102" s="4" t="str">
        <f t="shared" si="87"/>
        <v>From Fiscal</v>
      </c>
      <c r="D102" s="18">
        <f>-Fiscal!D$85</f>
        <v>-0.73199999999999998</v>
      </c>
      <c r="E102" s="19">
        <f>-Fiscal!E$85</f>
        <v>-0.11600000000000001</v>
      </c>
      <c r="F102" s="19">
        <f>-Fiscal!F$85</f>
        <v>-5.7000000000000002E-2</v>
      </c>
      <c r="G102" s="19">
        <f>-Fiscal!G$85</f>
        <v>-2.9000000000000001E-2</v>
      </c>
      <c r="H102" s="19">
        <f>-Fiscal!H$85</f>
        <v>1.6E-2</v>
      </c>
      <c r="I102" s="19">
        <f>-Fiscal!I$85</f>
        <v>-3.4000000000000002E-2</v>
      </c>
      <c r="J102" s="7">
        <f t="shared" ref="J102:AW102" ca="1" si="92">J$421-I$421-J$329</f>
        <v>-0.33281006776131239</v>
      </c>
      <c r="K102" s="7">
        <f t="shared" ca="1" si="92"/>
        <v>-0.28562027824965086</v>
      </c>
      <c r="L102" s="7">
        <f t="shared" ca="1" si="92"/>
        <v>-0.32999753081640637</v>
      </c>
      <c r="M102" s="7">
        <f t="shared" ca="1" si="92"/>
        <v>-0.31852361715607047</v>
      </c>
      <c r="N102" s="7">
        <f t="shared" ca="1" si="92"/>
        <v>-0.30913009555333093</v>
      </c>
      <c r="O102" s="7">
        <f t="shared" ca="1" si="92"/>
        <v>-0.28440722242673644</v>
      </c>
      <c r="P102" s="7">
        <f t="shared" ca="1" si="92"/>
        <v>-0.28683248256399341</v>
      </c>
      <c r="Q102" s="7">
        <f t="shared" ca="1" si="92"/>
        <v>-0.28516329190367384</v>
      </c>
      <c r="R102" s="7">
        <f t="shared" ca="1" si="92"/>
        <v>-0.28046912448952932</v>
      </c>
      <c r="S102" s="7">
        <f t="shared" ca="1" si="92"/>
        <v>-0.27944804184884808</v>
      </c>
      <c r="T102" s="7">
        <f t="shared" ca="1" si="92"/>
        <v>-0.27694925453956165</v>
      </c>
      <c r="U102" s="7">
        <f t="shared" ca="1" si="92"/>
        <v>-0.27864295371946224</v>
      </c>
      <c r="V102" s="7">
        <f t="shared" ca="1" si="92"/>
        <v>-0.28552323253487022</v>
      </c>
      <c r="W102" s="7">
        <f t="shared" ca="1" si="92"/>
        <v>-0.29341047373853091</v>
      </c>
      <c r="X102" s="7">
        <f t="shared" ca="1" si="92"/>
        <v>-0.30804174880995516</v>
      </c>
      <c r="Y102" s="7">
        <f t="shared" ca="1" si="92"/>
        <v>-0.3181390465449363</v>
      </c>
      <c r="Z102" s="7">
        <f t="shared" ca="1" si="92"/>
        <v>-0.3386397469600031</v>
      </c>
      <c r="AA102" s="7">
        <f t="shared" ca="1" si="92"/>
        <v>-0.35660966443770536</v>
      </c>
      <c r="AB102" s="7">
        <f t="shared" ca="1" si="92"/>
        <v>-0.37662871841602708</v>
      </c>
      <c r="AC102" s="7">
        <f t="shared" ca="1" si="92"/>
        <v>-0.40109337054987848</v>
      </c>
      <c r="AD102" s="7">
        <f t="shared" ca="1" si="92"/>
        <v>-0.42249952368836419</v>
      </c>
      <c r="AE102" s="7">
        <f t="shared" ca="1" si="92"/>
        <v>-0.43476760002275883</v>
      </c>
      <c r="AF102" s="7">
        <f t="shared" ca="1" si="92"/>
        <v>-0.45078094101890054</v>
      </c>
      <c r="AG102" s="7">
        <f t="shared" ca="1" si="92"/>
        <v>-0.46275568233082243</v>
      </c>
      <c r="AH102" s="7">
        <f t="shared" ca="1" si="92"/>
        <v>-0.4744963447819992</v>
      </c>
      <c r="AI102" s="7">
        <f t="shared" ca="1" si="92"/>
        <v>-0.47594340783626832</v>
      </c>
      <c r="AJ102" s="7">
        <f t="shared" ca="1" si="92"/>
        <v>-0.48334998151759268</v>
      </c>
      <c r="AK102" s="7">
        <f t="shared" ca="1" si="92"/>
        <v>-0.48225876745623231</v>
      </c>
      <c r="AL102" s="7">
        <f t="shared" ca="1" si="92"/>
        <v>-0.47338754990538956</v>
      </c>
      <c r="AM102" s="7">
        <f t="shared" ca="1" si="92"/>
        <v>-0.46598070707790806</v>
      </c>
      <c r="AN102" s="7">
        <f t="shared" ca="1" si="92"/>
        <v>-0.4573046797734801</v>
      </c>
      <c r="AO102" s="7">
        <f t="shared" ca="1" si="92"/>
        <v>-0.43045542814709714</v>
      </c>
      <c r="AP102" s="7">
        <f t="shared" ca="1" si="92"/>
        <v>-0.41888996832615977</v>
      </c>
      <c r="AQ102" s="7">
        <f t="shared" ca="1" si="92"/>
        <v>-0.3928690668692072</v>
      </c>
      <c r="AR102" s="7">
        <f t="shared" ca="1" si="92"/>
        <v>-0.3715819846162951</v>
      </c>
      <c r="AS102" s="7">
        <f t="shared" ca="1" si="92"/>
        <v>-0.35921382381294142</v>
      </c>
      <c r="AT102" s="7">
        <f t="shared" ca="1" si="92"/>
        <v>-0.34473997695886949</v>
      </c>
      <c r="AU102" s="7">
        <f t="shared" ca="1" si="92"/>
        <v>-0.33268768550427397</v>
      </c>
      <c r="AV102" s="7">
        <f t="shared" ca="1" si="92"/>
        <v>-0.33109582451316455</v>
      </c>
      <c r="AW102" s="7">
        <f t="shared" ca="1" si="92"/>
        <v>-0.32178262357539622</v>
      </c>
    </row>
    <row r="103" spans="1:49" x14ac:dyDescent="0.2">
      <c r="A103" s="1" t="s">
        <v>731</v>
      </c>
      <c r="B103" s="4"/>
      <c r="D103" s="18">
        <f>SUM(D$439-C$338,D$440-C$440)</f>
        <v>0</v>
      </c>
      <c r="E103" s="19">
        <f t="shared" ref="E103:AW103" ca="1" si="93">SUM(E$439-D$439,E$440-D$440)</f>
        <v>0</v>
      </c>
      <c r="F103" s="19">
        <f t="shared" ca="1" si="93"/>
        <v>0</v>
      </c>
      <c r="G103" s="19">
        <f t="shared" ca="1" si="93"/>
        <v>0</v>
      </c>
      <c r="H103" s="19">
        <f t="shared" ca="1" si="93"/>
        <v>0</v>
      </c>
      <c r="I103" s="19">
        <f t="shared" ca="1" si="93"/>
        <v>0</v>
      </c>
      <c r="J103" s="7">
        <f t="shared" ca="1" si="93"/>
        <v>0</v>
      </c>
      <c r="K103" s="7">
        <f t="shared" ca="1" si="93"/>
        <v>0</v>
      </c>
      <c r="L103" s="7">
        <f t="shared" ca="1" si="93"/>
        <v>0</v>
      </c>
      <c r="M103" s="7">
        <f t="shared" ca="1" si="93"/>
        <v>0</v>
      </c>
      <c r="N103" s="7">
        <f t="shared" ca="1" si="93"/>
        <v>0</v>
      </c>
      <c r="O103" s="7">
        <f t="shared" ca="1" si="93"/>
        <v>0</v>
      </c>
      <c r="P103" s="7">
        <f t="shared" ca="1" si="93"/>
        <v>0</v>
      </c>
      <c r="Q103" s="7">
        <f t="shared" ca="1" si="93"/>
        <v>0</v>
      </c>
      <c r="R103" s="7">
        <f t="shared" ca="1" si="93"/>
        <v>0</v>
      </c>
      <c r="S103" s="7">
        <f t="shared" ca="1" si="93"/>
        <v>0</v>
      </c>
      <c r="T103" s="7">
        <f t="shared" ca="1" si="93"/>
        <v>0</v>
      </c>
      <c r="U103" s="7">
        <f t="shared" ca="1" si="93"/>
        <v>0</v>
      </c>
      <c r="V103" s="7">
        <f t="shared" ca="1" si="93"/>
        <v>0</v>
      </c>
      <c r="W103" s="7">
        <f t="shared" ca="1" si="93"/>
        <v>0</v>
      </c>
      <c r="X103" s="7">
        <f t="shared" ca="1" si="93"/>
        <v>0</v>
      </c>
      <c r="Y103" s="7">
        <f t="shared" ca="1" si="93"/>
        <v>0</v>
      </c>
      <c r="Z103" s="7">
        <f t="shared" ca="1" si="93"/>
        <v>0</v>
      </c>
      <c r="AA103" s="7">
        <f t="shared" ca="1" si="93"/>
        <v>0</v>
      </c>
      <c r="AB103" s="7">
        <f t="shared" ca="1" si="93"/>
        <v>0</v>
      </c>
      <c r="AC103" s="7">
        <f t="shared" ca="1" si="93"/>
        <v>0</v>
      </c>
      <c r="AD103" s="7">
        <f t="shared" ca="1" si="93"/>
        <v>0</v>
      </c>
      <c r="AE103" s="7">
        <f t="shared" ca="1" si="93"/>
        <v>0</v>
      </c>
      <c r="AF103" s="7">
        <f t="shared" ca="1" si="93"/>
        <v>0</v>
      </c>
      <c r="AG103" s="7">
        <f t="shared" ca="1" si="93"/>
        <v>0</v>
      </c>
      <c r="AH103" s="7">
        <f t="shared" ca="1" si="93"/>
        <v>0</v>
      </c>
      <c r="AI103" s="7">
        <f t="shared" ca="1" si="93"/>
        <v>0</v>
      </c>
      <c r="AJ103" s="7">
        <f t="shared" ca="1" si="93"/>
        <v>0</v>
      </c>
      <c r="AK103" s="7">
        <f t="shared" ca="1" si="93"/>
        <v>0</v>
      </c>
      <c r="AL103" s="7">
        <f t="shared" ca="1" si="93"/>
        <v>0</v>
      </c>
      <c r="AM103" s="7">
        <f t="shared" ca="1" si="93"/>
        <v>0</v>
      </c>
      <c r="AN103" s="7">
        <f t="shared" ca="1" si="93"/>
        <v>0</v>
      </c>
      <c r="AO103" s="7">
        <f t="shared" ca="1" si="93"/>
        <v>0</v>
      </c>
      <c r="AP103" s="7">
        <f t="shared" ca="1" si="93"/>
        <v>0</v>
      </c>
      <c r="AQ103" s="7">
        <f t="shared" ca="1" si="93"/>
        <v>0</v>
      </c>
      <c r="AR103" s="7">
        <f t="shared" ca="1" si="93"/>
        <v>0</v>
      </c>
      <c r="AS103" s="7">
        <f t="shared" ca="1" si="93"/>
        <v>0</v>
      </c>
      <c r="AT103" s="7">
        <f t="shared" ca="1" si="93"/>
        <v>0</v>
      </c>
      <c r="AU103" s="7">
        <f t="shared" ca="1" si="93"/>
        <v>0</v>
      </c>
      <c r="AV103" s="7">
        <f t="shared" ca="1" si="93"/>
        <v>0</v>
      </c>
      <c r="AW103" s="7">
        <f t="shared" ca="1" si="93"/>
        <v>0</v>
      </c>
    </row>
    <row r="104" spans="1:49" ht="15" x14ac:dyDescent="0.25">
      <c r="A104" s="2" t="s">
        <v>736</v>
      </c>
      <c r="D104" s="40">
        <f t="shared" ref="D104" si="94">-SUM(D$98:D$103)</f>
        <v>-12.673999999999999</v>
      </c>
      <c r="E104" s="39">
        <f t="shared" ref="E104:AW104" ca="1" si="95">-SUM(E$98:E$103)</f>
        <v>-8.4780000000000015</v>
      </c>
      <c r="F104" s="39">
        <f t="shared" ca="1" si="95"/>
        <v>-14.135999999999999</v>
      </c>
      <c r="G104" s="39">
        <f t="shared" ca="1" si="95"/>
        <v>-2.7729999999999997</v>
      </c>
      <c r="H104" s="39">
        <f t="shared" ca="1" si="95"/>
        <v>-6.0920000000000005</v>
      </c>
      <c r="I104" s="39">
        <f t="shared" ca="1" si="95"/>
        <v>-11.86</v>
      </c>
      <c r="J104" s="43">
        <f t="shared" ca="1" si="95"/>
        <v>-13.14604211957738</v>
      </c>
      <c r="K104" s="43">
        <f t="shared" ca="1" si="95"/>
        <v>-13.692807150597261</v>
      </c>
      <c r="L104" s="43">
        <f t="shared" ca="1" si="95"/>
        <v>-14.002760994779981</v>
      </c>
      <c r="M104" s="43">
        <f t="shared" ca="1" si="95"/>
        <v>-14.268206536825721</v>
      </c>
      <c r="N104" s="43">
        <f t="shared" ca="1" si="95"/>
        <v>-14.567323620467075</v>
      </c>
      <c r="O104" s="43">
        <f t="shared" ca="1" si="95"/>
        <v>-14.881487148402094</v>
      </c>
      <c r="P104" s="43">
        <f t="shared" ca="1" si="95"/>
        <v>-15.118956062164271</v>
      </c>
      <c r="Q104" s="43">
        <f t="shared" ca="1" si="95"/>
        <v>-15.368309948989234</v>
      </c>
      <c r="R104" s="43">
        <f t="shared" ca="1" si="95"/>
        <v>-15.641822754967569</v>
      </c>
      <c r="S104" s="43">
        <f t="shared" ca="1" si="95"/>
        <v>-15.956438221613084</v>
      </c>
      <c r="T104" s="43">
        <f t="shared" ca="1" si="95"/>
        <v>-16.305952489715597</v>
      </c>
      <c r="U104" s="43">
        <f t="shared" ca="1" si="95"/>
        <v>-16.672159008955159</v>
      </c>
      <c r="V104" s="43">
        <f t="shared" ca="1" si="95"/>
        <v>-17.043583034653583</v>
      </c>
      <c r="W104" s="43">
        <f t="shared" ca="1" si="95"/>
        <v>-17.431758686385201</v>
      </c>
      <c r="X104" s="43">
        <f t="shared" ca="1" si="95"/>
        <v>-17.847124185559871</v>
      </c>
      <c r="Y104" s="43">
        <f t="shared" ca="1" si="95"/>
        <v>-18.248953137713389</v>
      </c>
      <c r="Z104" s="43">
        <f t="shared" ca="1" si="95"/>
        <v>-18.748251705361159</v>
      </c>
      <c r="AA104" s="43">
        <f t="shared" ca="1" si="95"/>
        <v>-19.354296707282401</v>
      </c>
      <c r="AB104" s="43">
        <f t="shared" ca="1" si="95"/>
        <v>-20.063677933630277</v>
      </c>
      <c r="AC104" s="43">
        <f t="shared" ca="1" si="95"/>
        <v>-20.899563816770758</v>
      </c>
      <c r="AD104" s="43">
        <f t="shared" ca="1" si="95"/>
        <v>-21.880922150876394</v>
      </c>
      <c r="AE104" s="43">
        <f t="shared" ca="1" si="95"/>
        <v>-22.931319277886523</v>
      </c>
      <c r="AF104" s="43">
        <f t="shared" ca="1" si="95"/>
        <v>-24.078652215373602</v>
      </c>
      <c r="AG104" s="43">
        <f t="shared" ca="1" si="95"/>
        <v>-25.25230902922808</v>
      </c>
      <c r="AH104" s="43">
        <f t="shared" ca="1" si="95"/>
        <v>-26.481477888061956</v>
      </c>
      <c r="AI104" s="43">
        <f t="shared" ca="1" si="95"/>
        <v>-27.732929664906703</v>
      </c>
      <c r="AJ104" s="43">
        <f t="shared" ca="1" si="95"/>
        <v>-29.073426388866167</v>
      </c>
      <c r="AK104" s="43">
        <f t="shared" ca="1" si="95"/>
        <v>-30.427197205114894</v>
      </c>
      <c r="AL104" s="43">
        <f t="shared" ca="1" si="95"/>
        <v>-31.814737477447721</v>
      </c>
      <c r="AM104" s="43">
        <f t="shared" ca="1" si="95"/>
        <v>-33.247867296574448</v>
      </c>
      <c r="AN104" s="43">
        <f t="shared" ca="1" si="95"/>
        <v>-34.675891231569125</v>
      </c>
      <c r="AO104" s="43">
        <f t="shared" ca="1" si="95"/>
        <v>-36.103924334934725</v>
      </c>
      <c r="AP104" s="43">
        <f t="shared" ca="1" si="95"/>
        <v>-37.464965936797448</v>
      </c>
      <c r="AQ104" s="43">
        <f t="shared" ca="1" si="95"/>
        <v>-38.754071855438475</v>
      </c>
      <c r="AR104" s="43">
        <f t="shared" ca="1" si="95"/>
        <v>-39.950540742722794</v>
      </c>
      <c r="AS104" s="43">
        <f t="shared" ca="1" si="95"/>
        <v>-41.092297634652972</v>
      </c>
      <c r="AT104" s="43">
        <f t="shared" ca="1" si="95"/>
        <v>-42.070778033472479</v>
      </c>
      <c r="AU104" s="43">
        <f t="shared" ca="1" si="95"/>
        <v>-43.16577964946076</v>
      </c>
      <c r="AV104" s="43">
        <f t="shared" ca="1" si="95"/>
        <v>-44.345571098621228</v>
      </c>
      <c r="AW104" s="43">
        <f t="shared" ca="1" si="95"/>
        <v>-45.531219134896361</v>
      </c>
    </row>
    <row r="105" spans="1:49" x14ac:dyDescent="0.2">
      <c r="A105" s="1" t="s">
        <v>206</v>
      </c>
      <c r="B105" s="4" t="str">
        <f t="shared" si="87"/>
        <v>From Fiscal</v>
      </c>
      <c r="D105" s="18">
        <f>Fiscal!D$88</f>
        <v>0.372</v>
      </c>
      <c r="E105" s="19">
        <f>Fiscal!E$88</f>
        <v>0.56399999999999995</v>
      </c>
      <c r="F105" s="19">
        <f>Fiscal!F$88</f>
        <v>0.17499999999999999</v>
      </c>
      <c r="G105" s="19">
        <f>Fiscal!G$88</f>
        <v>0.18</v>
      </c>
      <c r="H105" s="19">
        <f>Fiscal!H$88</f>
        <v>0.185</v>
      </c>
      <c r="I105" s="19">
        <f>Fiscal!I$88</f>
        <v>0.191</v>
      </c>
      <c r="J105" s="7">
        <f t="shared" ref="J105:AW105" ca="1" si="96">J$443-I$443</f>
        <v>0.31196918107785532</v>
      </c>
      <c r="K105" s="7">
        <f t="shared" ca="1" si="96"/>
        <v>0.31727608552365094</v>
      </c>
      <c r="L105" s="7">
        <f t="shared" ca="1" si="96"/>
        <v>0.33591472411964229</v>
      </c>
      <c r="M105" s="7">
        <f t="shared" ca="1" si="96"/>
        <v>0.34294607977441061</v>
      </c>
      <c r="N105" s="7">
        <f t="shared" ca="1" si="96"/>
        <v>0.35006240349795092</v>
      </c>
      <c r="O105" s="7">
        <f t="shared" ca="1" si="96"/>
        <v>0.35379483540001466</v>
      </c>
      <c r="P105" s="7">
        <f t="shared" ca="1" si="96"/>
        <v>0.36545913275572417</v>
      </c>
      <c r="Q105" s="7">
        <f t="shared" ca="1" si="96"/>
        <v>0.37672866714290443</v>
      </c>
      <c r="R105" s="7">
        <f t="shared" ca="1" si="96"/>
        <v>0.38771858691812788</v>
      </c>
      <c r="S105" s="7">
        <f t="shared" ca="1" si="96"/>
        <v>0.39994066055252198</v>
      </c>
      <c r="T105" s="7">
        <f t="shared" ca="1" si="96"/>
        <v>0.41230857900513485</v>
      </c>
      <c r="U105" s="7">
        <f t="shared" ca="1" si="96"/>
        <v>0.42615626207948054</v>
      </c>
      <c r="V105" s="7">
        <f t="shared" ca="1" si="96"/>
        <v>0.44105591432087188</v>
      </c>
      <c r="W105" s="7">
        <f t="shared" ca="1" si="96"/>
        <v>0.45723341679683038</v>
      </c>
      <c r="X105" s="7">
        <f t="shared" ca="1" si="96"/>
        <v>0.47485918661021209</v>
      </c>
      <c r="Y105" s="7">
        <f t="shared" ca="1" si="96"/>
        <v>0.49243641009174688</v>
      </c>
      <c r="Z105" s="7">
        <f t="shared" ca="1" si="96"/>
        <v>0.51250617058264325</v>
      </c>
      <c r="AA105" s="7">
        <f t="shared" ca="1" si="96"/>
        <v>0.53340516782491854</v>
      </c>
      <c r="AB105" s="7">
        <f t="shared" ca="1" si="96"/>
        <v>0.55590603004681149</v>
      </c>
      <c r="AC105" s="7">
        <f t="shared" ca="1" si="96"/>
        <v>0.58050551296990704</v>
      </c>
      <c r="AD105" s="7">
        <f t="shared" ca="1" si="96"/>
        <v>0.60571685586461399</v>
      </c>
      <c r="AE105" s="7">
        <f t="shared" ca="1" si="96"/>
        <v>0.63037192856102386</v>
      </c>
      <c r="AF105" s="7">
        <f t="shared" ca="1" si="96"/>
        <v>0.65677098798221323</v>
      </c>
      <c r="AG105" s="7">
        <f t="shared" ca="1" si="96"/>
        <v>0.68353728627673149</v>
      </c>
      <c r="AH105" s="7">
        <f t="shared" ca="1" si="96"/>
        <v>0.71139968403792508</v>
      </c>
      <c r="AI105" s="7">
        <f t="shared" ca="1" si="96"/>
        <v>0.73801903105391631</v>
      </c>
      <c r="AJ105" s="7">
        <f t="shared" ca="1" si="96"/>
        <v>0.76700262073217829</v>
      </c>
      <c r="AK105" s="7">
        <f t="shared" ca="1" si="96"/>
        <v>0.79535525042819799</v>
      </c>
      <c r="AL105" s="7">
        <f t="shared" ca="1" si="96"/>
        <v>0.82308135685105199</v>
      </c>
      <c r="AM105" s="7">
        <f t="shared" ca="1" si="96"/>
        <v>0.85193189958926041</v>
      </c>
      <c r="AN105" s="7">
        <f t="shared" ca="1" si="96"/>
        <v>0.88196747134960773</v>
      </c>
      <c r="AO105" s="7">
        <f t="shared" ca="1" si="96"/>
        <v>0.90853986184845681</v>
      </c>
      <c r="AP105" s="7">
        <f t="shared" ca="1" si="96"/>
        <v>0.9389703624354766</v>
      </c>
      <c r="AQ105" s="7">
        <f t="shared" ca="1" si="96"/>
        <v>0.96676987103008472</v>
      </c>
      <c r="AR105" s="7">
        <f t="shared" ca="1" si="96"/>
        <v>0.99566393607080528</v>
      </c>
      <c r="AS105" s="7">
        <f t="shared" ca="1" si="96"/>
        <v>1.026880856355568</v>
      </c>
      <c r="AT105" s="7">
        <f t="shared" ca="1" si="96"/>
        <v>1.0589179127611388</v>
      </c>
      <c r="AU105" s="7">
        <f t="shared" ca="1" si="96"/>
        <v>1.0923630935929758</v>
      </c>
      <c r="AV105" s="7">
        <f t="shared" ca="1" si="96"/>
        <v>1.1291857497597739</v>
      </c>
      <c r="AW105" s="7">
        <f t="shared" ca="1" si="96"/>
        <v>1.1653709171354478</v>
      </c>
    </row>
    <row r="106" spans="1:49" x14ac:dyDescent="0.2">
      <c r="A106" s="1" t="s">
        <v>379</v>
      </c>
      <c r="B106" s="4" t="str">
        <f t="shared" si="87"/>
        <v>From Fiscal</v>
      </c>
      <c r="D106" s="18">
        <f>SUM(Fiscal!D$89:D$91)</f>
        <v>6.3040000000000003</v>
      </c>
      <c r="E106" s="19">
        <f>SUM(Fiscal!E$89:E$91)</f>
        <v>3.9170000000000003</v>
      </c>
      <c r="F106" s="19">
        <f>SUM(Fiscal!F$89:F$91)</f>
        <v>9.2959999999999994</v>
      </c>
      <c r="G106" s="19">
        <f>SUM(Fiscal!G$89:G$91)</f>
        <v>-2.702</v>
      </c>
      <c r="H106" s="19">
        <f>SUM(Fiscal!H$89:H$91)</f>
        <v>-3.3499999999999996</v>
      </c>
      <c r="I106" s="19">
        <f>SUM(Fiscal!I$89:I$91)</f>
        <v>0.89700000000000013</v>
      </c>
      <c r="J106" s="7">
        <f t="shared" ref="J106:AW106" ca="1" si="97">J$335-I$335 -SUM(J$97,J$104)-J$105+J$107</f>
        <v>-0.608735009511157</v>
      </c>
      <c r="K106" s="7">
        <f t="shared" ca="1" si="97"/>
        <v>-0.21841541296590772</v>
      </c>
      <c r="L106" s="7">
        <f t="shared" ca="1" si="97"/>
        <v>-0.49511477585818819</v>
      </c>
      <c r="M106" s="7">
        <f t="shared" ca="1" si="97"/>
        <v>-0.6594206347142898</v>
      </c>
      <c r="N106" s="7">
        <f t="shared" ca="1" si="97"/>
        <v>-0.83319051739828509</v>
      </c>
      <c r="O106" s="7">
        <f t="shared" ca="1" si="97"/>
        <v>-0.84478654510028106</v>
      </c>
      <c r="P106" s="7">
        <f t="shared" ca="1" si="97"/>
        <v>-0.28079367457377802</v>
      </c>
      <c r="Q106" s="7">
        <f t="shared" ca="1" si="97"/>
        <v>0.34965475219215703</v>
      </c>
      <c r="R106" s="7">
        <f t="shared" ca="1" si="97"/>
        <v>1.1745386511244116</v>
      </c>
      <c r="S106" s="7">
        <f t="shared" ca="1" si="97"/>
        <v>2.0846721299883568</v>
      </c>
      <c r="T106" s="7">
        <f t="shared" ca="1" si="97"/>
        <v>3.1163272213873316</v>
      </c>
      <c r="U106" s="7">
        <f t="shared" ca="1" si="97"/>
        <v>4.285325317780333</v>
      </c>
      <c r="V106" s="7">
        <f t="shared" ca="1" si="97"/>
        <v>5.5920239152717803</v>
      </c>
      <c r="W106" s="7">
        <f t="shared" ca="1" si="97"/>
        <v>6.8558397421664479</v>
      </c>
      <c r="X106" s="7">
        <f t="shared" ca="1" si="97"/>
        <v>8.1262964401631645</v>
      </c>
      <c r="Y106" s="7">
        <f t="shared" ca="1" si="97"/>
        <v>9.519483772334274</v>
      </c>
      <c r="Z106" s="7">
        <f t="shared" ca="1" si="97"/>
        <v>11.036196994817036</v>
      </c>
      <c r="AA106" s="7">
        <f t="shared" ca="1" si="97"/>
        <v>11.100943300758486</v>
      </c>
      <c r="AB106" s="7">
        <f t="shared" ca="1" si="97"/>
        <v>11.141779510231357</v>
      </c>
      <c r="AC106" s="7">
        <f t="shared" ca="1" si="97"/>
        <v>11.121766635562008</v>
      </c>
      <c r="AD106" s="7">
        <f t="shared" ca="1" si="97"/>
        <v>10.994145567552401</v>
      </c>
      <c r="AE106" s="7">
        <f t="shared" ca="1" si="97"/>
        <v>10.8307666064619</v>
      </c>
      <c r="AF106" s="7">
        <f t="shared" ca="1" si="97"/>
        <v>10.666122803822262</v>
      </c>
      <c r="AG106" s="7">
        <f t="shared" ca="1" si="97"/>
        <v>10.45298872658163</v>
      </c>
      <c r="AH106" s="7">
        <f t="shared" ca="1" si="97"/>
        <v>10.190314120311955</v>
      </c>
      <c r="AI106" s="7">
        <f t="shared" ca="1" si="97"/>
        <v>9.8837380622505009</v>
      </c>
      <c r="AJ106" s="7">
        <f t="shared" ca="1" si="97"/>
        <v>9.5490111035513348</v>
      </c>
      <c r="AK106" s="7">
        <f t="shared" ca="1" si="97"/>
        <v>9.1803808797616568</v>
      </c>
      <c r="AL106" s="7">
        <f t="shared" ca="1" si="97"/>
        <v>8.7727689232971358</v>
      </c>
      <c r="AM106" s="7">
        <f t="shared" ca="1" si="97"/>
        <v>8.3434808447746285</v>
      </c>
      <c r="AN106" s="7">
        <f t="shared" ca="1" si="97"/>
        <v>7.8704492651196274</v>
      </c>
      <c r="AO106" s="7">
        <f t="shared" ca="1" si="97"/>
        <v>7.4311565575435434</v>
      </c>
      <c r="AP106" s="7">
        <f t="shared" ca="1" si="97"/>
        <v>6.989304521348819</v>
      </c>
      <c r="AQ106" s="7">
        <f t="shared" ca="1" si="97"/>
        <v>6.5621404065219444</v>
      </c>
      <c r="AR106" s="7">
        <f t="shared" ca="1" si="97"/>
        <v>6.1714515554876055</v>
      </c>
      <c r="AS106" s="7">
        <f t="shared" ca="1" si="97"/>
        <v>5.8213704011526852</v>
      </c>
      <c r="AT106" s="7">
        <f t="shared" ca="1" si="97"/>
        <v>5.3195654140735948</v>
      </c>
      <c r="AU106" s="7">
        <f t="shared" ca="1" si="97"/>
        <v>4.9059091529455889</v>
      </c>
      <c r="AV106" s="7">
        <f t="shared" ca="1" si="97"/>
        <v>4.5066740062022541</v>
      </c>
      <c r="AW106" s="7">
        <f t="shared" ca="1" si="97"/>
        <v>4.1323208747797846</v>
      </c>
    </row>
    <row r="107" spans="1:49" x14ac:dyDescent="0.2">
      <c r="A107" s="1" t="s">
        <v>751</v>
      </c>
      <c r="B107" s="4" t="str">
        <f t="shared" si="87"/>
        <v>From Fiscal</v>
      </c>
      <c r="D107" s="18">
        <f>-Fiscal!D$92</f>
        <v>0.47799999999999998</v>
      </c>
      <c r="E107" s="19">
        <f>-Fiscal!E$92</f>
        <v>0.49199999999999999</v>
      </c>
      <c r="F107" s="19">
        <f>-Fiscal!F$92</f>
        <v>0.54600000000000004</v>
      </c>
      <c r="G107" s="19">
        <f>-Fiscal!G$92</f>
        <v>0.52200000000000002</v>
      </c>
      <c r="H107" s="19">
        <f>-Fiscal!H$92</f>
        <v>0.55800000000000005</v>
      </c>
      <c r="I107" s="19">
        <f>-Fiscal!I$92</f>
        <v>0.58599999999999997</v>
      </c>
      <c r="J107" s="7">
        <f t="shared" ref="J107:AW107" ca="1" si="98">J$43</f>
        <v>0.61206832000864209</v>
      </c>
      <c r="K107" s="7">
        <f t="shared" ca="1" si="98"/>
        <v>0.6184904472493058</v>
      </c>
      <c r="L107" s="7">
        <f t="shared" ca="1" si="98"/>
        <v>0.62590384027160106</v>
      </c>
      <c r="M107" s="7">
        <f t="shared" ca="1" si="98"/>
        <v>0.63432099327657021</v>
      </c>
      <c r="N107" s="7">
        <f t="shared" ca="1" si="98"/>
        <v>0.64375736911460735</v>
      </c>
      <c r="O107" s="7">
        <f t="shared" ca="1" si="98"/>
        <v>0.65421824603970913</v>
      </c>
      <c r="P107" s="7">
        <f t="shared" ca="1" si="98"/>
        <v>0.66571225960302205</v>
      </c>
      <c r="Q107" s="7">
        <f t="shared" ca="1" si="98"/>
        <v>0.67824622682261759</v>
      </c>
      <c r="R107" s="7">
        <f t="shared" ca="1" si="98"/>
        <v>0.69182565194877221</v>
      </c>
      <c r="S107" s="7">
        <f t="shared" ca="1" si="98"/>
        <v>0.7064605714462604</v>
      </c>
      <c r="T107" s="7">
        <f t="shared" ca="1" si="98"/>
        <v>0.72216122749498457</v>
      </c>
      <c r="U107" s="7">
        <f t="shared" ca="1" si="98"/>
        <v>0.73894317728061354</v>
      </c>
      <c r="V107" s="7">
        <f t="shared" ca="1" si="98"/>
        <v>0.75682546478066592</v>
      </c>
      <c r="W107" s="7">
        <f t="shared" ca="1" si="98"/>
        <v>0.77583136429931532</v>
      </c>
      <c r="X107" s="7">
        <f t="shared" ca="1" si="98"/>
        <v>0.79598888505444942</v>
      </c>
      <c r="Y107" s="7">
        <f t="shared" ca="1" si="98"/>
        <v>0.81732486295472073</v>
      </c>
      <c r="Z107" s="7">
        <f t="shared" ca="1" si="98"/>
        <v>0.83987474882880919</v>
      </c>
      <c r="AA107" s="7">
        <f t="shared" ca="1" si="98"/>
        <v>0.86367592486788491</v>
      </c>
      <c r="AB107" s="7">
        <f t="shared" ca="1" si="98"/>
        <v>0.88877060014478837</v>
      </c>
      <c r="AC107" s="7">
        <f t="shared" ca="1" si="98"/>
        <v>0.91520754592030684</v>
      </c>
      <c r="AD107" s="7">
        <f t="shared" ca="1" si="98"/>
        <v>0.94303616158377712</v>
      </c>
      <c r="AE107" s="7">
        <f t="shared" ca="1" si="98"/>
        <v>0.97230197189848622</v>
      </c>
      <c r="AF107" s="7">
        <f t="shared" ca="1" si="98"/>
        <v>1.003055586688312</v>
      </c>
      <c r="AG107" s="7">
        <f t="shared" ca="1" si="98"/>
        <v>1.0353472408135571</v>
      </c>
      <c r="AH107" s="7">
        <f t="shared" ca="1" si="98"/>
        <v>1.0692296030892219</v>
      </c>
      <c r="AI107" s="7">
        <f t="shared" ca="1" si="98"/>
        <v>1.1047487181867237</v>
      </c>
      <c r="AJ107" s="7">
        <f t="shared" ca="1" si="98"/>
        <v>1.1419580766424731</v>
      </c>
      <c r="AK107" s="7">
        <f t="shared" ca="1" si="98"/>
        <v>1.1809068636979103</v>
      </c>
      <c r="AL107" s="7">
        <f t="shared" ca="1" si="98"/>
        <v>1.2216401280444162</v>
      </c>
      <c r="AM107" s="7">
        <f t="shared" ca="1" si="98"/>
        <v>1.2642056437908908</v>
      </c>
      <c r="AN107" s="7">
        <f t="shared" ca="1" si="98"/>
        <v>1.3086540468312993</v>
      </c>
      <c r="AO107" s="7">
        <f t="shared" ca="1" si="98"/>
        <v>1.3550209047651209</v>
      </c>
      <c r="AP107" s="7">
        <f t="shared" ca="1" si="98"/>
        <v>1.4033553303436199</v>
      </c>
      <c r="AQ107" s="7">
        <f t="shared" ca="1" si="98"/>
        <v>1.4536946137455895</v>
      </c>
      <c r="AR107" s="7">
        <f t="shared" ca="1" si="98"/>
        <v>1.5060789293816212</v>
      </c>
      <c r="AS107" s="7">
        <f t="shared" ca="1" si="98"/>
        <v>1.560555945656213</v>
      </c>
      <c r="AT107" s="7">
        <f t="shared" ca="1" si="98"/>
        <v>1.6171747968578181</v>
      </c>
      <c r="AU107" s="7">
        <f t="shared" ca="1" si="98"/>
        <v>1.6759882868556872</v>
      </c>
      <c r="AV107" s="7">
        <f t="shared" ca="1" si="98"/>
        <v>1.7370603136517999</v>
      </c>
      <c r="AW107" s="7">
        <f t="shared" ca="1" si="98"/>
        <v>1.8004500781312118</v>
      </c>
    </row>
    <row r="108" spans="1:49" ht="15" x14ac:dyDescent="0.25">
      <c r="A108" s="2" t="s">
        <v>381</v>
      </c>
      <c r="D108" s="40">
        <f t="shared" ref="D108:I108" si="99">D$105+D$106-D$107</f>
        <v>6.1980000000000004</v>
      </c>
      <c r="E108" s="39">
        <f t="shared" si="99"/>
        <v>3.9889999999999999</v>
      </c>
      <c r="F108" s="39">
        <f t="shared" si="99"/>
        <v>8.9250000000000007</v>
      </c>
      <c r="G108" s="39">
        <f t="shared" si="99"/>
        <v>-3.0439999999999996</v>
      </c>
      <c r="H108" s="39">
        <f t="shared" si="99"/>
        <v>-3.7229999999999999</v>
      </c>
      <c r="I108" s="39">
        <f t="shared" si="99"/>
        <v>0.50200000000000011</v>
      </c>
      <c r="J108" s="43">
        <f t="shared" ref="J108:AW108" ca="1" si="100">J$105+J$106-J$107</f>
        <v>-0.90883414844194377</v>
      </c>
      <c r="K108" s="43">
        <f t="shared" ca="1" si="100"/>
        <v>-0.51962977469156257</v>
      </c>
      <c r="L108" s="43">
        <f t="shared" ca="1" si="100"/>
        <v>-0.78510389201014696</v>
      </c>
      <c r="M108" s="43">
        <f t="shared" ca="1" si="100"/>
        <v>-0.9507955482164494</v>
      </c>
      <c r="N108" s="43">
        <f t="shared" ca="1" si="100"/>
        <v>-1.1268854830149415</v>
      </c>
      <c r="O108" s="43">
        <f t="shared" ca="1" si="100"/>
        <v>-1.1452099557399755</v>
      </c>
      <c r="P108" s="43">
        <f t="shared" ca="1" si="100"/>
        <v>-0.5810468014210759</v>
      </c>
      <c r="Q108" s="43">
        <f t="shared" ca="1" si="100"/>
        <v>4.813719251244386E-2</v>
      </c>
      <c r="R108" s="43">
        <f t="shared" ca="1" si="100"/>
        <v>0.87043158609376725</v>
      </c>
      <c r="S108" s="43">
        <f t="shared" ca="1" si="100"/>
        <v>1.7781522190946184</v>
      </c>
      <c r="T108" s="43">
        <f t="shared" ca="1" si="100"/>
        <v>2.806474572897482</v>
      </c>
      <c r="U108" s="43">
        <f t="shared" ca="1" si="100"/>
        <v>3.9725384025791999</v>
      </c>
      <c r="V108" s="43">
        <f t="shared" ca="1" si="100"/>
        <v>5.2762543648119866</v>
      </c>
      <c r="W108" s="43">
        <f t="shared" ca="1" si="100"/>
        <v>6.5372417946639629</v>
      </c>
      <c r="X108" s="43">
        <f t="shared" ca="1" si="100"/>
        <v>7.805166741718927</v>
      </c>
      <c r="Y108" s="43">
        <f t="shared" ca="1" si="100"/>
        <v>9.1945953194713006</v>
      </c>
      <c r="Z108" s="43">
        <f t="shared" ca="1" si="100"/>
        <v>10.708828416570871</v>
      </c>
      <c r="AA108" s="43">
        <f t="shared" ca="1" si="100"/>
        <v>10.77067254371552</v>
      </c>
      <c r="AB108" s="43">
        <f t="shared" ca="1" si="100"/>
        <v>10.808914940133381</v>
      </c>
      <c r="AC108" s="43">
        <f t="shared" ca="1" si="100"/>
        <v>10.787064602611608</v>
      </c>
      <c r="AD108" s="43">
        <f t="shared" ca="1" si="100"/>
        <v>10.656826261833238</v>
      </c>
      <c r="AE108" s="43">
        <f t="shared" ca="1" si="100"/>
        <v>10.488836563124437</v>
      </c>
      <c r="AF108" s="43">
        <f t="shared" ca="1" si="100"/>
        <v>10.319838205116163</v>
      </c>
      <c r="AG108" s="43">
        <f t="shared" ca="1" si="100"/>
        <v>10.101178772044804</v>
      </c>
      <c r="AH108" s="43">
        <f t="shared" ca="1" si="100"/>
        <v>9.8324842012606588</v>
      </c>
      <c r="AI108" s="43">
        <f t="shared" ca="1" si="100"/>
        <v>9.5170083751176939</v>
      </c>
      <c r="AJ108" s="43">
        <f t="shared" ca="1" si="100"/>
        <v>9.1740556476410404</v>
      </c>
      <c r="AK108" s="43">
        <f t="shared" ca="1" si="100"/>
        <v>8.794829266491945</v>
      </c>
      <c r="AL108" s="43">
        <f t="shared" ca="1" si="100"/>
        <v>8.3742101521037711</v>
      </c>
      <c r="AM108" s="43">
        <f t="shared" ca="1" si="100"/>
        <v>7.9312071005729976</v>
      </c>
      <c r="AN108" s="43">
        <f t="shared" ca="1" si="100"/>
        <v>7.4437626896379365</v>
      </c>
      <c r="AO108" s="43">
        <f t="shared" ca="1" si="100"/>
        <v>6.9846755146268791</v>
      </c>
      <c r="AP108" s="43">
        <f t="shared" ca="1" si="100"/>
        <v>6.5249195534406752</v>
      </c>
      <c r="AQ108" s="43">
        <f t="shared" ca="1" si="100"/>
        <v>6.0752156638064392</v>
      </c>
      <c r="AR108" s="43">
        <f t="shared" ca="1" si="100"/>
        <v>5.6610365621767897</v>
      </c>
      <c r="AS108" s="43">
        <f t="shared" ca="1" si="100"/>
        <v>5.2876953118520404</v>
      </c>
      <c r="AT108" s="43">
        <f t="shared" ca="1" si="100"/>
        <v>4.7613085299769153</v>
      </c>
      <c r="AU108" s="43">
        <f t="shared" ca="1" si="100"/>
        <v>4.3222839596828777</v>
      </c>
      <c r="AV108" s="43">
        <f t="shared" ca="1" si="100"/>
        <v>3.8987994423102279</v>
      </c>
      <c r="AW108" s="43">
        <f t="shared" ca="1" si="100"/>
        <v>3.4972417137840206</v>
      </c>
    </row>
    <row r="109" spans="1:49" ht="15" x14ac:dyDescent="0.25">
      <c r="A109" s="2" t="s">
        <v>212</v>
      </c>
      <c r="D109" s="41">
        <f t="shared" ref="D109" si="101">SUM(D$97,D$104,D$108)</f>
        <v>-0.88400000000001455</v>
      </c>
      <c r="E109" s="42">
        <f t="shared" ref="E109:AW109" ca="1" si="102">SUM(E$97,E$104,E$108)</f>
        <v>2.6539999999999848</v>
      </c>
      <c r="F109" s="42">
        <f t="shared" ca="1" si="102"/>
        <v>9.6000000000003638E-2</v>
      </c>
      <c r="G109" s="42">
        <f t="shared" ca="1" si="102"/>
        <v>1.7660000000000133</v>
      </c>
      <c r="H109" s="42">
        <f t="shared" ca="1" si="102"/>
        <v>1.7970000000000086</v>
      </c>
      <c r="I109" s="42">
        <f t="shared" ca="1" si="102"/>
        <v>2.211999999999994</v>
      </c>
      <c r="J109" s="31">
        <f t="shared" ca="1" si="102"/>
        <v>0.79154279876427225</v>
      </c>
      <c r="K109" s="31">
        <f t="shared" ca="1" si="102"/>
        <v>1.290164933185185</v>
      </c>
      <c r="L109" s="31">
        <f t="shared" ca="1" si="102"/>
        <v>1.3642030692955025</v>
      </c>
      <c r="M109" s="31">
        <f t="shared" ca="1" si="102"/>
        <v>1.4139093701479126</v>
      </c>
      <c r="N109" s="31">
        <f t="shared" ca="1" si="102"/>
        <v>1.4636301759716375</v>
      </c>
      <c r="O109" s="31">
        <f t="shared" ca="1" si="102"/>
        <v>1.4939622698642019</v>
      </c>
      <c r="P109" s="31">
        <f t="shared" ca="1" si="102"/>
        <v>1.5210129880455909</v>
      </c>
      <c r="Q109" s="31">
        <f t="shared" ca="1" si="102"/>
        <v>1.5460141703581947</v>
      </c>
      <c r="R109" s="31">
        <f t="shared" ca="1" si="102"/>
        <v>1.5711942735380298</v>
      </c>
      <c r="S109" s="31">
        <f t="shared" ca="1" si="102"/>
        <v>1.6039929447188079</v>
      </c>
      <c r="T109" s="31">
        <f t="shared" ca="1" si="102"/>
        <v>1.6387098664955815</v>
      </c>
      <c r="U109" s="31">
        <f t="shared" ca="1" si="102"/>
        <v>1.6751462253621408</v>
      </c>
      <c r="V109" s="31">
        <f t="shared" ca="1" si="102"/>
        <v>1.7119780304015748</v>
      </c>
      <c r="W109" s="31">
        <f t="shared" ca="1" si="102"/>
        <v>1.7498263842325201</v>
      </c>
      <c r="X109" s="31">
        <f t="shared" ca="1" si="102"/>
        <v>1.7924010837892572</v>
      </c>
      <c r="Y109" s="31">
        <f t="shared" ca="1" si="102"/>
        <v>1.8302297583754026</v>
      </c>
      <c r="Z109" s="31">
        <f t="shared" ca="1" si="102"/>
        <v>1.8781316185004187</v>
      </c>
      <c r="AA109" s="31">
        <f t="shared" ca="1" si="102"/>
        <v>1.9373109866683507</v>
      </c>
      <c r="AB109" s="31">
        <f t="shared" ca="1" si="102"/>
        <v>2.0123478183331969</v>
      </c>
      <c r="AC109" s="31">
        <f t="shared" ca="1" si="102"/>
        <v>2.1066316629784367</v>
      </c>
      <c r="AD109" s="31">
        <f t="shared" ca="1" si="102"/>
        <v>2.2193922263769821</v>
      </c>
      <c r="AE109" s="31">
        <f t="shared" ca="1" si="102"/>
        <v>2.3393874623548143</v>
      </c>
      <c r="AF109" s="31">
        <f t="shared" ca="1" si="102"/>
        <v>2.477160792042568</v>
      </c>
      <c r="AG109" s="31">
        <f t="shared" ca="1" si="102"/>
        <v>2.6195029458291046</v>
      </c>
      <c r="AH109" s="31">
        <f t="shared" ca="1" si="102"/>
        <v>2.7734740730687193</v>
      </c>
      <c r="AI109" s="31">
        <f t="shared" ca="1" si="102"/>
        <v>2.9321417912354093</v>
      </c>
      <c r="AJ109" s="31">
        <f t="shared" ca="1" si="102"/>
        <v>3.1029981242442801</v>
      </c>
      <c r="AK109" s="31">
        <f t="shared" ca="1" si="102"/>
        <v>3.2749397528873629</v>
      </c>
      <c r="AL109" s="31">
        <f t="shared" ca="1" si="102"/>
        <v>3.4535166443519785</v>
      </c>
      <c r="AM109" s="31">
        <f t="shared" ca="1" si="102"/>
        <v>3.640963370320506</v>
      </c>
      <c r="AN109" s="31">
        <f t="shared" ca="1" si="102"/>
        <v>3.8328054591646898</v>
      </c>
      <c r="AO109" s="31">
        <f t="shared" ca="1" si="102"/>
        <v>4.0154837792871518</v>
      </c>
      <c r="AP109" s="31">
        <f t="shared" ca="1" si="102"/>
        <v>4.1948922994047422</v>
      </c>
      <c r="AQ109" s="31">
        <f t="shared" ca="1" si="102"/>
        <v>4.3586421069633445</v>
      </c>
      <c r="AR109" s="31">
        <f t="shared" ca="1" si="102"/>
        <v>4.5056531871773302</v>
      </c>
      <c r="AS109" s="31">
        <f t="shared" ca="1" si="102"/>
        <v>4.6390154684291218</v>
      </c>
      <c r="AT109" s="31">
        <f t="shared" ca="1" si="102"/>
        <v>4.7795076490289716</v>
      </c>
      <c r="AU109" s="31">
        <f t="shared" ca="1" si="102"/>
        <v>4.9202957248829478</v>
      </c>
      <c r="AV109" s="31">
        <f t="shared" ca="1" si="102"/>
        <v>5.0716054838776472</v>
      </c>
      <c r="AW109" s="31">
        <f t="shared" ca="1" si="102"/>
        <v>5.2163776799004751</v>
      </c>
    </row>
    <row r="110" spans="1:49" ht="15" x14ac:dyDescent="0.25">
      <c r="A110" s="2"/>
      <c r="D110" s="55"/>
      <c r="E110" s="56"/>
      <c r="F110" s="56"/>
      <c r="G110" s="56"/>
      <c r="H110" s="56"/>
      <c r="I110" s="56"/>
      <c r="J110" s="57"/>
      <c r="K110" s="57"/>
      <c r="L110" s="57"/>
      <c r="M110" s="57"/>
      <c r="N110" s="57"/>
      <c r="O110" s="57"/>
      <c r="P110" s="57"/>
      <c r="Q110" s="57"/>
      <c r="R110" s="57"/>
      <c r="S110" s="57"/>
    </row>
    <row r="111" spans="1:49" x14ac:dyDescent="0.2">
      <c r="A111" s="22" t="s">
        <v>380</v>
      </c>
    </row>
    <row r="112" spans="1:49" ht="15" x14ac:dyDescent="0.25">
      <c r="A112" s="2" t="s">
        <v>377</v>
      </c>
      <c r="D112" s="41">
        <f t="shared" ref="D112" si="103">D$97</f>
        <v>5.5919999999999845</v>
      </c>
      <c r="E112" s="42">
        <f t="shared" ref="E112:AW112" ca="1" si="104">E$97</f>
        <v>7.1429999999999865</v>
      </c>
      <c r="F112" s="42">
        <f t="shared" ca="1" si="104"/>
        <v>5.3070000000000022</v>
      </c>
      <c r="G112" s="42">
        <f t="shared" ca="1" si="104"/>
        <v>7.5830000000000126</v>
      </c>
      <c r="H112" s="42">
        <f t="shared" ca="1" si="104"/>
        <v>11.612000000000009</v>
      </c>
      <c r="I112" s="42">
        <f t="shared" ca="1" si="104"/>
        <v>13.569999999999993</v>
      </c>
      <c r="J112" s="31">
        <f t="shared" ca="1" si="104"/>
        <v>14.846419066783596</v>
      </c>
      <c r="K112" s="31">
        <f t="shared" ca="1" si="104"/>
        <v>15.502601858474009</v>
      </c>
      <c r="L112" s="31">
        <f t="shared" ca="1" si="104"/>
        <v>16.152067956085631</v>
      </c>
      <c r="M112" s="31">
        <f t="shared" ca="1" si="104"/>
        <v>16.632911455190083</v>
      </c>
      <c r="N112" s="31">
        <f t="shared" ca="1" si="104"/>
        <v>17.157839279453654</v>
      </c>
      <c r="O112" s="31">
        <f t="shared" ca="1" si="104"/>
        <v>17.520659374006271</v>
      </c>
      <c r="P112" s="31">
        <f t="shared" ca="1" si="104"/>
        <v>17.221015851630938</v>
      </c>
      <c r="Q112" s="31">
        <f t="shared" ca="1" si="104"/>
        <v>16.866186926834985</v>
      </c>
      <c r="R112" s="31">
        <f t="shared" ca="1" si="104"/>
        <v>16.342585442411831</v>
      </c>
      <c r="S112" s="31">
        <f t="shared" ca="1" si="104"/>
        <v>15.782278947237273</v>
      </c>
      <c r="T112" s="31">
        <f t="shared" ca="1" si="104"/>
        <v>15.138187783313697</v>
      </c>
      <c r="U112" s="31">
        <f t="shared" ca="1" si="104"/>
        <v>14.3747668317381</v>
      </c>
      <c r="V112" s="31">
        <f t="shared" ca="1" si="104"/>
        <v>13.479306700243171</v>
      </c>
      <c r="W112" s="31">
        <f t="shared" ca="1" si="104"/>
        <v>12.644343275953759</v>
      </c>
      <c r="X112" s="31">
        <f t="shared" ca="1" si="104"/>
        <v>11.834358527630201</v>
      </c>
      <c r="Y112" s="31">
        <f t="shared" ca="1" si="104"/>
        <v>10.884587576617491</v>
      </c>
      <c r="Z112" s="31">
        <f t="shared" ca="1" si="104"/>
        <v>9.9175549072907074</v>
      </c>
      <c r="AA112" s="31">
        <f t="shared" ca="1" si="104"/>
        <v>10.520935150235232</v>
      </c>
      <c r="AB112" s="31">
        <f t="shared" ca="1" si="104"/>
        <v>11.267110811830094</v>
      </c>
      <c r="AC112" s="31">
        <f t="shared" ca="1" si="104"/>
        <v>12.219130877137587</v>
      </c>
      <c r="AD112" s="31">
        <f t="shared" ca="1" si="104"/>
        <v>13.443488115420138</v>
      </c>
      <c r="AE112" s="31">
        <f t="shared" ca="1" si="104"/>
        <v>14.7818701771169</v>
      </c>
      <c r="AF112" s="31">
        <f t="shared" ca="1" si="104"/>
        <v>16.235974802300007</v>
      </c>
      <c r="AG112" s="31">
        <f t="shared" ca="1" si="104"/>
        <v>17.77063320301238</v>
      </c>
      <c r="AH112" s="31">
        <f t="shared" ca="1" si="104"/>
        <v>19.422467759870017</v>
      </c>
      <c r="AI112" s="31">
        <f t="shared" ca="1" si="104"/>
        <v>21.148063081024418</v>
      </c>
      <c r="AJ112" s="31">
        <f t="shared" ca="1" si="104"/>
        <v>23.002368865469407</v>
      </c>
      <c r="AK112" s="31">
        <f t="shared" ca="1" si="104"/>
        <v>24.907307691510312</v>
      </c>
      <c r="AL112" s="31">
        <f t="shared" ca="1" si="104"/>
        <v>26.894043969695929</v>
      </c>
      <c r="AM112" s="31">
        <f t="shared" ca="1" si="104"/>
        <v>28.957623566321956</v>
      </c>
      <c r="AN112" s="31">
        <f t="shared" ca="1" si="104"/>
        <v>31.064934001095878</v>
      </c>
      <c r="AO112" s="31">
        <f t="shared" ca="1" si="104"/>
        <v>33.134732599594997</v>
      </c>
      <c r="AP112" s="31">
        <f t="shared" ca="1" si="104"/>
        <v>35.134938682761515</v>
      </c>
      <c r="AQ112" s="31">
        <f t="shared" ca="1" si="104"/>
        <v>37.037498298595381</v>
      </c>
      <c r="AR112" s="31">
        <f t="shared" ca="1" si="104"/>
        <v>38.795157367723334</v>
      </c>
      <c r="AS112" s="31">
        <f t="shared" ca="1" si="104"/>
        <v>40.443617791230054</v>
      </c>
      <c r="AT112" s="31">
        <f t="shared" ca="1" si="104"/>
        <v>42.088977152524535</v>
      </c>
      <c r="AU112" s="31">
        <f t="shared" ca="1" si="104"/>
        <v>43.76379141466083</v>
      </c>
      <c r="AV112" s="31">
        <f t="shared" ca="1" si="104"/>
        <v>45.518377140188647</v>
      </c>
      <c r="AW112" s="31">
        <f t="shared" ca="1" si="104"/>
        <v>47.250355101012815</v>
      </c>
    </row>
    <row r="113" spans="1:49" ht="15" x14ac:dyDescent="0.25">
      <c r="A113" s="2" t="s">
        <v>741</v>
      </c>
      <c r="D113" s="40">
        <f t="shared" ref="D113:I113" si="105">D$325-D$46</f>
        <v>4.3289999999999997</v>
      </c>
      <c r="E113" s="39">
        <f t="shared" si="105"/>
        <v>-3.5170000000000003</v>
      </c>
      <c r="F113" s="39">
        <f t="shared" si="105"/>
        <v>2.0530000000000004</v>
      </c>
      <c r="G113" s="39">
        <f t="shared" si="105"/>
        <v>2.2170000000000001</v>
      </c>
      <c r="H113" s="39">
        <f t="shared" si="105"/>
        <v>2.347</v>
      </c>
      <c r="I113" s="39">
        <f t="shared" si="105"/>
        <v>2.629</v>
      </c>
      <c r="J113" s="43">
        <f t="shared" ref="J113:AW113" ca="1" si="106">J$325-J$46</f>
        <v>2.3608218359166373</v>
      </c>
      <c r="K113" s="43">
        <f t="shared" ca="1" si="106"/>
        <v>2.6834330693308099</v>
      </c>
      <c r="L113" s="43">
        <f t="shared" ca="1" si="106"/>
        <v>3.0307791562162878</v>
      </c>
      <c r="M113" s="43">
        <f t="shared" ca="1" si="106"/>
        <v>3.4028301266194698</v>
      </c>
      <c r="N113" s="43">
        <f t="shared" ca="1" si="106"/>
        <v>3.778955962228594</v>
      </c>
      <c r="O113" s="43">
        <f t="shared" ca="1" si="106"/>
        <v>4.1076603917726686</v>
      </c>
      <c r="P113" s="43">
        <f t="shared" ca="1" si="106"/>
        <v>4.4403394952913331</v>
      </c>
      <c r="Q113" s="43">
        <f t="shared" ca="1" si="106"/>
        <v>4.7752480790648715</v>
      </c>
      <c r="R113" s="43">
        <f t="shared" ca="1" si="106"/>
        <v>5.1120734491155</v>
      </c>
      <c r="S113" s="43">
        <f t="shared" ca="1" si="106"/>
        <v>5.4521314406946892</v>
      </c>
      <c r="T113" s="43">
        <f t="shared" ca="1" si="106"/>
        <v>5.796855568946099</v>
      </c>
      <c r="U113" s="43">
        <f t="shared" ca="1" si="106"/>
        <v>6.1464576758238838</v>
      </c>
      <c r="V113" s="43">
        <f t="shared" ca="1" si="106"/>
        <v>6.5004836660115082</v>
      </c>
      <c r="W113" s="43">
        <f t="shared" ca="1" si="106"/>
        <v>6.8584407382001009</v>
      </c>
      <c r="X113" s="43">
        <f t="shared" ca="1" si="106"/>
        <v>7.2204546524111564</v>
      </c>
      <c r="Y113" s="43">
        <f t="shared" ca="1" si="106"/>
        <v>7.5860494428302587</v>
      </c>
      <c r="Z113" s="43">
        <f t="shared" ca="1" si="106"/>
        <v>7.9554028170711382</v>
      </c>
      <c r="AA113" s="43">
        <f t="shared" ca="1" si="106"/>
        <v>8.3315226444050889</v>
      </c>
      <c r="AB113" s="43">
        <f t="shared" ca="1" si="106"/>
        <v>8.7187171770391689</v>
      </c>
      <c r="AC113" s="43">
        <f t="shared" ca="1" si="106"/>
        <v>9.1223448017660829</v>
      </c>
      <c r="AD113" s="43">
        <f t="shared" ca="1" si="106"/>
        <v>9.5487903713598623</v>
      </c>
      <c r="AE113" s="43">
        <f t="shared" ca="1" si="106"/>
        <v>10.003258857494931</v>
      </c>
      <c r="AF113" s="43">
        <f t="shared" ca="1" si="106"/>
        <v>10.490069930979017</v>
      </c>
      <c r="AG113" s="43">
        <f t="shared" ca="1" si="106"/>
        <v>11.012951686437273</v>
      </c>
      <c r="AH113" s="43">
        <f t="shared" ca="1" si="106"/>
        <v>11.574627376933631</v>
      </c>
      <c r="AI113" s="43">
        <f t="shared" ca="1" si="106"/>
        <v>12.178308560908894</v>
      </c>
      <c r="AJ113" s="43">
        <f t="shared" ca="1" si="106"/>
        <v>12.827006592819224</v>
      </c>
      <c r="AK113" s="43">
        <f t="shared" ca="1" si="106"/>
        <v>13.522957493484055</v>
      </c>
      <c r="AL113" s="43">
        <f t="shared" ca="1" si="106"/>
        <v>14.268257969156675</v>
      </c>
      <c r="AM113" s="43">
        <f t="shared" ca="1" si="106"/>
        <v>15.065908161289837</v>
      </c>
      <c r="AN113" s="43">
        <f t="shared" ca="1" si="106"/>
        <v>15.917855373664599</v>
      </c>
      <c r="AO113" s="43">
        <f t="shared" ca="1" si="106"/>
        <v>16.824298823323943</v>
      </c>
      <c r="AP113" s="43">
        <f t="shared" ca="1" si="106"/>
        <v>17.783112654514998</v>
      </c>
      <c r="AQ113" s="43">
        <f t="shared" ca="1" si="106"/>
        <v>18.790501612501053</v>
      </c>
      <c r="AR113" s="43">
        <f t="shared" ca="1" si="106"/>
        <v>19.841335521574461</v>
      </c>
      <c r="AS113" s="43">
        <f t="shared" ca="1" si="106"/>
        <v>20.929102587165168</v>
      </c>
      <c r="AT113" s="43">
        <f t="shared" ca="1" si="106"/>
        <v>22.048607335470003</v>
      </c>
      <c r="AU113" s="43">
        <f t="shared" ca="1" si="106"/>
        <v>23.202316613585964</v>
      </c>
      <c r="AV113" s="43">
        <f t="shared" ca="1" si="106"/>
        <v>24.39071654581489</v>
      </c>
      <c r="AW113" s="43">
        <f t="shared" ca="1" si="106"/>
        <v>25.613871075461045</v>
      </c>
    </row>
    <row r="114" spans="1:49" x14ac:dyDescent="0.2">
      <c r="A114" s="1" t="s">
        <v>734</v>
      </c>
      <c r="D114" s="62">
        <f t="shared" ref="D114:I114" si="107">D$202</f>
        <v>4.8420000000000005</v>
      </c>
      <c r="E114" s="52">
        <f t="shared" si="107"/>
        <v>4.875</v>
      </c>
      <c r="F114" s="52">
        <f t="shared" si="107"/>
        <v>5.2</v>
      </c>
      <c r="G114" s="52">
        <f t="shared" si="107"/>
        <v>5.3520000000000003</v>
      </c>
      <c r="H114" s="52">
        <f t="shared" si="107"/>
        <v>5.5049999999999999</v>
      </c>
      <c r="I114" s="52">
        <f t="shared" si="107"/>
        <v>5.6020000000000003</v>
      </c>
      <c r="J114" s="53">
        <f t="shared" ref="J114:AW114" ca="1" si="108">J$202</f>
        <v>5.7309008237348209</v>
      </c>
      <c r="K114" s="53">
        <f t="shared" ca="1" si="108"/>
        <v>5.8542584144870098</v>
      </c>
      <c r="L114" s="53">
        <f t="shared" ca="1" si="108"/>
        <v>5.989600533959198</v>
      </c>
      <c r="M114" s="53">
        <f t="shared" ca="1" si="108"/>
        <v>6.1348878206663375</v>
      </c>
      <c r="N114" s="53">
        <f t="shared" ca="1" si="108"/>
        <v>6.2903326753661215</v>
      </c>
      <c r="O114" s="53">
        <f t="shared" ca="1" si="108"/>
        <v>6.4559188870465753</v>
      </c>
      <c r="P114" s="53">
        <f t="shared" ca="1" si="108"/>
        <v>6.6317224993020334</v>
      </c>
      <c r="Q114" s="53">
        <f t="shared" ca="1" si="108"/>
        <v>6.8178775435408188</v>
      </c>
      <c r="R114" s="53">
        <f t="shared" ca="1" si="108"/>
        <v>7.0144462144135566</v>
      </c>
      <c r="S114" s="53">
        <f t="shared" ca="1" si="108"/>
        <v>7.2216927988244732</v>
      </c>
      <c r="T114" s="53">
        <f t="shared" ca="1" si="108"/>
        <v>7.4398270911186817</v>
      </c>
      <c r="U114" s="53">
        <f t="shared" ca="1" si="108"/>
        <v>7.6691811467522086</v>
      </c>
      <c r="V114" s="53">
        <f t="shared" ca="1" si="108"/>
        <v>7.9100445047405294</v>
      </c>
      <c r="W114" s="53">
        <f t="shared" ca="1" si="108"/>
        <v>8.1628691024650504</v>
      </c>
      <c r="X114" s="53">
        <f t="shared" ca="1" si="108"/>
        <v>8.4279833082862723</v>
      </c>
      <c r="Y114" s="53">
        <f t="shared" ca="1" si="108"/>
        <v>8.7057945899049187</v>
      </c>
      <c r="Z114" s="53">
        <f t="shared" ca="1" si="108"/>
        <v>8.9967852753682269</v>
      </c>
      <c r="AA114" s="53">
        <f t="shared" ca="1" si="108"/>
        <v>9.3015285416983478</v>
      </c>
      <c r="AB114" s="53">
        <f t="shared" ca="1" si="108"/>
        <v>9.6205628479808354</v>
      </c>
      <c r="AC114" s="53">
        <f t="shared" ca="1" si="108"/>
        <v>9.9545972220779184</v>
      </c>
      <c r="AD114" s="53">
        <f t="shared" ca="1" si="108"/>
        <v>10.304258367250918</v>
      </c>
      <c r="AE114" s="53">
        <f t="shared" ca="1" si="108"/>
        <v>10.67004533450784</v>
      </c>
      <c r="AF114" s="53">
        <f t="shared" ca="1" si="108"/>
        <v>11.052591134393488</v>
      </c>
      <c r="AG114" s="53">
        <f t="shared" ca="1" si="108"/>
        <v>11.452554892721908</v>
      </c>
      <c r="AH114" s="53">
        <f t="shared" ca="1" si="108"/>
        <v>11.870538659430977</v>
      </c>
      <c r="AI114" s="53">
        <f t="shared" ca="1" si="108"/>
        <v>12.306966153250524</v>
      </c>
      <c r="AJ114" s="53">
        <f t="shared" ca="1" si="108"/>
        <v>12.762632977507216</v>
      </c>
      <c r="AK114" s="53">
        <f t="shared" ca="1" si="108"/>
        <v>13.238048074638353</v>
      </c>
      <c r="AL114" s="53">
        <f t="shared" ca="1" si="108"/>
        <v>13.733619137377582</v>
      </c>
      <c r="AM114" s="53">
        <f t="shared" ca="1" si="108"/>
        <v>14.250000193033941</v>
      </c>
      <c r="AN114" s="53">
        <f t="shared" ca="1" si="108"/>
        <v>14.787913079122355</v>
      </c>
      <c r="AO114" s="53">
        <f t="shared" ca="1" si="108"/>
        <v>15.347420935338118</v>
      </c>
      <c r="AP114" s="53">
        <f t="shared" ca="1" si="108"/>
        <v>15.929431713173848</v>
      </c>
      <c r="AQ114" s="53">
        <f t="shared" ca="1" si="108"/>
        <v>16.53413555761739</v>
      </c>
      <c r="AR114" s="53">
        <f t="shared" ca="1" si="108"/>
        <v>17.162066621244438</v>
      </c>
      <c r="AS114" s="53">
        <f t="shared" ca="1" si="108"/>
        <v>17.813928053970319</v>
      </c>
      <c r="AT114" s="53">
        <f t="shared" ca="1" si="108"/>
        <v>18.490274672451754</v>
      </c>
      <c r="AU114" s="53">
        <f t="shared" ca="1" si="108"/>
        <v>19.191816490450503</v>
      </c>
      <c r="AV114" s="53">
        <f t="shared" ca="1" si="108"/>
        <v>19.919526086763383</v>
      </c>
      <c r="AW114" s="53">
        <f t="shared" ca="1" si="108"/>
        <v>20.674035700493633</v>
      </c>
    </row>
    <row r="115" spans="1:49" x14ac:dyDescent="0.2">
      <c r="A115" s="1" t="s">
        <v>737</v>
      </c>
      <c r="D115" s="18">
        <f>-SUM(Fiscal!D$99:D$100)</f>
        <v>1.0009999999999999</v>
      </c>
      <c r="E115" s="19">
        <f>-SUM(Fiscal!E$99:E$100)</f>
        <v>0.88800000000000001</v>
      </c>
      <c r="F115" s="19">
        <f>-SUM(Fiscal!F$99:F$100)</f>
        <v>0.96799999999999997</v>
      </c>
      <c r="G115" s="19">
        <f>-SUM(Fiscal!G$99:G$100)</f>
        <v>0.98499999999999999</v>
      </c>
      <c r="H115" s="19">
        <f>-SUM(Fiscal!H$99:H$100)</f>
        <v>0.97799999999999998</v>
      </c>
      <c r="I115" s="19">
        <f>-SUM(Fiscal!I$99:I$100)</f>
        <v>0.91600000000000004</v>
      </c>
      <c r="J115" s="7">
        <f>SUM(J$387,J$390)</f>
        <v>0.72199999999999998</v>
      </c>
      <c r="K115" s="7">
        <f t="shared" ref="K115:AW115" si="109">SUM(K$387,K$390)</f>
        <v>0.72699999999999998</v>
      </c>
      <c r="L115" s="7">
        <f t="shared" si="109"/>
        <v>0.74099999999999999</v>
      </c>
      <c r="M115" s="7">
        <f t="shared" si="109"/>
        <v>0.755</v>
      </c>
      <c r="N115" s="7">
        <f t="shared" si="109"/>
        <v>0.78</v>
      </c>
      <c r="O115" s="7">
        <f t="shared" si="109"/>
        <v>0.80200000000000005</v>
      </c>
      <c r="P115" s="7">
        <f t="shared" si="109"/>
        <v>0.82699999999999996</v>
      </c>
      <c r="Q115" s="7">
        <f t="shared" si="109"/>
        <v>0.85199999999999998</v>
      </c>
      <c r="R115" s="7">
        <f t="shared" si="109"/>
        <v>0.874</v>
      </c>
      <c r="S115" s="7">
        <f t="shared" si="109"/>
        <v>0.89600000000000002</v>
      </c>
      <c r="T115" s="7">
        <f t="shared" si="109"/>
        <v>0.92200000000000004</v>
      </c>
      <c r="U115" s="7">
        <f t="shared" si="109"/>
        <v>0.94500000000000006</v>
      </c>
      <c r="V115" s="7">
        <f t="shared" si="109"/>
        <v>0.96700000000000008</v>
      </c>
      <c r="W115" s="7">
        <f t="shared" si="109"/>
        <v>0.9890000000000001</v>
      </c>
      <c r="X115" s="7">
        <f t="shared" si="109"/>
        <v>1.0110000000000001</v>
      </c>
      <c r="Y115" s="7">
        <f t="shared" si="109"/>
        <v>1.0350000000000001</v>
      </c>
      <c r="Z115" s="7">
        <f t="shared" si="109"/>
        <v>1.0640000000000001</v>
      </c>
      <c r="AA115" s="7">
        <f t="shared" si="109"/>
        <v>1.0920000000000001</v>
      </c>
      <c r="AB115" s="7">
        <f t="shared" si="109"/>
        <v>1.125</v>
      </c>
      <c r="AC115" s="7">
        <f t="shared" si="109"/>
        <v>1.1619999999999999</v>
      </c>
      <c r="AD115" s="7">
        <f t="shared" si="109"/>
        <v>1.1949999999999998</v>
      </c>
      <c r="AE115" s="7">
        <f t="shared" si="109"/>
        <v>1.2299999999999998</v>
      </c>
      <c r="AF115" s="7">
        <f t="shared" si="109"/>
        <v>1.2629999999999997</v>
      </c>
      <c r="AG115" s="7">
        <f t="shared" si="109"/>
        <v>1.2969999999999997</v>
      </c>
      <c r="AH115" s="7">
        <f t="shared" si="109"/>
        <v>1.3399999999999996</v>
      </c>
      <c r="AI115" s="7">
        <f t="shared" si="109"/>
        <v>1.3819999999999997</v>
      </c>
      <c r="AJ115" s="7">
        <f t="shared" si="109"/>
        <v>1.4199999999999997</v>
      </c>
      <c r="AK115" s="7">
        <f t="shared" si="109"/>
        <v>1.4539999999999997</v>
      </c>
      <c r="AL115" s="7">
        <f t="shared" si="109"/>
        <v>1.4869999999999997</v>
      </c>
      <c r="AM115" s="7">
        <f t="shared" si="109"/>
        <v>1.5179999999999996</v>
      </c>
      <c r="AN115" s="7">
        <f t="shared" si="109"/>
        <v>1.5549999999999995</v>
      </c>
      <c r="AO115" s="7">
        <f t="shared" si="109"/>
        <v>1.5919999999999994</v>
      </c>
      <c r="AP115" s="7">
        <f t="shared" si="109"/>
        <v>1.6259999999999994</v>
      </c>
      <c r="AQ115" s="7">
        <f t="shared" si="109"/>
        <v>1.6659999999999995</v>
      </c>
      <c r="AR115" s="7">
        <f t="shared" si="109"/>
        <v>1.7039999999999995</v>
      </c>
      <c r="AS115" s="7">
        <f t="shared" si="109"/>
        <v>1.7419999999999995</v>
      </c>
      <c r="AT115" s="7">
        <f t="shared" si="109"/>
        <v>1.7829999999999995</v>
      </c>
      <c r="AU115" s="7">
        <f t="shared" si="109"/>
        <v>1.8249999999999995</v>
      </c>
      <c r="AV115" s="7">
        <f t="shared" si="109"/>
        <v>1.8739999999999994</v>
      </c>
      <c r="AW115" s="7">
        <f t="shared" si="109"/>
        <v>1.9149999999999994</v>
      </c>
    </row>
    <row r="116" spans="1:49" x14ac:dyDescent="0.2">
      <c r="A116" s="1" t="s">
        <v>752</v>
      </c>
      <c r="D116" s="18">
        <f>-Fiscal!D$101</f>
        <v>-0.373</v>
      </c>
      <c r="E116" s="19">
        <f>-Fiscal!E$101</f>
        <v>-0.44500000000000001</v>
      </c>
      <c r="F116" s="19">
        <f>-Fiscal!F$101</f>
        <v>-0.505</v>
      </c>
      <c r="G116" s="19">
        <f>-Fiscal!G$101</f>
        <v>-0.505</v>
      </c>
      <c r="H116" s="19">
        <f>-Fiscal!H$101</f>
        <v>-0.497</v>
      </c>
      <c r="I116" s="19">
        <f>-Fiscal!I$101</f>
        <v>-0.49099999999999999</v>
      </c>
      <c r="J116" s="7">
        <f t="shared" ref="J116:AW116" ca="1" si="110">J$465-I$465</f>
        <v>-0.27602053314737951</v>
      </c>
      <c r="K116" s="7">
        <f t="shared" ca="1" si="110"/>
        <v>-0.29121572037154486</v>
      </c>
      <c r="L116" s="7">
        <f t="shared" ca="1" si="110"/>
        <v>-0.29807939054864896</v>
      </c>
      <c r="M116" s="7">
        <f t="shared" ca="1" si="110"/>
        <v>-0.29415729330459328</v>
      </c>
      <c r="N116" s="7">
        <f t="shared" ca="1" si="110"/>
        <v>-0.28925467174950992</v>
      </c>
      <c r="O116" s="7">
        <f t="shared" ca="1" si="110"/>
        <v>-0.28042995295037532</v>
      </c>
      <c r="P116" s="7">
        <f t="shared" ca="1" si="110"/>
        <v>-0.27454680708428469</v>
      </c>
      <c r="Q116" s="7">
        <f t="shared" ca="1" si="110"/>
        <v>-0.27160523415123627</v>
      </c>
      <c r="R116" s="7">
        <f t="shared" ca="1" si="110"/>
        <v>-0.2784689043283457</v>
      </c>
      <c r="S116" s="7">
        <f t="shared" ca="1" si="110"/>
        <v>-0.28337152588342018</v>
      </c>
      <c r="T116" s="7">
        <f t="shared" ca="1" si="110"/>
        <v>-0.28925467174951258</v>
      </c>
      <c r="U116" s="7">
        <f t="shared" ca="1" si="110"/>
        <v>-0.29219624468255923</v>
      </c>
      <c r="V116" s="7">
        <f t="shared" ca="1" si="110"/>
        <v>-0.29807939054865162</v>
      </c>
      <c r="W116" s="7">
        <f t="shared" ca="1" si="110"/>
        <v>-0.30004043917068035</v>
      </c>
      <c r="X116" s="7">
        <f t="shared" ca="1" si="110"/>
        <v>-0.29905991485966688</v>
      </c>
      <c r="Y116" s="7">
        <f t="shared" ca="1" si="110"/>
        <v>-0.28925467174951169</v>
      </c>
      <c r="Z116" s="7">
        <f t="shared" ca="1" si="110"/>
        <v>-0.28435205019443721</v>
      </c>
      <c r="AA116" s="7">
        <f t="shared" ca="1" si="110"/>
        <v>-0.28042995295037443</v>
      </c>
      <c r="AB116" s="7">
        <f t="shared" ca="1" si="110"/>
        <v>-0.27454680708428381</v>
      </c>
      <c r="AC116" s="7">
        <f t="shared" ca="1" si="110"/>
        <v>-0.26670261259616135</v>
      </c>
      <c r="AD116" s="7">
        <f t="shared" ca="1" si="110"/>
        <v>-0.2598389424190537</v>
      </c>
      <c r="AE116" s="7">
        <f t="shared" ca="1" si="110"/>
        <v>-0.2519947479309308</v>
      </c>
      <c r="AF116" s="7">
        <f t="shared" ca="1" si="110"/>
        <v>-0.24120898050976392</v>
      </c>
      <c r="AG116" s="7">
        <f t="shared" ca="1" si="110"/>
        <v>-0.23140373739961051</v>
      </c>
      <c r="AH116" s="7">
        <f t="shared" ca="1" si="110"/>
        <v>-0.2215984942894571</v>
      </c>
      <c r="AI116" s="7">
        <f t="shared" ca="1" si="110"/>
        <v>-0.20983220255727408</v>
      </c>
      <c r="AJ116" s="7">
        <f t="shared" ca="1" si="110"/>
        <v>-0.20002695944712023</v>
      </c>
      <c r="AK116" s="7">
        <f t="shared" ca="1" si="110"/>
        <v>-0.18728014340392218</v>
      </c>
      <c r="AL116" s="7">
        <f t="shared" ca="1" si="110"/>
        <v>-0.1755138516717385</v>
      </c>
      <c r="AM116" s="7">
        <f t="shared" ca="1" si="110"/>
        <v>-0.16472808425056984</v>
      </c>
      <c r="AN116" s="7">
        <f t="shared" ca="1" si="110"/>
        <v>-0.15198126820737112</v>
      </c>
      <c r="AO116" s="7">
        <f t="shared" ca="1" si="110"/>
        <v>-0.14119550078620269</v>
      </c>
      <c r="AP116" s="7">
        <f t="shared" ca="1" si="110"/>
        <v>-0.13040973336503492</v>
      </c>
      <c r="AQ116" s="7">
        <f t="shared" ca="1" si="110"/>
        <v>-0.11962396594386615</v>
      </c>
      <c r="AR116" s="7">
        <f t="shared" ca="1" si="110"/>
        <v>-0.10883819852269838</v>
      </c>
      <c r="AS116" s="7">
        <f t="shared" ca="1" si="110"/>
        <v>-0.10001347972356023</v>
      </c>
      <c r="AT116" s="7">
        <f t="shared" ca="1" si="110"/>
        <v>-8.9227712302392015E-2</v>
      </c>
      <c r="AU116" s="7">
        <f t="shared" ca="1" si="110"/>
        <v>-8.0402993503254527E-2</v>
      </c>
      <c r="AV116" s="7">
        <f t="shared" ca="1" si="110"/>
        <v>-7.0597750393101455E-2</v>
      </c>
      <c r="AW116" s="7">
        <f t="shared" ca="1" si="110"/>
        <v>-6.3734080215994415E-2</v>
      </c>
    </row>
    <row r="117" spans="1:49" x14ac:dyDescent="0.2">
      <c r="A117" s="1" t="s">
        <v>753</v>
      </c>
      <c r="D117" s="18">
        <f>-Fiscal!D$102</f>
        <v>-0.746</v>
      </c>
      <c r="E117" s="19">
        <f>-Fiscal!E$102</f>
        <v>-0.17</v>
      </c>
      <c r="F117" s="19">
        <f>-Fiscal!F$102</f>
        <v>-4.3999999999999997E-2</v>
      </c>
      <c r="G117" s="19">
        <f>-Fiscal!G$102</f>
        <v>0.47899999999999998</v>
      </c>
      <c r="H117" s="19">
        <f>-Fiscal!H$102</f>
        <v>1.1970000000000001</v>
      </c>
      <c r="I117" s="19">
        <f>-Fiscal!I$102</f>
        <v>1.415</v>
      </c>
      <c r="J117" s="7">
        <f t="shared" ref="J117:AW117" ca="1" si="111">J$460-I$460</f>
        <v>1.8002540855301845</v>
      </c>
      <c r="K117" s="7">
        <f t="shared" ca="1" si="111"/>
        <v>1.8867477423469907</v>
      </c>
      <c r="L117" s="7">
        <f t="shared" ca="1" si="111"/>
        <v>1.9714669369463707</v>
      </c>
      <c r="M117" s="7">
        <f t="shared" ca="1" si="111"/>
        <v>2.0415223869645303</v>
      </c>
      <c r="N117" s="7">
        <f t="shared" ca="1" si="111"/>
        <v>2.1464197546217534</v>
      </c>
      <c r="O117" s="7">
        <f t="shared" ca="1" si="111"/>
        <v>2.1538117531684762</v>
      </c>
      <c r="P117" s="7">
        <f t="shared" ca="1" si="111"/>
        <v>2.2275308927826103</v>
      </c>
      <c r="Q117" s="7">
        <f t="shared" ca="1" si="111"/>
        <v>2.2821624321026519</v>
      </c>
      <c r="R117" s="7">
        <f t="shared" ca="1" si="111"/>
        <v>2.3420072149984748</v>
      </c>
      <c r="S117" s="7">
        <f t="shared" ca="1" si="111"/>
        <v>2.4275183845955226</v>
      </c>
      <c r="T117" s="7">
        <f t="shared" ca="1" si="111"/>
        <v>2.5170812804815199</v>
      </c>
      <c r="U117" s="7">
        <f t="shared" ca="1" si="111"/>
        <v>2.6060902592080168</v>
      </c>
      <c r="V117" s="7">
        <f t="shared" ca="1" si="111"/>
        <v>2.69395488091385</v>
      </c>
      <c r="W117" s="7">
        <f t="shared" ca="1" si="111"/>
        <v>2.7750973196436917</v>
      </c>
      <c r="X117" s="7">
        <f t="shared" ca="1" si="111"/>
        <v>2.8764185068648658</v>
      </c>
      <c r="Y117" s="7">
        <f t="shared" ca="1" si="111"/>
        <v>2.9896290951950846</v>
      </c>
      <c r="Z117" s="7">
        <f t="shared" ca="1" si="111"/>
        <v>3.1049090668171573</v>
      </c>
      <c r="AA117" s="7">
        <f t="shared" ca="1" si="111"/>
        <v>3.2226233494479573</v>
      </c>
      <c r="AB117" s="7">
        <f t="shared" ca="1" si="111"/>
        <v>3.3401627015157516</v>
      </c>
      <c r="AC117" s="7">
        <f t="shared" ca="1" si="111"/>
        <v>3.484880800092057</v>
      </c>
      <c r="AD117" s="7">
        <f t="shared" ca="1" si="111"/>
        <v>3.675344630522531</v>
      </c>
      <c r="AE117" s="7">
        <f t="shared" ca="1" si="111"/>
        <v>3.8805335769942815</v>
      </c>
      <c r="AF117" s="7">
        <f t="shared" ca="1" si="111"/>
        <v>4.0501606801746561</v>
      </c>
      <c r="AG117" s="7">
        <f t="shared" ca="1" si="111"/>
        <v>4.2104071238748446</v>
      </c>
      <c r="AH117" s="7">
        <f t="shared" ca="1" si="111"/>
        <v>4.3785673852476208</v>
      </c>
      <c r="AI117" s="7">
        <f t="shared" ca="1" si="111"/>
        <v>4.5549571128210857</v>
      </c>
      <c r="AJ117" s="7">
        <f t="shared" ca="1" si="111"/>
        <v>4.7401591632365125</v>
      </c>
      <c r="AK117" s="7">
        <f t="shared" ca="1" si="111"/>
        <v>4.9345094648574701</v>
      </c>
      <c r="AL117" s="7">
        <f t="shared" ca="1" si="111"/>
        <v>5.1384929059838811</v>
      </c>
      <c r="AM117" s="7">
        <f t="shared" ca="1" si="111"/>
        <v>5.3526933929389315</v>
      </c>
      <c r="AN117" s="7">
        <f t="shared" ca="1" si="111"/>
        <v>5.5776542978870509</v>
      </c>
      <c r="AO117" s="7">
        <f t="shared" ca="1" si="111"/>
        <v>5.8137561990743336</v>
      </c>
      <c r="AP117" s="7">
        <f t="shared" ca="1" si="111"/>
        <v>6.0619038491471429</v>
      </c>
      <c r="AQ117" s="7">
        <f t="shared" ca="1" si="111"/>
        <v>6.3224691284187031</v>
      </c>
      <c r="AR117" s="7">
        <f t="shared" ca="1" si="111"/>
        <v>6.5962800497804039</v>
      </c>
      <c r="AS117" s="7">
        <f t="shared" ca="1" si="111"/>
        <v>6.8841007868138888</v>
      </c>
      <c r="AT117" s="7">
        <f t="shared" ca="1" si="111"/>
        <v>7.136150456350606</v>
      </c>
      <c r="AU117" s="7">
        <f t="shared" ca="1" si="111"/>
        <v>7.4261690790489467</v>
      </c>
      <c r="AV117" s="7">
        <f t="shared" ca="1" si="111"/>
        <v>7.7280732198066744</v>
      </c>
      <c r="AW117" s="7">
        <f t="shared" ca="1" si="111"/>
        <v>8.0421759991239412</v>
      </c>
    </row>
    <row r="118" spans="1:49" x14ac:dyDescent="0.2">
      <c r="A118" s="1" t="s">
        <v>754</v>
      </c>
      <c r="D118" s="18">
        <f>-Fiscal!D$103</f>
        <v>-0.69899999999999995</v>
      </c>
      <c r="E118" s="19">
        <f>-Fiscal!E$103</f>
        <v>0.218</v>
      </c>
      <c r="F118" s="19">
        <f>-Fiscal!F$103</f>
        <v>0.22900000000000001</v>
      </c>
      <c r="G118" s="19">
        <f>-Fiscal!G$103</f>
        <v>0.27700000000000002</v>
      </c>
      <c r="H118" s="19">
        <f>-Fiscal!H$103</f>
        <v>0.30299999999999999</v>
      </c>
      <c r="I118" s="19">
        <f>-Fiscal!I$103</f>
        <v>0.35399999999999998</v>
      </c>
      <c r="J118" s="7">
        <f t="shared" ref="J118:AW118" ca="1" si="112">J$43-J$329</f>
        <v>0.29965005268566403</v>
      </c>
      <c r="K118" s="7">
        <f t="shared" ca="1" si="112"/>
        <v>0.29301615888185495</v>
      </c>
      <c r="L118" s="7">
        <f t="shared" ca="1" si="112"/>
        <v>0.28632177438374062</v>
      </c>
      <c r="M118" s="7">
        <f t="shared" ca="1" si="112"/>
        <v>0.28006679058336181</v>
      </c>
      <c r="N118" s="7">
        <f t="shared" ca="1" si="112"/>
        <v>0.27422507661412465</v>
      </c>
      <c r="O118" s="7">
        <f t="shared" ca="1" si="112"/>
        <v>0.26891182720354345</v>
      </c>
      <c r="P118" s="7">
        <f t="shared" ca="1" si="112"/>
        <v>0.26411165568046302</v>
      </c>
      <c r="Q118" s="7">
        <f t="shared" ca="1" si="112"/>
        <v>0.25984897977476606</v>
      </c>
      <c r="R118" s="7">
        <f t="shared" ca="1" si="112"/>
        <v>0.25614177049930731</v>
      </c>
      <c r="S118" s="7">
        <f t="shared" ca="1" si="112"/>
        <v>0.25294512809963243</v>
      </c>
      <c r="T118" s="7">
        <f t="shared" ca="1" si="112"/>
        <v>0.25026279218873837</v>
      </c>
      <c r="U118" s="7">
        <f t="shared" ca="1" si="112"/>
        <v>0.24804434387872054</v>
      </c>
      <c r="V118" s="7">
        <f t="shared" ca="1" si="112"/>
        <v>0.24626192455587248</v>
      </c>
      <c r="W118" s="7">
        <f t="shared" ca="1" si="112"/>
        <v>0.24488183490852833</v>
      </c>
      <c r="X118" s="7">
        <f t="shared" ca="1" si="112"/>
        <v>0.24386751240376836</v>
      </c>
      <c r="Y118" s="7">
        <f t="shared" ca="1" si="112"/>
        <v>0.24324795741364325</v>
      </c>
      <c r="Z118" s="7">
        <f t="shared" ca="1" si="112"/>
        <v>0.24294748971078595</v>
      </c>
      <c r="AA118" s="7">
        <f t="shared" ca="1" si="112"/>
        <v>0.24296651953547943</v>
      </c>
      <c r="AB118" s="7">
        <f t="shared" ca="1" si="112"/>
        <v>0.24327583597917135</v>
      </c>
      <c r="AC118" s="7">
        <f t="shared" ca="1" si="112"/>
        <v>0.24383064220962125</v>
      </c>
      <c r="AD118" s="7">
        <f t="shared" ca="1" si="112"/>
        <v>0.24465305752181099</v>
      </c>
      <c r="AE118" s="7">
        <f t="shared" ca="1" si="112"/>
        <v>0.2458134082744915</v>
      </c>
      <c r="AF118" s="7">
        <f t="shared" ca="1" si="112"/>
        <v>0.24728454773838626</v>
      </c>
      <c r="AG118" s="7">
        <f t="shared" ca="1" si="112"/>
        <v>0.24910033723805458</v>
      </c>
      <c r="AH118" s="7">
        <f t="shared" ca="1" si="112"/>
        <v>0.25126457542496206</v>
      </c>
      <c r="AI118" s="7">
        <f t="shared" ca="1" si="112"/>
        <v>0.25387872903307329</v>
      </c>
      <c r="AJ118" s="7">
        <f t="shared" ca="1" si="112"/>
        <v>0.25689087761279417</v>
      </c>
      <c r="AK118" s="7">
        <f t="shared" ca="1" si="112"/>
        <v>0.26037833808380551</v>
      </c>
      <c r="AL118" s="7">
        <f t="shared" ca="1" si="112"/>
        <v>0.26441409300275198</v>
      </c>
      <c r="AM118" s="7">
        <f t="shared" ca="1" si="112"/>
        <v>0.26899578290189541</v>
      </c>
      <c r="AN118" s="7">
        <f t="shared" ca="1" si="112"/>
        <v>0.27412120854128608</v>
      </c>
      <c r="AO118" s="7">
        <f t="shared" ca="1" si="112"/>
        <v>0.27998034525414117</v>
      </c>
      <c r="AP118" s="7">
        <f t="shared" ca="1" si="112"/>
        <v>0.28645028995130462</v>
      </c>
      <c r="AQ118" s="7">
        <f t="shared" ca="1" si="112"/>
        <v>0.2936856369548857</v>
      </c>
      <c r="AR118" s="7">
        <f t="shared" ca="1" si="112"/>
        <v>0.30167775930831398</v>
      </c>
      <c r="AS118" s="7">
        <f t="shared" ca="1" si="112"/>
        <v>0.31037075970960237</v>
      </c>
      <c r="AT118" s="7">
        <f t="shared" ca="1" si="112"/>
        <v>0.3197772062526536</v>
      </c>
      <c r="AU118" s="7">
        <f t="shared" ca="1" si="112"/>
        <v>0.3298871208484373</v>
      </c>
      <c r="AV118" s="7">
        <f t="shared" ca="1" si="112"/>
        <v>0.34061381500840593</v>
      </c>
      <c r="AW118" s="7">
        <f t="shared" ca="1" si="112"/>
        <v>0.35204491238618796</v>
      </c>
    </row>
    <row r="119" spans="1:49" ht="15" x14ac:dyDescent="0.25">
      <c r="A119" s="2" t="s">
        <v>739</v>
      </c>
      <c r="D119" s="40">
        <f t="shared" ref="D119:I119" si="113">-SUM(D$114:D$118)</f>
        <v>-4.0250000000000004</v>
      </c>
      <c r="E119" s="39">
        <f t="shared" si="113"/>
        <v>-5.3659999999999997</v>
      </c>
      <c r="F119" s="39">
        <f t="shared" si="113"/>
        <v>-5.8480000000000008</v>
      </c>
      <c r="G119" s="39">
        <f t="shared" si="113"/>
        <v>-6.588000000000001</v>
      </c>
      <c r="H119" s="39">
        <f t="shared" si="113"/>
        <v>-7.4859999999999998</v>
      </c>
      <c r="I119" s="39">
        <f t="shared" si="113"/>
        <v>-7.7960000000000012</v>
      </c>
      <c r="J119" s="43">
        <f t="shared" ref="J119:AW119" ca="1" si="114">-SUM(J$114:J$118)</f>
        <v>-8.276784428803289</v>
      </c>
      <c r="K119" s="43">
        <f t="shared" ca="1" si="114"/>
        <v>-8.4698065953443109</v>
      </c>
      <c r="L119" s="43">
        <f t="shared" ca="1" si="114"/>
        <v>-8.6903098547406596</v>
      </c>
      <c r="M119" s="43">
        <f t="shared" ca="1" si="114"/>
        <v>-8.9173197049096373</v>
      </c>
      <c r="N119" s="43">
        <f t="shared" ca="1" si="114"/>
        <v>-9.2017228348524895</v>
      </c>
      <c r="O119" s="43">
        <f t="shared" ca="1" si="114"/>
        <v>-9.4002125144682207</v>
      </c>
      <c r="P119" s="43">
        <f t="shared" ca="1" si="114"/>
        <v>-9.6758182406808224</v>
      </c>
      <c r="Q119" s="43">
        <f t="shared" ca="1" si="114"/>
        <v>-9.9402837212670008</v>
      </c>
      <c r="R119" s="43">
        <f t="shared" ca="1" si="114"/>
        <v>-10.208126295582991</v>
      </c>
      <c r="S119" s="43">
        <f t="shared" ca="1" si="114"/>
        <v>-10.514784785636209</v>
      </c>
      <c r="T119" s="43">
        <f t="shared" ca="1" si="114"/>
        <v>-10.839916492039428</v>
      </c>
      <c r="U119" s="43">
        <f t="shared" ca="1" si="114"/>
        <v>-11.176119505156388</v>
      </c>
      <c r="V119" s="43">
        <f t="shared" ca="1" si="114"/>
        <v>-11.5191819196616</v>
      </c>
      <c r="W119" s="43">
        <f t="shared" ca="1" si="114"/>
        <v>-11.871807817846589</v>
      </c>
      <c r="X119" s="43">
        <f t="shared" ca="1" si="114"/>
        <v>-12.260209412695239</v>
      </c>
      <c r="Y119" s="43">
        <f t="shared" ca="1" si="114"/>
        <v>-12.684416970764136</v>
      </c>
      <c r="Z119" s="43">
        <f t="shared" ca="1" si="114"/>
        <v>-13.124289781701734</v>
      </c>
      <c r="AA119" s="43">
        <f t="shared" ca="1" si="114"/>
        <v>-13.57868845773141</v>
      </c>
      <c r="AB119" s="43">
        <f t="shared" ca="1" si="114"/>
        <v>-14.054454578391473</v>
      </c>
      <c r="AC119" s="43">
        <f t="shared" ca="1" si="114"/>
        <v>-14.578606051783435</v>
      </c>
      <c r="AD119" s="43">
        <f t="shared" ca="1" si="114"/>
        <v>-15.159417112876207</v>
      </c>
      <c r="AE119" s="43">
        <f t="shared" ca="1" si="114"/>
        <v>-15.774397571845682</v>
      </c>
      <c r="AF119" s="43">
        <f t="shared" ca="1" si="114"/>
        <v>-16.371827381796766</v>
      </c>
      <c r="AG119" s="43">
        <f t="shared" ca="1" si="114"/>
        <v>-16.977658616435196</v>
      </c>
      <c r="AH119" s="43">
        <f t="shared" ca="1" si="114"/>
        <v>-17.618772125814104</v>
      </c>
      <c r="AI119" s="43">
        <f t="shared" ca="1" si="114"/>
        <v>-18.287969792547408</v>
      </c>
      <c r="AJ119" s="43">
        <f t="shared" ca="1" si="114"/>
        <v>-18.979656058909402</v>
      </c>
      <c r="AK119" s="43">
        <f t="shared" ca="1" si="114"/>
        <v>-19.699655734175707</v>
      </c>
      <c r="AL119" s="43">
        <f t="shared" ca="1" si="114"/>
        <v>-20.448012284692478</v>
      </c>
      <c r="AM119" s="43">
        <f t="shared" ca="1" si="114"/>
        <v>-21.2249612846242</v>
      </c>
      <c r="AN119" s="43">
        <f t="shared" ca="1" si="114"/>
        <v>-22.042707317343318</v>
      </c>
      <c r="AO119" s="43">
        <f t="shared" ca="1" si="114"/>
        <v>-22.891961978880389</v>
      </c>
      <c r="AP119" s="43">
        <f t="shared" ca="1" si="114"/>
        <v>-23.773376118907258</v>
      </c>
      <c r="AQ119" s="43">
        <f t="shared" ca="1" si="114"/>
        <v>-24.696666357047114</v>
      </c>
      <c r="AR119" s="43">
        <f t="shared" ca="1" si="114"/>
        <v>-25.655186231810461</v>
      </c>
      <c r="AS119" s="43">
        <f t="shared" ca="1" si="114"/>
        <v>-26.65038612077025</v>
      </c>
      <c r="AT119" s="43">
        <f t="shared" ca="1" si="114"/>
        <v>-27.639974622752622</v>
      </c>
      <c r="AU119" s="43">
        <f t="shared" ca="1" si="114"/>
        <v>-28.692469696844629</v>
      </c>
      <c r="AV119" s="43">
        <f t="shared" ca="1" si="114"/>
        <v>-29.791615371185362</v>
      </c>
      <c r="AW119" s="43">
        <f t="shared" ca="1" si="114"/>
        <v>-30.919522531787766</v>
      </c>
    </row>
    <row r="120" spans="1:49" x14ac:dyDescent="0.2">
      <c r="A120" s="1" t="s">
        <v>220</v>
      </c>
      <c r="D120" s="18">
        <f>Fiscal!D$105</f>
        <v>0.14099999999999999</v>
      </c>
      <c r="E120" s="19">
        <f>Fiscal!E$105</f>
        <v>-0.22900000000000001</v>
      </c>
      <c r="F120" s="19">
        <f>Fiscal!F$105</f>
        <v>0.188</v>
      </c>
      <c r="G120" s="19">
        <f>Fiscal!G$105</f>
        <v>0.11799999999999999</v>
      </c>
      <c r="H120" s="19">
        <f>Fiscal!H$105</f>
        <v>0.64500000000000002</v>
      </c>
      <c r="I120" s="19">
        <f>Fiscal!I$105</f>
        <v>0.76</v>
      </c>
      <c r="J120" s="7">
        <f t="shared" ref="J120:AW120" ca="1" si="115">J$342-I$342 -(J$447-I$447)</f>
        <v>0.78652070904707649</v>
      </c>
      <c r="K120" s="7">
        <f t="shared" ca="1" si="115"/>
        <v>0.73212836641771073</v>
      </c>
      <c r="L120" s="7">
        <f t="shared" ca="1" si="115"/>
        <v>0.76321834807621958</v>
      </c>
      <c r="M120" s="7">
        <f t="shared" ca="1" si="115"/>
        <v>0.79341272830779275</v>
      </c>
      <c r="N120" s="7">
        <f t="shared" ca="1" si="115"/>
        <v>0.8236764556859848</v>
      </c>
      <c r="O120" s="7">
        <f t="shared" ca="1" si="115"/>
        <v>0.84848656836816705</v>
      </c>
      <c r="P120" s="7">
        <f t="shared" ca="1" si="115"/>
        <v>0.87237360210676673</v>
      </c>
      <c r="Q120" s="7">
        <f t="shared" ca="1" si="115"/>
        <v>0.89610035834277202</v>
      </c>
      <c r="R120" s="7">
        <f t="shared" ca="1" si="115"/>
        <v>0.9205128003999592</v>
      </c>
      <c r="S120" s="7">
        <f t="shared" ca="1" si="115"/>
        <v>0.94785354553339829</v>
      </c>
      <c r="T120" s="7">
        <f t="shared" ca="1" si="115"/>
        <v>0.97661621805667664</v>
      </c>
      <c r="U120" s="7">
        <f t="shared" ca="1" si="115"/>
        <v>1.0056948132961026</v>
      </c>
      <c r="V120" s="7">
        <f t="shared" ca="1" si="115"/>
        <v>1.0349453838978206</v>
      </c>
      <c r="W120" s="7">
        <f t="shared" ca="1" si="115"/>
        <v>1.0645189837837457</v>
      </c>
      <c r="X120" s="7">
        <f t="shared" ca="1" si="115"/>
        <v>1.0959330502567539</v>
      </c>
      <c r="Y120" s="7">
        <f t="shared" ca="1" si="115"/>
        <v>1.1264109090537247</v>
      </c>
      <c r="Z120" s="7">
        <f t="shared" ca="1" si="115"/>
        <v>1.160273361320721</v>
      </c>
      <c r="AA120" s="7">
        <f t="shared" ca="1" si="115"/>
        <v>1.1994629597455475</v>
      </c>
      <c r="AB120" s="7">
        <f t="shared" ca="1" si="115"/>
        <v>1.2453746780751569</v>
      </c>
      <c r="AC120" s="7">
        <f t="shared" ca="1" si="115"/>
        <v>1.2991571632243932</v>
      </c>
      <c r="AD120" s="7">
        <f t="shared" ca="1" si="115"/>
        <v>1.3617557508280385</v>
      </c>
      <c r="AE120" s="7">
        <f t="shared" ca="1" si="115"/>
        <v>1.4293398773373625</v>
      </c>
      <c r="AF120" s="7">
        <f t="shared" ca="1" si="115"/>
        <v>1.5045726160324158</v>
      </c>
      <c r="AG120" s="7">
        <f t="shared" ca="1" si="115"/>
        <v>1.5830168088270771</v>
      </c>
      <c r="AH120" s="7">
        <f t="shared" ca="1" si="115"/>
        <v>1.6671260827012198</v>
      </c>
      <c r="AI120" s="7">
        <f t="shared" ca="1" si="115"/>
        <v>1.7558310438945082</v>
      </c>
      <c r="AJ120" s="7">
        <f t="shared" ca="1" si="115"/>
        <v>1.8494503521586907</v>
      </c>
      <c r="AK120" s="7">
        <f t="shared" ca="1" si="115"/>
        <v>1.9457268091292406</v>
      </c>
      <c r="AL120" s="7">
        <f t="shared" ca="1" si="115"/>
        <v>2.0469740679496375</v>
      </c>
      <c r="AM120" s="7">
        <f t="shared" ca="1" si="115"/>
        <v>2.1527507050023651</v>
      </c>
      <c r="AN120" s="7">
        <f t="shared" ca="1" si="115"/>
        <v>2.2611781705524301</v>
      </c>
      <c r="AO120" s="7">
        <f t="shared" ca="1" si="115"/>
        <v>2.3701646838009083</v>
      </c>
      <c r="AP120" s="7">
        <f t="shared" ca="1" si="115"/>
        <v>2.4763515145353168</v>
      </c>
      <c r="AQ120" s="7">
        <f t="shared" ca="1" si="115"/>
        <v>2.5797227814484351</v>
      </c>
      <c r="AR120" s="7">
        <f t="shared" ca="1" si="115"/>
        <v>2.6767876935199908</v>
      </c>
      <c r="AS120" s="7">
        <f t="shared" ca="1" si="115"/>
        <v>2.7679728611410042</v>
      </c>
      <c r="AT120" s="7">
        <f t="shared" ca="1" si="115"/>
        <v>2.8633902437696577</v>
      </c>
      <c r="AU120" s="7">
        <f t="shared" ca="1" si="115"/>
        <v>2.9597350909002493</v>
      </c>
      <c r="AV120" s="7">
        <f t="shared" ca="1" si="115"/>
        <v>3.0599071743604398</v>
      </c>
      <c r="AW120" s="7">
        <f t="shared" ca="1" si="115"/>
        <v>3.1599701799549322</v>
      </c>
    </row>
    <row r="121" spans="1:49" x14ac:dyDescent="0.2">
      <c r="A121" s="1" t="s">
        <v>221</v>
      </c>
      <c r="D121" s="18">
        <f>Fiscal!D$106</f>
        <v>0.19600000000000001</v>
      </c>
      <c r="E121" s="19">
        <f>Fiscal!E$106</f>
        <v>0.28599999999999998</v>
      </c>
      <c r="F121" s="19">
        <f>Fiscal!F$106</f>
        <v>0.879</v>
      </c>
      <c r="G121" s="19">
        <f>Fiscal!G$106</f>
        <v>0.68500000000000005</v>
      </c>
      <c r="H121" s="19">
        <f>Fiscal!H$106</f>
        <v>0.78100000000000003</v>
      </c>
      <c r="I121" s="19">
        <f>Fiscal!I$106</f>
        <v>0.53800000000000003</v>
      </c>
      <c r="J121" s="7">
        <f t="shared" ref="J121:AW121" ca="1" si="116">J$159-(J$338-I$338)+J$446-I$446-J$89-(J$216-J$94)</f>
        <v>0.8339000359215496</v>
      </c>
      <c r="K121" s="7">
        <f t="shared" ca="1" si="116"/>
        <v>0.86594552214969145</v>
      </c>
      <c r="L121" s="7">
        <f t="shared" ca="1" si="116"/>
        <v>0.91225721317508679</v>
      </c>
      <c r="M121" s="7">
        <f t="shared" ca="1" si="116"/>
        <v>0.96679084128509096</v>
      </c>
      <c r="N121" s="7">
        <f t="shared" ca="1" si="116"/>
        <v>1.0117865185733743</v>
      </c>
      <c r="O121" s="7">
        <f t="shared" ca="1" si="116"/>
        <v>1.0472248483264268</v>
      </c>
      <c r="P121" s="7">
        <f t="shared" ca="1" si="116"/>
        <v>1.0819643910818044</v>
      </c>
      <c r="Q121" s="7">
        <f t="shared" ca="1" si="116"/>
        <v>1.1224848503296139</v>
      </c>
      <c r="R121" s="7">
        <f t="shared" ca="1" si="116"/>
        <v>1.1604652461550433</v>
      </c>
      <c r="S121" s="7">
        <f t="shared" ca="1" si="116"/>
        <v>1.2029658379087511</v>
      </c>
      <c r="T121" s="7">
        <f t="shared" ca="1" si="116"/>
        <v>1.2482011528924577</v>
      </c>
      <c r="U121" s="7">
        <f t="shared" ca="1" si="116"/>
        <v>1.2895654566792674</v>
      </c>
      <c r="V121" s="7">
        <f t="shared" ca="1" si="116"/>
        <v>1.3338381304735014</v>
      </c>
      <c r="W121" s="7">
        <f t="shared" ca="1" si="116"/>
        <v>1.3781017916890601</v>
      </c>
      <c r="X121" s="7">
        <f t="shared" ca="1" si="116"/>
        <v>1.4252027945979204</v>
      </c>
      <c r="Y121" s="7">
        <f t="shared" ca="1" si="116"/>
        <v>1.4695798869502497</v>
      </c>
      <c r="Z121" s="7">
        <f t="shared" ca="1" si="116"/>
        <v>1.517596365049295</v>
      </c>
      <c r="AA121" s="7">
        <f t="shared" ca="1" si="116"/>
        <v>1.566761302819577</v>
      </c>
      <c r="AB121" s="7">
        <f t="shared" ca="1" si="116"/>
        <v>1.6261506102278673</v>
      </c>
      <c r="AC121" s="7">
        <f t="shared" ca="1" si="116"/>
        <v>1.6877802276647316</v>
      </c>
      <c r="AD121" s="7">
        <f t="shared" ca="1" si="116"/>
        <v>1.7604568178529298</v>
      </c>
      <c r="AE121" s="7">
        <f t="shared" ca="1" si="116"/>
        <v>1.8383800407669906</v>
      </c>
      <c r="AF121" s="7">
        <f t="shared" ca="1" si="116"/>
        <v>1.9222772818068403</v>
      </c>
      <c r="AG121" s="7">
        <f t="shared" ca="1" si="116"/>
        <v>2.0167976876178439</v>
      </c>
      <c r="AH121" s="7">
        <f t="shared" ca="1" si="116"/>
        <v>2.1136771656693867</v>
      </c>
      <c r="AI121" s="7">
        <f t="shared" ca="1" si="116"/>
        <v>2.2175119017941807</v>
      </c>
      <c r="AJ121" s="7">
        <f t="shared" ca="1" si="116"/>
        <v>2.3266952987800842</v>
      </c>
      <c r="AK121" s="7">
        <f t="shared" ca="1" si="116"/>
        <v>2.4392667616201855</v>
      </c>
      <c r="AL121" s="7">
        <f t="shared" ca="1" si="116"/>
        <v>2.5646179480722662</v>
      </c>
      <c r="AM121" s="7">
        <f t="shared" ca="1" si="116"/>
        <v>2.6889634347095654</v>
      </c>
      <c r="AN121" s="7">
        <f t="shared" ca="1" si="116"/>
        <v>2.8232971159453495</v>
      </c>
      <c r="AO121" s="7">
        <f t="shared" ca="1" si="116"/>
        <v>2.9588173260335324</v>
      </c>
      <c r="AP121" s="7">
        <f t="shared" ca="1" si="116"/>
        <v>3.0994763144787392</v>
      </c>
      <c r="AQ121" s="7">
        <f t="shared" ca="1" si="116"/>
        <v>3.2394046942729382</v>
      </c>
      <c r="AR121" s="7">
        <f t="shared" ca="1" si="116"/>
        <v>3.3823831005612135</v>
      </c>
      <c r="AS121" s="7">
        <f t="shared" ca="1" si="116"/>
        <v>3.5235070625018174</v>
      </c>
      <c r="AT121" s="7">
        <f t="shared" ca="1" si="116"/>
        <v>3.6734258817440519</v>
      </c>
      <c r="AU121" s="7">
        <f t="shared" ca="1" si="116"/>
        <v>3.8239973708610648</v>
      </c>
      <c r="AV121" s="7">
        <f t="shared" ca="1" si="116"/>
        <v>3.9778373847256674</v>
      </c>
      <c r="AW121" s="7">
        <f t="shared" ca="1" si="116"/>
        <v>4.1388478141433538</v>
      </c>
    </row>
    <row r="122" spans="1:49" x14ac:dyDescent="0.2">
      <c r="A122" s="1" t="s">
        <v>222</v>
      </c>
      <c r="D122" s="18">
        <f>Fiscal!D$107</f>
        <v>-0.105</v>
      </c>
      <c r="E122" s="19">
        <f>Fiscal!E$107</f>
        <v>-1.6E-2</v>
      </c>
      <c r="F122" s="19">
        <f>Fiscal!F$107</f>
        <v>-0.11600000000000001</v>
      </c>
      <c r="G122" s="19">
        <f>Fiscal!G$107</f>
        <v>-7.0000000000000001E-3</v>
      </c>
      <c r="H122" s="19">
        <f>Fiscal!H$107</f>
        <v>-8.9999999999999993E-3</v>
      </c>
      <c r="I122" s="19">
        <f>Fiscal!I$107</f>
        <v>-2E-3</v>
      </c>
      <c r="J122" s="7">
        <f t="shared" ref="J122:AW122" ca="1" si="117">J$396-I$396</f>
        <v>5.038070952042184E-2</v>
      </c>
      <c r="K122" s="7">
        <f t="shared" ca="1" si="117"/>
        <v>4.9731949649552076E-2</v>
      </c>
      <c r="L122" s="7">
        <f t="shared" ca="1" si="117"/>
        <v>5.0601851775358586E-2</v>
      </c>
      <c r="M122" s="7">
        <f t="shared" ca="1" si="117"/>
        <v>4.9722621093303054E-2</v>
      </c>
      <c r="N122" s="7">
        <f t="shared" ca="1" si="117"/>
        <v>4.8582235139139396E-2</v>
      </c>
      <c r="O122" s="7">
        <f t="shared" ca="1" si="117"/>
        <v>4.6700112714841202E-2</v>
      </c>
      <c r="P122" s="7">
        <f t="shared" ca="1" si="117"/>
        <v>4.8239773407273479E-2</v>
      </c>
      <c r="Q122" s="7">
        <f t="shared" ca="1" si="117"/>
        <v>4.9727326286698847E-2</v>
      </c>
      <c r="R122" s="7">
        <f t="shared" ca="1" si="117"/>
        <v>5.1177970674002538E-2</v>
      </c>
      <c r="S122" s="7">
        <f t="shared" ca="1" si="117"/>
        <v>5.2791256565216438E-2</v>
      </c>
      <c r="T122" s="7">
        <f t="shared" ca="1" si="117"/>
        <v>5.4423793640360651E-2</v>
      </c>
      <c r="U122" s="7">
        <f t="shared" ca="1" si="117"/>
        <v>5.6251656276286699E-2</v>
      </c>
      <c r="V122" s="7">
        <f t="shared" ca="1" si="117"/>
        <v>5.8218376447026987E-2</v>
      </c>
      <c r="W122" s="7">
        <f t="shared" ca="1" si="117"/>
        <v>6.0353769939183843E-2</v>
      </c>
      <c r="X122" s="7">
        <f t="shared" ca="1" si="117"/>
        <v>6.2680331422310109E-2</v>
      </c>
      <c r="Y122" s="7">
        <f t="shared" ca="1" si="117"/>
        <v>6.5000484900168409E-2</v>
      </c>
      <c r="Z122" s="7">
        <f t="shared" ca="1" si="117"/>
        <v>6.7649647587987527E-2</v>
      </c>
      <c r="AA122" s="7">
        <f t="shared" ca="1" si="117"/>
        <v>7.0408267638893296E-2</v>
      </c>
      <c r="AB122" s="7">
        <f t="shared" ca="1" si="117"/>
        <v>7.3378330219810772E-2</v>
      </c>
      <c r="AC122" s="7">
        <f t="shared" ca="1" si="117"/>
        <v>7.6625405954922954E-2</v>
      </c>
      <c r="AD122" s="7">
        <f t="shared" ca="1" si="117"/>
        <v>7.9953245813139562E-2</v>
      </c>
      <c r="AE122" s="7">
        <f t="shared" ca="1" si="117"/>
        <v>8.3207659271756107E-2</v>
      </c>
      <c r="AF122" s="7">
        <f t="shared" ca="1" si="117"/>
        <v>8.6692275007147934E-2</v>
      </c>
      <c r="AG122" s="7">
        <f t="shared" ca="1" si="117"/>
        <v>9.0225365437651472E-2</v>
      </c>
      <c r="AH122" s="7">
        <f t="shared" ca="1" si="117"/>
        <v>9.3903138502038352E-2</v>
      </c>
      <c r="AI122" s="7">
        <f t="shared" ca="1" si="117"/>
        <v>9.7416831698369677E-2</v>
      </c>
      <c r="AJ122" s="7">
        <f t="shared" ca="1" si="117"/>
        <v>0.10124259954296022</v>
      </c>
      <c r="AK122" s="7">
        <f t="shared" ca="1" si="117"/>
        <v>0.10498508210653146</v>
      </c>
      <c r="AL122" s="7">
        <f t="shared" ca="1" si="117"/>
        <v>0.10864486502458126</v>
      </c>
      <c r="AM122" s="7">
        <f t="shared" ca="1" si="117"/>
        <v>0.11245307097601964</v>
      </c>
      <c r="AN122" s="7">
        <f t="shared" ca="1" si="117"/>
        <v>0.11641769806018054</v>
      </c>
      <c r="AO122" s="7">
        <f t="shared" ca="1" si="117"/>
        <v>0.11992519310316396</v>
      </c>
      <c r="AP122" s="7">
        <f t="shared" ca="1" si="117"/>
        <v>0.12394194989322882</v>
      </c>
      <c r="AQ122" s="7">
        <f t="shared" ca="1" si="117"/>
        <v>0.12761142173082041</v>
      </c>
      <c r="AR122" s="7">
        <f t="shared" ca="1" si="117"/>
        <v>0.13142537252709419</v>
      </c>
      <c r="AS122" s="7">
        <f t="shared" ca="1" si="117"/>
        <v>0.13554593492665612</v>
      </c>
      <c r="AT122" s="7">
        <f t="shared" ca="1" si="117"/>
        <v>0.13977475342679169</v>
      </c>
      <c r="AU122" s="7">
        <f t="shared" ca="1" si="117"/>
        <v>0.1441894411450253</v>
      </c>
      <c r="AV122" s="7">
        <f t="shared" ca="1" si="117"/>
        <v>0.14904994791727733</v>
      </c>
      <c r="AW122" s="7">
        <f t="shared" ca="1" si="117"/>
        <v>0.15382630762060234</v>
      </c>
    </row>
    <row r="123" spans="1:49" x14ac:dyDescent="0.2">
      <c r="A123" s="1" t="s">
        <v>223</v>
      </c>
      <c r="D123" s="18">
        <f>Fiscal!D$108</f>
        <v>-1.2E-2</v>
      </c>
      <c r="E123" s="19">
        <f>Fiscal!E$108</f>
        <v>-3.0000000000000001E-3</v>
      </c>
      <c r="F123" s="19">
        <f>Fiscal!F$108</f>
        <v>-1.4E-2</v>
      </c>
      <c r="G123" s="19">
        <f>Fiscal!G$108</f>
        <v>-0.01</v>
      </c>
      <c r="H123" s="19">
        <f>Fiscal!H$108</f>
        <v>5.0000000000000001E-3</v>
      </c>
      <c r="I123" s="19">
        <f>Fiscal!I$108</f>
        <v>1E-3</v>
      </c>
      <c r="J123" s="7">
        <f t="shared" ref="J123:AW123" ca="1" si="118">J$400-I$400</f>
        <v>0.13033641283279263</v>
      </c>
      <c r="K123" s="7">
        <f t="shared" ca="1" si="118"/>
        <v>0.12951843703720689</v>
      </c>
      <c r="L123" s="7">
        <f t="shared" ca="1" si="118"/>
        <v>0.132991724131438</v>
      </c>
      <c r="M123" s="7">
        <f t="shared" ca="1" si="118"/>
        <v>0.13186832449546015</v>
      </c>
      <c r="N123" s="7">
        <f t="shared" ca="1" si="118"/>
        <v>0.13022636929870979</v>
      </c>
      <c r="O123" s="7">
        <f t="shared" ca="1" si="118"/>
        <v>0.12677709017191052</v>
      </c>
      <c r="P123" s="7">
        <f t="shared" ca="1" si="118"/>
        <v>0.13095681675266935</v>
      </c>
      <c r="Q123" s="7">
        <f t="shared" ca="1" si="118"/>
        <v>0.13499508592520737</v>
      </c>
      <c r="R123" s="7">
        <f t="shared" ca="1" si="118"/>
        <v>0.13893315938167916</v>
      </c>
      <c r="S123" s="7">
        <f t="shared" ca="1" si="118"/>
        <v>0.1433127567533683</v>
      </c>
      <c r="T123" s="7">
        <f t="shared" ca="1" si="118"/>
        <v>0.14774461543534478</v>
      </c>
      <c r="U123" s="7">
        <f t="shared" ca="1" si="118"/>
        <v>0.15270672564761867</v>
      </c>
      <c r="V123" s="7">
        <f t="shared" ca="1" si="118"/>
        <v>0.15804579328437907</v>
      </c>
      <c r="W123" s="7">
        <f t="shared" ca="1" si="118"/>
        <v>0.16384275944933702</v>
      </c>
      <c r="X123" s="7">
        <f t="shared" ca="1" si="118"/>
        <v>0.17015869056363275</v>
      </c>
      <c r="Y123" s="7">
        <f t="shared" ca="1" si="118"/>
        <v>0.17645722582566137</v>
      </c>
      <c r="Z123" s="7">
        <f t="shared" ca="1" si="118"/>
        <v>0.18364892446254544</v>
      </c>
      <c r="AA123" s="7">
        <f t="shared" ca="1" si="118"/>
        <v>0.19113776769252322</v>
      </c>
      <c r="AB123" s="7">
        <f t="shared" ca="1" si="118"/>
        <v>0.1992006152906951</v>
      </c>
      <c r="AC123" s="7">
        <f t="shared" ca="1" si="118"/>
        <v>0.20801547224358963</v>
      </c>
      <c r="AD123" s="7">
        <f t="shared" ca="1" si="118"/>
        <v>0.21704958007024366</v>
      </c>
      <c r="AE123" s="7">
        <f t="shared" ca="1" si="118"/>
        <v>0.22588435678735763</v>
      </c>
      <c r="AF123" s="7">
        <f t="shared" ca="1" si="118"/>
        <v>0.23534406507538286</v>
      </c>
      <c r="AG123" s="7">
        <f t="shared" ca="1" si="118"/>
        <v>0.24493536792358839</v>
      </c>
      <c r="AH123" s="7">
        <f t="shared" ca="1" si="118"/>
        <v>0.25491944162942026</v>
      </c>
      <c r="AI123" s="7">
        <f t="shared" ca="1" si="118"/>
        <v>0.26445808668382931</v>
      </c>
      <c r="AJ123" s="7">
        <f t="shared" ca="1" si="118"/>
        <v>0.27484392275176273</v>
      </c>
      <c r="AK123" s="7">
        <f t="shared" ca="1" si="118"/>
        <v>0.28500366374266584</v>
      </c>
      <c r="AL123" s="7">
        <f t="shared" ca="1" si="118"/>
        <v>0.29493889948490715</v>
      </c>
      <c r="AM123" s="7">
        <f t="shared" ca="1" si="118"/>
        <v>0.30527706017087297</v>
      </c>
      <c r="AN123" s="7">
        <f t="shared" ca="1" si="118"/>
        <v>0.3160398582912034</v>
      </c>
      <c r="AO123" s="7">
        <f t="shared" ca="1" si="118"/>
        <v>0.32556167717967632</v>
      </c>
      <c r="AP123" s="7">
        <f t="shared" ca="1" si="118"/>
        <v>0.33646599214101691</v>
      </c>
      <c r="AQ123" s="7">
        <f t="shared" ca="1" si="118"/>
        <v>0.34642753045417152</v>
      </c>
      <c r="AR123" s="7">
        <f t="shared" ca="1" si="118"/>
        <v>0.35678128670660136</v>
      </c>
      <c r="AS123" s="7">
        <f t="shared" ca="1" si="118"/>
        <v>0.36796740340996159</v>
      </c>
      <c r="AT123" s="7">
        <f t="shared" ca="1" si="118"/>
        <v>0.37944740363150053</v>
      </c>
      <c r="AU123" s="7">
        <f t="shared" ca="1" si="118"/>
        <v>0.39143198419028558</v>
      </c>
      <c r="AV123" s="7">
        <f t="shared" ca="1" si="118"/>
        <v>0.40462683254342835</v>
      </c>
      <c r="AW123" s="7">
        <f t="shared" ca="1" si="118"/>
        <v>0.41759324631847505</v>
      </c>
    </row>
    <row r="124" spans="1:49" x14ac:dyDescent="0.2">
      <c r="A124" s="1" t="s">
        <v>755</v>
      </c>
      <c r="D124" s="18">
        <f>-Fiscal!D$109</f>
        <v>0.14899999999999999</v>
      </c>
      <c r="E124" s="19">
        <f>-Fiscal!E$109</f>
        <v>1.7999999999999999E-2</v>
      </c>
      <c r="F124" s="19">
        <f>-Fiscal!F$109</f>
        <v>-3.0000000000000001E-3</v>
      </c>
      <c r="G124" s="19">
        <f>-Fiscal!G$109</f>
        <v>1.6E-2</v>
      </c>
      <c r="H124" s="19">
        <f>-Fiscal!H$109</f>
        <v>2.5999999999999999E-2</v>
      </c>
      <c r="I124" s="19">
        <f>-Fiscal!I$109</f>
        <v>1.4E-2</v>
      </c>
      <c r="J124" s="7">
        <f t="shared" ref="J124:AW124" ca="1" si="119">J$454-I$454</f>
        <v>0.11918238778749579</v>
      </c>
      <c r="K124" s="7">
        <f t="shared" ca="1" si="119"/>
        <v>0.11887551433314947</v>
      </c>
      <c r="L124" s="7">
        <f t="shared" ca="1" si="119"/>
        <v>0.12267847732495873</v>
      </c>
      <c r="M124" s="7">
        <f t="shared" ca="1" si="119"/>
        <v>0.12224141035665514</v>
      </c>
      <c r="N124" s="7">
        <f t="shared" ca="1" si="119"/>
        <v>0.12141068692184831</v>
      </c>
      <c r="O124" s="7">
        <f t="shared" ca="1" si="119"/>
        <v>0.11898450790580251</v>
      </c>
      <c r="P124" s="7">
        <f t="shared" ca="1" si="119"/>
        <v>0.1229073200615165</v>
      </c>
      <c r="Q124" s="7">
        <f t="shared" ca="1" si="119"/>
        <v>0.12669736974347368</v>
      </c>
      <c r="R124" s="7">
        <f t="shared" ca="1" si="119"/>
        <v>0.13039338241958021</v>
      </c>
      <c r="S124" s="7">
        <f t="shared" ca="1" si="119"/>
        <v>0.13450377994794538</v>
      </c>
      <c r="T124" s="7">
        <f t="shared" ca="1" si="119"/>
        <v>0.13866322645100038</v>
      </c>
      <c r="U124" s="7">
        <f t="shared" ca="1" si="119"/>
        <v>0.14332033161867042</v>
      </c>
      <c r="V124" s="7">
        <f t="shared" ca="1" si="119"/>
        <v>0.14833122384355368</v>
      </c>
      <c r="W124" s="7">
        <f t="shared" ca="1" si="119"/>
        <v>0.15377186903858764</v>
      </c>
      <c r="X124" s="7">
        <f t="shared" ca="1" si="119"/>
        <v>0.15969958006731044</v>
      </c>
      <c r="Y124" s="7">
        <f t="shared" ca="1" si="119"/>
        <v>0.16561096451116786</v>
      </c>
      <c r="Z124" s="7">
        <f t="shared" ca="1" si="119"/>
        <v>0.17236061243380352</v>
      </c>
      <c r="AA124" s="7">
        <f t="shared" ca="1" si="119"/>
        <v>0.17938914042174048</v>
      </c>
      <c r="AB124" s="7">
        <f t="shared" ca="1" si="119"/>
        <v>0.18695639056517788</v>
      </c>
      <c r="AC124" s="7">
        <f t="shared" ca="1" si="119"/>
        <v>0.19522942645342845</v>
      </c>
      <c r="AD124" s="7">
        <f t="shared" ca="1" si="119"/>
        <v>0.20370823656545145</v>
      </c>
      <c r="AE124" s="7">
        <f t="shared" ca="1" si="119"/>
        <v>0.21199996781372388</v>
      </c>
      <c r="AF124" s="7">
        <f t="shared" ca="1" si="119"/>
        <v>0.22087821808793962</v>
      </c>
      <c r="AG124" s="7">
        <f t="shared" ca="1" si="119"/>
        <v>0.22987997422559747</v>
      </c>
      <c r="AH124" s="7">
        <f t="shared" ca="1" si="119"/>
        <v>0.23925035885244572</v>
      </c>
      <c r="AI124" s="7">
        <f t="shared" ca="1" si="119"/>
        <v>0.24820269390247862</v>
      </c>
      <c r="AJ124" s="7">
        <f t="shared" ca="1" si="119"/>
        <v>0.25795014584397435</v>
      </c>
      <c r="AK124" s="7">
        <f t="shared" ca="1" si="119"/>
        <v>0.26748540004971311</v>
      </c>
      <c r="AL124" s="7">
        <f t="shared" ca="1" si="119"/>
        <v>0.27680994862639707</v>
      </c>
      <c r="AM124" s="7">
        <f t="shared" ca="1" si="119"/>
        <v>0.28651265563917683</v>
      </c>
      <c r="AN124" s="7">
        <f t="shared" ca="1" si="119"/>
        <v>0.29661389898133628</v>
      </c>
      <c r="AO124" s="7">
        <f t="shared" ca="1" si="119"/>
        <v>0.30555044211603288</v>
      </c>
      <c r="AP124" s="7">
        <f t="shared" ca="1" si="119"/>
        <v>0.31578450371159228</v>
      </c>
      <c r="AQ124" s="7">
        <f t="shared" ca="1" si="119"/>
        <v>0.32513373812427915</v>
      </c>
      <c r="AR124" s="7">
        <f t="shared" ca="1" si="119"/>
        <v>0.33485108209393033</v>
      </c>
      <c r="AS124" s="7">
        <f t="shared" ca="1" si="119"/>
        <v>0.34534962397970403</v>
      </c>
      <c r="AT124" s="7">
        <f t="shared" ca="1" si="119"/>
        <v>0.35612398530371081</v>
      </c>
      <c r="AU124" s="7">
        <f t="shared" ca="1" si="119"/>
        <v>0.36737191202541375</v>
      </c>
      <c r="AV124" s="7">
        <f t="shared" ca="1" si="119"/>
        <v>0.37975571525091212</v>
      </c>
      <c r="AW124" s="7">
        <f t="shared" ca="1" si="119"/>
        <v>0.39192512504123656</v>
      </c>
    </row>
    <row r="125" spans="1:49" x14ac:dyDescent="0.2">
      <c r="A125" s="1" t="s">
        <v>756</v>
      </c>
      <c r="D125" s="18">
        <f>-Fiscal!D$110</f>
        <v>0.19600000000000001</v>
      </c>
      <c r="E125" s="19">
        <f>-Fiscal!E$110</f>
        <v>0.84499999999999997</v>
      </c>
      <c r="F125" s="19">
        <f>-Fiscal!F$110</f>
        <v>-0.60599999999999998</v>
      </c>
      <c r="G125" s="19">
        <f>-Fiscal!G$110</f>
        <v>-0.97499999999999998</v>
      </c>
      <c r="H125" s="19">
        <f>-Fiscal!H$110</f>
        <v>0.26300000000000001</v>
      </c>
      <c r="I125" s="19">
        <f>-Fiscal!I$110</f>
        <v>8.6999999999999994E-2</v>
      </c>
      <c r="J125" s="7">
        <f t="shared" ref="J125:AW125" ca="1" si="120">SUM(J$450-J$447-(I$450-I$447),J$469-I$469)</f>
        <v>0.93534067187747372</v>
      </c>
      <c r="K125" s="7">
        <f t="shared" ca="1" si="120"/>
        <v>0.89237273476070911</v>
      </c>
      <c r="L125" s="7">
        <f t="shared" ca="1" si="120"/>
        <v>0.9153045523417056</v>
      </c>
      <c r="M125" s="7">
        <f t="shared" ca="1" si="120"/>
        <v>0.91310338200583274</v>
      </c>
      <c r="N125" s="7">
        <f t="shared" ca="1" si="120"/>
        <v>0.90710101559408862</v>
      </c>
      <c r="O125" s="7">
        <f t="shared" ca="1" si="120"/>
        <v>0.88706461632538947</v>
      </c>
      <c r="P125" s="7">
        <f t="shared" ca="1" si="120"/>
        <v>0.91092849850922875</v>
      </c>
      <c r="Q125" s="7">
        <f t="shared" ca="1" si="120"/>
        <v>0.93371649731657413</v>
      </c>
      <c r="R125" s="7">
        <f t="shared" ca="1" si="120"/>
        <v>0.95618889346994074</v>
      </c>
      <c r="S125" s="7">
        <f t="shared" ca="1" si="120"/>
        <v>0.9823846255401314</v>
      </c>
      <c r="T125" s="7">
        <f t="shared" ca="1" si="120"/>
        <v>1.0093080104951078</v>
      </c>
      <c r="U125" s="7">
        <f t="shared" ca="1" si="120"/>
        <v>1.0386752175968752</v>
      </c>
      <c r="V125" s="7">
        <f t="shared" ca="1" si="120"/>
        <v>1.0695616699639849</v>
      </c>
      <c r="W125" s="7">
        <f t="shared" ca="1" si="120"/>
        <v>1.102440308304196</v>
      </c>
      <c r="X125" s="7">
        <f t="shared" ca="1" si="120"/>
        <v>1.1385555679027402</v>
      </c>
      <c r="Y125" s="7">
        <f t="shared" ca="1" si="120"/>
        <v>1.173335953517455</v>
      </c>
      <c r="Z125" s="7">
        <f t="shared" ca="1" si="120"/>
        <v>1.2142040254728013</v>
      </c>
      <c r="AA125" s="7">
        <f t="shared" ca="1" si="120"/>
        <v>1.2592898702339017</v>
      </c>
      <c r="AB125" s="7">
        <f t="shared" ca="1" si="120"/>
        <v>1.3108728182595506</v>
      </c>
      <c r="AC125" s="7">
        <f t="shared" ca="1" si="120"/>
        <v>1.3705434340989981</v>
      </c>
      <c r="AD125" s="7">
        <f t="shared" ca="1" si="120"/>
        <v>1.4361242993179779</v>
      </c>
      <c r="AE125" s="7">
        <f t="shared" ca="1" si="120"/>
        <v>1.5029923780084324</v>
      </c>
      <c r="AF125" s="7">
        <f t="shared" ca="1" si="120"/>
        <v>1.577079095132941</v>
      </c>
      <c r="AG125" s="7">
        <f t="shared" ca="1" si="120"/>
        <v>1.6529510468231194</v>
      </c>
      <c r="AH125" s="7">
        <f t="shared" ca="1" si="120"/>
        <v>1.7335052868821421</v>
      </c>
      <c r="AI125" s="7">
        <f t="shared" ca="1" si="120"/>
        <v>1.8137445679873814</v>
      </c>
      <c r="AJ125" s="7">
        <f t="shared" ca="1" si="120"/>
        <v>1.9004981160474017</v>
      </c>
      <c r="AK125" s="7">
        <f t="shared" ca="1" si="120"/>
        <v>1.9867625838418803</v>
      </c>
      <c r="AL125" s="7">
        <f t="shared" ca="1" si="120"/>
        <v>2.0740569550423906</v>
      </c>
      <c r="AM125" s="7">
        <f t="shared" ca="1" si="120"/>
        <v>2.165311925783481</v>
      </c>
      <c r="AN125" s="7">
        <f t="shared" ca="1" si="120"/>
        <v>2.2593873112876857</v>
      </c>
      <c r="AO125" s="7">
        <f t="shared" ca="1" si="120"/>
        <v>2.3464101698752202</v>
      </c>
      <c r="AP125" s="7">
        <f t="shared" ca="1" si="120"/>
        <v>2.4376937670947889</v>
      </c>
      <c r="AQ125" s="7">
        <f t="shared" ca="1" si="120"/>
        <v>2.5212522280449399</v>
      </c>
      <c r="AR125" s="7">
        <f t="shared" ca="1" si="120"/>
        <v>2.6017232841346996</v>
      </c>
      <c r="AS125" s="7">
        <f t="shared" ca="1" si="120"/>
        <v>2.6815845886419893</v>
      </c>
      <c r="AT125" s="7">
        <f t="shared" ca="1" si="120"/>
        <v>2.7645295024701326</v>
      </c>
      <c r="AU125" s="7">
        <f t="shared" ca="1" si="120"/>
        <v>2.8494715144491423</v>
      </c>
      <c r="AV125" s="7">
        <f t="shared" ca="1" si="120"/>
        <v>2.9418233287783622</v>
      </c>
      <c r="AW125" s="7">
        <f t="shared" ca="1" si="120"/>
        <v>3.0316035030607225</v>
      </c>
    </row>
    <row r="126" spans="1:49" ht="15" x14ac:dyDescent="0.25">
      <c r="A126" s="2" t="s">
        <v>226</v>
      </c>
      <c r="D126" s="40">
        <f t="shared" ref="D126:I126" si="121">SUM(D$120:D$123)-SUM(D$124:D$125)</f>
        <v>-0.125</v>
      </c>
      <c r="E126" s="39">
        <f t="shared" si="121"/>
        <v>-0.82500000000000007</v>
      </c>
      <c r="F126" s="39">
        <f t="shared" si="121"/>
        <v>1.5459999999999998</v>
      </c>
      <c r="G126" s="39">
        <f t="shared" si="121"/>
        <v>1.7450000000000001</v>
      </c>
      <c r="H126" s="39">
        <f t="shared" si="121"/>
        <v>1.133</v>
      </c>
      <c r="I126" s="39">
        <f t="shared" si="121"/>
        <v>1.196</v>
      </c>
      <c r="J126" s="43">
        <f t="shared" ref="J126:AW126" ca="1" si="122">SUM(J$120:J$123)-SUM(J$124:J$125)</f>
        <v>0.74661480765687105</v>
      </c>
      <c r="K126" s="43">
        <f t="shared" ca="1" si="122"/>
        <v>0.76607602616030257</v>
      </c>
      <c r="L126" s="43">
        <f t="shared" ca="1" si="122"/>
        <v>0.82108610749143862</v>
      </c>
      <c r="M126" s="43">
        <f t="shared" ca="1" si="122"/>
        <v>0.90644972281915903</v>
      </c>
      <c r="N126" s="43">
        <f t="shared" ca="1" si="122"/>
        <v>0.98575987618127137</v>
      </c>
      <c r="O126" s="43">
        <f t="shared" ca="1" si="122"/>
        <v>1.0631394953501538</v>
      </c>
      <c r="P126" s="43">
        <f t="shared" ca="1" si="122"/>
        <v>1.0996987647777687</v>
      </c>
      <c r="Q126" s="43">
        <f t="shared" ca="1" si="122"/>
        <v>1.1428937538242443</v>
      </c>
      <c r="R126" s="43">
        <f t="shared" ca="1" si="122"/>
        <v>1.1845069007211633</v>
      </c>
      <c r="S126" s="43">
        <f t="shared" ca="1" si="122"/>
        <v>1.2300349912726571</v>
      </c>
      <c r="T126" s="43">
        <f t="shared" ca="1" si="122"/>
        <v>1.2790145430787314</v>
      </c>
      <c r="U126" s="43">
        <f t="shared" ca="1" si="122"/>
        <v>1.3222231026837297</v>
      </c>
      <c r="V126" s="43">
        <f t="shared" ca="1" si="122"/>
        <v>1.3671547902951895</v>
      </c>
      <c r="W126" s="43">
        <f t="shared" ca="1" si="122"/>
        <v>1.4106051275185427</v>
      </c>
      <c r="X126" s="43">
        <f t="shared" ca="1" si="122"/>
        <v>1.4557197188705668</v>
      </c>
      <c r="Y126" s="43">
        <f t="shared" ca="1" si="122"/>
        <v>1.4985015887011812</v>
      </c>
      <c r="Z126" s="43">
        <f t="shared" ca="1" si="122"/>
        <v>1.5426036605139442</v>
      </c>
      <c r="AA126" s="43">
        <f t="shared" ca="1" si="122"/>
        <v>1.5890912872408989</v>
      </c>
      <c r="AB126" s="43">
        <f t="shared" ca="1" si="122"/>
        <v>1.6462750249888014</v>
      </c>
      <c r="AC126" s="43">
        <f t="shared" ca="1" si="122"/>
        <v>1.7058054085352108</v>
      </c>
      <c r="AD126" s="43">
        <f t="shared" ca="1" si="122"/>
        <v>1.7793828586809219</v>
      </c>
      <c r="AE126" s="43">
        <f t="shared" ca="1" si="122"/>
        <v>1.8618195883413104</v>
      </c>
      <c r="AF126" s="43">
        <f t="shared" ca="1" si="122"/>
        <v>1.9509289247009063</v>
      </c>
      <c r="AG126" s="43">
        <f t="shared" ca="1" si="122"/>
        <v>2.052144208757444</v>
      </c>
      <c r="AH126" s="43">
        <f t="shared" ca="1" si="122"/>
        <v>2.1568701827674772</v>
      </c>
      <c r="AI126" s="43">
        <f t="shared" ca="1" si="122"/>
        <v>2.2732706021810278</v>
      </c>
      <c r="AJ126" s="43">
        <f t="shared" ca="1" si="122"/>
        <v>2.3937839113421218</v>
      </c>
      <c r="AK126" s="43">
        <f t="shared" ca="1" si="122"/>
        <v>2.52073433270703</v>
      </c>
      <c r="AL126" s="43">
        <f t="shared" ca="1" si="122"/>
        <v>2.6643088768626049</v>
      </c>
      <c r="AM126" s="43">
        <f t="shared" ca="1" si="122"/>
        <v>2.8076196894361658</v>
      </c>
      <c r="AN126" s="43">
        <f t="shared" ca="1" si="122"/>
        <v>2.9609316325801416</v>
      </c>
      <c r="AO126" s="43">
        <f t="shared" ca="1" si="122"/>
        <v>3.1225082681260279</v>
      </c>
      <c r="AP126" s="43">
        <f t="shared" ca="1" si="122"/>
        <v>3.2827575002419209</v>
      </c>
      <c r="AQ126" s="43">
        <f t="shared" ca="1" si="122"/>
        <v>3.4467804617371467</v>
      </c>
      <c r="AR126" s="43">
        <f t="shared" ca="1" si="122"/>
        <v>3.6108030870862695</v>
      </c>
      <c r="AS126" s="43">
        <f t="shared" ca="1" si="122"/>
        <v>3.7680590493577455</v>
      </c>
      <c r="AT126" s="43">
        <f t="shared" ca="1" si="122"/>
        <v>3.9353847947981588</v>
      </c>
      <c r="AU126" s="43">
        <f t="shared" ca="1" si="122"/>
        <v>4.102510460622069</v>
      </c>
      <c r="AV126" s="43">
        <f t="shared" ca="1" si="122"/>
        <v>4.2698422955175381</v>
      </c>
      <c r="AW126" s="43">
        <f t="shared" ca="1" si="122"/>
        <v>4.4467089199354044</v>
      </c>
    </row>
    <row r="127" spans="1:49" ht="15" x14ac:dyDescent="0.25">
      <c r="A127" s="30" t="s">
        <v>382</v>
      </c>
      <c r="D127" s="6" t="str">
        <f t="shared" ref="D127" si="123">IF(ROUND(D$48-SUM(D$97,D$113,D$119,D$126),3)=0,"OK","ERROR")</f>
        <v>OK</v>
      </c>
      <c r="E127" s="6" t="str">
        <f t="shared" ref="E127:AW127" ca="1" si="124">IF(ROUND(E$48-SUM(E$97,E$113,E$119,E$126),3)=0,"OK","ERROR")</f>
        <v>OK</v>
      </c>
      <c r="F127" s="6" t="str">
        <f t="shared" ca="1" si="124"/>
        <v>OK</v>
      </c>
      <c r="G127" s="6" t="str">
        <f t="shared" ca="1" si="124"/>
        <v>OK</v>
      </c>
      <c r="H127" s="6" t="str">
        <f t="shared" ca="1" si="124"/>
        <v>OK</v>
      </c>
      <c r="I127" s="6" t="str">
        <f t="shared" ca="1" si="124"/>
        <v>OK</v>
      </c>
      <c r="J127" s="6" t="str">
        <f t="shared" ca="1" si="124"/>
        <v>OK</v>
      </c>
      <c r="K127" s="6" t="str">
        <f t="shared" ca="1" si="124"/>
        <v>OK</v>
      </c>
      <c r="L127" s="6" t="str">
        <f t="shared" ca="1" si="124"/>
        <v>OK</v>
      </c>
      <c r="M127" s="6" t="str">
        <f t="shared" ca="1" si="124"/>
        <v>OK</v>
      </c>
      <c r="N127" s="6" t="str">
        <f t="shared" ca="1" si="124"/>
        <v>OK</v>
      </c>
      <c r="O127" s="6" t="str">
        <f t="shared" ca="1" si="124"/>
        <v>OK</v>
      </c>
      <c r="P127" s="6" t="str">
        <f t="shared" ca="1" si="124"/>
        <v>OK</v>
      </c>
      <c r="Q127" s="6" t="str">
        <f t="shared" ca="1" si="124"/>
        <v>OK</v>
      </c>
      <c r="R127" s="6" t="str">
        <f t="shared" ca="1" si="124"/>
        <v>OK</v>
      </c>
      <c r="S127" s="6" t="str">
        <f t="shared" ca="1" si="124"/>
        <v>OK</v>
      </c>
      <c r="T127" s="6" t="str">
        <f t="shared" ca="1" si="124"/>
        <v>OK</v>
      </c>
      <c r="U127" s="6" t="str">
        <f t="shared" ca="1" si="124"/>
        <v>OK</v>
      </c>
      <c r="V127" s="6" t="str">
        <f t="shared" ca="1" si="124"/>
        <v>OK</v>
      </c>
      <c r="W127" s="6" t="str">
        <f t="shared" ca="1" si="124"/>
        <v>OK</v>
      </c>
      <c r="X127" s="6" t="str">
        <f t="shared" ca="1" si="124"/>
        <v>OK</v>
      </c>
      <c r="Y127" s="6" t="str">
        <f t="shared" ca="1" si="124"/>
        <v>OK</v>
      </c>
      <c r="Z127" s="6" t="str">
        <f t="shared" ca="1" si="124"/>
        <v>OK</v>
      </c>
      <c r="AA127" s="6" t="str">
        <f t="shared" ca="1" si="124"/>
        <v>OK</v>
      </c>
      <c r="AB127" s="6" t="str">
        <f t="shared" ca="1" si="124"/>
        <v>OK</v>
      </c>
      <c r="AC127" s="6" t="str">
        <f t="shared" ca="1" si="124"/>
        <v>OK</v>
      </c>
      <c r="AD127" s="6" t="str">
        <f t="shared" ca="1" si="124"/>
        <v>OK</v>
      </c>
      <c r="AE127" s="6" t="str">
        <f t="shared" ca="1" si="124"/>
        <v>OK</v>
      </c>
      <c r="AF127" s="6" t="str">
        <f t="shared" ca="1" si="124"/>
        <v>OK</v>
      </c>
      <c r="AG127" s="6" t="str">
        <f t="shared" ca="1" si="124"/>
        <v>OK</v>
      </c>
      <c r="AH127" s="6" t="str">
        <f t="shared" ca="1" si="124"/>
        <v>OK</v>
      </c>
      <c r="AI127" s="6" t="str">
        <f t="shared" ca="1" si="124"/>
        <v>OK</v>
      </c>
      <c r="AJ127" s="6" t="str">
        <f t="shared" ca="1" si="124"/>
        <v>OK</v>
      </c>
      <c r="AK127" s="6" t="str">
        <f t="shared" ca="1" si="124"/>
        <v>OK</v>
      </c>
      <c r="AL127" s="6" t="str">
        <f t="shared" ca="1" si="124"/>
        <v>OK</v>
      </c>
      <c r="AM127" s="6" t="str">
        <f t="shared" ca="1" si="124"/>
        <v>OK</v>
      </c>
      <c r="AN127" s="6" t="str">
        <f t="shared" ca="1" si="124"/>
        <v>OK</v>
      </c>
      <c r="AO127" s="6" t="str">
        <f t="shared" ca="1" si="124"/>
        <v>OK</v>
      </c>
      <c r="AP127" s="6" t="str">
        <f t="shared" ca="1" si="124"/>
        <v>OK</v>
      </c>
      <c r="AQ127" s="6" t="str">
        <f t="shared" ca="1" si="124"/>
        <v>OK</v>
      </c>
      <c r="AR127" s="6" t="str">
        <f t="shared" ca="1" si="124"/>
        <v>OK</v>
      </c>
      <c r="AS127" s="6" t="str">
        <f t="shared" ca="1" si="124"/>
        <v>OK</v>
      </c>
      <c r="AT127" s="6" t="str">
        <f t="shared" ca="1" si="124"/>
        <v>OK</v>
      </c>
      <c r="AU127" s="6" t="str">
        <f t="shared" ca="1" si="124"/>
        <v>OK</v>
      </c>
      <c r="AV127" s="6" t="str">
        <f t="shared" ca="1" si="124"/>
        <v>OK</v>
      </c>
      <c r="AW127" s="6" t="str">
        <f t="shared" ca="1" si="124"/>
        <v>OK</v>
      </c>
    </row>
    <row r="129" spans="1:49" x14ac:dyDescent="0.2">
      <c r="A129" s="22" t="s">
        <v>270</v>
      </c>
    </row>
    <row r="130" spans="1:49" x14ac:dyDescent="0.2">
      <c r="A130" s="22"/>
    </row>
    <row r="131" spans="1:49" x14ac:dyDescent="0.2">
      <c r="A131" s="22" t="s">
        <v>271</v>
      </c>
    </row>
    <row r="132" spans="1:49" x14ac:dyDescent="0.2">
      <c r="A132" s="1" t="s">
        <v>448</v>
      </c>
      <c r="B132" s="4" t="str">
        <f t="shared" ref="B132:B138" si="125">$B$43</f>
        <v>From Fiscal</v>
      </c>
      <c r="D132" s="18">
        <f>Fiscal!D$208</f>
        <v>25.309000000000001</v>
      </c>
      <c r="E132" s="19">
        <f>Fiscal!E$208</f>
        <v>26.577999999999999</v>
      </c>
      <c r="F132" s="19">
        <f>Fiscal!F$208</f>
        <v>27.777999999999999</v>
      </c>
      <c r="G132" s="19">
        <f>Fiscal!G$208</f>
        <v>28.835000000000001</v>
      </c>
      <c r="H132" s="19">
        <f>Fiscal!H$208</f>
        <v>30.256</v>
      </c>
      <c r="I132" s="19">
        <f>Fiscal!I$208</f>
        <v>31.795000000000002</v>
      </c>
      <c r="J132" s="7">
        <f ca="1">IF(OR(OFFSET(Assumptions!$B$29,0,$C$1)="FFD",OFFSET(Assumptions!$B$29,0,$C$1)="PFD"),I$132*(1+J$20)*IF(OFFSET(Assumptions!$B$29,0,$C$1)="FFD",(1+OFFSET(Assumptions!$B$30,0,$C$1)*J$30),(1+OFFSET(Assumptions!$B$30,0,$C$1)*J$29)*(1+J$34)),J$14*(I$132/I$14+MIN(ABS(OFFSET(Assumptions!$B$32,0,$C$1)-I$132/I$14),OFFSET(Assumptions!$B$31,0,$C$1))*SIGN(OFFSET(Assumptions!$B$32,0,$C$1)-I$132/I$14)))</f>
        <v>33.290648971370018</v>
      </c>
      <c r="K132" s="7">
        <f ca="1">IF(OR(OFFSET(Assumptions!$B$29,0,$C$1)="FFD",OFFSET(Assumptions!$B$29,0,$C$1)="PFD"),J$132*(1+K$20)*IF(OFFSET(Assumptions!$B$29,0,$C$1)="FFD",(1+OFFSET(Assumptions!$B$30,0,$C$1)*K$30),(1+OFFSET(Assumptions!$B$30,0,$C$1)*K$29)*(1+K$34)),K$14*(J$132/J$14+MIN(ABS(OFFSET(Assumptions!$B$32,0,$C$1)-J$132/J$14),OFFSET(Assumptions!$B$31,0,$C$1))*SIGN(OFFSET(Assumptions!$B$32,0,$C$1)-J$132/J$14)))</f>
        <v>34.844285296758088</v>
      </c>
      <c r="L132" s="7">
        <f ca="1">IF(OR(OFFSET(Assumptions!$B$29,0,$C$1)="FFD",OFFSET(Assumptions!$B$29,0,$C$1)="PFD"),K$132*(1+L$20)*IF(OFFSET(Assumptions!$B$29,0,$C$1)="FFD",(1+OFFSET(Assumptions!$B$30,0,$C$1)*L$30),(1+OFFSET(Assumptions!$B$30,0,$C$1)*L$29)*(1+L$34)),L$14*(K$132/K$14+MIN(ABS(OFFSET(Assumptions!$B$32,0,$C$1)-K$132/K$14),OFFSET(Assumptions!$B$31,0,$C$1))*SIGN(OFFSET(Assumptions!$B$32,0,$C$1)-K$132/K$14)))</f>
        <v>36.524074355967372</v>
      </c>
      <c r="M132" s="7">
        <f ca="1">IF(OR(OFFSET(Assumptions!$B$29,0,$C$1)="FFD",OFFSET(Assumptions!$B$29,0,$C$1)="PFD"),L$132*(1+M$20)*IF(OFFSET(Assumptions!$B$29,0,$C$1)="FFD",(1+OFFSET(Assumptions!$B$30,0,$C$1)*M$30),(1+OFFSET(Assumptions!$B$30,0,$C$1)*M$29)*(1+M$34)),M$14*(L$132/L$14+MIN(ABS(OFFSET(Assumptions!$B$32,0,$C$1)-L$132/L$14),OFFSET(Assumptions!$B$31,0,$C$1))*SIGN(OFFSET(Assumptions!$B$32,0,$C$1)-L$132/L$14)))</f>
        <v>38.278924960816219</v>
      </c>
      <c r="N132" s="7">
        <f ca="1">IF(OR(OFFSET(Assumptions!$B$29,0,$C$1)="FFD",OFFSET(Assumptions!$B$29,0,$C$1)="PFD"),M$132*(1+N$20)*IF(OFFSET(Assumptions!$B$29,0,$C$1)="FFD",(1+OFFSET(Assumptions!$B$30,0,$C$1)*N$30),(1+OFFSET(Assumptions!$B$30,0,$C$1)*N$29)*(1+N$34)),N$14*(M$132/M$14+MIN(ABS(OFFSET(Assumptions!$B$32,0,$C$1)-M$132/M$14),OFFSET(Assumptions!$B$31,0,$C$1))*SIGN(OFFSET(Assumptions!$B$32,0,$C$1)-M$132/M$14)))</f>
        <v>40.11419712993392</v>
      </c>
      <c r="O132" s="7">
        <f ca="1">IF(OR(OFFSET(Assumptions!$B$29,0,$C$1)="FFD",OFFSET(Assumptions!$B$29,0,$C$1)="PFD"),N$132*(1+O$20)*IF(OFFSET(Assumptions!$B$29,0,$C$1)="FFD",(1+OFFSET(Assumptions!$B$30,0,$C$1)*O$30),(1+OFFSET(Assumptions!$B$30,0,$C$1)*O$29)*(1+O$34)),O$14*(N$132/N$14+MIN(ABS(OFFSET(Assumptions!$B$32,0,$C$1)-N$132/N$14),OFFSET(Assumptions!$B$31,0,$C$1))*SIGN(OFFSET(Assumptions!$B$32,0,$C$1)-N$132/N$14)))</f>
        <v>42.018811266942457</v>
      </c>
      <c r="P132" s="7">
        <f ca="1">IF(OR(OFFSET(Assumptions!$B$29,0,$C$1)="FFD",OFFSET(Assumptions!$B$29,0,$C$1)="PFD"),O$132*(1+P$20)*IF(OFFSET(Assumptions!$B$29,0,$C$1)="FFD",(1+OFFSET(Assumptions!$B$30,0,$C$1)*P$30),(1+OFFSET(Assumptions!$B$30,0,$C$1)*P$29)*(1+P$34)),P$14*(O$132/O$14+MIN(ABS(OFFSET(Assumptions!$B$32,0,$C$1)-O$132/O$14),OFFSET(Assumptions!$B$31,0,$C$1))*SIGN(OFFSET(Assumptions!$B$32,0,$C$1)-O$132/O$14)))</f>
        <v>43.996141629088626</v>
      </c>
      <c r="Q132" s="7">
        <f ca="1">IF(OR(OFFSET(Assumptions!$B$29,0,$C$1)="FFD",OFFSET(Assumptions!$B$29,0,$C$1)="PFD"),P$132*(1+Q$20)*IF(OFFSET(Assumptions!$B$29,0,$C$1)="FFD",(1+OFFSET(Assumptions!$B$30,0,$C$1)*Q$30),(1+OFFSET(Assumptions!$B$30,0,$C$1)*Q$29)*(1+Q$34)),Q$14*(P$132/P$14+MIN(ABS(OFFSET(Assumptions!$B$32,0,$C$1)-P$132/P$14),OFFSET(Assumptions!$B$31,0,$C$1))*SIGN(OFFSET(Assumptions!$B$32,0,$C$1)-P$132/P$14)))</f>
        <v>45.93217732265596</v>
      </c>
      <c r="R132" s="7">
        <f ca="1">IF(OR(OFFSET(Assumptions!$B$29,0,$C$1)="FFD",OFFSET(Assumptions!$B$29,0,$C$1)="PFD"),Q$132*(1+R$20)*IF(OFFSET(Assumptions!$B$29,0,$C$1)="FFD",(1+OFFSET(Assumptions!$B$30,0,$C$1)*R$30),(1+OFFSET(Assumptions!$B$30,0,$C$1)*R$29)*(1+R$34)),R$14*(Q$132/Q$14+MIN(ABS(OFFSET(Assumptions!$B$32,0,$C$1)-Q$132/Q$14),OFFSET(Assumptions!$B$31,0,$C$1))*SIGN(OFFSET(Assumptions!$B$32,0,$C$1)-Q$132/Q$14)))</f>
        <v>47.829925843348356</v>
      </c>
      <c r="S132" s="7">
        <f ca="1">IF(OR(OFFSET(Assumptions!$B$29,0,$C$1)="FFD",OFFSET(Assumptions!$B$29,0,$C$1)="PFD"),R$132*(1+S$20)*IF(OFFSET(Assumptions!$B$29,0,$C$1)="FFD",(1+OFFSET(Assumptions!$B$30,0,$C$1)*S$30),(1+OFFSET(Assumptions!$B$30,0,$C$1)*S$29)*(1+S$34)),S$14*(R$132/R$14+MIN(ABS(OFFSET(Assumptions!$B$32,0,$C$1)-R$132/R$14),OFFSET(Assumptions!$B$31,0,$C$1))*SIGN(OFFSET(Assumptions!$B$32,0,$C$1)-R$132/R$14)))</f>
        <v>49.787497191581288</v>
      </c>
      <c r="T132" s="7">
        <f ca="1">IF(OR(OFFSET(Assumptions!$B$29,0,$C$1)="FFD",OFFSET(Assumptions!$B$29,0,$C$1)="PFD"),S$132*(1+T$20)*IF(OFFSET(Assumptions!$B$29,0,$C$1)="FFD",(1+OFFSET(Assumptions!$B$30,0,$C$1)*T$30),(1+OFFSET(Assumptions!$B$30,0,$C$1)*T$29)*(1+T$34)),T$14*(S$132/S$14+MIN(ABS(OFFSET(Assumptions!$B$32,0,$C$1)-S$132/S$14),OFFSET(Assumptions!$B$31,0,$C$1))*SIGN(OFFSET(Assumptions!$B$32,0,$C$1)-S$132/S$14)))</f>
        <v>51.805605227348487</v>
      </c>
      <c r="U132" s="7">
        <f ca="1">IF(OR(OFFSET(Assumptions!$B$29,0,$C$1)="FFD",OFFSET(Assumptions!$B$29,0,$C$1)="PFD"),T$132*(1+U$20)*IF(OFFSET(Assumptions!$B$29,0,$C$1)="FFD",(1+OFFSET(Assumptions!$B$30,0,$C$1)*U$30),(1+OFFSET(Assumptions!$B$30,0,$C$1)*U$29)*(1+U$34)),U$14*(T$132/T$14+MIN(ABS(OFFSET(Assumptions!$B$32,0,$C$1)-T$132/T$14),OFFSET(Assumptions!$B$31,0,$C$1))*SIGN(OFFSET(Assumptions!$B$32,0,$C$1)-T$132/T$14)))</f>
        <v>53.891492887193657</v>
      </c>
      <c r="V132" s="7">
        <f ca="1">IF(OR(OFFSET(Assumptions!$B$29,0,$C$1)="FFD",OFFSET(Assumptions!$B$29,0,$C$1)="PFD"),U$132*(1+V$20)*IF(OFFSET(Assumptions!$B$29,0,$C$1)="FFD",(1+OFFSET(Assumptions!$B$30,0,$C$1)*V$30),(1+OFFSET(Assumptions!$B$30,0,$C$1)*V$29)*(1+V$34)),V$14*(U$132/U$14+MIN(ABS(OFFSET(Assumptions!$B$32,0,$C$1)-U$132/U$14),OFFSET(Assumptions!$B$31,0,$C$1))*SIGN(OFFSET(Assumptions!$B$32,0,$C$1)-U$132/U$14)))</f>
        <v>56.05030919671924</v>
      </c>
      <c r="W132" s="7">
        <f ca="1">IF(OR(OFFSET(Assumptions!$B$29,0,$C$1)="FFD",OFFSET(Assumptions!$B$29,0,$C$1)="PFD"),V$132*(1+W$20)*IF(OFFSET(Assumptions!$B$29,0,$C$1)="FFD",(1+OFFSET(Assumptions!$B$30,0,$C$1)*W$30),(1+OFFSET(Assumptions!$B$30,0,$C$1)*W$29)*(1+W$34)),W$14*(V$132/V$14+MIN(ABS(OFFSET(Assumptions!$B$32,0,$C$1)-V$132/V$14),OFFSET(Assumptions!$B$31,0,$C$1))*SIGN(OFFSET(Assumptions!$B$32,0,$C$1)-V$132/V$14)))</f>
        <v>58.28830879130804</v>
      </c>
      <c r="X132" s="7">
        <f ca="1">IF(OR(OFFSET(Assumptions!$B$29,0,$C$1)="FFD",OFFSET(Assumptions!$B$29,0,$C$1)="PFD"),W$132*(1+X$20)*IF(OFFSET(Assumptions!$B$29,0,$C$1)="FFD",(1+OFFSET(Assumptions!$B$30,0,$C$1)*X$30),(1+OFFSET(Assumptions!$B$30,0,$C$1)*X$29)*(1+X$34)),X$14*(W$132/W$14+MIN(ABS(OFFSET(Assumptions!$B$32,0,$C$1)-W$132/W$14),OFFSET(Assumptions!$B$31,0,$C$1))*SIGN(OFFSET(Assumptions!$B$32,0,$C$1)-W$132/W$14)))</f>
        <v>60.612580439179837</v>
      </c>
      <c r="Y132" s="7">
        <f ca="1">IF(OR(OFFSET(Assumptions!$B$29,0,$C$1)="FFD",OFFSET(Assumptions!$B$29,0,$C$1)="PFD"),X$132*(1+Y$20)*IF(OFFSET(Assumptions!$B$29,0,$C$1)="FFD",(1+OFFSET(Assumptions!$B$30,0,$C$1)*Y$30),(1+OFFSET(Assumptions!$B$30,0,$C$1)*Y$29)*(1+Y$34)),Y$14*(X$132/X$14+MIN(ABS(OFFSET(Assumptions!$B$32,0,$C$1)-X$132/X$14),OFFSET(Assumptions!$B$31,0,$C$1))*SIGN(OFFSET(Assumptions!$B$32,0,$C$1)-X$132/X$14)))</f>
        <v>63.022886522813685</v>
      </c>
      <c r="Z132" s="7">
        <f ca="1">IF(OR(OFFSET(Assumptions!$B$29,0,$C$1)="FFD",OFFSET(Assumptions!$B$29,0,$C$1)="PFD"),Y$132*(1+Z$20)*IF(OFFSET(Assumptions!$B$29,0,$C$1)="FFD",(1+OFFSET(Assumptions!$B$30,0,$C$1)*Z$30),(1+OFFSET(Assumptions!$B$30,0,$C$1)*Z$29)*(1+Z$34)),Z$14*(Y$132/Y$14+MIN(ABS(OFFSET(Assumptions!$B$32,0,$C$1)-Y$132/Y$14),OFFSET(Assumptions!$B$31,0,$C$1))*SIGN(OFFSET(Assumptions!$B$32,0,$C$1)-Y$132/Y$14)))</f>
        <v>65.531427149663529</v>
      </c>
      <c r="AA132" s="7">
        <f ca="1">IF(OR(OFFSET(Assumptions!$B$29,0,$C$1)="FFD",OFFSET(Assumptions!$B$29,0,$C$1)="PFD"),Z$132*(1+AA$20)*IF(OFFSET(Assumptions!$B$29,0,$C$1)="FFD",(1+OFFSET(Assumptions!$B$30,0,$C$1)*AA$30),(1+OFFSET(Assumptions!$B$30,0,$C$1)*AA$29)*(1+AA$34)),AA$14*(Z$132/Z$14+MIN(ABS(OFFSET(Assumptions!$B$32,0,$C$1)-Z$132/Z$14),OFFSET(Assumptions!$B$31,0,$C$1))*SIGN(OFFSET(Assumptions!$B$32,0,$C$1)-Z$132/Z$14)))</f>
        <v>68.142261147114297</v>
      </c>
      <c r="AB132" s="7">
        <f ca="1">IF(OR(OFFSET(Assumptions!$B$29,0,$C$1)="FFD",OFFSET(Assumptions!$B$29,0,$C$1)="PFD"),AA$132*(1+AB$20)*IF(OFFSET(Assumptions!$B$29,0,$C$1)="FFD",(1+OFFSET(Assumptions!$B$30,0,$C$1)*AB$30),(1+OFFSET(Assumptions!$B$30,0,$C$1)*AB$29)*(1+AB$34)),AB$14*(AA$132/AA$14+MIN(ABS(OFFSET(Assumptions!$B$32,0,$C$1)-AA$132/AA$14),OFFSET(Assumptions!$B$31,0,$C$1))*SIGN(OFFSET(Assumptions!$B$32,0,$C$1)-AA$132/AA$14)))</f>
        <v>70.863229090774126</v>
      </c>
      <c r="AC132" s="7">
        <f ca="1">IF(OR(OFFSET(Assumptions!$B$29,0,$C$1)="FFD",OFFSET(Assumptions!$B$29,0,$C$1)="PFD"),AB$132*(1+AC$20)*IF(OFFSET(Assumptions!$B$29,0,$C$1)="FFD",(1+OFFSET(Assumptions!$B$30,0,$C$1)*AC$30),(1+OFFSET(Assumptions!$B$30,0,$C$1)*AC$29)*(1+AC$34)),AC$14*(AB$132/AB$14+MIN(ABS(OFFSET(Assumptions!$B$32,0,$C$1)-AB$132/AB$14),OFFSET(Assumptions!$B$31,0,$C$1))*SIGN(OFFSET(Assumptions!$B$32,0,$C$1)-AB$132/AB$14)))</f>
        <v>73.704603003872208</v>
      </c>
      <c r="AD132" s="7">
        <f ca="1">IF(OR(OFFSET(Assumptions!$B$29,0,$C$1)="FFD",OFFSET(Assumptions!$B$29,0,$C$1)="PFD"),AC$132*(1+AD$20)*IF(OFFSET(Assumptions!$B$29,0,$C$1)="FFD",(1+OFFSET(Assumptions!$B$30,0,$C$1)*AD$30),(1+OFFSET(Assumptions!$B$30,0,$C$1)*AD$29)*(1+AD$34)),AD$14*(AC$132/AC$14+MIN(ABS(OFFSET(Assumptions!$B$32,0,$C$1)-AC$132/AC$14),OFFSET(Assumptions!$B$31,0,$C$1))*SIGN(OFFSET(Assumptions!$B$32,0,$C$1)-AC$132/AC$14)))</f>
        <v>76.669377729563266</v>
      </c>
      <c r="AE132" s="7">
        <f ca="1">IF(OR(OFFSET(Assumptions!$B$29,0,$C$1)="FFD",OFFSET(Assumptions!$B$29,0,$C$1)="PFD"),AD$132*(1+AE$20)*IF(OFFSET(Assumptions!$B$29,0,$C$1)="FFD",(1+OFFSET(Assumptions!$B$30,0,$C$1)*AE$30),(1+OFFSET(Assumptions!$B$30,0,$C$1)*AE$29)*(1+AE$34)),AE$14*(AD$132/AD$14+MIN(ABS(OFFSET(Assumptions!$B$32,0,$C$1)-AD$132/AD$14),OFFSET(Assumptions!$B$31,0,$C$1))*SIGN(OFFSET(Assumptions!$B$32,0,$C$1)-AD$132/AD$14)))</f>
        <v>79.754830517425873</v>
      </c>
      <c r="AF132" s="7">
        <f ca="1">IF(OR(OFFSET(Assumptions!$B$29,0,$C$1)="FFD",OFFSET(Assumptions!$B$29,0,$C$1)="PFD"),AE$132*(1+AF$20)*IF(OFFSET(Assumptions!$B$29,0,$C$1)="FFD",(1+OFFSET(Assumptions!$B$30,0,$C$1)*AF$30),(1+OFFSET(Assumptions!$B$30,0,$C$1)*AF$29)*(1+AF$34)),AF$14*(AE$132/AE$14+MIN(ABS(OFFSET(Assumptions!$B$32,0,$C$1)-AE$132/AE$14),OFFSET(Assumptions!$B$31,0,$C$1))*SIGN(OFFSET(Assumptions!$B$32,0,$C$1)-AE$132/AE$14)))</f>
        <v>82.969497579905692</v>
      </c>
      <c r="AG132" s="7">
        <f ca="1">IF(OR(OFFSET(Assumptions!$B$29,0,$C$1)="FFD",OFFSET(Assumptions!$B$29,0,$C$1)="PFD"),AF$132*(1+AG$20)*IF(OFFSET(Assumptions!$B$29,0,$C$1)="FFD",(1+OFFSET(Assumptions!$B$30,0,$C$1)*AG$30),(1+OFFSET(Assumptions!$B$30,0,$C$1)*AG$29)*(1+AG$34)),AG$14*(AF$132/AF$14+MIN(ABS(OFFSET(Assumptions!$B$32,0,$C$1)-AF$132/AF$14),OFFSET(Assumptions!$B$31,0,$C$1))*SIGN(OFFSET(Assumptions!$B$32,0,$C$1)-AF$132/AF$14)))</f>
        <v>86.315176424401429</v>
      </c>
      <c r="AH132" s="7">
        <f ca="1">IF(OR(OFFSET(Assumptions!$B$29,0,$C$1)="FFD",OFFSET(Assumptions!$B$29,0,$C$1)="PFD"),AG$132*(1+AH$20)*IF(OFFSET(Assumptions!$B$29,0,$C$1)="FFD",(1+OFFSET(Assumptions!$B$30,0,$C$1)*AH$30),(1+OFFSET(Assumptions!$B$30,0,$C$1)*AH$29)*(1+AH$34)),AH$14*(AG$132/AG$14+MIN(ABS(OFFSET(Assumptions!$B$32,0,$C$1)-AG$132/AG$14),OFFSET(Assumptions!$B$31,0,$C$1))*SIGN(OFFSET(Assumptions!$B$32,0,$C$1)-AG$132/AG$14)))</f>
        <v>89.797232079084523</v>
      </c>
      <c r="AI132" s="7">
        <f ca="1">IF(OR(OFFSET(Assumptions!$B$29,0,$C$1)="FFD",OFFSET(Assumptions!$B$29,0,$C$1)="PFD"),AH$132*(1+AI$20)*IF(OFFSET(Assumptions!$B$29,0,$C$1)="FFD",(1+OFFSET(Assumptions!$B$30,0,$C$1)*AI$30),(1+OFFSET(Assumptions!$B$30,0,$C$1)*AI$29)*(1+AI$34)),AI$14*(AH$132/AH$14+MIN(ABS(OFFSET(Assumptions!$B$32,0,$C$1)-AH$132/AH$14),OFFSET(Assumptions!$B$31,0,$C$1))*SIGN(OFFSET(Assumptions!$B$32,0,$C$1)-AH$132/AH$14)))</f>
        <v>93.409580240048882</v>
      </c>
      <c r="AJ132" s="7">
        <f ca="1">IF(OR(OFFSET(Assumptions!$B$29,0,$C$1)="FFD",OFFSET(Assumptions!$B$29,0,$C$1)="PFD"),AI$132*(1+AJ$20)*IF(OFFSET(Assumptions!$B$29,0,$C$1)="FFD",(1+OFFSET(Assumptions!$B$30,0,$C$1)*AJ$30),(1+OFFSET(Assumptions!$B$30,0,$C$1)*AJ$29)*(1+AJ$34)),AJ$14*(AI$132/AI$14+MIN(ABS(OFFSET(Assumptions!$B$32,0,$C$1)-AI$132/AI$14),OFFSET(Assumptions!$B$31,0,$C$1))*SIGN(OFFSET(Assumptions!$B$32,0,$C$1)-AI$132/AI$14)))</f>
        <v>97.163793058246938</v>
      </c>
      <c r="AK132" s="7">
        <f ca="1">IF(OR(OFFSET(Assumptions!$B$29,0,$C$1)="FFD",OFFSET(Assumptions!$B$29,0,$C$1)="PFD"),AJ$132*(1+AK$20)*IF(OFFSET(Assumptions!$B$29,0,$C$1)="FFD",(1+OFFSET(Assumptions!$B$30,0,$C$1)*AK$30),(1+OFFSET(Assumptions!$B$30,0,$C$1)*AK$29)*(1+AK$34)),AK$14*(AJ$132/AJ$14+MIN(ABS(OFFSET(Assumptions!$B$32,0,$C$1)-AJ$132/AJ$14),OFFSET(Assumptions!$B$31,0,$C$1))*SIGN(OFFSET(Assumptions!$B$32,0,$C$1)-AJ$132/AJ$14)))</f>
        <v>101.05678220257126</v>
      </c>
      <c r="AL132" s="7">
        <f ca="1">IF(OR(OFFSET(Assumptions!$B$29,0,$C$1)="FFD",OFFSET(Assumptions!$B$29,0,$C$1)="PFD"),AK$132*(1+AL$20)*IF(OFFSET(Assumptions!$B$29,0,$C$1)="FFD",(1+OFFSET(Assumptions!$B$30,0,$C$1)*AL$30),(1+OFFSET(Assumptions!$B$30,0,$C$1)*AL$29)*(1+AL$34)),AL$14*(AK$132/AK$14+MIN(ABS(OFFSET(Assumptions!$B$32,0,$C$1)-AK$132/AK$14),OFFSET(Assumptions!$B$31,0,$C$1))*SIGN(OFFSET(Assumptions!$B$32,0,$C$1)-AK$132/AK$14)))</f>
        <v>105.08548105807238</v>
      </c>
      <c r="AM132" s="7">
        <f ca="1">IF(OR(OFFSET(Assumptions!$B$29,0,$C$1)="FFD",OFFSET(Assumptions!$B$29,0,$C$1)="PFD"),AL$132*(1+AM$20)*IF(OFFSET(Assumptions!$B$29,0,$C$1)="FFD",(1+OFFSET(Assumptions!$B$30,0,$C$1)*AM$30),(1+OFFSET(Assumptions!$B$30,0,$C$1)*AM$29)*(1+AM$34)),AM$14*(AL$132/AL$14+MIN(ABS(OFFSET(Assumptions!$B$32,0,$C$1)-AL$132/AL$14),OFFSET(Assumptions!$B$31,0,$C$1))*SIGN(OFFSET(Assumptions!$B$32,0,$C$1)-AL$132/AL$14)))</f>
        <v>109.25539335200524</v>
      </c>
      <c r="AN132" s="7">
        <f ca="1">IF(OR(OFFSET(Assumptions!$B$29,0,$C$1)="FFD",OFFSET(Assumptions!$B$29,0,$C$1)="PFD"),AM$132*(1+AN$20)*IF(OFFSET(Assumptions!$B$29,0,$C$1)="FFD",(1+OFFSET(Assumptions!$B$30,0,$C$1)*AN$30),(1+OFFSET(Assumptions!$B$30,0,$C$1)*AN$29)*(1+AN$34)),AN$14*(AM$132/AM$14+MIN(ABS(OFFSET(Assumptions!$B$32,0,$C$1)-AM$132/AM$14),OFFSET(Assumptions!$B$31,0,$C$1))*SIGN(OFFSET(Assumptions!$B$32,0,$C$1)-AM$132/AM$14)))</f>
        <v>113.57231939198888</v>
      </c>
      <c r="AO132" s="7">
        <f ca="1">IF(OR(OFFSET(Assumptions!$B$29,0,$C$1)="FFD",OFFSET(Assumptions!$B$29,0,$C$1)="PFD"),AN$132*(1+AO$20)*IF(OFFSET(Assumptions!$B$29,0,$C$1)="FFD",(1+OFFSET(Assumptions!$B$30,0,$C$1)*AO$30),(1+OFFSET(Assumptions!$B$30,0,$C$1)*AO$29)*(1+AO$34)),AO$14*(AN$132/AN$14+MIN(ABS(OFFSET(Assumptions!$B$32,0,$C$1)-AN$132/AN$14),OFFSET(Assumptions!$B$31,0,$C$1))*SIGN(OFFSET(Assumptions!$B$32,0,$C$1)-AN$132/AN$14)))</f>
        <v>118.01930810232652</v>
      </c>
      <c r="AP132" s="7">
        <f ca="1">IF(OR(OFFSET(Assumptions!$B$29,0,$C$1)="FFD",OFFSET(Assumptions!$B$29,0,$C$1)="PFD"),AO$132*(1+AP$20)*IF(OFFSET(Assumptions!$B$29,0,$C$1)="FFD",(1+OFFSET(Assumptions!$B$30,0,$C$1)*AP$30),(1+OFFSET(Assumptions!$B$30,0,$C$1)*AP$29)*(1+AP$34)),AP$14*(AO$132/AO$14+MIN(ABS(OFFSET(Assumptions!$B$32,0,$C$1)-AO$132/AO$14),OFFSET(Assumptions!$B$31,0,$C$1))*SIGN(OFFSET(Assumptions!$B$32,0,$C$1)-AO$132/AO$14)))</f>
        <v>122.61524359886798</v>
      </c>
      <c r="AQ132" s="7">
        <f ca="1">IF(OR(OFFSET(Assumptions!$B$29,0,$C$1)="FFD",OFFSET(Assumptions!$B$29,0,$C$1)="PFD"),AP$132*(1+AQ$20)*IF(OFFSET(Assumptions!$B$29,0,$C$1)="FFD",(1+OFFSET(Assumptions!$B$30,0,$C$1)*AQ$30),(1+OFFSET(Assumptions!$B$30,0,$C$1)*AQ$29)*(1+AQ$34)),AQ$14*(AP$132/AP$14+MIN(ABS(OFFSET(Assumptions!$B$32,0,$C$1)-AP$132/AP$14),OFFSET(Assumptions!$B$31,0,$C$1))*SIGN(OFFSET(Assumptions!$B$32,0,$C$1)-AP$132/AP$14)))</f>
        <v>127.34724808485549</v>
      </c>
      <c r="AR132" s="7">
        <f ca="1">IF(OR(OFFSET(Assumptions!$B$29,0,$C$1)="FFD",OFFSET(Assumptions!$B$29,0,$C$1)="PFD"),AQ$132*(1+AR$20)*IF(OFFSET(Assumptions!$B$29,0,$C$1)="FFD",(1+OFFSET(Assumptions!$B$30,0,$C$1)*AR$30),(1+OFFSET(Assumptions!$B$30,0,$C$1)*AR$29)*(1+AR$34)),AR$14*(AQ$132/AQ$14+MIN(ABS(OFFSET(Assumptions!$B$32,0,$C$1)-AQ$132/AQ$14),OFFSET(Assumptions!$B$31,0,$C$1))*SIGN(OFFSET(Assumptions!$B$32,0,$C$1)-AQ$132/AQ$14)))</f>
        <v>132.22067903590798</v>
      </c>
      <c r="AS132" s="7">
        <f ca="1">IF(OR(OFFSET(Assumptions!$B$29,0,$C$1)="FFD",OFFSET(Assumptions!$B$29,0,$C$1)="PFD"),AR$132*(1+AS$20)*IF(OFFSET(Assumptions!$B$29,0,$C$1)="FFD",(1+OFFSET(Assumptions!$B$30,0,$C$1)*AS$30),(1+OFFSET(Assumptions!$B$30,0,$C$1)*AS$29)*(1+AS$34)),AS$14*(AR$132/AR$14+MIN(ABS(OFFSET(Assumptions!$B$32,0,$C$1)-AR$132/AR$14),OFFSET(Assumptions!$B$31,0,$C$1))*SIGN(OFFSET(Assumptions!$B$32,0,$C$1)-AR$132/AR$14)))</f>
        <v>137.24690602586557</v>
      </c>
      <c r="AT132" s="7">
        <f ca="1">IF(OR(OFFSET(Assumptions!$B$29,0,$C$1)="FFD",OFFSET(Assumptions!$B$29,0,$C$1)="PFD"),AS$132*(1+AT$20)*IF(OFFSET(Assumptions!$B$29,0,$C$1)="FFD",(1+OFFSET(Assumptions!$B$30,0,$C$1)*AT$30),(1+OFFSET(Assumptions!$B$30,0,$C$1)*AT$29)*(1+AT$34)),AT$14*(AS$132/AS$14+MIN(ABS(OFFSET(Assumptions!$B$32,0,$C$1)-AS$132/AS$14),OFFSET(Assumptions!$B$31,0,$C$1))*SIGN(OFFSET(Assumptions!$B$32,0,$C$1)-AS$132/AS$14)))</f>
        <v>142.42994333767098</v>
      </c>
      <c r="AU132" s="7">
        <f ca="1">IF(OR(OFFSET(Assumptions!$B$29,0,$C$1)="FFD",OFFSET(Assumptions!$B$29,0,$C$1)="PFD"),AT$132*(1+AU$20)*IF(OFFSET(Assumptions!$B$29,0,$C$1)="FFD",(1+OFFSET(Assumptions!$B$30,0,$C$1)*AU$30),(1+OFFSET(Assumptions!$B$30,0,$C$1)*AU$29)*(1+AU$34)),AU$14*(AT$132/AT$14+MIN(ABS(OFFSET(Assumptions!$B$32,0,$C$1)-AT$132/AT$14),OFFSET(Assumptions!$B$31,0,$C$1))*SIGN(OFFSET(Assumptions!$B$32,0,$C$1)-AT$132/AT$14)))</f>
        <v>147.77668325386381</v>
      </c>
      <c r="AV132" s="7">
        <f ca="1">IF(OR(OFFSET(Assumptions!$B$29,0,$C$1)="FFD",OFFSET(Assumptions!$B$29,0,$C$1)="PFD"),AU$132*(1+AV$20)*IF(OFFSET(Assumptions!$B$29,0,$C$1)="FFD",(1+OFFSET(Assumptions!$B$30,0,$C$1)*AV$30),(1+OFFSET(Assumptions!$B$30,0,$C$1)*AV$29)*(1+AV$34)),AV$14*(AU$132/AU$14+MIN(ABS(OFFSET(Assumptions!$B$32,0,$C$1)-AU$132/AU$14),OFFSET(Assumptions!$B$31,0,$C$1))*SIGN(OFFSET(Assumptions!$B$32,0,$C$1)-AU$132/AU$14)))</f>
        <v>153.30365734924305</v>
      </c>
      <c r="AW132" s="7">
        <f ca="1">IF(OR(OFFSET(Assumptions!$B$29,0,$C$1)="FFD",OFFSET(Assumptions!$B$29,0,$C$1)="PFD"),AV$132*(1+AW$20)*IF(OFFSET(Assumptions!$B$29,0,$C$1)="FFD",(1+OFFSET(Assumptions!$B$30,0,$C$1)*AW$30),(1+OFFSET(Assumptions!$B$30,0,$C$1)*AW$29)*(1+AW$34)),AW$14*(AV$132/AV$14+MIN(ABS(OFFSET(Assumptions!$B$32,0,$C$1)-AV$132/AV$14),OFFSET(Assumptions!$B$31,0,$C$1))*SIGN(OFFSET(Assumptions!$B$32,0,$C$1)-AV$132/AV$14)))</f>
        <v>159.00774533643758</v>
      </c>
    </row>
    <row r="133" spans="1:49" x14ac:dyDescent="0.2">
      <c r="A133" s="1" t="s">
        <v>449</v>
      </c>
      <c r="B133" s="4" t="str">
        <f t="shared" si="125"/>
        <v>From Fiscal</v>
      </c>
      <c r="D133" s="18">
        <f>Fiscal!D$209</f>
        <v>10.295999999999999</v>
      </c>
      <c r="E133" s="19">
        <f>Fiscal!E$209</f>
        <v>10.952999999999999</v>
      </c>
      <c r="F133" s="19">
        <f>Fiscal!F$209</f>
        <v>10.944000000000001</v>
      </c>
      <c r="G133" s="19">
        <f>Fiscal!G$209</f>
        <v>11.858000000000001</v>
      </c>
      <c r="H133" s="19">
        <f>Fiscal!H$209</f>
        <v>12.811</v>
      </c>
      <c r="I133" s="19">
        <f>Fiscal!I$209</f>
        <v>13.457000000000001</v>
      </c>
      <c r="J133" s="7">
        <f ca="1">J$14*(I$133/I$14+MIN(ABS(OFFSET(Assumptions!$B$33,0,$C$1)-I$133/I$14),OFFSET(Assumptions!$B$31,0,$C$1))*SIGN(OFFSET(Assumptions!$B$33,0,$C$1)-I$133/I$14))</f>
        <v>13.868141029017716</v>
      </c>
      <c r="K133" s="7">
        <f ca="1">K$14*(J$133/J$14+MIN(ABS(OFFSET(Assumptions!$B$33,0,$C$1)-J$133/J$14),OFFSET(Assumptions!$B$31,0,$C$1))*SIGN(OFFSET(Assumptions!$B$33,0,$C$1)-J$133/J$14))</f>
        <v>14.285279844125572</v>
      </c>
      <c r="L133" s="7">
        <f ca="1">L$14*(K$133/K$14+MIN(ABS(OFFSET(Assumptions!$B$33,0,$C$1)-K$133/K$14),OFFSET(Assumptions!$B$31,0,$C$1))*SIGN(OFFSET(Assumptions!$B$33,0,$C$1)-K$133/K$14))</f>
        <v>14.73502604915676</v>
      </c>
      <c r="M133" s="7">
        <f ca="1">M$14*(L$133/L$14+MIN(ABS(OFFSET(Assumptions!$B$33,0,$C$1)-L$133/L$14),OFFSET(Assumptions!$B$31,0,$C$1))*SIGN(OFFSET(Assumptions!$B$33,0,$C$1)-L$133/L$14))</f>
        <v>15.194899392395934</v>
      </c>
      <c r="N133" s="7">
        <f ca="1">N$14*(M$133/M$14+MIN(ABS(OFFSET(Assumptions!$B$33,0,$C$1)-M$133/M$14),OFFSET(Assumptions!$B$31,0,$C$1))*SIGN(OFFSET(Assumptions!$B$33,0,$C$1)-M$133/M$14))</f>
        <v>15.665818327281336</v>
      </c>
      <c r="O133" s="7">
        <f ca="1">O$14*(N$133/N$14+MIN(ABS(OFFSET(Assumptions!$B$33,0,$C$1)-N$133/N$14),OFFSET(Assumptions!$B$31,0,$C$1))*SIGN(OFFSET(Assumptions!$B$33,0,$C$1)-N$133/N$14))</f>
        <v>16.150689346361375</v>
      </c>
      <c r="P133" s="7">
        <f ca="1">P$14*(O$133/O$14+MIN(ABS(OFFSET(Assumptions!$B$33,0,$C$1)-O$133/O$14),OFFSET(Assumptions!$B$31,0,$C$1))*SIGN(OFFSET(Assumptions!$B$33,0,$C$1)-O$133/O$14))</f>
        <v>16.833684252798044</v>
      </c>
      <c r="Q133" s="7">
        <f ca="1">Q$14*(P$133/P$14+MIN(ABS(OFFSET(Assumptions!$B$33,0,$C$1)-P$133/P$14),OFFSET(Assumptions!$B$31,0,$C$1))*SIGN(OFFSET(Assumptions!$B$33,0,$C$1)-P$133/P$14))</f>
        <v>17.537740432286824</v>
      </c>
      <c r="R133" s="7">
        <f ca="1">R$14*(Q$133/Q$14+MIN(ABS(OFFSET(Assumptions!$B$33,0,$C$1)-Q$133/Q$14),OFFSET(Assumptions!$B$31,0,$C$1))*SIGN(OFFSET(Assumptions!$B$33,0,$C$1)-Q$133/Q$14))</f>
        <v>18.262335322005736</v>
      </c>
      <c r="S133" s="7">
        <f ca="1">S$14*(R$133/R$14+MIN(ABS(OFFSET(Assumptions!$B$33,0,$C$1)-R$133/R$14),OFFSET(Assumptions!$B$31,0,$C$1))*SIGN(OFFSET(Assumptions!$B$33,0,$C$1)-R$133/R$14))</f>
        <v>19.009771654967402</v>
      </c>
      <c r="T133" s="7">
        <f ca="1">T$14*(S$133/S$14+MIN(ABS(OFFSET(Assumptions!$B$33,0,$C$1)-S$133/S$14),OFFSET(Assumptions!$B$31,0,$C$1))*SIGN(OFFSET(Assumptions!$B$33,0,$C$1)-S$133/S$14))</f>
        <v>19.780321995896696</v>
      </c>
      <c r="U133" s="7">
        <f ca="1">U$14*(T$133/T$14+MIN(ABS(OFFSET(Assumptions!$B$33,0,$C$1)-T$133/T$14),OFFSET(Assumptions!$B$31,0,$C$1))*SIGN(OFFSET(Assumptions!$B$33,0,$C$1)-T$133/T$14))</f>
        <v>20.576751829655763</v>
      </c>
      <c r="V133" s="7">
        <f ca="1">V$14*(U$133/U$14+MIN(ABS(OFFSET(Assumptions!$B$33,0,$C$1)-U$133/U$14),OFFSET(Assumptions!$B$31,0,$C$1))*SIGN(OFFSET(Assumptions!$B$33,0,$C$1)-U$133/U$14))</f>
        <v>21.401027147838256</v>
      </c>
      <c r="W133" s="7">
        <f ca="1">W$14*(V$133/V$14+MIN(ABS(OFFSET(Assumptions!$B$33,0,$C$1)-V$133/V$14),OFFSET(Assumptions!$B$31,0,$C$1))*SIGN(OFFSET(Assumptions!$B$33,0,$C$1)-V$133/V$14))</f>
        <v>22.255536083953981</v>
      </c>
      <c r="X133" s="7">
        <f ca="1">X$14*(W$133/W$14+MIN(ABS(OFFSET(Assumptions!$B$33,0,$C$1)-W$133/W$14),OFFSET(Assumptions!$B$31,0,$C$1))*SIGN(OFFSET(Assumptions!$B$33,0,$C$1)-W$133/W$14))</f>
        <v>23.142985258595939</v>
      </c>
      <c r="Y133" s="7">
        <f ca="1">Y$14*(X$133/X$14+MIN(ABS(OFFSET(Assumptions!$B$33,0,$C$1)-X$133/X$14),OFFSET(Assumptions!$B$31,0,$C$1))*SIGN(OFFSET(Assumptions!$B$33,0,$C$1)-X$133/X$14))</f>
        <v>24.063283945074318</v>
      </c>
      <c r="Z133" s="7">
        <f ca="1">Z$14*(Y$133/Y$14+MIN(ABS(OFFSET(Assumptions!$B$33,0,$C$1)-Y$133/Y$14),OFFSET(Assumptions!$B$31,0,$C$1))*SIGN(OFFSET(Assumptions!$B$33,0,$C$1)-Y$133/Y$14))</f>
        <v>25.021090366235168</v>
      </c>
      <c r="AA133" s="7">
        <f ca="1">AA$14*(Z$133/Z$14+MIN(ABS(OFFSET(Assumptions!$B$33,0,$C$1)-Z$133/Z$14),OFFSET(Assumptions!$B$31,0,$C$1))*SIGN(OFFSET(Assumptions!$B$33,0,$C$1)-Z$133/Z$14))</f>
        <v>26.017954256170913</v>
      </c>
      <c r="AB133" s="7">
        <f ca="1">AB$14*(AA$133/AA$14+MIN(ABS(OFFSET(Assumptions!$B$33,0,$C$1)-AA$133/AA$14),OFFSET(Assumptions!$B$31,0,$C$1))*SIGN(OFFSET(Assumptions!$B$33,0,$C$1)-AA$133/AA$14))</f>
        <v>27.056869289204666</v>
      </c>
      <c r="AC133" s="7">
        <f ca="1">AC$14*(AB$133/AB$14+MIN(ABS(OFFSET(Assumptions!$B$33,0,$C$1)-AB$133/AB$14),OFFSET(Assumptions!$B$31,0,$C$1))*SIGN(OFFSET(Assumptions!$B$33,0,$C$1)-AB$133/AB$14))</f>
        <v>28.141757510569388</v>
      </c>
      <c r="AD133" s="7">
        <f ca="1">AD$14*(AC$133/AC$14+MIN(ABS(OFFSET(Assumptions!$B$33,0,$C$1)-AC$133/AC$14),OFFSET(Assumptions!$B$31,0,$C$1))*SIGN(OFFSET(Assumptions!$B$33,0,$C$1)-AC$133/AC$14))</f>
        <v>29.273762405833249</v>
      </c>
      <c r="AE133" s="7">
        <f ca="1">AE$14*(AD$133/AD$14+MIN(ABS(OFFSET(Assumptions!$B$33,0,$C$1)-AD$133/AD$14),OFFSET(Assumptions!$B$31,0,$C$1))*SIGN(OFFSET(Assumptions!$B$33,0,$C$1)-AD$133/AD$14))</f>
        <v>30.451844379380791</v>
      </c>
      <c r="AF133" s="7">
        <f ca="1">AF$14*(AE$133/AE$14+MIN(ABS(OFFSET(Assumptions!$B$33,0,$C$1)-AE$133/AE$14),OFFSET(Assumptions!$B$31,0,$C$1))*SIGN(OFFSET(Assumptions!$B$33,0,$C$1)-AE$133/AE$14))</f>
        <v>31.679262712327628</v>
      </c>
      <c r="AG133" s="7">
        <f ca="1">AG$14*(AF$133/AF$14+MIN(ABS(OFFSET(Assumptions!$B$33,0,$C$1)-AF$133/AF$14),OFFSET(Assumptions!$B$31,0,$C$1))*SIGN(OFFSET(Assumptions!$B$33,0,$C$1)-AF$133/AF$14))</f>
        <v>32.956703725680548</v>
      </c>
      <c r="AH133" s="7">
        <f ca="1">AH$14*(AG$133/AG$14+MIN(ABS(OFFSET(Assumptions!$B$33,0,$C$1)-AG$133/AG$14),OFFSET(Assumptions!$B$31,0,$C$1))*SIGN(OFFSET(Assumptions!$B$33,0,$C$1)-AG$133/AG$14))</f>
        <v>34.286215884741367</v>
      </c>
      <c r="AI133" s="7">
        <f ca="1">AI$14*(AH$133/AH$14+MIN(ABS(OFFSET(Assumptions!$B$33,0,$C$1)-AH$133/AH$14),OFFSET(Assumptions!$B$31,0,$C$1))*SIGN(OFFSET(Assumptions!$B$33,0,$C$1)-AH$133/AH$14))</f>
        <v>35.66547609165503</v>
      </c>
      <c r="AJ133" s="7">
        <f ca="1">AJ$14*(AI$133/AI$14+MIN(ABS(OFFSET(Assumptions!$B$33,0,$C$1)-AI$133/AI$14),OFFSET(Assumptions!$B$31,0,$C$1))*SIGN(OFFSET(Assumptions!$B$33,0,$C$1)-AI$133/AI$14))</f>
        <v>37.098902804057929</v>
      </c>
      <c r="AK133" s="7">
        <f ca="1">AK$14*(AJ$133/AJ$14+MIN(ABS(OFFSET(Assumptions!$B$33,0,$C$1)-AJ$133/AJ$14),OFFSET(Assumptions!$B$31,0,$C$1))*SIGN(OFFSET(Assumptions!$B$33,0,$C$1)-AJ$133/AJ$14))</f>
        <v>38.585316840981754</v>
      </c>
      <c r="AL133" s="7">
        <f ca="1">AL$14*(AK$133/AK$14+MIN(ABS(OFFSET(Assumptions!$B$33,0,$C$1)-AK$133/AK$14),OFFSET(Assumptions!$B$31,0,$C$1))*SIGN(OFFSET(Assumptions!$B$33,0,$C$1)-AK$133/AK$14))</f>
        <v>40.123547313082184</v>
      </c>
      <c r="AM133" s="7">
        <f ca="1">AM$14*(AL$133/AL$14+MIN(ABS(OFFSET(Assumptions!$B$33,0,$C$1)-AL$133/AL$14),OFFSET(Assumptions!$B$31,0,$C$1))*SIGN(OFFSET(Assumptions!$B$33,0,$C$1)-AL$133/AL$14))</f>
        <v>41.715695643492907</v>
      </c>
      <c r="AN133" s="7">
        <f ca="1">AN$14*(AM$133/AM$14+MIN(ABS(OFFSET(Assumptions!$B$33,0,$C$1)-AM$133/AM$14),OFFSET(Assumptions!$B$31,0,$C$1))*SIGN(OFFSET(Assumptions!$B$33,0,$C$1)-AM$133/AM$14))</f>
        <v>43.363976495123033</v>
      </c>
      <c r="AO133" s="7">
        <f ca="1">AO$14*(AN$133/AN$14+MIN(ABS(OFFSET(Assumptions!$B$33,0,$C$1)-AN$133/AN$14),OFFSET(Assumptions!$B$31,0,$C$1))*SIGN(OFFSET(Assumptions!$B$33,0,$C$1)-AN$133/AN$14))</f>
        <v>45.061917639070124</v>
      </c>
      <c r="AP133" s="7">
        <f ca="1">AP$14*(AO$133/AO$14+MIN(ABS(OFFSET(Assumptions!$B$33,0,$C$1)-AO$133/AO$14),OFFSET(Assumptions!$B$31,0,$C$1))*SIGN(OFFSET(Assumptions!$B$33,0,$C$1)-AO$133/AO$14))</f>
        <v>46.81672937411323</v>
      </c>
      <c r="AQ133" s="7">
        <f ca="1">AQ$14*(AP$133/AP$14+MIN(ABS(OFFSET(Assumptions!$B$33,0,$C$1)-AP$133/AP$14),OFFSET(Assumptions!$B$31,0,$C$1))*SIGN(OFFSET(Assumptions!$B$33,0,$C$1)-AP$133/AP$14))</f>
        <v>48.623494723308461</v>
      </c>
      <c r="AR133" s="7">
        <f ca="1">AR$14*(AQ$133/AQ$14+MIN(ABS(OFFSET(Assumptions!$B$33,0,$C$1)-AQ$133/AQ$14),OFFSET(Assumptions!$B$31,0,$C$1))*SIGN(OFFSET(Assumptions!$B$33,0,$C$1)-AQ$133/AQ$14))</f>
        <v>50.484259268255776</v>
      </c>
      <c r="AS133" s="7">
        <f ca="1">AS$14*(AR$133/AR$14+MIN(ABS(OFFSET(Assumptions!$B$33,0,$C$1)-AR$133/AR$14),OFFSET(Assumptions!$B$31,0,$C$1))*SIGN(OFFSET(Assumptions!$B$33,0,$C$1)-AR$133/AR$14))</f>
        <v>52.403364118966856</v>
      </c>
      <c r="AT133" s="7">
        <f ca="1">AT$14*(AS$133/AS$14+MIN(ABS(OFFSET(Assumptions!$B$33,0,$C$1)-AS$133/AS$14),OFFSET(Assumptions!$B$31,0,$C$1))*SIGN(OFFSET(Assumptions!$B$33,0,$C$1)-AS$133/AS$14))</f>
        <v>54.382342001656191</v>
      </c>
      <c r="AU133" s="7">
        <f ca="1">AU$14*(AT$133/AT$14+MIN(ABS(OFFSET(Assumptions!$B$33,0,$C$1)-AT$133/AT$14),OFFSET(Assumptions!$B$31,0,$C$1))*SIGN(OFFSET(Assumptions!$B$33,0,$C$1)-AT$133/AT$14))</f>
        <v>56.423824515111633</v>
      </c>
      <c r="AV133" s="7">
        <f ca="1">AV$14*(AU$133/AU$14+MIN(ABS(OFFSET(Assumptions!$B$33,0,$C$1)-AU$133/AU$14),OFFSET(Assumptions!$B$31,0,$C$1))*SIGN(OFFSET(Assumptions!$B$33,0,$C$1)-AU$133/AU$14))</f>
        <v>58.534123715165535</v>
      </c>
      <c r="AW133" s="7">
        <f ca="1">AW$14*(AV$133/AV$14+MIN(ABS(OFFSET(Assumptions!$B$33,0,$C$1)-AV$133/AV$14),OFFSET(Assumptions!$B$31,0,$C$1))*SIGN(OFFSET(Assumptions!$B$33,0,$C$1)-AV$133/AV$14))</f>
        <v>60.712048219367077</v>
      </c>
    </row>
    <row r="134" spans="1:49" x14ac:dyDescent="0.2">
      <c r="A134" s="1" t="s">
        <v>450</v>
      </c>
      <c r="B134" s="4" t="str">
        <f t="shared" si="125"/>
        <v>From Fiscal</v>
      </c>
      <c r="D134" s="18">
        <f>Fiscal!D$210</f>
        <v>17.169</v>
      </c>
      <c r="E134" s="19">
        <f>Fiscal!E$210</f>
        <v>18.129000000000001</v>
      </c>
      <c r="F134" s="19">
        <f>Fiscal!F$210</f>
        <v>19.053999999999998</v>
      </c>
      <c r="G134" s="19">
        <f>Fiscal!G$210</f>
        <v>20.164000000000001</v>
      </c>
      <c r="H134" s="19">
        <f>Fiscal!H$210</f>
        <v>21.190999999999999</v>
      </c>
      <c r="I134" s="19">
        <f>Fiscal!I$210</f>
        <v>21.902999999999999</v>
      </c>
      <c r="J134" s="7">
        <f ca="1">J$14*(I$134/I$14+MIN(ABS(OFFSET(Assumptions!$B$34,0,$C$1)-I$134/I$14),OFFSET(Assumptions!$B$31,0,$C$1))*SIGN(OFFSET(Assumptions!$B$34,0,$C$1)-I$134/I$14))</f>
        <v>22.981828351644133</v>
      </c>
      <c r="K134" s="7">
        <f ca="1">K$14*(J$134/J$14+MIN(ABS(OFFSET(Assumptions!$B$34,0,$C$1)-J$134/J$14),OFFSET(Assumptions!$B$31,0,$C$1))*SIGN(OFFSET(Assumptions!$B$34,0,$C$1)-J$134/J$14))</f>
        <v>24.03720321738426</v>
      </c>
      <c r="L134" s="7">
        <f ca="1">L$14*(K$134/K$14+MIN(ABS(OFFSET(Assumptions!$B$34,0,$C$1)-K$134/K$14),OFFSET(Assumptions!$B$31,0,$C$1))*SIGN(OFFSET(Assumptions!$B$34,0,$C$1)-K$134/K$14))</f>
        <v>25.079102769280304</v>
      </c>
      <c r="M134" s="7">
        <f ca="1">M$14*(L$134/L$14+MIN(ABS(OFFSET(Assumptions!$B$34,0,$C$1)-L$134/L$14),OFFSET(Assumptions!$B$31,0,$C$1))*SIGN(OFFSET(Assumptions!$B$34,0,$C$1)-L$134/L$14))</f>
        <v>26.16268186178684</v>
      </c>
      <c r="N134" s="7">
        <f ca="1">N$14*(M$134/M$14+MIN(ABS(OFFSET(Assumptions!$B$34,0,$C$1)-M$134/M$14),OFFSET(Assumptions!$B$31,0,$C$1))*SIGN(OFFSET(Assumptions!$B$34,0,$C$1)-M$134/M$14))</f>
        <v>27.291012309371364</v>
      </c>
      <c r="O134" s="7">
        <f ca="1">O$14*(N$134/N$14+MIN(ABS(OFFSET(Assumptions!$B$34,0,$C$1)-N$134/N$14),OFFSET(Assumptions!$B$31,0,$C$1))*SIGN(OFFSET(Assumptions!$B$34,0,$C$1)-N$134/N$14))</f>
        <v>28.45597646739861</v>
      </c>
      <c r="P134" s="7">
        <f ca="1">P$14*(O$134/O$14+MIN(ABS(OFFSET(Assumptions!$B$34,0,$C$1)-O$134/O$14),OFFSET(Assumptions!$B$31,0,$C$1))*SIGN(OFFSET(Assumptions!$B$34,0,$C$1)-O$134/O$14))</f>
        <v>29.659348445406071</v>
      </c>
      <c r="Q134" s="7">
        <f ca="1">Q$14*(P$134/P$14+MIN(ABS(OFFSET(Assumptions!$B$34,0,$C$1)-P$134/P$14),OFFSET(Assumptions!$B$31,0,$C$1))*SIGN(OFFSET(Assumptions!$B$34,0,$C$1)-P$134/P$14))</f>
        <v>30.899828380695826</v>
      </c>
      <c r="R134" s="7">
        <f ca="1">R$14*(Q$134/Q$14+MIN(ABS(OFFSET(Assumptions!$B$34,0,$C$1)-Q$134/Q$14),OFFSET(Assumptions!$B$31,0,$C$1))*SIGN(OFFSET(Assumptions!$B$34,0,$C$1)-Q$134/Q$14))</f>
        <v>32.176495567343437</v>
      </c>
      <c r="S134" s="7">
        <f ca="1">S$14*(R$134/R$14+MIN(ABS(OFFSET(Assumptions!$B$34,0,$C$1)-R$134/R$14),OFFSET(Assumptions!$B$31,0,$C$1))*SIGN(OFFSET(Assumptions!$B$34,0,$C$1)-R$134/R$14))</f>
        <v>33.493407201609223</v>
      </c>
      <c r="T134" s="7">
        <f ca="1">T$14*(S$134/S$14+MIN(ABS(OFFSET(Assumptions!$B$34,0,$C$1)-S$134/S$14),OFFSET(Assumptions!$B$31,0,$C$1))*SIGN(OFFSET(Assumptions!$B$34,0,$C$1)-S$134/S$14))</f>
        <v>34.851043516579885</v>
      </c>
      <c r="U134" s="7">
        <f ca="1">U$14*(T$134/T$14+MIN(ABS(OFFSET(Assumptions!$B$34,0,$C$1)-T$134/T$14),OFFSET(Assumptions!$B$31,0,$C$1))*SIGN(OFFSET(Assumptions!$B$34,0,$C$1)-T$134/T$14))</f>
        <v>36.254277033203003</v>
      </c>
      <c r="V134" s="7">
        <f ca="1">V$14*(U$134/U$14+MIN(ABS(OFFSET(Assumptions!$B$34,0,$C$1)-U$134/U$14),OFFSET(Assumptions!$B$31,0,$C$1))*SIGN(OFFSET(Assumptions!$B$34,0,$C$1)-U$134/U$14))</f>
        <v>37.706571641429306</v>
      </c>
      <c r="W134" s="7">
        <f ca="1">W$14*(V$134/V$14+MIN(ABS(OFFSET(Assumptions!$B$34,0,$C$1)-V$134/V$14),OFFSET(Assumptions!$B$31,0,$C$1))*SIGN(OFFSET(Assumptions!$B$34,0,$C$1)-V$134/V$14))</f>
        <v>39.212135005061775</v>
      </c>
      <c r="X134" s="7">
        <f ca="1">X$14*(W$134/W$14+MIN(ABS(OFFSET(Assumptions!$B$34,0,$C$1)-W$134/W$14),OFFSET(Assumptions!$B$31,0,$C$1))*SIGN(OFFSET(Assumptions!$B$34,0,$C$1)-W$134/W$14))</f>
        <v>40.775735931811887</v>
      </c>
      <c r="Y134" s="7">
        <f ca="1">Y$14*(X$134/X$14+MIN(ABS(OFFSET(Assumptions!$B$34,0,$C$1)-X$134/X$14),OFFSET(Assumptions!$B$31,0,$C$1))*SIGN(OFFSET(Assumptions!$B$34,0,$C$1)-X$134/X$14))</f>
        <v>42.397214569892846</v>
      </c>
      <c r="Z134" s="7">
        <f ca="1">Z$14*(Y$134/Y$14+MIN(ABS(OFFSET(Assumptions!$B$34,0,$C$1)-Y$134/Y$14),OFFSET(Assumptions!$B$31,0,$C$1))*SIGN(OFFSET(Assumptions!$B$34,0,$C$1)-Y$134/Y$14))</f>
        <v>44.084778264319098</v>
      </c>
      <c r="AA134" s="7">
        <f ca="1">AA$14*(Z$134/Z$14+MIN(ABS(OFFSET(Assumptions!$B$34,0,$C$1)-Z$134/Z$14),OFFSET(Assumptions!$B$31,0,$C$1))*SIGN(OFFSET(Assumptions!$B$34,0,$C$1)-Z$134/Z$14))</f>
        <v>45.841157498967796</v>
      </c>
      <c r="AB134" s="7">
        <f ca="1">AB$14*(AA$134/AA$14+MIN(ABS(OFFSET(Assumptions!$B$34,0,$C$1)-AA$134/AA$14),OFFSET(Assumptions!$B$31,0,$C$1))*SIGN(OFFSET(Assumptions!$B$34,0,$C$1)-AA$134/AA$14))</f>
        <v>47.671626842884407</v>
      </c>
      <c r="AC134" s="7">
        <f ca="1">AC$14*(AB$134/AB$14+MIN(ABS(OFFSET(Assumptions!$B$34,0,$C$1)-AB$134/AB$14),OFFSET(Assumptions!$B$31,0,$C$1))*SIGN(OFFSET(Assumptions!$B$34,0,$C$1)-AB$134/AB$14))</f>
        <v>49.583096566241295</v>
      </c>
      <c r="AD134" s="7">
        <f ca="1">AD$14*(AC$134/AC$14+MIN(ABS(OFFSET(Assumptions!$B$34,0,$C$1)-AC$134/AC$14),OFFSET(Assumptions!$B$31,0,$C$1))*SIGN(OFFSET(Assumptions!$B$34,0,$C$1)-AC$134/AC$14))</f>
        <v>51.577581381706196</v>
      </c>
      <c r="AE134" s="7">
        <f ca="1">AE$14*(AD$134/AD$14+MIN(ABS(OFFSET(Assumptions!$B$34,0,$C$1)-AD$134/AD$14),OFFSET(Assumptions!$B$31,0,$C$1))*SIGN(OFFSET(Assumptions!$B$34,0,$C$1)-AD$134/AD$14))</f>
        <v>53.653249620813767</v>
      </c>
      <c r="AF134" s="7">
        <f ca="1">AF$14*(AE$134/AE$14+MIN(ABS(OFFSET(Assumptions!$B$34,0,$C$1)-AE$134/AE$14),OFFSET(Assumptions!$B$31,0,$C$1))*SIGN(OFFSET(Assumptions!$B$34,0,$C$1)-AE$134/AE$14))</f>
        <v>55.815843826482002</v>
      </c>
      <c r="AG134" s="7">
        <f ca="1">AG$14*(AF$134/AF$14+MIN(ABS(OFFSET(Assumptions!$B$34,0,$C$1)-AF$134/AF$14),OFFSET(Assumptions!$B$31,0,$C$1))*SIGN(OFFSET(Assumptions!$B$34,0,$C$1)-AF$134/AF$14))</f>
        <v>58.066573230960955</v>
      </c>
      <c r="AH134" s="7">
        <f ca="1">AH$14*(AG$134/AG$14+MIN(ABS(OFFSET(Assumptions!$B$34,0,$C$1)-AG$134/AG$14),OFFSET(Assumptions!$B$31,0,$C$1))*SIGN(OFFSET(Assumptions!$B$34,0,$C$1)-AG$134/AG$14))</f>
        <v>60.409047035020492</v>
      </c>
      <c r="AI134" s="7">
        <f ca="1">AI$14*(AH$134/AH$14+MIN(ABS(OFFSET(Assumptions!$B$34,0,$C$1)-AH$134/AH$14),OFFSET(Assumptions!$B$31,0,$C$1))*SIGN(OFFSET(Assumptions!$B$34,0,$C$1)-AH$134/AH$14))</f>
        <v>62.839172161487433</v>
      </c>
      <c r="AJ134" s="7">
        <f ca="1">AJ$14*(AI$134/AI$14+MIN(ABS(OFFSET(Assumptions!$B$34,0,$C$1)-AI$134/AI$14),OFFSET(Assumptions!$B$31,0,$C$1))*SIGN(OFFSET(Assumptions!$B$34,0,$C$1)-AI$134/AI$14))</f>
        <v>65.364733511911581</v>
      </c>
      <c r="AK134" s="7">
        <f ca="1">AK$14*(AJ$134/AJ$14+MIN(ABS(OFFSET(Assumptions!$B$34,0,$C$1)-AJ$134/AJ$14),OFFSET(Assumptions!$B$31,0,$C$1))*SIGN(OFFSET(Assumptions!$B$34,0,$C$1)-AJ$134/AJ$14))</f>
        <v>67.983653481729746</v>
      </c>
      <c r="AL134" s="7">
        <f ca="1">AL$14*(AK$134/AK$14+MIN(ABS(OFFSET(Assumptions!$B$34,0,$C$1)-AK$134/AK$14),OFFSET(Assumptions!$B$31,0,$C$1))*SIGN(OFFSET(Assumptions!$B$34,0,$C$1)-AK$134/AK$14))</f>
        <v>70.693869075430513</v>
      </c>
      <c r="AM134" s="7">
        <f ca="1">AM$14*(AL$134/AL$14+MIN(ABS(OFFSET(Assumptions!$B$34,0,$C$1)-AL$134/AL$14),OFFSET(Assumptions!$B$31,0,$C$1))*SIGN(OFFSET(Assumptions!$B$34,0,$C$1)-AL$134/AL$14))</f>
        <v>73.499082800439879</v>
      </c>
      <c r="AN134" s="7">
        <f ca="1">AN$14*(AM$134/AM$14+MIN(ABS(OFFSET(Assumptions!$B$34,0,$C$1)-AM$134/AM$14),OFFSET(Assumptions!$B$31,0,$C$1))*SIGN(OFFSET(Assumptions!$B$34,0,$C$1)-AM$134/AM$14))</f>
        <v>76.403196681883429</v>
      </c>
      <c r="AO134" s="7">
        <f ca="1">AO$14*(AN$134/AN$14+MIN(ABS(OFFSET(Assumptions!$B$34,0,$C$1)-AN$134/AN$14),OFFSET(Assumptions!$B$31,0,$C$1))*SIGN(OFFSET(Assumptions!$B$34,0,$C$1)-AN$134/AN$14))</f>
        <v>79.394807268837837</v>
      </c>
      <c r="AP134" s="7">
        <f ca="1">AP$14*(AO$134/AO$14+MIN(ABS(OFFSET(Assumptions!$B$34,0,$C$1)-AO$134/AO$14),OFFSET(Assumptions!$B$31,0,$C$1))*SIGN(OFFSET(Assumptions!$B$34,0,$C$1)-AO$134/AO$14))</f>
        <v>82.486618421056633</v>
      </c>
      <c r="AQ134" s="7">
        <f ca="1">AQ$14*(AP$134/AP$14+MIN(ABS(OFFSET(Assumptions!$B$34,0,$C$1)-AP$134/AP$14),OFFSET(Assumptions!$B$31,0,$C$1))*SIGN(OFFSET(Assumptions!$B$34,0,$C$1)-AP$134/AP$14))</f>
        <v>85.669966893448233</v>
      </c>
      <c r="AR134" s="7">
        <f ca="1">AR$14*(AQ$134/AQ$14+MIN(ABS(OFFSET(Assumptions!$B$34,0,$C$1)-AQ$134/AQ$14),OFFSET(Assumptions!$B$31,0,$C$1))*SIGN(OFFSET(Assumptions!$B$34,0,$C$1)-AQ$134/AQ$14))</f>
        <v>88.948456805974445</v>
      </c>
      <c r="AS134" s="7">
        <f ca="1">AS$14*(AR$134/AR$14+MIN(ABS(OFFSET(Assumptions!$B$34,0,$C$1)-AR$134/AR$14),OFFSET(Assumptions!$B$31,0,$C$1))*SIGN(OFFSET(Assumptions!$B$34,0,$C$1)-AR$134/AR$14))</f>
        <v>92.329736781036829</v>
      </c>
      <c r="AT134" s="7">
        <f ca="1">AT$14*(AS$134/AS$14+MIN(ABS(OFFSET(Assumptions!$B$34,0,$C$1)-AS$134/AS$14),OFFSET(Assumptions!$B$31,0,$C$1))*SIGN(OFFSET(Assumptions!$B$34,0,$C$1)-AS$134/AS$14))</f>
        <v>95.816507336251377</v>
      </c>
      <c r="AU134" s="7">
        <f ca="1">AU$14*(AT$134/AT$14+MIN(ABS(OFFSET(Assumptions!$B$34,0,$C$1)-AT$134/AT$14),OFFSET(Assumptions!$B$31,0,$C$1))*SIGN(OFFSET(Assumptions!$B$34,0,$C$1)-AT$134/AT$14))</f>
        <v>99.413405098053815</v>
      </c>
      <c r="AV134" s="7">
        <f ca="1">AV$14*(AU$134/AU$14+MIN(ABS(OFFSET(Assumptions!$B$34,0,$C$1)-AU$134/AU$14),OFFSET(Assumptions!$B$31,0,$C$1))*SIGN(OFFSET(Assumptions!$B$34,0,$C$1)-AU$134/AU$14))</f>
        <v>103.13155130767259</v>
      </c>
      <c r="AW134" s="7">
        <f ca="1">AW$14*(AV$134/AV$14+MIN(ABS(OFFSET(Assumptions!$B$34,0,$C$1)-AV$134/AV$14),OFFSET(Assumptions!$B$31,0,$C$1))*SIGN(OFFSET(Assumptions!$B$34,0,$C$1)-AV$134/AV$14))</f>
        <v>106.96884686269436</v>
      </c>
    </row>
    <row r="135" spans="1:49" x14ac:dyDescent="0.2">
      <c r="A135" s="1" t="s">
        <v>454</v>
      </c>
      <c r="B135" s="4" t="str">
        <f t="shared" si="125"/>
        <v>From Fiscal</v>
      </c>
      <c r="D135" s="18">
        <f>Fiscal!D$211</f>
        <v>3.2029999999999998</v>
      </c>
      <c r="E135" s="19">
        <f>Fiscal!E$211</f>
        <v>3.3769999999999998</v>
      </c>
      <c r="F135" s="19">
        <f>Fiscal!F$211</f>
        <v>3.4220000000000002</v>
      </c>
      <c r="G135" s="19">
        <f>Fiscal!G$211</f>
        <v>3.4870000000000001</v>
      </c>
      <c r="H135" s="19">
        <f>Fiscal!H$211</f>
        <v>3.56</v>
      </c>
      <c r="I135" s="19">
        <f>Fiscal!I$211</f>
        <v>3.617</v>
      </c>
      <c r="J135" s="7">
        <f ca="1">J$14*(I$135/I$14+MIN(ABS(OFFSET(Assumptions!$B$35,0,$C$1)-I$135/I$14),OFFSET(Assumptions!$B$31,0,$C$1))*SIGN(OFFSET(Assumptions!$B$35,0,$C$1)-I$135/I$14))</f>
        <v>3.9253085525835414</v>
      </c>
      <c r="K135" s="7">
        <f ca="1">K$14*(J$135/J$14+MIN(ABS(OFFSET(Assumptions!$B$35,0,$C$1)-J$135/J$14),OFFSET(Assumptions!$B$31,0,$C$1))*SIGN(OFFSET(Assumptions!$B$35,0,$C$1)-J$135/J$14))</f>
        <v>4.2227519165675051</v>
      </c>
      <c r="L135" s="7">
        <f ca="1">L$14*(K$135/K$14+MIN(ABS(OFFSET(Assumptions!$B$35,0,$C$1)-K$135/K$14),OFFSET(Assumptions!$B$31,0,$C$1))*SIGN(OFFSET(Assumptions!$B$35,0,$C$1)-K$135/K$14))</f>
        <v>4.4057883243330265</v>
      </c>
      <c r="M135" s="7">
        <f ca="1">M$14*(L$135/L$14+MIN(ABS(OFFSET(Assumptions!$B$35,0,$C$1)-L$135/L$14),OFFSET(Assumptions!$B$31,0,$C$1))*SIGN(OFFSET(Assumptions!$B$35,0,$C$1)-L$135/L$14))</f>
        <v>4.596146813557147</v>
      </c>
      <c r="N135" s="7">
        <f ca="1">N$14*(M$135/M$14+MIN(ABS(OFFSET(Assumptions!$B$35,0,$C$1)-M$135/M$14),OFFSET(Assumptions!$B$31,0,$C$1))*SIGN(OFFSET(Assumptions!$B$35,0,$C$1)-M$135/M$14))</f>
        <v>4.7943670273219965</v>
      </c>
      <c r="O135" s="7">
        <f ca="1">O$14*(N$135/N$14+MIN(ABS(OFFSET(Assumptions!$B$35,0,$C$1)-N$135/N$14),OFFSET(Assumptions!$B$31,0,$C$1))*SIGN(OFFSET(Assumptions!$B$35,0,$C$1)-N$135/N$14))</f>
        <v>4.9990228929213778</v>
      </c>
      <c r="P135" s="7">
        <f ca="1">P$14*(O$135/O$14+MIN(ABS(OFFSET(Assumptions!$B$35,0,$C$1)-O$135/O$14),OFFSET(Assumptions!$B$31,0,$C$1))*SIGN(OFFSET(Assumptions!$B$35,0,$C$1)-O$135/O$14))</f>
        <v>5.2104260782470124</v>
      </c>
      <c r="Q135" s="7">
        <f ca="1">Q$14*(P$135/P$14+MIN(ABS(OFFSET(Assumptions!$B$35,0,$C$1)-P$135/P$14),OFFSET(Assumptions!$B$31,0,$C$1))*SIGN(OFFSET(Assumptions!$B$35,0,$C$1)-P$135/P$14))</f>
        <v>5.4283482290411591</v>
      </c>
      <c r="R135" s="7">
        <f ca="1">R$14*(Q$135/Q$14+MIN(ABS(OFFSET(Assumptions!$B$35,0,$C$1)-Q$135/Q$14),OFFSET(Assumptions!$B$31,0,$C$1))*SIGN(OFFSET(Assumptions!$B$35,0,$C$1)-Q$135/Q$14))</f>
        <v>5.6526275996684419</v>
      </c>
      <c r="S135" s="7">
        <f ca="1">S$14*(R$135/R$14+MIN(ABS(OFFSET(Assumptions!$B$35,0,$C$1)-R$135/R$14),OFFSET(Assumptions!$B$31,0,$C$1))*SIGN(OFFSET(Assumptions!$B$35,0,$C$1)-R$135/R$14))</f>
        <v>5.8839769408232421</v>
      </c>
      <c r="T135" s="7">
        <f ca="1">T$14*(S$135/S$14+MIN(ABS(OFFSET(Assumptions!$B$35,0,$C$1)-S$135/S$14),OFFSET(Assumptions!$B$31,0,$C$1))*SIGN(OFFSET(Assumptions!$B$35,0,$C$1)-S$135/S$14))</f>
        <v>6.1224806177775477</v>
      </c>
      <c r="U135" s="7">
        <f ca="1">U$14*(T$135/T$14+MIN(ABS(OFFSET(Assumptions!$B$35,0,$C$1)-T$135/T$14),OFFSET(Assumptions!$B$31,0,$C$1))*SIGN(OFFSET(Assumptions!$B$35,0,$C$1)-T$135/T$14))</f>
        <v>6.3689946139410685</v>
      </c>
      <c r="V135" s="7">
        <f ca="1">V$14*(U$135/U$14+MIN(ABS(OFFSET(Assumptions!$B$35,0,$C$1)-U$135/U$14),OFFSET(Assumptions!$B$31,0,$C$1))*SIGN(OFFSET(Assumptions!$B$35,0,$C$1)-U$135/U$14))</f>
        <v>6.6241274505213639</v>
      </c>
      <c r="W135" s="7">
        <f ca="1">W$14*(V$135/V$14+MIN(ABS(OFFSET(Assumptions!$B$35,0,$C$1)-V$135/V$14),OFFSET(Assumptions!$B$31,0,$C$1))*SIGN(OFFSET(Assumptions!$B$35,0,$C$1)-V$135/V$14))</f>
        <v>6.888618311700041</v>
      </c>
      <c r="X135" s="7">
        <f ca="1">X$14*(W$135/W$14+MIN(ABS(OFFSET(Assumptions!$B$35,0,$C$1)-W$135/W$14),OFFSET(Assumptions!$B$31,0,$C$1))*SIGN(OFFSET(Assumptions!$B$35,0,$C$1)-W$135/W$14))</f>
        <v>7.1633049609939805</v>
      </c>
      <c r="Y135" s="7">
        <f ca="1">Y$14*(X$135/X$14+MIN(ABS(OFFSET(Assumptions!$B$35,0,$C$1)-X$135/X$14),OFFSET(Assumptions!$B$31,0,$C$1))*SIGN(OFFSET(Assumptions!$B$35,0,$C$1)-X$135/X$14))</f>
        <v>7.4481593163325268</v>
      </c>
      <c r="Z135" s="7">
        <f ca="1">Z$14*(Y$135/Y$14+MIN(ABS(OFFSET(Assumptions!$B$35,0,$C$1)-Y$135/Y$14),OFFSET(Assumptions!$B$31,0,$C$1))*SIGN(OFFSET(Assumptions!$B$35,0,$C$1)-Y$135/Y$14))</f>
        <v>7.7446232085965985</v>
      </c>
      <c r="AA135" s="7">
        <f ca="1">AA$14*(Z$135/Z$14+MIN(ABS(OFFSET(Assumptions!$B$35,0,$C$1)-Z$135/Z$14),OFFSET(Assumptions!$B$31,0,$C$1))*SIGN(OFFSET(Assumptions!$B$35,0,$C$1)-Z$135/Z$14))</f>
        <v>8.0531763173862334</v>
      </c>
      <c r="AB135" s="7">
        <f ca="1">AB$14*(AA$135/AA$14+MIN(ABS(OFFSET(Assumptions!$B$35,0,$C$1)-AA$135/AA$14),OFFSET(Assumptions!$B$31,0,$C$1))*SIGN(OFFSET(Assumptions!$B$35,0,$C$1)-AA$135/AA$14))</f>
        <v>8.3747452561823952</v>
      </c>
      <c r="AC135" s="7">
        <f ca="1">AC$14*(AB$135/AB$14+MIN(ABS(OFFSET(Assumptions!$B$35,0,$C$1)-AB$135/AB$14),OFFSET(Assumptions!$B$31,0,$C$1))*SIGN(OFFSET(Assumptions!$B$35,0,$C$1)-AB$135/AB$14))</f>
        <v>8.7105439913667144</v>
      </c>
      <c r="AD135" s="7">
        <f ca="1">AD$14*(AC$135/AC$14+MIN(ABS(OFFSET(Assumptions!$B$35,0,$C$1)-AC$135/AC$14),OFFSET(Assumptions!$B$31,0,$C$1))*SIGN(OFFSET(Assumptions!$B$35,0,$C$1)-AC$135/AC$14))</f>
        <v>9.0609264589483853</v>
      </c>
      <c r="AE135" s="7">
        <f ca="1">AE$14*(AD$135/AD$14+MIN(ABS(OFFSET(Assumptions!$B$35,0,$C$1)-AD$135/AD$14),OFFSET(Assumptions!$B$31,0,$C$1))*SIGN(OFFSET(Assumptions!$B$35,0,$C$1)-AD$135/AD$14))</f>
        <v>9.4255708793321489</v>
      </c>
      <c r="AF135" s="7">
        <f ca="1">AF$14*(AE$135/AE$14+MIN(ABS(OFFSET(Assumptions!$B$35,0,$C$1)-AE$135/AE$14),OFFSET(Assumptions!$B$31,0,$C$1))*SIGN(OFFSET(Assumptions!$B$35,0,$C$1)-AE$135/AE$14))</f>
        <v>9.8054860776252166</v>
      </c>
      <c r="AG135" s="7">
        <f ca="1">AG$14*(AF$135/AF$14+MIN(ABS(OFFSET(Assumptions!$B$35,0,$C$1)-AF$135/AF$14),OFFSET(Assumptions!$B$31,0,$C$1))*SIGN(OFFSET(Assumptions!$B$35,0,$C$1)-AF$135/AF$14))</f>
        <v>10.200884486520168</v>
      </c>
      <c r="AH135" s="7">
        <f ca="1">AH$14*(AG$135/AG$14+MIN(ABS(OFFSET(Assumptions!$B$35,0,$C$1)-AG$135/AG$14),OFFSET(Assumptions!$B$31,0,$C$1))*SIGN(OFFSET(Assumptions!$B$35,0,$C$1)-AG$135/AG$14))</f>
        <v>10.612400154800897</v>
      </c>
      <c r="AI135" s="7">
        <f ca="1">AI$14*(AH$135/AH$14+MIN(ABS(OFFSET(Assumptions!$B$35,0,$C$1)-AH$135/AH$14),OFFSET(Assumptions!$B$31,0,$C$1))*SIGN(OFFSET(Assumptions!$B$35,0,$C$1)-AH$135/AH$14))</f>
        <v>11.039314028369413</v>
      </c>
      <c r="AJ135" s="7">
        <f ca="1">AJ$14*(AI$135/AI$14+MIN(ABS(OFFSET(Assumptions!$B$35,0,$C$1)-AI$135/AI$14),OFFSET(Assumptions!$B$31,0,$C$1))*SIGN(OFFSET(Assumptions!$B$35,0,$C$1)-AI$135/AI$14))</f>
        <v>11.482993725065548</v>
      </c>
      <c r="AK135" s="7">
        <f ca="1">AK$14*(AJ$135/AJ$14+MIN(ABS(OFFSET(Assumptions!$B$35,0,$C$1)-AJ$135/AJ$14),OFFSET(Assumptions!$B$31,0,$C$1))*SIGN(OFFSET(Assumptions!$B$35,0,$C$1)-AJ$135/AJ$14))</f>
        <v>11.943074260303876</v>
      </c>
      <c r="AL135" s="7">
        <f ca="1">AL$14*(AK$135/AK$14+MIN(ABS(OFFSET(Assumptions!$B$35,0,$C$1)-AK$135/AK$14),OFFSET(Assumptions!$B$31,0,$C$1))*SIGN(OFFSET(Assumptions!$B$35,0,$C$1)-AK$135/AK$14))</f>
        <v>12.419193215954008</v>
      </c>
      <c r="AM135" s="7">
        <f ca="1">AM$14*(AL$135/AL$14+MIN(ABS(OFFSET(Assumptions!$B$35,0,$C$1)-AL$135/AL$14),OFFSET(Assumptions!$B$31,0,$C$1))*SIGN(OFFSET(Assumptions!$B$35,0,$C$1)-AL$135/AL$14))</f>
        <v>12.912001032509709</v>
      </c>
      <c r="AN135" s="7">
        <f ca="1">AN$14*(AM$135/AM$14+MIN(ABS(OFFSET(Assumptions!$B$35,0,$C$1)-AM$135/AM$14),OFFSET(Assumptions!$B$31,0,$C$1))*SIGN(OFFSET(Assumptions!$B$35,0,$C$1)-AM$135/AM$14))</f>
        <v>13.422183200871412</v>
      </c>
      <c r="AO135" s="7">
        <f ca="1">AO$14*(AN$135/AN$14+MIN(ABS(OFFSET(Assumptions!$B$35,0,$C$1)-AN$135/AN$14),OFFSET(Assumptions!$B$31,0,$C$1))*SIGN(OFFSET(Assumptions!$B$35,0,$C$1)-AN$135/AN$14))</f>
        <v>13.947736412093132</v>
      </c>
      <c r="AP135" s="7">
        <f ca="1">AP$14*(AO$135/AO$14+MIN(ABS(OFFSET(Assumptions!$B$35,0,$C$1)-AO$135/AO$14),OFFSET(Assumptions!$B$31,0,$C$1))*SIGN(OFFSET(Assumptions!$B$35,0,$C$1)-AO$135/AO$14))</f>
        <v>14.49089242532076</v>
      </c>
      <c r="AQ135" s="7">
        <f ca="1">AQ$14*(AP$135/AP$14+MIN(ABS(OFFSET(Assumptions!$B$35,0,$C$1)-AP$135/AP$14),OFFSET(Assumptions!$B$31,0,$C$1))*SIGN(OFFSET(Assumptions!$B$35,0,$C$1)-AP$135/AP$14))</f>
        <v>15.050129319119284</v>
      </c>
      <c r="AR135" s="7">
        <f ca="1">AR$14*(AQ$135/AQ$14+MIN(ABS(OFFSET(Assumptions!$B$35,0,$C$1)-AQ$135/AQ$14),OFFSET(Assumptions!$B$31,0,$C$1))*SIGN(OFFSET(Assumptions!$B$35,0,$C$1)-AQ$135/AQ$14))</f>
        <v>15.626080249698214</v>
      </c>
      <c r="AS135" s="7">
        <f ca="1">AS$14*(AR$135/AR$14+MIN(ABS(OFFSET(Assumptions!$B$35,0,$C$1)-AR$135/AR$14),OFFSET(Assumptions!$B$31,0,$C$1))*SIGN(OFFSET(Assumptions!$B$35,0,$C$1)-AR$135/AR$14))</f>
        <v>16.220088893965929</v>
      </c>
      <c r="AT135" s="7">
        <f ca="1">AT$14*(AS$135/AS$14+MIN(ABS(OFFSET(Assumptions!$B$35,0,$C$1)-AS$135/AS$14),OFFSET(Assumptions!$B$31,0,$C$1))*SIGN(OFFSET(Assumptions!$B$35,0,$C$1)-AS$135/AS$14))</f>
        <v>16.832629667179297</v>
      </c>
      <c r="AU135" s="7">
        <f ca="1">AU$14*(AT$135/AT$14+MIN(ABS(OFFSET(Assumptions!$B$35,0,$C$1)-AT$135/AT$14),OFFSET(Assumptions!$B$31,0,$C$1))*SIGN(OFFSET(Assumptions!$B$35,0,$C$1)-AT$135/AT$14))</f>
        <v>17.464517111820268</v>
      </c>
      <c r="AV135" s="7">
        <f ca="1">AV$14*(AU$135/AU$14+MIN(ABS(OFFSET(Assumptions!$B$35,0,$C$1)-AU$135/AU$14),OFFSET(Assumptions!$B$31,0,$C$1))*SIGN(OFFSET(Assumptions!$B$35,0,$C$1)-AU$135/AU$14))</f>
        <v>18.117704959455995</v>
      </c>
      <c r="AW135" s="7">
        <f ca="1">AW$14*(AV$135/AV$14+MIN(ABS(OFFSET(Assumptions!$B$35,0,$C$1)-AV$135/AV$14),OFFSET(Assumptions!$B$31,0,$C$1))*SIGN(OFFSET(Assumptions!$B$35,0,$C$1)-AV$135/AV$14))</f>
        <v>18.791824448851713</v>
      </c>
    </row>
    <row r="136" spans="1:49" x14ac:dyDescent="0.2">
      <c r="A136" s="1" t="s">
        <v>276</v>
      </c>
      <c r="B136" s="4" t="str">
        <f t="shared" si="125"/>
        <v>From Fiscal</v>
      </c>
      <c r="D136" s="18">
        <f>Fiscal!D$212</f>
        <v>10.078000000000001</v>
      </c>
      <c r="E136" s="19">
        <f>Fiscal!E$212</f>
        <v>9.8940000000000019</v>
      </c>
      <c r="F136" s="19">
        <f>Fiscal!F$212</f>
        <v>10.023</v>
      </c>
      <c r="G136" s="19">
        <f>Fiscal!G$212</f>
        <v>10.567</v>
      </c>
      <c r="H136" s="19">
        <f>Fiscal!H$212</f>
        <v>11.61</v>
      </c>
      <c r="I136" s="19">
        <f>Fiscal!I$212</f>
        <v>12.727999999999998</v>
      </c>
      <c r="J136" s="7">
        <f ca="1">J$14*(I$136/I$14+MIN(ABS(OFFSET(Assumptions!$B$36,0,$C$1)-I$136/I$14),OFFSET(Assumptions!$B$31,0,$C$1))*SIGN(OFFSET(Assumptions!$B$36,0,$C$1)-I$136/I$14))</f>
        <v>13.420220063534053</v>
      </c>
      <c r="K136" s="7">
        <f ca="1">K$14*(J$136/J$14+MIN(ABS(OFFSET(Assumptions!$B$36,0,$C$1)-J$136/J$14),OFFSET(Assumptions!$B$31,0,$C$1))*SIGN(OFFSET(Assumptions!$B$36,0,$C$1)-J$136/J$14))</f>
        <v>14.143467243606207</v>
      </c>
      <c r="L136" s="7">
        <f ca="1">L$14*(K$136/K$14+MIN(ABS(OFFSET(Assumptions!$B$36,0,$C$1)-K$136/K$14),OFFSET(Assumptions!$B$31,0,$C$1))*SIGN(OFFSET(Assumptions!$B$36,0,$C$1)-K$136/K$14))</f>
        <v>14.911898943896396</v>
      </c>
      <c r="M136" s="7">
        <f ca="1">M$14*(L$136/L$14+MIN(ABS(OFFSET(Assumptions!$B$36,0,$C$1)-L$136/L$14),OFFSET(Assumptions!$B$31,0,$C$1))*SIGN(OFFSET(Assumptions!$B$36,0,$C$1)-L$136/L$14))</f>
        <v>15.556189215116499</v>
      </c>
      <c r="N136" s="7">
        <f ca="1">N$14*(M$136/M$14+MIN(ABS(OFFSET(Assumptions!$B$36,0,$C$1)-M$136/M$14),OFFSET(Assumptions!$B$31,0,$C$1))*SIGN(OFFSET(Assumptions!$B$36,0,$C$1)-M$136/M$14))</f>
        <v>16.227088400166757</v>
      </c>
      <c r="O136" s="7">
        <f ca="1">O$14*(N$136/N$14+MIN(ABS(OFFSET(Assumptions!$B$36,0,$C$1)-N$136/N$14),OFFSET(Assumptions!$B$31,0,$C$1))*SIGN(OFFSET(Assumptions!$B$36,0,$C$1)-N$136/N$14))</f>
        <v>16.919769791426202</v>
      </c>
      <c r="P136" s="7">
        <f ca="1">P$14*(O$136/O$14+MIN(ABS(OFFSET(Assumptions!$B$36,0,$C$1)-O$136/O$14),OFFSET(Assumptions!$B$31,0,$C$1))*SIGN(OFFSET(Assumptions!$B$36,0,$C$1)-O$136/O$14))</f>
        <v>17.635288264836042</v>
      </c>
      <c r="Q136" s="7">
        <f ca="1">Q$14*(P$136/P$14+MIN(ABS(OFFSET(Assumptions!$B$36,0,$C$1)-P$136/P$14),OFFSET(Assumptions!$B$31,0,$C$1))*SIGN(OFFSET(Assumptions!$B$36,0,$C$1)-P$136/P$14))</f>
        <v>18.372870929062383</v>
      </c>
      <c r="R136" s="7">
        <f ca="1">R$14*(Q$136/Q$14+MIN(ABS(OFFSET(Assumptions!$B$36,0,$C$1)-Q$136/Q$14),OFFSET(Assumptions!$B$31,0,$C$1))*SIGN(OFFSET(Assumptions!$B$36,0,$C$1)-Q$136/Q$14))</f>
        <v>19.131970337339343</v>
      </c>
      <c r="S136" s="7">
        <f ca="1">S$14*(R$136/R$14+MIN(ABS(OFFSET(Assumptions!$B$36,0,$C$1)-R$136/R$14),OFFSET(Assumptions!$B$31,0,$C$1))*SIGN(OFFSET(Assumptions!$B$36,0,$C$1)-R$136/R$14))</f>
        <v>19.914998876632513</v>
      </c>
      <c r="T136" s="7">
        <f ca="1">T$14*(S$136/S$14+MIN(ABS(OFFSET(Assumptions!$B$36,0,$C$1)-S$136/S$14),OFFSET(Assumptions!$B$31,0,$C$1))*SIGN(OFFSET(Assumptions!$B$36,0,$C$1)-S$136/S$14))</f>
        <v>20.722242090939393</v>
      </c>
      <c r="U136" s="7">
        <f ca="1">U$14*(T$136/T$14+MIN(ABS(OFFSET(Assumptions!$B$36,0,$C$1)-T$136/T$14),OFFSET(Assumptions!$B$31,0,$C$1))*SIGN(OFFSET(Assumptions!$B$36,0,$C$1)-T$136/T$14))</f>
        <v>21.556597154877462</v>
      </c>
      <c r="V136" s="7">
        <f ca="1">V$14*(U$136/U$14+MIN(ABS(OFFSET(Assumptions!$B$36,0,$C$1)-U$136/U$14),OFFSET(Assumptions!$B$31,0,$C$1))*SIGN(OFFSET(Assumptions!$B$36,0,$C$1)-U$136/U$14))</f>
        <v>22.420123678687695</v>
      </c>
      <c r="W136" s="7">
        <f ca="1">W$14*(V$136/V$14+MIN(ABS(OFFSET(Assumptions!$B$36,0,$C$1)-V$136/V$14),OFFSET(Assumptions!$B$31,0,$C$1))*SIGN(OFFSET(Assumptions!$B$36,0,$C$1)-V$136/V$14))</f>
        <v>23.315323516523215</v>
      </c>
      <c r="X136" s="7">
        <f ca="1">X$14*(W$136/W$14+MIN(ABS(OFFSET(Assumptions!$B$36,0,$C$1)-W$136/W$14),OFFSET(Assumptions!$B$31,0,$C$1))*SIGN(OFFSET(Assumptions!$B$36,0,$C$1)-W$136/W$14))</f>
        <v>24.245032175671934</v>
      </c>
      <c r="Y136" s="7">
        <f ca="1">Y$14*(X$136/X$14+MIN(ABS(OFFSET(Assumptions!$B$36,0,$C$1)-X$136/X$14),OFFSET(Assumptions!$B$31,0,$C$1))*SIGN(OFFSET(Assumptions!$B$36,0,$C$1)-X$136/X$14))</f>
        <v>25.209154609125473</v>
      </c>
      <c r="Z136" s="7">
        <f ca="1">Z$14*(Y$136/Y$14+MIN(ABS(OFFSET(Assumptions!$B$36,0,$C$1)-Y$136/Y$14),OFFSET(Assumptions!$B$31,0,$C$1))*SIGN(OFFSET(Assumptions!$B$36,0,$C$1)-Y$136/Y$14))</f>
        <v>26.212570859865409</v>
      </c>
      <c r="AA136" s="7">
        <f ca="1">AA$14*(Z$136/Z$14+MIN(ABS(OFFSET(Assumptions!$B$36,0,$C$1)-Z$136/Z$14),OFFSET(Assumptions!$B$31,0,$C$1))*SIGN(OFFSET(Assumptions!$B$36,0,$C$1)-Z$136/Z$14))</f>
        <v>27.256904458845714</v>
      </c>
      <c r="AB136" s="7">
        <f ca="1">AB$14*(AA$136/AA$14+MIN(ABS(OFFSET(Assumptions!$B$36,0,$C$1)-AA$136/AA$14),OFFSET(Assumptions!$B$31,0,$C$1))*SIGN(OFFSET(Assumptions!$B$36,0,$C$1)-AA$136/AA$14))</f>
        <v>28.345291636309646</v>
      </c>
      <c r="AC136" s="7">
        <f ca="1">AC$14*(AB$136/AB$14+MIN(ABS(OFFSET(Assumptions!$B$36,0,$C$1)-AB$136/AB$14),OFFSET(Assumptions!$B$31,0,$C$1))*SIGN(OFFSET(Assumptions!$B$36,0,$C$1)-AB$136/AB$14))</f>
        <v>29.481841201548878</v>
      </c>
      <c r="AD136" s="7">
        <f ca="1">AD$14*(AC$136/AC$14+MIN(ABS(OFFSET(Assumptions!$B$36,0,$C$1)-AC$136/AC$14),OFFSET(Assumptions!$B$31,0,$C$1))*SIGN(OFFSET(Assumptions!$B$36,0,$C$1)-AC$136/AC$14))</f>
        <v>30.667751091825306</v>
      </c>
      <c r="AE136" s="7">
        <f ca="1">AE$14*(AD$136/AD$14+MIN(ABS(OFFSET(Assumptions!$B$36,0,$C$1)-AD$136/AD$14),OFFSET(Assumptions!$B$31,0,$C$1))*SIGN(OFFSET(Assumptions!$B$36,0,$C$1)-AD$136/AD$14))</f>
        <v>31.901932206970347</v>
      </c>
      <c r="AF136" s="7">
        <f ca="1">AF$14*(AE$136/AE$14+MIN(ABS(OFFSET(Assumptions!$B$36,0,$C$1)-AE$136/AE$14),OFFSET(Assumptions!$B$31,0,$C$1))*SIGN(OFFSET(Assumptions!$B$36,0,$C$1)-AE$136/AE$14))</f>
        <v>33.187799031962271</v>
      </c>
      <c r="AG136" s="7">
        <f ca="1">AG$14*(AF$136/AF$14+MIN(ABS(OFFSET(Assumptions!$B$36,0,$C$1)-AF$136/AF$14),OFFSET(Assumptions!$B$31,0,$C$1))*SIGN(OFFSET(Assumptions!$B$36,0,$C$1)-AF$136/AF$14))</f>
        <v>34.52607056976057</v>
      </c>
      <c r="AH136" s="7">
        <f ca="1">AH$14*(AG$136/AG$14+MIN(ABS(OFFSET(Assumptions!$B$36,0,$C$1)-AG$136/AG$14),OFFSET(Assumptions!$B$31,0,$C$1))*SIGN(OFFSET(Assumptions!$B$36,0,$C$1)-AG$136/AG$14))</f>
        <v>35.918892831633805</v>
      </c>
      <c r="AI136" s="7">
        <f ca="1">AI$14*(AH$136/AH$14+MIN(ABS(OFFSET(Assumptions!$B$36,0,$C$1)-AH$136/AH$14),OFFSET(Assumptions!$B$31,0,$C$1))*SIGN(OFFSET(Assumptions!$B$36,0,$C$1)-AH$136/AH$14))</f>
        <v>37.36383209601955</v>
      </c>
      <c r="AJ136" s="7">
        <f ca="1">AJ$14*(AI$136/AI$14+MIN(ABS(OFFSET(Assumptions!$B$36,0,$C$1)-AI$136/AI$14),OFFSET(Assumptions!$B$31,0,$C$1))*SIGN(OFFSET(Assumptions!$B$36,0,$C$1)-AI$136/AI$14))</f>
        <v>38.865517223298774</v>
      </c>
      <c r="AK136" s="7">
        <f ca="1">AK$14*(AJ$136/AJ$14+MIN(ABS(OFFSET(Assumptions!$B$36,0,$C$1)-AJ$136/AJ$14),OFFSET(Assumptions!$B$31,0,$C$1))*SIGN(OFFSET(Assumptions!$B$36,0,$C$1)-AJ$136/AJ$14))</f>
        <v>40.422712881028502</v>
      </c>
      <c r="AL136" s="7">
        <f ca="1">AL$14*(AK$136/AK$14+MIN(ABS(OFFSET(Assumptions!$B$36,0,$C$1)-AK$136/AK$14),OFFSET(Assumptions!$B$31,0,$C$1))*SIGN(OFFSET(Assumptions!$B$36,0,$C$1)-AK$136/AK$14))</f>
        <v>42.034192423228951</v>
      </c>
      <c r="AM136" s="7">
        <f ca="1">AM$14*(AL$136/AL$14+MIN(ABS(OFFSET(Assumptions!$B$36,0,$C$1)-AL$136/AL$14),OFFSET(Assumptions!$B$31,0,$C$1))*SIGN(OFFSET(Assumptions!$B$36,0,$C$1)-AL$136/AL$14))</f>
        <v>43.702157340802088</v>
      </c>
      <c r="AN136" s="7">
        <f ca="1">AN$14*(AM$136/AM$14+MIN(ABS(OFFSET(Assumptions!$B$36,0,$C$1)-AM$136/AM$14),OFFSET(Assumptions!$B$31,0,$C$1))*SIGN(OFFSET(Assumptions!$B$36,0,$C$1)-AM$136/AM$14))</f>
        <v>45.428927756795552</v>
      </c>
      <c r="AO136" s="7">
        <f ca="1">AO$14*(AN$136/AN$14+MIN(ABS(OFFSET(Assumptions!$B$36,0,$C$1)-AN$136/AN$14),OFFSET(Assumptions!$B$31,0,$C$1))*SIGN(OFFSET(Assumptions!$B$36,0,$C$1)-AN$136/AN$14))</f>
        <v>47.207723240930605</v>
      </c>
      <c r="AP136" s="7">
        <f ca="1">AP$14*(AO$136/AO$14+MIN(ABS(OFFSET(Assumptions!$B$36,0,$C$1)-AO$136/AO$14),OFFSET(Assumptions!$B$31,0,$C$1))*SIGN(OFFSET(Assumptions!$B$36,0,$C$1)-AO$136/AO$14))</f>
        <v>49.046097439547189</v>
      </c>
      <c r="AQ136" s="7">
        <f ca="1">AQ$14*(AP$136/AP$14+MIN(ABS(OFFSET(Assumptions!$B$36,0,$C$1)-AP$136/AP$14),OFFSET(Assumptions!$B$31,0,$C$1))*SIGN(OFFSET(Assumptions!$B$36,0,$C$1)-AP$136/AP$14))</f>
        <v>50.938899233942195</v>
      </c>
      <c r="AR136" s="7">
        <f ca="1">AR$14*(AQ$136/AQ$14+MIN(ABS(OFFSET(Assumptions!$B$36,0,$C$1)-AQ$136/AQ$14),OFFSET(Assumptions!$B$31,0,$C$1))*SIGN(OFFSET(Assumptions!$B$36,0,$C$1)-AQ$136/AQ$14))</f>
        <v>52.888271614363184</v>
      </c>
      <c r="AS136" s="7">
        <f ca="1">AS$14*(AR$136/AR$14+MIN(ABS(OFFSET(Assumptions!$B$36,0,$C$1)-AR$136/AR$14),OFFSET(Assumptions!$B$31,0,$C$1))*SIGN(OFFSET(Assumptions!$B$36,0,$C$1)-AR$136/AR$14))</f>
        <v>54.898762410346222</v>
      </c>
      <c r="AT136" s="7">
        <f ca="1">AT$14*(AS$136/AS$14+MIN(ABS(OFFSET(Assumptions!$B$36,0,$C$1)-AS$136/AS$14),OFFSET(Assumptions!$B$31,0,$C$1))*SIGN(OFFSET(Assumptions!$B$36,0,$C$1)-AS$136/AS$14))</f>
        <v>56.971977335068388</v>
      </c>
      <c r="AU136" s="7">
        <f ca="1">AU$14*(AT$136/AT$14+MIN(ABS(OFFSET(Assumptions!$B$36,0,$C$1)-AT$136/AT$14),OFFSET(Assumptions!$B$31,0,$C$1))*SIGN(OFFSET(Assumptions!$B$36,0,$C$1)-AT$136/AT$14))</f>
        <v>59.110673301545518</v>
      </c>
      <c r="AV136" s="7">
        <f ca="1">AV$14*(AU$136/AU$14+MIN(ABS(OFFSET(Assumptions!$B$36,0,$C$1)-AU$136/AU$14),OFFSET(Assumptions!$B$31,0,$C$1))*SIGN(OFFSET(Assumptions!$B$36,0,$C$1)-AU$136/AU$14))</f>
        <v>61.321462939697213</v>
      </c>
      <c r="AW136" s="7">
        <f ca="1">AW$14*(AV$136/AV$14+MIN(ABS(OFFSET(Assumptions!$B$36,0,$C$1)-AV$136/AV$14),OFFSET(Assumptions!$B$31,0,$C$1))*SIGN(OFFSET(Assumptions!$B$36,0,$C$1)-AV$136/AV$14))</f>
        <v>63.603098134575028</v>
      </c>
    </row>
    <row r="137" spans="1:49" ht="15" x14ac:dyDescent="0.25">
      <c r="A137" s="2" t="s">
        <v>451</v>
      </c>
      <c r="D137" s="40">
        <f t="shared" ref="D137:I137" si="126">SUM(D$132:D$136)</f>
        <v>66.055000000000007</v>
      </c>
      <c r="E137" s="39">
        <f t="shared" si="126"/>
        <v>68.930999999999997</v>
      </c>
      <c r="F137" s="39">
        <f t="shared" si="126"/>
        <v>71.220999999999989</v>
      </c>
      <c r="G137" s="39">
        <f t="shared" si="126"/>
        <v>74.911000000000001</v>
      </c>
      <c r="H137" s="39">
        <f t="shared" si="126"/>
        <v>79.427999999999997</v>
      </c>
      <c r="I137" s="39">
        <f t="shared" si="126"/>
        <v>83.5</v>
      </c>
      <c r="J137" s="43">
        <f t="shared" ref="J137:AW137" ca="1" si="127">SUM(J$132:J$136)</f>
        <v>87.486146968149455</v>
      </c>
      <c r="K137" s="43">
        <f t="shared" ca="1" si="127"/>
        <v>91.53298751844163</v>
      </c>
      <c r="L137" s="43">
        <f t="shared" ca="1" si="127"/>
        <v>95.655890442633876</v>
      </c>
      <c r="M137" s="43">
        <f t="shared" ca="1" si="127"/>
        <v>99.788842243672633</v>
      </c>
      <c r="N137" s="43">
        <f t="shared" ca="1" si="127"/>
        <v>104.09248319407538</v>
      </c>
      <c r="O137" s="43">
        <f t="shared" ca="1" si="127"/>
        <v>108.54426976505002</v>
      </c>
      <c r="P137" s="43">
        <f t="shared" ca="1" si="127"/>
        <v>113.33488867037579</v>
      </c>
      <c r="Q137" s="43">
        <f t="shared" ca="1" si="127"/>
        <v>118.17096529374216</v>
      </c>
      <c r="R137" s="43">
        <f t="shared" ca="1" si="127"/>
        <v>123.0533546697053</v>
      </c>
      <c r="S137" s="43">
        <f t="shared" ca="1" si="127"/>
        <v>128.08965186561366</v>
      </c>
      <c r="T137" s="43">
        <f t="shared" ca="1" si="127"/>
        <v>133.281693448542</v>
      </c>
      <c r="U137" s="43">
        <f t="shared" ca="1" si="127"/>
        <v>138.64811351887096</v>
      </c>
      <c r="V137" s="43">
        <f t="shared" ca="1" si="127"/>
        <v>144.20215911519585</v>
      </c>
      <c r="W137" s="43">
        <f t="shared" ca="1" si="127"/>
        <v>149.95992170854706</v>
      </c>
      <c r="X137" s="43">
        <f t="shared" ca="1" si="127"/>
        <v>155.93963876625355</v>
      </c>
      <c r="Y137" s="43">
        <f t="shared" ca="1" si="127"/>
        <v>162.14069896323883</v>
      </c>
      <c r="Z137" s="43">
        <f t="shared" ca="1" si="127"/>
        <v>168.59448984867981</v>
      </c>
      <c r="AA137" s="43">
        <f t="shared" ca="1" si="127"/>
        <v>175.31145367848495</v>
      </c>
      <c r="AB137" s="43">
        <f t="shared" ca="1" si="127"/>
        <v>182.31176211535524</v>
      </c>
      <c r="AC137" s="43">
        <f t="shared" ca="1" si="127"/>
        <v>189.62184227359847</v>
      </c>
      <c r="AD137" s="43">
        <f t="shared" ca="1" si="127"/>
        <v>197.2493990678764</v>
      </c>
      <c r="AE137" s="43">
        <f t="shared" ca="1" si="127"/>
        <v>205.18742760392291</v>
      </c>
      <c r="AF137" s="43">
        <f t="shared" ca="1" si="127"/>
        <v>213.4578892283028</v>
      </c>
      <c r="AG137" s="43">
        <f t="shared" ca="1" si="127"/>
        <v>222.0654084373237</v>
      </c>
      <c r="AH137" s="43">
        <f t="shared" ca="1" si="127"/>
        <v>231.02378798528107</v>
      </c>
      <c r="AI137" s="43">
        <f t="shared" ca="1" si="127"/>
        <v>240.3173746175803</v>
      </c>
      <c r="AJ137" s="43">
        <f t="shared" ca="1" si="127"/>
        <v>249.97594032258075</v>
      </c>
      <c r="AK137" s="43">
        <f t="shared" ca="1" si="127"/>
        <v>259.99153966661515</v>
      </c>
      <c r="AL137" s="43">
        <f t="shared" ca="1" si="127"/>
        <v>270.35628308576804</v>
      </c>
      <c r="AM137" s="43">
        <f t="shared" ca="1" si="127"/>
        <v>281.08433016924982</v>
      </c>
      <c r="AN137" s="43">
        <f t="shared" ca="1" si="127"/>
        <v>292.1906035266623</v>
      </c>
      <c r="AO137" s="43">
        <f t="shared" ca="1" si="127"/>
        <v>303.6314926632582</v>
      </c>
      <c r="AP137" s="43">
        <f t="shared" ca="1" si="127"/>
        <v>315.45558125890574</v>
      </c>
      <c r="AQ137" s="43">
        <f t="shared" ca="1" si="127"/>
        <v>327.62973825467367</v>
      </c>
      <c r="AR137" s="43">
        <f t="shared" ca="1" si="127"/>
        <v>340.16774697419959</v>
      </c>
      <c r="AS137" s="43">
        <f t="shared" ca="1" si="127"/>
        <v>353.09885823018135</v>
      </c>
      <c r="AT137" s="43">
        <f t="shared" ca="1" si="127"/>
        <v>366.43339967782623</v>
      </c>
      <c r="AU137" s="43">
        <f t="shared" ca="1" si="127"/>
        <v>380.1891032803951</v>
      </c>
      <c r="AV137" s="43">
        <f t="shared" ca="1" si="127"/>
        <v>394.4085002712344</v>
      </c>
      <c r="AW137" s="43">
        <f t="shared" ca="1" si="127"/>
        <v>409.08356300192577</v>
      </c>
    </row>
    <row r="138" spans="1:49" x14ac:dyDescent="0.2">
      <c r="A138" s="1" t="s">
        <v>452</v>
      </c>
      <c r="B138" s="4" t="str">
        <f t="shared" si="125"/>
        <v>From Fiscal</v>
      </c>
      <c r="D138" s="18">
        <f>D$137-Fiscal!D$149</f>
        <v>-0.58099999999998886</v>
      </c>
      <c r="E138" s="19">
        <f>E$137-Fiscal!E$149</f>
        <v>-0.75100000000000477</v>
      </c>
      <c r="F138" s="19">
        <f>F$137-Fiscal!F$149</f>
        <v>-0.75000000000001421</v>
      </c>
      <c r="G138" s="19">
        <f>G$137-Fiscal!G$149</f>
        <v>-0.76699999999999591</v>
      </c>
      <c r="H138" s="19">
        <f>H$137-Fiscal!H$149</f>
        <v>-0.84100000000000819</v>
      </c>
      <c r="I138" s="19">
        <f>I$137-Fiscal!I$149</f>
        <v>-0.90099999999999625</v>
      </c>
      <c r="J138" s="7">
        <f ca="1">J$14*(I$138/I$14-MIN(ABS(OFFSET(Assumptions!$B$37,0,$C$1)+I$138/I$14),OFFSET(Assumptions!$B$31,0,$C$1))*SIGN(OFFSET(Assumptions!$B$37,0,$C$1)+I$138/I$14))</f>
        <v>-0.93539103554866121</v>
      </c>
      <c r="K138" s="7">
        <f ca="1">K$14*(J$138/J$14-MIN(ABS(OFFSET(Assumptions!$B$37,0,$C$1)+J$138/J$14),OFFSET(Assumptions!$B$31,0,$C$1))*SIGN(OFFSET(Assumptions!$B$37,0,$C$1)+J$138/J$14))</f>
        <v>-0.97448121151557809</v>
      </c>
      <c r="L138" s="7">
        <f ca="1">L$14*(K$138/K$14-MIN(ABS(OFFSET(Assumptions!$B$37,0,$C$1)+K$138/K$14),OFFSET(Assumptions!$B$31,0,$C$1))*SIGN(OFFSET(Assumptions!$B$37,0,$C$1)+K$138/K$14))</f>
        <v>-1.0167203825383908</v>
      </c>
      <c r="M138" s="7">
        <f ca="1">M$14*(L$138/L$14-MIN(ABS(OFFSET(Assumptions!$B$37,0,$C$1)+L$138/L$14),OFFSET(Assumptions!$B$31,0,$C$1))*SIGN(OFFSET(Assumptions!$B$37,0,$C$1)+L$138/L$14))</f>
        <v>-1.060649264667034</v>
      </c>
      <c r="N138" s="7">
        <f ca="1">N$14*(M$138/M$14-MIN(ABS(OFFSET(Assumptions!$B$37,0,$C$1)+M$138/M$14),OFFSET(Assumptions!$B$31,0,$C$1))*SIGN(OFFSET(Assumptions!$B$37,0,$C$1)+M$138/M$14))</f>
        <v>-1.1063923909204607</v>
      </c>
      <c r="O138" s="7">
        <f ca="1">O$14*(N$138/N$14-MIN(ABS(OFFSET(Assumptions!$B$37,0,$C$1)+N$138/N$14),OFFSET(Assumptions!$B$31,0,$C$1))*SIGN(OFFSET(Assumptions!$B$37,0,$C$1)+N$138/N$14))</f>
        <v>-1.1536206675972411</v>
      </c>
      <c r="P138" s="7">
        <f ca="1">P$14*(O$138/O$14-MIN(ABS(OFFSET(Assumptions!$B$37,0,$C$1)+O$138/O$14),OFFSET(Assumptions!$B$31,0,$C$1))*SIGN(OFFSET(Assumptions!$B$37,0,$C$1)+O$138/O$14))</f>
        <v>-1.2024060180570031</v>
      </c>
      <c r="Q138" s="7">
        <f ca="1">Q$14*(P$138/P$14-MIN(ABS(OFFSET(Assumptions!$B$37,0,$C$1)+P$138/P$14),OFFSET(Assumptions!$B$31,0,$C$1))*SIGN(OFFSET(Assumptions!$B$37,0,$C$1)+P$138/P$14))</f>
        <v>-1.2526957451633445</v>
      </c>
      <c r="R138" s="7">
        <f ca="1">R$14*(Q$138/Q$14-MIN(ABS(OFFSET(Assumptions!$B$37,0,$C$1)+Q$138/Q$14),OFFSET(Assumptions!$B$31,0,$C$1))*SIGN(OFFSET(Assumptions!$B$37,0,$C$1)+Q$138/Q$14))</f>
        <v>-1.3044525230004098</v>
      </c>
      <c r="S138" s="7">
        <f ca="1">S$14*(R$138/R$14-MIN(ABS(OFFSET(Assumptions!$B$37,0,$C$1)+R$138/R$14),OFFSET(Assumptions!$B$31,0,$C$1))*SIGN(OFFSET(Assumptions!$B$37,0,$C$1)+R$138/R$14))</f>
        <v>-1.3578408324976714</v>
      </c>
      <c r="T138" s="7">
        <f ca="1">T$14*(S$138/S$14-MIN(ABS(OFFSET(Assumptions!$B$37,0,$C$1)+S$138/S$14),OFFSET(Assumptions!$B$31,0,$C$1))*SIGN(OFFSET(Assumptions!$B$37,0,$C$1)+S$138/S$14))</f>
        <v>-1.4128801425640496</v>
      </c>
      <c r="U138" s="7">
        <f ca="1">U$14*(T$138/T$14-MIN(ABS(OFFSET(Assumptions!$B$37,0,$C$1)+T$138/T$14),OFFSET(Assumptions!$B$31,0,$C$1))*SIGN(OFFSET(Assumptions!$B$37,0,$C$1)+T$138/T$14))</f>
        <v>-1.4697679878325542</v>
      </c>
      <c r="V138" s="7">
        <f ca="1">V$14*(U$138/U$14-MIN(ABS(OFFSET(Assumptions!$B$37,0,$C$1)+U$138/U$14),OFFSET(Assumptions!$B$31,0,$C$1))*SIGN(OFFSET(Assumptions!$B$37,0,$C$1)+U$138/U$14))</f>
        <v>-1.5286447962741612</v>
      </c>
      <c r="W138" s="7">
        <f ca="1">W$14*(V$138/V$14-MIN(ABS(OFFSET(Assumptions!$B$37,0,$C$1)+V$138/V$14),OFFSET(Assumptions!$B$31,0,$C$1))*SIGN(OFFSET(Assumptions!$B$37,0,$C$1)+V$138/V$14))</f>
        <v>-1.5896811488538558</v>
      </c>
      <c r="X138" s="7">
        <f ca="1">X$14*(W$138/W$14-MIN(ABS(OFFSET(Assumptions!$B$37,0,$C$1)+W$138/W$14),OFFSET(Assumptions!$B$31,0,$C$1))*SIGN(OFFSET(Assumptions!$B$37,0,$C$1)+W$138/W$14))</f>
        <v>-1.6530703756139955</v>
      </c>
      <c r="Y138" s="7">
        <f ca="1">Y$14*(X$138/X$14-MIN(ABS(OFFSET(Assumptions!$B$37,0,$C$1)+X$138/X$14),OFFSET(Assumptions!$B$31,0,$C$1))*SIGN(OFFSET(Assumptions!$B$37,0,$C$1)+X$138/X$14))</f>
        <v>-1.718805996076737</v>
      </c>
      <c r="Z138" s="7">
        <f ca="1">Z$14*(Y$138/Y$14-MIN(ABS(OFFSET(Assumptions!$B$37,0,$C$1)+Y$138/Y$14),OFFSET(Assumptions!$B$31,0,$C$1))*SIGN(OFFSET(Assumptions!$B$37,0,$C$1)+Y$138/Y$14))</f>
        <v>-1.787220740445369</v>
      </c>
      <c r="AA138" s="7">
        <f ca="1">AA$14*(Z$138/Z$14-MIN(ABS(OFFSET(Assumptions!$B$37,0,$C$1)+Z$138/Z$14),OFFSET(Assumptions!$B$31,0,$C$1))*SIGN(OFFSET(Assumptions!$B$37,0,$C$1)+Z$138/Z$14))</f>
        <v>-1.8584253040122078</v>
      </c>
      <c r="AB138" s="7">
        <f ca="1">AB$14*(AA$138/AA$14-MIN(ABS(OFFSET(Assumptions!$B$37,0,$C$1)+AA$138/AA$14),OFFSET(Assumptions!$B$31,0,$C$1))*SIGN(OFFSET(Assumptions!$B$37,0,$C$1)+AA$138/AA$14))</f>
        <v>-1.9326335206574761</v>
      </c>
      <c r="AC138" s="7">
        <f ca="1">AC$14*(AB$138/AB$14-MIN(ABS(OFFSET(Assumptions!$B$37,0,$C$1)+AB$138/AB$14),OFFSET(Assumptions!$B$31,0,$C$1))*SIGN(OFFSET(Assumptions!$B$37,0,$C$1)+AB$138/AB$14))</f>
        <v>-2.0101255364692419</v>
      </c>
      <c r="AD138" s="7">
        <f ca="1">AD$14*(AC$138/AC$14-MIN(ABS(OFFSET(Assumptions!$B$37,0,$C$1)+AC$138/AC$14),OFFSET(Assumptions!$B$31,0,$C$1))*SIGN(OFFSET(Assumptions!$B$37,0,$C$1)+AC$138/AC$14))</f>
        <v>-2.0909830289880889</v>
      </c>
      <c r="AE138" s="7">
        <f ca="1">AE$14*(AD$138/AD$14-MIN(ABS(OFFSET(Assumptions!$B$37,0,$C$1)+AD$138/AD$14),OFFSET(Assumptions!$B$31,0,$C$1))*SIGN(OFFSET(Assumptions!$B$37,0,$C$1)+AD$138/AD$14))</f>
        <v>-2.1751317413843423</v>
      </c>
      <c r="AF138" s="7">
        <f ca="1">AF$14*(AE$138/AE$14-MIN(ABS(OFFSET(Assumptions!$B$37,0,$C$1)+AE$138/AE$14),OFFSET(Assumptions!$B$31,0,$C$1))*SIGN(OFFSET(Assumptions!$B$37,0,$C$1)+AE$138/AE$14))</f>
        <v>-2.2628044794519733</v>
      </c>
      <c r="AG138" s="7">
        <f ca="1">AG$14*(AF$138/AF$14-MIN(ABS(OFFSET(Assumptions!$B$37,0,$C$1)+AF$138/AF$14),OFFSET(Assumptions!$B$31,0,$C$1))*SIGN(OFFSET(Assumptions!$B$37,0,$C$1)+AF$138/AF$14))</f>
        <v>-2.3540502661200389</v>
      </c>
      <c r="AH138" s="7">
        <f ca="1">AH$14*(AG$138/AG$14-MIN(ABS(OFFSET(Assumptions!$B$37,0,$C$1)+AG$138/AG$14),OFFSET(Assumptions!$B$31,0,$C$1))*SIGN(OFFSET(Assumptions!$B$37,0,$C$1)+AG$138/AG$14))</f>
        <v>-2.4490154203386689</v>
      </c>
      <c r="AI138" s="7">
        <f ca="1">AI$14*(AH$138/AH$14-MIN(ABS(OFFSET(Assumptions!$B$37,0,$C$1)+AH$138/AH$14),OFFSET(Assumptions!$B$31,0,$C$1))*SIGN(OFFSET(Assumptions!$B$37,0,$C$1)+AH$138/AH$14))</f>
        <v>-2.5475340065467877</v>
      </c>
      <c r="AJ138" s="7">
        <f ca="1">AJ$14*(AI$138/AI$14-MIN(ABS(OFFSET(Assumptions!$B$37,0,$C$1)+AI$138/AI$14),OFFSET(Assumptions!$B$31,0,$C$1))*SIGN(OFFSET(Assumptions!$B$37,0,$C$1)+AI$138/AI$14))</f>
        <v>-2.6499216288612804</v>
      </c>
      <c r="AK138" s="7">
        <f ca="1">AK$14*(AJ$138/AJ$14-MIN(ABS(OFFSET(Assumptions!$B$37,0,$C$1)+AJ$138/AJ$14),OFFSET(Assumptions!$B$31,0,$C$1))*SIGN(OFFSET(Assumptions!$B$37,0,$C$1)+AJ$138/AJ$14))</f>
        <v>-2.7560940600701254</v>
      </c>
      <c r="AL138" s="7">
        <f ca="1">AL$14*(AK$138/AK$14-MIN(ABS(OFFSET(Assumptions!$B$37,0,$C$1)+AK$138/AK$14),OFFSET(Assumptions!$B$31,0,$C$1))*SIGN(OFFSET(Assumptions!$B$37,0,$C$1)+AK$138/AK$14))</f>
        <v>-2.8659676652201558</v>
      </c>
      <c r="AM138" s="7">
        <f ca="1">AM$14*(AL$138/AL$14-MIN(ABS(OFFSET(Assumptions!$B$37,0,$C$1)+AL$138/AL$14),OFFSET(Assumptions!$B$31,0,$C$1))*SIGN(OFFSET(Assumptions!$B$37,0,$C$1)+AL$138/AL$14))</f>
        <v>-2.9796925459637791</v>
      </c>
      <c r="AN138" s="7">
        <f ca="1">AN$14*(AM$138/AM$14-MIN(ABS(OFFSET(Assumptions!$B$37,0,$C$1)+AM$138/AM$14),OFFSET(Assumptions!$B$31,0,$C$1))*SIGN(OFFSET(Assumptions!$B$37,0,$C$1)+AM$138/AM$14))</f>
        <v>-3.0974268925087878</v>
      </c>
      <c r="AO138" s="7">
        <f ca="1">AO$14*(AN$138/AN$14-MIN(ABS(OFFSET(Assumptions!$B$37,0,$C$1)+AN$138/AN$14),OFFSET(Assumptions!$B$31,0,$C$1))*SIGN(OFFSET(Assumptions!$B$37,0,$C$1)+AN$138/AN$14))</f>
        <v>-3.2187084027907233</v>
      </c>
      <c r="AP138" s="7">
        <f ca="1">AP$14*(AO$138/AO$14-MIN(ABS(OFFSET(Assumptions!$B$37,0,$C$1)+AO$138/AO$14),OFFSET(Assumptions!$B$31,0,$C$1))*SIGN(OFFSET(Assumptions!$B$37,0,$C$1)+AO$138/AO$14))</f>
        <v>-3.3440520981509447</v>
      </c>
      <c r="AQ138" s="7">
        <f ca="1">AQ$14*(AP$138/AP$14-MIN(ABS(OFFSET(Assumptions!$B$37,0,$C$1)+AP$138/AP$14),OFFSET(Assumptions!$B$31,0,$C$1))*SIGN(OFFSET(Assumptions!$B$37,0,$C$1)+AP$138/AP$14))</f>
        <v>-3.4731067659506043</v>
      </c>
      <c r="AR138" s="7">
        <f ca="1">AR$14*(AQ$138/AQ$14-MIN(ABS(OFFSET(Assumptions!$B$37,0,$C$1)+AQ$138/AQ$14),OFFSET(Assumptions!$B$31,0,$C$1))*SIGN(OFFSET(Assumptions!$B$37,0,$C$1)+AQ$138/AQ$14))</f>
        <v>-3.6060185191611267</v>
      </c>
      <c r="AS138" s="7">
        <f ca="1">AS$14*(AR$138/AR$14-MIN(ABS(OFFSET(Assumptions!$B$37,0,$C$1)+AR$138/AR$14),OFFSET(Assumptions!$B$31,0,$C$1))*SIGN(OFFSET(Assumptions!$B$37,0,$C$1)+AR$138/AR$14))</f>
        <v>-3.7430974370690611</v>
      </c>
      <c r="AT138" s="7">
        <f ca="1">AT$14*(AS$138/AS$14-MIN(ABS(OFFSET(Assumptions!$B$37,0,$C$1)+AS$138/AS$14),OFFSET(Assumptions!$B$31,0,$C$1))*SIGN(OFFSET(Assumptions!$B$37,0,$C$1)+AS$138/AS$14))</f>
        <v>-3.8844530001182993</v>
      </c>
      <c r="AU138" s="7">
        <f ca="1">AU$14*(AT$138/AT$14-MIN(ABS(OFFSET(Assumptions!$B$37,0,$C$1)+AT$138/AT$14),OFFSET(Assumptions!$B$31,0,$C$1))*SIGN(OFFSET(Assumptions!$B$37,0,$C$1)+AT$138/AT$14))</f>
        <v>-4.0302731796508313</v>
      </c>
      <c r="AV138" s="7">
        <f ca="1">AV$14*(AU$138/AU$14-MIN(ABS(OFFSET(Assumptions!$B$37,0,$C$1)+AU$138/AU$14),OFFSET(Assumptions!$B$31,0,$C$1))*SIGN(OFFSET(Assumptions!$B$37,0,$C$1)+AU$138/AU$14))</f>
        <v>-4.1810088367975382</v>
      </c>
      <c r="AW138" s="7">
        <f ca="1">AW$14*(AV$138/AV$14-MIN(ABS(OFFSET(Assumptions!$B$37,0,$C$1)+AV$138/AV$14),OFFSET(Assumptions!$B$31,0,$C$1))*SIGN(OFFSET(Assumptions!$B$37,0,$C$1)+AV$138/AV$14))</f>
        <v>-4.3365748728119344</v>
      </c>
    </row>
    <row r="139" spans="1:49" ht="15" x14ac:dyDescent="0.25">
      <c r="A139" s="2" t="s">
        <v>453</v>
      </c>
      <c r="D139" s="40">
        <f t="shared" ref="D139:I139" si="128">D$137-D$138</f>
        <v>66.635999999999996</v>
      </c>
      <c r="E139" s="39">
        <f t="shared" si="128"/>
        <v>69.682000000000002</v>
      </c>
      <c r="F139" s="39">
        <f t="shared" si="128"/>
        <v>71.971000000000004</v>
      </c>
      <c r="G139" s="39">
        <f t="shared" si="128"/>
        <v>75.677999999999997</v>
      </c>
      <c r="H139" s="39">
        <f t="shared" si="128"/>
        <v>80.269000000000005</v>
      </c>
      <c r="I139" s="39">
        <f t="shared" si="128"/>
        <v>84.400999999999996</v>
      </c>
      <c r="J139" s="43">
        <f t="shared" ref="J139:AW139" ca="1" si="129">J$137-J$138</f>
        <v>88.421538003698117</v>
      </c>
      <c r="K139" s="43">
        <f t="shared" ca="1" si="129"/>
        <v>92.50746872995721</v>
      </c>
      <c r="L139" s="43">
        <f t="shared" ca="1" si="129"/>
        <v>96.672610825172271</v>
      </c>
      <c r="M139" s="43">
        <f t="shared" ca="1" si="129"/>
        <v>100.84949150833967</v>
      </c>
      <c r="N139" s="43">
        <f t="shared" ca="1" si="129"/>
        <v>105.19887558499585</v>
      </c>
      <c r="O139" s="43">
        <f t="shared" ca="1" si="129"/>
        <v>109.69789043264726</v>
      </c>
      <c r="P139" s="43">
        <f t="shared" ca="1" si="129"/>
        <v>114.53729468843279</v>
      </c>
      <c r="Q139" s="43">
        <f t="shared" ca="1" si="129"/>
        <v>119.42366103890551</v>
      </c>
      <c r="R139" s="43">
        <f t="shared" ca="1" si="129"/>
        <v>124.35780719270571</v>
      </c>
      <c r="S139" s="43">
        <f t="shared" ca="1" si="129"/>
        <v>129.44749269811132</v>
      </c>
      <c r="T139" s="43">
        <f t="shared" ca="1" si="129"/>
        <v>134.69457359110606</v>
      </c>
      <c r="U139" s="43">
        <f t="shared" ca="1" si="129"/>
        <v>140.1178815067035</v>
      </c>
      <c r="V139" s="43">
        <f t="shared" ca="1" si="129"/>
        <v>145.73080391147002</v>
      </c>
      <c r="W139" s="43">
        <f t="shared" ca="1" si="129"/>
        <v>151.54960285740091</v>
      </c>
      <c r="X139" s="43">
        <f t="shared" ca="1" si="129"/>
        <v>157.59270914186754</v>
      </c>
      <c r="Y139" s="43">
        <f t="shared" ca="1" si="129"/>
        <v>163.85950495931556</v>
      </c>
      <c r="Z139" s="43">
        <f t="shared" ca="1" si="129"/>
        <v>170.38171058912519</v>
      </c>
      <c r="AA139" s="43">
        <f t="shared" ca="1" si="129"/>
        <v>177.16987898249715</v>
      </c>
      <c r="AB139" s="43">
        <f t="shared" ca="1" si="129"/>
        <v>184.24439563601271</v>
      </c>
      <c r="AC139" s="43">
        <f t="shared" ca="1" si="129"/>
        <v>191.63196781006772</v>
      </c>
      <c r="AD139" s="43">
        <f t="shared" ca="1" si="129"/>
        <v>199.34038209686449</v>
      </c>
      <c r="AE139" s="43">
        <f t="shared" ca="1" si="129"/>
        <v>207.36255934530726</v>
      </c>
      <c r="AF139" s="43">
        <f t="shared" ca="1" si="129"/>
        <v>215.72069370775478</v>
      </c>
      <c r="AG139" s="43">
        <f t="shared" ca="1" si="129"/>
        <v>224.41945870344372</v>
      </c>
      <c r="AH139" s="43">
        <f t="shared" ca="1" si="129"/>
        <v>233.47280340561974</v>
      </c>
      <c r="AI139" s="43">
        <f t="shared" ca="1" si="129"/>
        <v>242.86490862412708</v>
      </c>
      <c r="AJ139" s="43">
        <f t="shared" ca="1" si="129"/>
        <v>252.62586195144203</v>
      </c>
      <c r="AK139" s="43">
        <f t="shared" ca="1" si="129"/>
        <v>262.74763372668525</v>
      </c>
      <c r="AL139" s="43">
        <f t="shared" ca="1" si="129"/>
        <v>273.22225075098822</v>
      </c>
      <c r="AM139" s="43">
        <f t="shared" ca="1" si="129"/>
        <v>284.06402271521358</v>
      </c>
      <c r="AN139" s="43">
        <f t="shared" ca="1" si="129"/>
        <v>295.28803041917109</v>
      </c>
      <c r="AO139" s="43">
        <f t="shared" ca="1" si="129"/>
        <v>306.8502010660489</v>
      </c>
      <c r="AP139" s="43">
        <f t="shared" ca="1" si="129"/>
        <v>318.79963335705668</v>
      </c>
      <c r="AQ139" s="43">
        <f t="shared" ca="1" si="129"/>
        <v>331.10284502062427</v>
      </c>
      <c r="AR139" s="43">
        <f t="shared" ca="1" si="129"/>
        <v>343.77376549336071</v>
      </c>
      <c r="AS139" s="43">
        <f t="shared" ca="1" si="129"/>
        <v>356.84195566725043</v>
      </c>
      <c r="AT139" s="43">
        <f t="shared" ca="1" si="129"/>
        <v>370.31785267794453</v>
      </c>
      <c r="AU139" s="43">
        <f t="shared" ca="1" si="129"/>
        <v>384.21937646004591</v>
      </c>
      <c r="AV139" s="43">
        <f t="shared" ca="1" si="129"/>
        <v>398.58950910803196</v>
      </c>
      <c r="AW139" s="43">
        <f t="shared" ca="1" si="129"/>
        <v>413.42013787473769</v>
      </c>
    </row>
    <row r="140" spans="1:49" ht="15" x14ac:dyDescent="0.25">
      <c r="A140" s="2"/>
      <c r="D140" s="55"/>
      <c r="E140" s="56"/>
      <c r="F140" s="56"/>
      <c r="G140" s="56"/>
      <c r="H140" s="56"/>
      <c r="I140" s="56"/>
      <c r="J140" s="56"/>
      <c r="K140" s="56"/>
      <c r="L140" s="56"/>
      <c r="M140" s="56"/>
      <c r="N140" s="56"/>
      <c r="O140" s="56"/>
      <c r="P140" s="56"/>
      <c r="Q140" s="56"/>
      <c r="R140" s="56"/>
      <c r="S140" s="56"/>
    </row>
    <row r="141" spans="1:49" x14ac:dyDescent="0.2">
      <c r="A141" s="22" t="s">
        <v>292</v>
      </c>
    </row>
    <row r="142" spans="1:49" ht="15" x14ac:dyDescent="0.25">
      <c r="A142" s="2" t="s">
        <v>462</v>
      </c>
      <c r="B142" s="4" t="str">
        <f t="shared" ref="B142:B144" si="130">$B$43</f>
        <v>From Fiscal</v>
      </c>
      <c r="D142" s="47">
        <f>Fiscal!D$150</f>
        <v>0.99299999999999999</v>
      </c>
      <c r="E142" s="44">
        <f>Fiscal!E$150</f>
        <v>1.1779999999999999</v>
      </c>
      <c r="F142" s="44">
        <f>Fiscal!F$150</f>
        <v>1.2250000000000001</v>
      </c>
      <c r="G142" s="44">
        <f>Fiscal!G$150</f>
        <v>1.323</v>
      </c>
      <c r="H142" s="44">
        <f>Fiscal!H$150</f>
        <v>1.409</v>
      </c>
      <c r="I142" s="44">
        <f>Fiscal!I$150</f>
        <v>1.4179999999999999</v>
      </c>
      <c r="J142" s="8">
        <f ca="1">IF(J$6=OFFSET(Assumptions!$B$8,0,$C$1),AVERAGE(G$142/G$14,H$142/H$14,I$142/I$14),I$142/I$14) *J$14</f>
        <v>1.5045671806531824</v>
      </c>
      <c r="K142" s="8">
        <f ca="1">IF(K$6=OFFSET(Assumptions!$B$8,0,$C$1),AVERAGE(H$142/H$14,I$142/I$14,J$142/J$14),J$142/J$14) *K$14</f>
        <v>1.5674433400460115</v>
      </c>
      <c r="L142" s="8">
        <f ca="1">IF(L$6=OFFSET(Assumptions!$B$8,0,$C$1),AVERAGE(I$142/I$14,J$142/J$14,K$142/K$14),K$142/K$14) *L$14</f>
        <v>1.6353846266776972</v>
      </c>
      <c r="M142" s="8">
        <f ca="1">IF(M$6=OFFSET(Assumptions!$B$8,0,$C$1),AVERAGE(J$142/J$14,K$142/K$14,L$142/L$14),L$142/L$14) *M$14</f>
        <v>1.7060437968233368</v>
      </c>
      <c r="N142" s="8">
        <f ca="1">IF(N$6=OFFSET(Assumptions!$B$8,0,$C$1),AVERAGE(K$142/K$14,L$142/L$14,M$142/M$14),M$142/M$14) *N$14</f>
        <v>1.7796211606057593</v>
      </c>
      <c r="O142" s="8">
        <f ca="1">IF(O$6=OFFSET(Assumptions!$B$8,0,$C$1),AVERAGE(L$142/L$14,M$142/M$14,N$142/N$14),N$142/N$14) *O$14</f>
        <v>1.8555873740781945</v>
      </c>
      <c r="P142" s="8">
        <f ca="1">IF(P$6=OFFSET(Assumptions!$B$8,0,$C$1),AVERAGE(M$142/M$14,N$142/N$14,O$142/O$14),O$142/O$14) *P$14</f>
        <v>1.9340581252495135</v>
      </c>
      <c r="Q142" s="8">
        <f ca="1">IF(Q$6=OFFSET(Assumptions!$B$8,0,$C$1),AVERAGE(N$142/N$14,O$142/O$14,P$142/P$14),P$142/P$14) *Q$14</f>
        <v>2.0149486512997496</v>
      </c>
      <c r="R142" s="8">
        <f ca="1">IF(R$6=OFFSET(Assumptions!$B$8,0,$C$1),AVERAGE(O$142/O$14,P$142/P$14,Q$142/Q$14),Q$142/Q$14) *R$14</f>
        <v>2.0981989138643575</v>
      </c>
      <c r="S142" s="8">
        <f ca="1">IF(S$6=OFFSET(Assumptions!$B$8,0,$C$1),AVERAGE(P$142/P$14,Q$142/Q$14,R$142/R$14),R$142/R$14) *S$14</f>
        <v>2.1840734788830596</v>
      </c>
      <c r="T142" s="8">
        <f ca="1">IF(T$6=OFFSET(Assumptions!$B$8,0,$C$1),AVERAGE(Q$142/Q$14,R$142/R$14,S$142/S$14),S$142/S$14) *T$14</f>
        <v>2.2726036619022865</v>
      </c>
      <c r="U142" s="8">
        <f ca="1">IF(U$6=OFFSET(Assumptions!$B$8,0,$C$1),AVERAGE(R$142/R$14,S$142/S$14,T$142/T$14),T$142/T$14) *U$14</f>
        <v>2.3641071954152673</v>
      </c>
      <c r="V142" s="8">
        <f ca="1">IF(V$6=OFFSET(Assumptions!$B$8,0,$C$1),AVERAGE(S$142/S$14,T$142/T$14,U$142/U$14),U$142/U$14) *V$14</f>
        <v>2.4588099564171255</v>
      </c>
      <c r="W142" s="8">
        <f ca="1">IF(W$6=OFFSET(Assumptions!$B$8,0,$C$1),AVERAGE(T$142/T$14,U$142/U$14,V$142/V$14),V$142/V$14) *W$14</f>
        <v>2.5569863226940583</v>
      </c>
      <c r="X142" s="8">
        <f ca="1">IF(X$6=OFFSET(Assumptions!$B$8,0,$C$1),AVERAGE(U$142/U$14,V$142/V$14,W$142/W$14),W$142/W$14) *X$14</f>
        <v>2.6589472636970335</v>
      </c>
      <c r="Y142" s="8">
        <f ca="1">IF(Y$6=OFFSET(Assumptions!$B$8,0,$C$1),AVERAGE(V$142/V$14,W$142/W$14,X$142/X$14),X$142/X$14) *Y$14</f>
        <v>2.7646823556418711</v>
      </c>
      <c r="Z142" s="8">
        <f ca="1">IF(Z$6=OFFSET(Assumptions!$B$8,0,$C$1),AVERAGE(W$142/W$14,X$142/X$14,Y$142/Y$14),Y$142/Y$14) *Z$14</f>
        <v>2.8747267917524266</v>
      </c>
      <c r="AA142" s="8">
        <f ca="1">IF(AA$6=OFFSET(Assumptions!$B$8,0,$C$1),AVERAGE(X$142/X$14,Y$142/Y$14,Z$142/Z$14),Z$142/Z$14) *AA$14</f>
        <v>2.9892586243058141</v>
      </c>
      <c r="AB142" s="8">
        <f ca="1">IF(AB$6=OFFSET(Assumptions!$B$8,0,$C$1),AVERAGE(Y$142/Y$14,Z$142/Z$14,AA$142/AA$14),AA$142/AA$14) *AB$14</f>
        <v>3.1086218029723511</v>
      </c>
      <c r="AC142" s="8">
        <f ca="1">IF(AC$6=OFFSET(Assumptions!$B$8,0,$C$1),AVERAGE(Z$142/Z$14,AA$142/AA$14,AB$142/AB$14),AB$142/AB$14) *AC$14</f>
        <v>3.2332669399493721</v>
      </c>
      <c r="AD142" s="8">
        <f ca="1">IF(AD$6=OFFSET(Assumptions!$B$8,0,$C$1),AVERAGE(AA$142/AA$14,AB$142/AB$14,AC$142/AC$14),AC$142/AC$14) *AD$14</f>
        <v>3.3633254127488357</v>
      </c>
      <c r="AE142" s="8">
        <f ca="1">IF(AE$6=OFFSET(Assumptions!$B$8,0,$C$1),AVERAGE(AB$142/AB$14,AC$142/AC$14,AD$142/AD$14),AD$142/AD$14) *AE$14</f>
        <v>3.4986777799984998</v>
      </c>
      <c r="AF142" s="8">
        <f ca="1">IF(AF$6=OFFSET(Assumptions!$B$8,0,$C$1),AVERAGE(AC$142/AC$14,AD$142/AD$14,AE$142/AE$14),AE$142/AE$14) *AF$14</f>
        <v>3.6396985075033217</v>
      </c>
      <c r="AG142" s="8">
        <f ca="1">IF(AG$6=OFFSET(Assumptions!$B$8,0,$C$1),AVERAGE(AD$142/AD$14,AE$142/AE$14,AF$142/AF$14),AF$142/AF$14) *AG$14</f>
        <v>3.7864664481572827</v>
      </c>
      <c r="AH142" s="8">
        <f ca="1">IF(AH$6=OFFSET(Assumptions!$B$8,0,$C$1),AVERAGE(AE$142/AE$14,AF$142/AF$14,AG$142/AG$14),AG$142/AG$14) *AH$14</f>
        <v>3.9392169545369065</v>
      </c>
      <c r="AI142" s="8">
        <f ca="1">IF(AI$6=OFFSET(Assumptions!$B$8,0,$C$1),AVERAGE(AF$142/AF$14,AG$142/AG$14,AH$142/AH$14),AH$142/AH$14) *AI$14</f>
        <v>4.0976831209420004</v>
      </c>
      <c r="AJ142" s="8">
        <f ca="1">IF(AJ$6=OFFSET(Assumptions!$B$8,0,$C$1),AVERAGE(AG$142/AG$14,AH$142/AH$14,AI$142/AI$14),AI$142/AI$14) *AJ$14</f>
        <v>4.2623725934567123</v>
      </c>
      <c r="AK142" s="8">
        <f ca="1">IF(AK$6=OFFSET(Assumptions!$B$8,0,$C$1),AVERAGE(AH$142/AH$14,AI$142/AI$14,AJ$142/AJ$14),AJ$142/AJ$14) *AK$14</f>
        <v>4.4331498934479256</v>
      </c>
      <c r="AL142" s="8">
        <f ca="1">IF(AL$6=OFFSET(Assumptions!$B$8,0,$C$1),AVERAGE(AI$142/AI$14,AJ$142/AJ$14,AK$142/AK$14),AK$142/AK$14) *AL$14</f>
        <v>4.6098804949250045</v>
      </c>
      <c r="AM142" s="8">
        <f ca="1">IF(AM$6=OFFSET(Assumptions!$B$8,0,$C$1),AVERAGE(AJ$142/AJ$14,AK$142/AK$14,AL$142/AL$14),AL$142/AL$14) *AM$14</f>
        <v>4.7928058349034757</v>
      </c>
      <c r="AN142" s="8">
        <f ca="1">IF(AN$6=OFFSET(Assumptions!$B$8,0,$C$1),AVERAGE(AK$142/AK$14,AL$142/AL$14,AM$142/AM$14),AM$142/AM$14) *AN$14</f>
        <v>4.9821803607597834</v>
      </c>
      <c r="AO142" s="8">
        <f ca="1">IF(AO$6=OFFSET(Assumptions!$B$8,0,$C$1),AVERAGE(AL$142/AL$14,AM$142/AM$14,AN$142/AN$14),AN$142/AN$14) *AO$14</f>
        <v>5.1772604642196356</v>
      </c>
      <c r="AP142" s="8">
        <f ca="1">IF(AP$6=OFFSET(Assumptions!$B$8,0,$C$1),AVERAGE(AM$142/AM$14,AN$142/AN$14,AO$142/AO$14),AO$142/AO$14) *AP$14</f>
        <v>5.3788745519900649</v>
      </c>
      <c r="AQ142" s="8">
        <f ca="1">IF(AQ$6=OFFSET(Assumptions!$B$8,0,$C$1),AVERAGE(AN$142/AN$14,AO$142/AO$14,AP$142/AP$14),AP$142/AP$14) *AQ$14</f>
        <v>5.5864577020333765</v>
      </c>
      <c r="AR142" s="8">
        <f ca="1">IF(AR$6=OFFSET(Assumptions!$B$8,0,$C$1),AVERAGE(AO$142/AO$14,AP$142/AP$14,AQ$142/AQ$14),AQ$142/AQ$14) *AR$14</f>
        <v>5.8002449356113965</v>
      </c>
      <c r="AS142" s="8">
        <f ca="1">IF(AS$6=OFFSET(Assumptions!$B$8,0,$C$1),AVERAGE(AP$142/AP$14,AQ$142/AQ$14,AR$142/AR$14),AR$142/AR$14) *AS$14</f>
        <v>6.0207350121736072</v>
      </c>
      <c r="AT142" s="8">
        <f ca="1">IF(AT$6=OFFSET(Assumptions!$B$8,0,$C$1),AVERAGE(AQ$142/AQ$14,AR$142/AR$14,AS$142/AS$14),AS$142/AS$14) *AT$14</f>
        <v>6.2481040299255115</v>
      </c>
      <c r="AU142" s="8">
        <f ca="1">IF(AU$6=OFFSET(Assumptions!$B$8,0,$C$1),AVERAGE(AR$142/AR$14,AS$142/AS$14,AT$142/AT$14),AT$142/AT$14) *AU$14</f>
        <v>6.4826543389018134</v>
      </c>
      <c r="AV142" s="8">
        <f ca="1">IF(AV$6=OFFSET(Assumptions!$B$8,0,$C$1),AVERAGE(AS$142/AS$14,AT$142/AT$14,AU$142/AU$14),AU$142/AU$14) *AV$14</f>
        <v>6.7251111447488992</v>
      </c>
      <c r="AW142" s="8">
        <f ca="1">IF(AW$6=OFFSET(Assumptions!$B$8,0,$C$1),AVERAGE(AT$142/AT$14,AU$142/AU$14,AV$142/AV$14),AV$142/AV$14) *AW$14</f>
        <v>6.9753375669791291</v>
      </c>
    </row>
    <row r="143" spans="1:49" x14ac:dyDescent="0.2">
      <c r="A143" s="1" t="s">
        <v>278</v>
      </c>
      <c r="B143" s="4" t="str">
        <f t="shared" si="130"/>
        <v>From Fiscal</v>
      </c>
      <c r="D143" s="18">
        <f>Fiscal!D$215</f>
        <v>3.2759999999999998</v>
      </c>
      <c r="E143" s="19">
        <f>Fiscal!E$215</f>
        <v>2.766</v>
      </c>
      <c r="F143" s="19">
        <f>Fiscal!F$215</f>
        <v>2.6680000000000001</v>
      </c>
      <c r="G143" s="19">
        <f>Fiscal!G$215</f>
        <v>2.7519999999999998</v>
      </c>
      <c r="H143" s="19">
        <f>Fiscal!H$215</f>
        <v>2.891</v>
      </c>
      <c r="I143" s="19">
        <f>Fiscal!I$215</f>
        <v>3.0110000000000001</v>
      </c>
      <c r="J143" s="7">
        <f>I$143*(Exogenous!Q$23-Exogenous!Q$24)/(Exogenous!P$23-Exogenous!P$24)</f>
        <v>3.1574626324099264</v>
      </c>
      <c r="K143" s="7">
        <f>J$143*(Exogenous!R$23-Exogenous!R$24)/(Exogenous!Q$23-Exogenous!Q$24)</f>
        <v>3.3034896683506916</v>
      </c>
      <c r="L143" s="7">
        <f>K$143*(Exogenous!S$23-Exogenous!S$24)/(Exogenous!R$23-Exogenous!R$24)</f>
        <v>3.4621626588744023</v>
      </c>
      <c r="M143" s="7">
        <f>L$143*(Exogenous!T$23-Exogenous!T$24)/(Exogenous!S$23-Exogenous!S$24)</f>
        <v>3.6169054117890558</v>
      </c>
      <c r="N143" s="7">
        <f>M$143*(Exogenous!U$23-Exogenous!U$24)/(Exogenous!T$23-Exogenous!T$24)</f>
        <v>3.7805587988901208</v>
      </c>
      <c r="O143" s="7">
        <f>N$143*(Exogenous!V$23-Exogenous!V$24)/(Exogenous!U$23-Exogenous!U$24)</f>
        <v>3.9503931135580856</v>
      </c>
      <c r="P143" s="7">
        <f>O$143*(Exogenous!W$23-Exogenous!W$24)/(Exogenous!V$23-Exogenous!V$24)</f>
        <v>4.1326334733391263</v>
      </c>
      <c r="Q143" s="7">
        <f>P$143*(Exogenous!X$23-Exogenous!X$24)/(Exogenous!W$23-Exogenous!W$24)</f>
        <v>4.3038105674654483</v>
      </c>
      <c r="R143" s="7">
        <f>Q$143*(Exogenous!Y$23-Exogenous!Y$24)/(Exogenous!X$23-Exogenous!X$24)</f>
        <v>4.4915149336390447</v>
      </c>
      <c r="S143" s="7">
        <f>R$143*(Exogenous!Z$23-Exogenous!Z$24)/(Exogenous!Y$23-Exogenous!Y$24)</f>
        <v>4.6780632420368828</v>
      </c>
      <c r="T143" s="7">
        <f>S$143*(Exogenous!AA$23-Exogenous!AA$24)/(Exogenous!Z$23-Exogenous!Z$24)</f>
        <v>4.885674650891854</v>
      </c>
      <c r="U143" s="7">
        <f>T$143*(Exogenous!AB$23-Exogenous!AB$24)/(Exogenous!AA$23-Exogenous!AA$24)</f>
        <v>5.0993604519056719</v>
      </c>
      <c r="V143" s="7">
        <f>U$143*(Exogenous!AC$23-Exogenous!AC$24)/(Exogenous!AB$23-Exogenous!AB$24)</f>
        <v>5.3267268106319721</v>
      </c>
      <c r="W143" s="7">
        <f>V$143*(Exogenous!AD$23-Exogenous!AD$24)/(Exogenous!AC$23-Exogenous!AC$24)</f>
        <v>5.5674076981520884</v>
      </c>
      <c r="X143" s="7">
        <f>W$143*(Exogenous!AE$23-Exogenous!AE$24)/(Exogenous!AD$23-Exogenous!AD$24)</f>
        <v>5.820083629646037</v>
      </c>
      <c r="Y143" s="7">
        <f>X$143*(Exogenous!AF$23-Exogenous!AF$24)/(Exogenous!AE$23-Exogenous!AE$24)</f>
        <v>6.0656869572333658</v>
      </c>
      <c r="Z143" s="7">
        <f>Y$143*(Exogenous!AG$23-Exogenous!AG$24)/(Exogenous!AF$23-Exogenous!AF$24)</f>
        <v>6.356669146539291</v>
      </c>
      <c r="AA143" s="7">
        <f>Z$143*(Exogenous!AH$23-Exogenous!AH$24)/(Exogenous!AG$23-Exogenous!AG$24)</f>
        <v>6.6587996028623975</v>
      </c>
      <c r="AB143" s="7">
        <f>AA$143*(Exogenous!AI$23-Exogenous!AI$24)/(Exogenous!AH$23-Exogenous!AH$24)</f>
        <v>6.9701741738484646</v>
      </c>
      <c r="AC143" s="7">
        <f>AB$143*(Exogenous!AJ$23-Exogenous!AJ$24)/(Exogenous!AI$23-Exogenous!AI$24)</f>
        <v>7.2933606615880144</v>
      </c>
      <c r="AD143" s="7">
        <f>AC$143*(Exogenous!AK$23-Exogenous!AK$24)/(Exogenous!AJ$23-Exogenous!AJ$24)</f>
        <v>7.6661231393579099</v>
      </c>
      <c r="AE143" s="7">
        <f>AD$143*(Exogenous!AL$23-Exogenous!AL$24)/(Exogenous!AK$23-Exogenous!AK$24)</f>
        <v>8.0489384808614641</v>
      </c>
      <c r="AF143" s="7">
        <f>AE$143*(Exogenous!AM$23-Exogenous!AM$24)/(Exogenous!AL$23-Exogenous!AL$24)</f>
        <v>8.4348380468617137</v>
      </c>
      <c r="AG143" s="7">
        <f>AF$143*(Exogenous!AN$23-Exogenous!AN$24)/(Exogenous!AM$23-Exogenous!AM$24)</f>
        <v>8.8609681909439217</v>
      </c>
      <c r="AH143" s="7">
        <f>AG$143*(Exogenous!AO$23-Exogenous!AO$24)/(Exogenous!AN$23-Exogenous!AN$24)</f>
        <v>9.2986195350953516</v>
      </c>
      <c r="AI143" s="7">
        <f>AH$143*(Exogenous!AP$23-Exogenous!AP$24)/(Exogenous!AO$23-Exogenous!AO$24)</f>
        <v>9.7402616420847909</v>
      </c>
      <c r="AJ143" s="7">
        <f>AI$143*(Exogenous!AQ$23-Exogenous!AQ$24)/(Exogenous!AP$23-Exogenous!AP$24)</f>
        <v>10.22697354068119</v>
      </c>
      <c r="AK143" s="7">
        <f>AJ$143*(Exogenous!AR$23-Exogenous!AR$24)/(Exogenous!AQ$23-Exogenous!AQ$24)</f>
        <v>10.736013991589747</v>
      </c>
      <c r="AL143" s="7">
        <f>AK$143*(Exogenous!AS$23-Exogenous!AS$24)/(Exogenous!AR$23-Exogenous!AR$24)</f>
        <v>11.268382157903694</v>
      </c>
      <c r="AM143" s="7">
        <f>AL$143*(Exogenous!AT$23-Exogenous!AT$24)/(Exogenous!AS$23-Exogenous!AS$24)</f>
        <v>11.825141219305118</v>
      </c>
      <c r="AN143" s="7">
        <f>AM$143*(Exogenous!AU$23-Exogenous!AU$24)/(Exogenous!AT$23-Exogenous!AT$24)</f>
        <v>12.40734632318958</v>
      </c>
      <c r="AO143" s="7">
        <f>AN$143*(Exogenous!AV$23-Exogenous!AV$24)/(Exogenous!AU$23-Exogenous!AU$24)</f>
        <v>13.016081526003394</v>
      </c>
      <c r="AP143" s="7">
        <f>AO$143*(Exogenous!AW$23-Exogenous!AW$24)/(Exogenous!AV$23-Exogenous!AV$24)</f>
        <v>13.65254990266425</v>
      </c>
      <c r="AQ143" s="7">
        <f>AP$143*(Exogenous!AX$23-Exogenous!AX$24)/(Exogenous!AW$23-Exogenous!AW$24)</f>
        <v>14.317975787842224</v>
      </c>
      <c r="AR143" s="7">
        <f>AQ$143*(Exogenous!AY$23-Exogenous!AY$24)/(Exogenous!AX$23-Exogenous!AX$24)</f>
        <v>15.024993646574675</v>
      </c>
      <c r="AS143" s="7">
        <f>AR$143*(Exogenous!AZ$23-Exogenous!AZ$24)/(Exogenous!AY$23-Exogenous!AY$24)</f>
        <v>15.78674329369573</v>
      </c>
      <c r="AT143" s="7">
        <f>AS$143*(Exogenous!BA$23-Exogenous!BA$24)/(Exogenous!AZ$23-Exogenous!AZ$24)</f>
        <v>16.557060461503912</v>
      </c>
      <c r="AU143" s="7">
        <f>AT$143*(Exogenous!BB$23-Exogenous!BB$24)/(Exogenous!BA$23-Exogenous!BA$24)</f>
        <v>17.361125965067476</v>
      </c>
      <c r="AV143" s="7">
        <f>AU$143*(Exogenous!BC$23-Exogenous!BC$24)/(Exogenous!BB$23-Exogenous!BB$24)</f>
        <v>18.200385498011268</v>
      </c>
      <c r="AW143" s="7">
        <f>AV$143*(Exogenous!BD$23-Exogenous!BD$24)/(Exogenous!BC$23-Exogenous!BC$24)</f>
        <v>19.076346370727236</v>
      </c>
    </row>
    <row r="144" spans="1:49" x14ac:dyDescent="0.2">
      <c r="A144" s="1" t="s">
        <v>463</v>
      </c>
      <c r="B144" s="4" t="str">
        <f t="shared" si="130"/>
        <v>From Fiscal</v>
      </c>
      <c r="D144" s="18">
        <f>Fiscal!D$216-D$142</f>
        <v>0.68400000000000005</v>
      </c>
      <c r="E144" s="19">
        <f>Fiscal!E$216-E$142</f>
        <v>0.69300000000000006</v>
      </c>
      <c r="F144" s="19">
        <f>Fiscal!F$216-F$142</f>
        <v>0.7</v>
      </c>
      <c r="G144" s="19">
        <f>Fiscal!G$216-G$142</f>
        <v>0.70799999999999974</v>
      </c>
      <c r="H144" s="19">
        <f>Fiscal!H$216-H$142</f>
        <v>0.71500000000000008</v>
      </c>
      <c r="I144" s="19">
        <f>Fiscal!I$216-I$142</f>
        <v>0.7220000000000002</v>
      </c>
      <c r="J144" s="7">
        <f ca="1">IF(J$6=OFFSET(Assumptions!$B$8,0,$C$1),AVERAGE(G$144/G$14,H$144/H$14,I$144/I$14),I$144/I$14) *J$14</f>
        <v>0.7782587579932978</v>
      </c>
      <c r="K144" s="7">
        <f ca="1">IF(K$6=OFFSET(Assumptions!$B$8,0,$C$1),AVERAGE(H$144/H$14,I$144/I$14,J$144/J$14),J$144/J$14) *K$14</f>
        <v>0.81078234507247893</v>
      </c>
      <c r="L144" s="7">
        <f ca="1">IF(L$6=OFFSET(Assumptions!$B$8,0,$C$1),AVERAGE(I$144/I$14,J$144/J$14,K$144/K$14),K$144/K$14) *L$14</f>
        <v>0.84592594120454878</v>
      </c>
      <c r="M144" s="7">
        <f ca="1">IF(M$6=OFFSET(Assumptions!$B$8,0,$C$1),AVERAGE(J$144/J$14,K$144/K$14,L$144/L$14),L$144/L$14) *M$14</f>
        <v>0.88247540121238244</v>
      </c>
      <c r="N144" s="7">
        <f ca="1">IF(N$6=OFFSET(Assumptions!$B$8,0,$C$1),AVERAGE(K$144/K$14,L$144/L$14,M$144/M$14),M$144/M$14) *N$14</f>
        <v>0.9205343383539395</v>
      </c>
      <c r="O144" s="7">
        <f ca="1">IF(O$6=OFFSET(Assumptions!$B$8,0,$C$1),AVERAGE(L$144/L$14,M$144/M$14,N$144/N$14),N$144/N$14) *O$14</f>
        <v>0.95982894194940305</v>
      </c>
      <c r="P144" s="7">
        <f ca="1">IF(P$6=OFFSET(Assumptions!$B$8,0,$C$1),AVERAGE(M$144/M$14,N$144/N$14,O$144/O$14),O$144/O$14) *P$14</f>
        <v>1.0004190532655886</v>
      </c>
      <c r="Q144" s="7">
        <f ca="1">IF(Q$6=OFFSET(Assumptions!$B$8,0,$C$1),AVERAGE(N$144/N$14,O$144/O$14,P$144/P$14),P$144/P$14) *Q$14</f>
        <v>1.0422608275291683</v>
      </c>
      <c r="R144" s="7">
        <f ca="1">IF(R$6=OFFSET(Assumptions!$B$8,0,$C$1),AVERAGE(O$144/O$14,P$144/P$14,Q$144/Q$14),Q$144/Q$14) *R$14</f>
        <v>1.0853232090427807</v>
      </c>
      <c r="S144" s="7">
        <f ca="1">IF(S$6=OFFSET(Assumptions!$B$8,0,$C$1),AVERAGE(P$144/P$14,Q$144/Q$14,R$144/R$14),R$144/R$14) *S$14</f>
        <v>1.129743048298915</v>
      </c>
      <c r="T144" s="7">
        <f ca="1">IF(T$6=OFFSET(Assumptions!$B$8,0,$C$1),AVERAGE(Q$144/Q$14,R$144/R$14,S$144/S$14),S$144/S$14) *T$14</f>
        <v>1.1755365437090377</v>
      </c>
      <c r="U144" s="7">
        <f ca="1">IF(U$6=OFFSET(Assumptions!$B$8,0,$C$1),AVERAGE(R$144/R$14,S$144/S$14,T$144/T$14),T$144/T$14) *U$14</f>
        <v>1.222868046921074</v>
      </c>
      <c r="V144" s="7">
        <f ca="1">IF(V$6=OFFSET(Assumptions!$B$8,0,$C$1),AVERAGE(S$144/S$14,T$144/T$14,U$144/U$14),U$144/U$14) *V$14</f>
        <v>1.2718543960210493</v>
      </c>
      <c r="W144" s="7">
        <f ca="1">IF(W$6=OFFSET(Assumptions!$B$8,0,$C$1),AVERAGE(T$144/T$14,U$144/U$14,V$144/V$14),V$144/V$14) *W$14</f>
        <v>1.3226375168184938</v>
      </c>
      <c r="X144" s="7">
        <f ca="1">IF(X$6=OFFSET(Assumptions!$B$8,0,$C$1),AVERAGE(U$144/U$14,V$144/V$14,W$144/W$14),W$144/W$14) *X$14</f>
        <v>1.3753782626816025</v>
      </c>
      <c r="Y144" s="7">
        <f ca="1">IF(Y$6=OFFSET(Assumptions!$B$8,0,$C$1),AVERAGE(V$144/V$14,W$144/W$14,X$144/X$14),X$144/X$14) *Y$14</f>
        <v>1.4300712417598593</v>
      </c>
      <c r="Z144" s="7">
        <f ca="1">IF(Z$6=OFFSET(Assumptions!$B$8,0,$C$1),AVERAGE(W$144/W$14,X$144/X$14,Y$144/Y$14),Y$144/Y$14) *Z$14</f>
        <v>1.4869932903547869</v>
      </c>
      <c r="AA144" s="7">
        <f ca="1">IF(AA$6=OFFSET(Assumptions!$B$8,0,$C$1),AVERAGE(X$144/X$14,Y$144/Y$14,Z$144/Z$14),Z$144/Z$14) *AA$14</f>
        <v>1.5462365085373071</v>
      </c>
      <c r="AB144" s="7">
        <f ca="1">IF(AB$6=OFFSET(Assumptions!$B$8,0,$C$1),AVERAGE(Y$144/Y$14,Z$144/Z$14,AA$144/AA$14),AA$144/AA$14) *AB$14</f>
        <v>1.607978809162808</v>
      </c>
      <c r="AC144" s="7">
        <f ca="1">IF(AC$6=OFFSET(Assumptions!$B$8,0,$C$1),AVERAGE(Z$144/Z$14,AA$144/AA$14,AB$144/AB$14),AB$144/AB$14) *AC$14</f>
        <v>1.6724532777947285</v>
      </c>
      <c r="AD144" s="7">
        <f ca="1">IF(AD$6=OFFSET(Assumptions!$B$8,0,$C$1),AVERAGE(AA$144/AA$14,AB$144/AB$14,AC$144/AC$14),AC$144/AC$14) *AD$14</f>
        <v>1.7397278713183444</v>
      </c>
      <c r="AE144" s="7">
        <f ca="1">IF(AE$6=OFFSET(Assumptions!$B$8,0,$C$1),AVERAGE(AB$144/AB$14,AC$144/AC$14,AD$144/AD$14),AD$144/AD$14) *AE$14</f>
        <v>1.8097408069862919</v>
      </c>
      <c r="AF144" s="7">
        <f ca="1">IF(AF$6=OFFSET(Assumptions!$B$8,0,$C$1),AVERAGE(AC$144/AC$14,AD$144/AD$14,AE$144/AE$14),AE$144/AE$14) *AF$14</f>
        <v>1.8826857825583148</v>
      </c>
      <c r="AG144" s="7">
        <f ca="1">IF(AG$6=OFFSET(Assumptions!$B$8,0,$C$1),AVERAGE(AD$144/AD$14,AE$144/AE$14,AF$144/AF$14),AF$144/AF$14) *AG$14</f>
        <v>1.9586035858145294</v>
      </c>
      <c r="AH144" s="7">
        <f ca="1">IF(AH$6=OFFSET(Assumptions!$B$8,0,$C$1),AVERAGE(AE$144/AE$14,AF$144/AF$14,AG$144/AG$14),AG$144/AG$14) *AH$14</f>
        <v>2.0376159562201126</v>
      </c>
      <c r="AI144" s="7">
        <f ca="1">IF(AI$6=OFFSET(Assumptions!$B$8,0,$C$1),AVERAGE(AF$144/AF$14,AG$144/AG$14,AH$144/AH$14),AH$144/AH$14) *AI$14</f>
        <v>2.1195848330082181</v>
      </c>
      <c r="AJ144" s="7">
        <f ca="1">IF(AJ$6=OFFSET(Assumptions!$B$8,0,$C$1),AVERAGE(AG$144/AG$14,AH$144/AH$14,AI$144/AI$14),AI$144/AI$14) *AJ$14</f>
        <v>2.2047728033308376</v>
      </c>
      <c r="AK144" s="7">
        <f ca="1">IF(AK$6=OFFSET(Assumptions!$B$8,0,$C$1),AVERAGE(AH$144/AH$14,AI$144/AI$14,AJ$144/AJ$14),AJ$144/AJ$14) *AK$14</f>
        <v>2.29310978893949</v>
      </c>
      <c r="AL144" s="7">
        <f ca="1">IF(AL$6=OFFSET(Assumptions!$B$8,0,$C$1),AVERAGE(AI$144/AI$14,AJ$144/AJ$14,AK$144/AK$14),AK$144/AK$14) *AL$14</f>
        <v>2.3845262043535551</v>
      </c>
      <c r="AM144" s="7">
        <f ca="1">IF(AM$6=OFFSET(Assumptions!$B$8,0,$C$1),AVERAGE(AJ$144/AJ$14,AK$144/AK$14,AL$144/AL$14),AL$144/AL$14) *AM$14</f>
        <v>2.4791469363007597</v>
      </c>
      <c r="AN144" s="7">
        <f ca="1">IF(AN$6=OFFSET(Assumptions!$B$8,0,$C$1),AVERAGE(AK$144/AK$14,AL$144/AL$14,AM$144/AM$14),AM$144/AM$14) *AN$14</f>
        <v>2.5771036013029271</v>
      </c>
      <c r="AO144" s="7">
        <f ca="1">IF(AO$6=OFFSET(Assumptions!$B$8,0,$C$1),AVERAGE(AL$144/AL$14,AM$144/AM$14,AN$144/AN$14),AN$144/AN$14) *AO$14</f>
        <v>2.6780115574115788</v>
      </c>
      <c r="AP144" s="7">
        <f ca="1">IF(AP$6=OFFSET(Assumptions!$B$8,0,$C$1),AVERAGE(AM$144/AM$14,AN$144/AN$14,AO$144/AO$14),AO$144/AO$14) *AP$14</f>
        <v>2.7822993097697335</v>
      </c>
      <c r="AQ144" s="7">
        <f ca="1">IF(AQ$6=OFFSET(Assumptions!$B$8,0,$C$1),AVERAGE(AN$144/AN$14,AO$144/AO$14,AP$144/AP$14),AP$144/AP$14) *AQ$14</f>
        <v>2.889674644424387</v>
      </c>
      <c r="AR144" s="7">
        <f ca="1">IF(AR$6=OFFSET(Assumptions!$B$8,0,$C$1),AVERAGE(AO$144/AO$14,AP$144/AP$14,AQ$144/AQ$14),AQ$144/AQ$14) *AR$14</f>
        <v>3.0002591294634802</v>
      </c>
      <c r="AS144" s="7">
        <f ca="1">IF(AS$6=OFFSET(Assumptions!$B$8,0,$C$1),AVERAGE(AP$144/AP$14,AQ$144/AQ$14,AR$144/AR$14),AR$144/AR$14) *AS$14</f>
        <v>3.1143107553009233</v>
      </c>
      <c r="AT144" s="7">
        <f ca="1">IF(AT$6=OFFSET(Assumptions!$B$8,0,$C$1),AVERAGE(AQ$144/AQ$14,AR$144/AR$14,AS$144/AS$14),AS$144/AS$14) *AT$14</f>
        <v>3.2319206112363243</v>
      </c>
      <c r="AU144" s="7">
        <f ca="1">IF(AU$6=OFFSET(Assumptions!$B$8,0,$C$1),AVERAGE(AR$144/AR$14,AS$144/AS$14,AT$144/AT$14),AT$144/AT$14) *AU$14</f>
        <v>3.3532450921223118</v>
      </c>
      <c r="AV144" s="7">
        <f ca="1">IF(AV$6=OFFSET(Assumptions!$B$8,0,$C$1),AVERAGE(AS$144/AS$14,AT$144/AT$14,AU$144/AU$14),AU$144/AU$14) *AV$14</f>
        <v>3.4786593208865311</v>
      </c>
      <c r="AW144" s="7">
        <f ca="1">IF(AW$6=OFFSET(Assumptions!$B$8,0,$C$1),AVERAGE(AT$144/AT$14,AU$144/AU$14,AV$144/AV$14),AV$144/AV$14) *AW$14</f>
        <v>3.6080924941513248</v>
      </c>
    </row>
    <row r="145" spans="1:49" ht="15" x14ac:dyDescent="0.25">
      <c r="A145" s="2" t="s">
        <v>464</v>
      </c>
      <c r="D145" s="40">
        <f t="shared" ref="D145:I145" si="131">SUM(D$142:D$144)</f>
        <v>4.9530000000000003</v>
      </c>
      <c r="E145" s="39">
        <f t="shared" si="131"/>
        <v>4.6370000000000005</v>
      </c>
      <c r="F145" s="39">
        <f t="shared" si="131"/>
        <v>4.593</v>
      </c>
      <c r="G145" s="39">
        <f t="shared" si="131"/>
        <v>4.7829999999999995</v>
      </c>
      <c r="H145" s="39">
        <f t="shared" si="131"/>
        <v>5.0149999999999997</v>
      </c>
      <c r="I145" s="39">
        <f t="shared" si="131"/>
        <v>5.1510000000000007</v>
      </c>
      <c r="J145" s="43">
        <f t="shared" ref="J145:AW145" ca="1" si="132">SUM(J$142:J$144)</f>
        <v>5.4402885710564064</v>
      </c>
      <c r="K145" s="43">
        <f t="shared" ca="1" si="132"/>
        <v>5.6817153534691816</v>
      </c>
      <c r="L145" s="43">
        <f t="shared" ca="1" si="132"/>
        <v>5.9434732267566481</v>
      </c>
      <c r="M145" s="43">
        <f t="shared" ca="1" si="132"/>
        <v>6.2054246098247754</v>
      </c>
      <c r="N145" s="43">
        <f t="shared" ca="1" si="132"/>
        <v>6.4807142978498193</v>
      </c>
      <c r="O145" s="43">
        <f t="shared" ca="1" si="132"/>
        <v>6.7658094295856825</v>
      </c>
      <c r="P145" s="43">
        <f t="shared" ca="1" si="132"/>
        <v>7.0671106518542279</v>
      </c>
      <c r="Q145" s="43">
        <f t="shared" ca="1" si="132"/>
        <v>7.3610200462943665</v>
      </c>
      <c r="R145" s="43">
        <f t="shared" ca="1" si="132"/>
        <v>7.6750370565461825</v>
      </c>
      <c r="S145" s="43">
        <f t="shared" ca="1" si="132"/>
        <v>7.9918797692188566</v>
      </c>
      <c r="T145" s="43">
        <f t="shared" ca="1" si="132"/>
        <v>8.333814856503178</v>
      </c>
      <c r="U145" s="43">
        <f t="shared" ca="1" si="132"/>
        <v>8.6863356942420129</v>
      </c>
      <c r="V145" s="43">
        <f t="shared" ca="1" si="132"/>
        <v>9.0573911630701467</v>
      </c>
      <c r="W145" s="43">
        <f t="shared" ca="1" si="132"/>
        <v>9.4470315376646408</v>
      </c>
      <c r="X145" s="43">
        <f t="shared" ca="1" si="132"/>
        <v>9.8544091560246727</v>
      </c>
      <c r="Y145" s="43">
        <f t="shared" ca="1" si="132"/>
        <v>10.260440554635098</v>
      </c>
      <c r="Z145" s="43">
        <f t="shared" ca="1" si="132"/>
        <v>10.718389228646505</v>
      </c>
      <c r="AA145" s="43">
        <f t="shared" ca="1" si="132"/>
        <v>11.194294735705519</v>
      </c>
      <c r="AB145" s="43">
        <f t="shared" ca="1" si="132"/>
        <v>11.686774785983623</v>
      </c>
      <c r="AC145" s="43">
        <f t="shared" ca="1" si="132"/>
        <v>12.199080879332115</v>
      </c>
      <c r="AD145" s="43">
        <f t="shared" ca="1" si="132"/>
        <v>12.76917642342509</v>
      </c>
      <c r="AE145" s="43">
        <f t="shared" ca="1" si="132"/>
        <v>13.357357067846257</v>
      </c>
      <c r="AF145" s="43">
        <f t="shared" ca="1" si="132"/>
        <v>13.957222336923351</v>
      </c>
      <c r="AG145" s="43">
        <f t="shared" ca="1" si="132"/>
        <v>14.606038224915734</v>
      </c>
      <c r="AH145" s="43">
        <f t="shared" ca="1" si="132"/>
        <v>15.27545244585237</v>
      </c>
      <c r="AI145" s="43">
        <f t="shared" ca="1" si="132"/>
        <v>15.957529596035009</v>
      </c>
      <c r="AJ145" s="43">
        <f t="shared" ca="1" si="132"/>
        <v>16.69411893746874</v>
      </c>
      <c r="AK145" s="43">
        <f t="shared" ca="1" si="132"/>
        <v>17.462273673977162</v>
      </c>
      <c r="AL145" s="43">
        <f t="shared" ca="1" si="132"/>
        <v>18.262788857182255</v>
      </c>
      <c r="AM145" s="43">
        <f t="shared" ca="1" si="132"/>
        <v>19.09709399050935</v>
      </c>
      <c r="AN145" s="43">
        <f t="shared" ca="1" si="132"/>
        <v>19.96663028525229</v>
      </c>
      <c r="AO145" s="43">
        <f t="shared" ca="1" si="132"/>
        <v>20.871353547634609</v>
      </c>
      <c r="AP145" s="43">
        <f t="shared" ca="1" si="132"/>
        <v>21.813723764424047</v>
      </c>
      <c r="AQ145" s="43">
        <f t="shared" ca="1" si="132"/>
        <v>22.794108134299989</v>
      </c>
      <c r="AR145" s="43">
        <f t="shared" ca="1" si="132"/>
        <v>23.82549771164955</v>
      </c>
      <c r="AS145" s="43">
        <f t="shared" ca="1" si="132"/>
        <v>24.921789061170262</v>
      </c>
      <c r="AT145" s="43">
        <f t="shared" ca="1" si="132"/>
        <v>26.037085102665749</v>
      </c>
      <c r="AU145" s="43">
        <f t="shared" ca="1" si="132"/>
        <v>27.1970253960916</v>
      </c>
      <c r="AV145" s="43">
        <f t="shared" ca="1" si="132"/>
        <v>28.404155963646698</v>
      </c>
      <c r="AW145" s="43">
        <f t="shared" ca="1" si="132"/>
        <v>29.65977643185769</v>
      </c>
    </row>
    <row r="146" spans="1:49" ht="15" x14ac:dyDescent="0.25">
      <c r="A146" s="2"/>
      <c r="D146" s="55"/>
      <c r="E146" s="56"/>
      <c r="F146" s="56"/>
      <c r="G146" s="56"/>
      <c r="H146" s="56"/>
      <c r="I146" s="56"/>
      <c r="J146" s="56"/>
      <c r="K146" s="56"/>
      <c r="L146" s="56"/>
      <c r="M146" s="56"/>
      <c r="N146" s="56"/>
      <c r="O146" s="56"/>
      <c r="P146" s="56"/>
      <c r="Q146" s="56"/>
      <c r="R146" s="56"/>
      <c r="S146" s="56"/>
    </row>
    <row r="147" spans="1:49" x14ac:dyDescent="0.2">
      <c r="A147" s="22" t="s">
        <v>154</v>
      </c>
    </row>
    <row r="148" spans="1:49" ht="15" x14ac:dyDescent="0.25">
      <c r="A148" s="2" t="s">
        <v>465</v>
      </c>
      <c r="B148" s="4" t="str">
        <f t="shared" ref="B148:B149" si="133">$B$43</f>
        <v>From Fiscal</v>
      </c>
      <c r="D148" s="47">
        <f>Fiscal!D$151</f>
        <v>1.393</v>
      </c>
      <c r="E148" s="44">
        <f>Fiscal!E$151</f>
        <v>1.47</v>
      </c>
      <c r="F148" s="44">
        <f>Fiscal!F$151</f>
        <v>1.5209999999999999</v>
      </c>
      <c r="G148" s="44">
        <f>Fiscal!G$151</f>
        <v>1.5649999999999999</v>
      </c>
      <c r="H148" s="44">
        <f>Fiscal!H$151</f>
        <v>1.5980000000000001</v>
      </c>
      <c r="I148" s="44">
        <f>Fiscal!I$151</f>
        <v>1.607</v>
      </c>
      <c r="J148" s="8">
        <f ca="1">IF(J$6=OFFSET(Assumptions!$B$8,0,$C$1),AVERAGE(G$148/G$14,H$148/H$14,I$148/I$14),I$148/I$14) *J$14</f>
        <v>1.7304805664079186</v>
      </c>
      <c r="K148" s="8">
        <f ca="1">IF(K$6=OFFSET(Assumptions!$B$8,0,$C$1),AVERAGE(H$148/H$14,I$148/I$14,J$148/J$14),J$148/J$14) *K$14</f>
        <v>1.8027976907734928</v>
      </c>
      <c r="L148" s="8">
        <f ca="1">IF(L$6=OFFSET(Assumptions!$B$8,0,$C$1),AVERAGE(I$148/I$14,J$148/J$14,K$148/K$14),K$148/K$14) *L$14</f>
        <v>1.8809404800651219</v>
      </c>
      <c r="M148" s="8">
        <f ca="1">IF(M$6=OFFSET(Assumptions!$B$8,0,$C$1),AVERAGE(J$148/J$14,K$148/K$14,L$148/L$14),L$148/L$14) *M$14</f>
        <v>1.9622092478196176</v>
      </c>
      <c r="N148" s="8">
        <f ca="1">IF(N$6=OFFSET(Assumptions!$B$8,0,$C$1),AVERAGE(K$148/K$14,L$148/L$14,M$148/M$14),M$148/M$14) *N$14</f>
        <v>2.0468343810740413</v>
      </c>
      <c r="O148" s="8">
        <f ca="1">IF(O$6=OFFSET(Assumptions!$B$8,0,$C$1),AVERAGE(L$148/L$14,M$148/M$14,N$148/N$14),N$148/N$14) *O$14</f>
        <v>2.1342070539649747</v>
      </c>
      <c r="P148" s="8">
        <f ca="1">IF(P$6=OFFSET(Assumptions!$B$8,0,$C$1),AVERAGE(M$148/M$14,N$148/N$14,O$148/O$14),O$148/O$14) *P$14</f>
        <v>2.2244603252575517</v>
      </c>
      <c r="Q148" s="8">
        <f ca="1">IF(Q$6=OFFSET(Assumptions!$B$8,0,$C$1),AVERAGE(N$148/N$14,O$148/O$14,P$148/P$14),P$148/P$14) *Q$14</f>
        <v>2.3174967048465822</v>
      </c>
      <c r="R148" s="8">
        <f ca="1">IF(R$6=OFFSET(Assumptions!$B$8,0,$C$1),AVERAGE(O$148/O$14,P$148/P$14,Q$148/Q$14),Q$148/Q$14) *R$14</f>
        <v>2.4132471395023933</v>
      </c>
      <c r="S148" s="8">
        <f ca="1">IF(S$6=OFFSET(Assumptions!$B$8,0,$C$1),AVERAGE(P$148/P$14,Q$148/Q$14,R$148/R$14),R$148/R$14) *S$14</f>
        <v>2.5120159202018919</v>
      </c>
      <c r="T148" s="8">
        <f ca="1">IF(T$6=OFFSET(Assumptions!$B$8,0,$C$1),AVERAGE(Q$148/Q$14,R$148/R$14,S$148/S$14),S$148/S$14) *T$14</f>
        <v>2.6138390645754113</v>
      </c>
      <c r="U148" s="8">
        <f ca="1">IF(U$6=OFFSET(Assumptions!$B$8,0,$C$1),AVERAGE(R$148/R$14,S$148/S$14,T$148/T$14),T$148/T$14) *U$14</f>
        <v>2.7190820132040834</v>
      </c>
      <c r="V148" s="8">
        <f ca="1">IF(V$6=OFFSET(Assumptions!$B$8,0,$C$1),AVERAGE(S$148/S$14,T$148/T$14,U$148/U$14),U$148/U$14) *V$14</f>
        <v>2.8280045589077214</v>
      </c>
      <c r="W148" s="8">
        <f ca="1">IF(W$6=OFFSET(Assumptions!$B$8,0,$C$1),AVERAGE(T$148/T$14,U$148/U$14,V$148/V$14),V$148/V$14) *W$14</f>
        <v>2.9409222777755635</v>
      </c>
      <c r="X148" s="8">
        <f ca="1">IF(X$6=OFFSET(Assumptions!$B$8,0,$C$1),AVERAGE(U$148/U$14,V$148/V$14,W$148/W$14),W$148/W$14) *X$14</f>
        <v>3.058192831863892</v>
      </c>
      <c r="Y148" s="8">
        <f ca="1">IF(Y$6=OFFSET(Assumptions!$B$8,0,$C$1),AVERAGE(V$148/V$14,W$148/W$14,X$148/X$14),X$148/X$14) *Y$14</f>
        <v>3.1798042322391558</v>
      </c>
      <c r="Z148" s="8">
        <f ca="1">IF(Z$6=OFFSET(Assumptions!$B$8,0,$C$1),AVERAGE(W$148/W$14,X$148/X$14,Y$148/Y$14),Y$148/Y$14) *Z$14</f>
        <v>3.3063720323210117</v>
      </c>
      <c r="AA148" s="8">
        <f ca="1">IF(AA$6=OFFSET(Assumptions!$B$8,0,$C$1),AVERAGE(X$148/X$14,Y$148/Y$14,Z$148/Z$14),Z$148/Z$14) *AA$14</f>
        <v>3.4381010192464609</v>
      </c>
      <c r="AB148" s="8">
        <f ca="1">IF(AB$6=OFFSET(Assumptions!$B$8,0,$C$1),AVERAGE(Y$148/Y$14,Z$148/Z$14,AA$148/AA$14),AA$148/AA$14) *AB$14</f>
        <v>3.5753867873285787</v>
      </c>
      <c r="AC148" s="8">
        <f ca="1">IF(AC$6=OFFSET(Assumptions!$B$8,0,$C$1),AVERAGE(Z$148/Z$14,AA$148/AA$14,AB$148/AB$14),AB$148/AB$14) *AC$14</f>
        <v>3.7187476089718814</v>
      </c>
      <c r="AD148" s="8">
        <f ca="1">IF(AD$6=OFFSET(Assumptions!$B$8,0,$C$1),AVERAGE(AA$148/AA$14,AB$148/AB$14,AC$148/AC$14),AC$148/AC$14) *AD$14</f>
        <v>3.8683345882508373</v>
      </c>
      <c r="AE148" s="8">
        <f ca="1">IF(AE$6=OFFSET(Assumptions!$B$8,0,$C$1),AVERAGE(AB$148/AB$14,AC$148/AC$14,AD$148/AD$14),AD$148/AD$14) *AE$14</f>
        <v>4.0240103494628867</v>
      </c>
      <c r="AF148" s="8">
        <f ca="1">IF(AF$6=OFFSET(Assumptions!$B$8,0,$C$1),AVERAGE(AC$148/AC$14,AD$148/AD$14,AE$148/AE$14),AE$148/AE$14) *AF$14</f>
        <v>4.186205585106574</v>
      </c>
      <c r="AG148" s="8">
        <f ca="1">IF(AG$6=OFFSET(Assumptions!$B$8,0,$C$1),AVERAGE(AD$148/AD$14,AE$148/AE$14,AF$148/AF$14),AF$148/AF$14) *AG$14</f>
        <v>4.3550109879754109</v>
      </c>
      <c r="AH148" s="8">
        <f ca="1">IF(AH$6=OFFSET(Assumptions!$B$8,0,$C$1),AVERAGE(AE$148/AE$14,AF$148/AF$14,AG$148/AG$14),AG$148/AG$14) *AH$14</f>
        <v>4.5306972492456801</v>
      </c>
      <c r="AI148" s="8">
        <f ca="1">IF(AI$6=OFFSET(Assumptions!$B$8,0,$C$1),AVERAGE(AF$148/AF$14,AG$148/AG$14,AH$148/AH$14),AH$148/AH$14) *AI$14</f>
        <v>4.7129573868608912</v>
      </c>
      <c r="AJ148" s="8">
        <f ca="1">IF(AJ$6=OFFSET(Assumptions!$B$8,0,$C$1),AVERAGE(AG$148/AG$14,AH$148/AH$14,AI$148/AI$14),AI$148/AI$14) *AJ$14</f>
        <v>4.9023752708499302</v>
      </c>
      <c r="AK148" s="8">
        <f ca="1">IF(AK$6=OFFSET(Assumptions!$B$8,0,$C$1),AVERAGE(AH$148/AH$14,AI$148/AI$14,AJ$148/AJ$14),AJ$148/AJ$14) *AK$14</f>
        <v>5.0987950802266795</v>
      </c>
      <c r="AL148" s="8">
        <f ca="1">IF(AL$6=OFFSET(Assumptions!$B$8,0,$C$1),AVERAGE(AI$148/AI$14,AJ$148/AJ$14,AK$148/AK$14),AK$148/AK$14) *AL$14</f>
        <v>5.3020620896884294</v>
      </c>
      <c r="AM148" s="8">
        <f ca="1">IF(AM$6=OFFSET(Assumptions!$B$8,0,$C$1),AVERAGE(AJ$148/AJ$14,AK$148/AK$14,AL$148/AL$14),AL$148/AL$14) *AM$14</f>
        <v>5.5124539884395913</v>
      </c>
      <c r="AN148" s="8">
        <f ca="1">IF(AN$6=OFFSET(Assumptions!$B$8,0,$C$1),AVERAGE(AK$148/AK$14,AL$148/AL$14,AM$148/AM$14),AM$148/AM$14) *AN$14</f>
        <v>5.730263429573875</v>
      </c>
      <c r="AO148" s="8">
        <f ca="1">IF(AO$6=OFFSET(Assumptions!$B$8,0,$C$1),AVERAGE(AL$148/AL$14,AM$148/AM$14,AN$148/AN$14),AN$148/AN$14) *AO$14</f>
        <v>5.9546351507379418</v>
      </c>
      <c r="AP148" s="8">
        <f ca="1">IF(AP$6=OFFSET(Assumptions!$B$8,0,$C$1),AVERAGE(AM$148/AM$14,AN$148/AN$14,AO$148/AO$14),AO$148/AO$14) *AP$14</f>
        <v>6.1865219453504121</v>
      </c>
      <c r="AQ148" s="8">
        <f ca="1">IF(AQ$6=OFFSET(Assumptions!$B$8,0,$C$1),AVERAGE(AN$148/AN$14,AO$148/AO$14,AP$148/AP$14),AP$148/AP$14) *AQ$14</f>
        <v>6.4252740673445539</v>
      </c>
      <c r="AR148" s="8">
        <f ca="1">IF(AR$6=OFFSET(Assumptions!$B$8,0,$C$1),AVERAGE(AO$148/AO$14,AP$148/AP$14,AQ$148/AQ$14),AQ$148/AQ$14) *AR$14</f>
        <v>6.6711618268344717</v>
      </c>
      <c r="AS148" s="8">
        <f ca="1">IF(AS$6=OFFSET(Assumptions!$B$8,0,$C$1),AVERAGE(AP$148/AP$14,AQ$148/AQ$14,AR$148/AR$14),AR$148/AR$14) *AS$14</f>
        <v>6.9247588728706972</v>
      </c>
      <c r="AT148" s="8">
        <f ca="1">IF(AT$6=OFFSET(Assumptions!$B$8,0,$C$1),AVERAGE(AQ$148/AQ$14,AR$148/AR$14,AS$148/AS$14),AS$148/AS$14) *AT$14</f>
        <v>7.186267745111361</v>
      </c>
      <c r="AU148" s="8">
        <f ca="1">IF(AU$6=OFFSET(Assumptions!$B$8,0,$C$1),AVERAGE(AR$148/AR$14,AS$148/AS$14,AT$148/AT$14),AT$148/AT$14) *AU$14</f>
        <v>7.4560361919760973</v>
      </c>
      <c r="AV148" s="8">
        <f ca="1">IF(AV$6=OFFSET(Assumptions!$B$8,0,$C$1),AVERAGE(AS$148/AS$14,AT$148/AT$14,AU$148/AU$14),AU$148/AU$14) *AV$14</f>
        <v>7.7348983100036692</v>
      </c>
      <c r="AW148" s="8">
        <f ca="1">IF(AW$6=OFFSET(Assumptions!$B$8,0,$C$1),AVERAGE(AT$148/AT$14,AU$148/AU$14,AV$148/AV$14),AV$148/AV$14) *AW$14</f>
        <v>8.0226966658625347</v>
      </c>
    </row>
    <row r="149" spans="1:49" ht="15" x14ac:dyDescent="0.25">
      <c r="A149" s="2" t="s">
        <v>466</v>
      </c>
      <c r="B149" s="4" t="str">
        <f t="shared" si="133"/>
        <v>From Fiscal</v>
      </c>
      <c r="D149" s="47">
        <f>Fiscal!D$11</f>
        <v>16.866</v>
      </c>
      <c r="E149" s="44">
        <f>Fiscal!E$11</f>
        <v>16.866</v>
      </c>
      <c r="F149" s="44">
        <f>Fiscal!F$11</f>
        <v>17.259</v>
      </c>
      <c r="G149" s="44">
        <f>Fiscal!G$11</f>
        <v>17.87</v>
      </c>
      <c r="H149" s="44">
        <f>Fiscal!H$11</f>
        <v>18.207999999999998</v>
      </c>
      <c r="I149" s="44">
        <f>Fiscal!I$11</f>
        <v>18.509</v>
      </c>
      <c r="J149" s="8">
        <f ca="1">IF(J$6=OFFSET(Assumptions!$B$8,0,$C$1),AVERAGE((G$149-G$148)/G$14,(H$149-H$148)/H$14,(I$149-I$148)/I$14),(I$149-I$148)/I$14) *J$14 +J$148</f>
        <v>19.800891643261295</v>
      </c>
      <c r="K149" s="8">
        <f ca="1">IF(K$6=OFFSET(Assumptions!$B$8,0,$C$1),AVERAGE((H$149-H$148)/H$14,(I$149-I$148)/I$14,(J$149-J$148)/J$14),(J$149-J$148)/J$14) *K$14 +K$148</f>
        <v>20.628374812568055</v>
      </c>
      <c r="L149" s="8">
        <f ca="1">IF(L$6=OFFSET(Assumptions!$B$8,0,$C$1),AVERAGE((I$149-I$148)/I$14,(J$149-J$148)/J$14,(K$149-K$148)/K$14),(K$149-K$148)/K$14) *L$14 +L$148</f>
        <v>21.52251770761228</v>
      </c>
      <c r="M149" s="8">
        <f ca="1">IF(M$6=OFFSET(Assumptions!$B$8,0,$C$1),AVERAGE((J$149-J$148)/J$14,(K$149-K$148)/K$14,(L$149-L$148)/L$14),(L$149-L$148)/L$14) *M$14 +M$148</f>
        <v>22.452429372340454</v>
      </c>
      <c r="N149" s="8">
        <f ca="1">IF(N$6=OFFSET(Assumptions!$B$8,0,$C$1),AVERAGE((K$149-K$148)/K$14,(L$149-L$148)/L$14,(M$149-M$148)/M$14),(M$149-M$148)/M$14) *N$14 +N$148</f>
        <v>23.420745992818695</v>
      </c>
      <c r="O149" s="8">
        <f ca="1">IF(O$6=OFFSET(Assumptions!$B$8,0,$C$1),AVERAGE((L$149-L$148)/L$14,(M$149-M$148)/M$14,(N$149-N$148)/N$14),(N$149-N$148)/N$14) *O$14 +O$148</f>
        <v>24.420501125629396</v>
      </c>
      <c r="P149" s="8">
        <f ca="1">IF(P$6=OFFSET(Assumptions!$B$8,0,$C$1),AVERAGE((M$149-M$148)/M$14,(N$149-N$148)/N$14,(O$149-O$148)/O$14),(O$149-O$148)/O$14) *P$14 +P$148</f>
        <v>25.453217285524669</v>
      </c>
      <c r="Q149" s="8">
        <f ca="1">IF(Q$6=OFFSET(Assumptions!$B$8,0,$C$1),AVERAGE((N$149-N$148)/N$14,(O$149-O$148)/O$14,(P$149-P$148)/P$14),(P$149-P$148)/P$14) *Q$14 +Q$148</f>
        <v>26.517778949425761</v>
      </c>
      <c r="R149" s="8">
        <f ca="1">IF(R$6=OFFSET(Assumptions!$B$8,0,$C$1),AVERAGE((O$149-O$148)/O$14,(P$149-P$148)/P$14,(Q$149-Q$148)/Q$14),(Q$149-Q$148)/Q$14) *R$14 +R$148</f>
        <v>27.613395981028969</v>
      </c>
      <c r="S149" s="8">
        <f ca="1">IF(S$6=OFFSET(Assumptions!$B$8,0,$C$1),AVERAGE((P$149-P$148)/P$14,(Q$149-Q$148)/Q$14,(R$149-R$148)/R$14),(R$149-R$148)/R$14) *S$14 +S$148</f>
        <v>28.743550206584604</v>
      </c>
      <c r="T149" s="8">
        <f ca="1">IF(T$6=OFFSET(Assumptions!$B$8,0,$C$1),AVERAGE((Q$149-Q$148)/Q$14,(R$149-R$148)/R$14,(S$149-S$148)/S$14),(S$149-S$148)/S$14) *T$14 +T$148</f>
        <v>29.908653755075392</v>
      </c>
      <c r="U149" s="8">
        <f ca="1">IF(U$6=OFFSET(Assumptions!$B$8,0,$C$1),AVERAGE((R$149-R$148)/R$14,(S$149-S$148)/S$14,(T$149-T$148)/T$14),(T$149-T$148)/T$14) *U$14 +U$148</f>
        <v>31.112888152425114</v>
      </c>
      <c r="V149" s="8">
        <f ca="1">IF(V$6=OFFSET(Assumptions!$B$8,0,$C$1),AVERAGE((S$149-S$148)/S$14,(T$149-T$148)/T$14,(U$149-U$148)/U$14),(U$149-U$148)/U$14) *V$14 +V$148</f>
        <v>32.359226058121941</v>
      </c>
      <c r="W149" s="8">
        <f ca="1">IF(W$6=OFFSET(Assumptions!$B$8,0,$C$1),AVERAGE((T$149-T$148)/T$14,(U$149-U$148)/U$14,(V$149-V$148)/V$14),(V$149-V$148)/V$14) *W$14 +W$148</f>
        <v>33.651278427451658</v>
      </c>
      <c r="X149" s="8">
        <f ca="1">IF(X$6=OFFSET(Assumptions!$B$8,0,$C$1),AVERAGE((U$149-U$148)/U$14,(V$149-V$148)/V$14,(W$149-W$148)/W$14),(W$149-W$148)/W$14) *X$14 +X$148</f>
        <v>34.99313778116187</v>
      </c>
      <c r="Y149" s="8">
        <f ca="1">IF(Y$6=OFFSET(Assumptions!$B$8,0,$C$1),AVERAGE((V$149-V$148)/V$14,(W$149-W$148)/W$14,(X$149-X$148)/X$14),(X$149-X$148)/X$14) *Y$14 +Y$148</f>
        <v>36.38466693679657</v>
      </c>
      <c r="Z149" s="8">
        <f ca="1">IF(Z$6=OFFSET(Assumptions!$B$8,0,$C$1),AVERAGE((W$149-W$148)/W$14,(X$149-X$148)/X$14,(Y$149-Y$148)/Y$14),(Y$149-Y$148)/Y$14) *Z$14 +Z$148</f>
        <v>37.832909317321537</v>
      </c>
      <c r="AA149" s="8">
        <f ca="1">IF(AA$6=OFFSET(Assumptions!$B$8,0,$C$1),AVERAGE((X$149-X$148)/X$14,(Y$149-Y$148)/Y$14,(Z$149-Z$148)/Z$14),(Z$149-Z$148)/Z$14) *AA$14 +AA$148</f>
        <v>39.34020818390271</v>
      </c>
      <c r="AB149" s="8">
        <f ca="1">IF(AB$6=OFFSET(Assumptions!$B$8,0,$C$1),AVERAGE((Y$149-Y$148)/Y$14,(Z$149-Z$148)/Z$14,(AA$149-AA$148)/AA$14),(AA$149-AA$148)/AA$14) *AB$14 +AB$148</f>
        <v>40.911090094237387</v>
      </c>
      <c r="AC149" s="8">
        <f ca="1">IF(AC$6=OFFSET(Assumptions!$B$8,0,$C$1),AVERAGE((Z$149-Z$148)/Z$14,(AA$149-AA$148)/AA$14,(AB$149-AB$148)/AB$14),(AB$149-AB$148)/AB$14) *AC$14 +AC$148</f>
        <v>42.551485340709519</v>
      </c>
      <c r="AD149" s="8">
        <f ca="1">IF(AD$6=OFFSET(Assumptions!$B$8,0,$C$1),AVERAGE((AA$149-AA$148)/AA$14,(AB$149-AB$148)/AB$14,(AC$149-AC$148)/AC$14),(AC$149-AC$148)/AC$14) *AD$14 +AD$148</f>
        <v>44.263122920144305</v>
      </c>
      <c r="AE149" s="8">
        <f ca="1">IF(AE$6=OFFSET(Assumptions!$B$8,0,$C$1),AVERAGE((AB$149-AB$148)/AB$14,(AC$149-AC$148)/AC$14,(AD$149-AD$148)/AD$14),(AD$149-AD$148)/AD$14) *AE$14 +AE$148</f>
        <v>46.044430921563013</v>
      </c>
      <c r="AF149" s="8">
        <f ca="1">IF(AF$6=OFFSET(Assumptions!$B$8,0,$C$1),AVERAGE((AC$149-AC$148)/AC$14,(AD$149-AD$148)/AD$14,(AE$149-AE$148)/AE$14),(AE$149-AE$148)/AE$14) *AF$14 +AF$148</f>
        <v>47.900337510968086</v>
      </c>
      <c r="AG149" s="8">
        <f ca="1">IF(AG$6=OFFSET(Assumptions!$B$8,0,$C$1),AVERAGE((AD$149-AD$148)/AD$14,(AE$149-AE$148)/AE$14,(AF$149-AF$148)/AF$14),(AF$149-AF$148)/AF$14) *AG$14 +AG$148</f>
        <v>49.831880433718823</v>
      </c>
      <c r="AH149" s="8">
        <f ca="1">IF(AH$6=OFFSET(Assumptions!$B$8,0,$C$1),AVERAGE((AE$149-AE$148)/AE$14,(AF$149-AF$148)/AF$14,(AG$149-AG$148)/AG$14),(AG$149-AG$148)/AG$14) *AH$14 +AH$148</f>
        <v>51.842157052914473</v>
      </c>
      <c r="AI149" s="8">
        <f ca="1">IF(AI$6=OFFSET(Assumptions!$B$8,0,$C$1),AVERAGE((AF$149-AF$148)/AF$14,(AG$149-AG$148)/AG$14,(AH$149-AH$148)/AH$14),(AH$149-AH$148)/AH$14) *AI$14 +AI$148</f>
        <v>53.92765474983225</v>
      </c>
      <c r="AJ149" s="8">
        <f ca="1">IF(AJ$6=OFFSET(Assumptions!$B$8,0,$C$1),AVERAGE((AG$149-AG$148)/AG$14,(AH$149-AH$148)/AH$14,(AI$149-AI$148)/AI$14),(AI$149-AI$148)/AI$14) *AJ$14 +AJ$148</f>
        <v>56.095054412660168</v>
      </c>
      <c r="AK149" s="8">
        <f ca="1">IF(AK$6=OFFSET(Assumptions!$B$8,0,$C$1),AVERAGE((AH$149-AH$148)/AH$14,(AI$149-AI$148)/AI$14,(AJ$149-AJ$148)/AJ$14),(AJ$149-AJ$148)/AJ$14) *AK$14 +AK$148</f>
        <v>58.342573071671936</v>
      </c>
      <c r="AL149" s="8">
        <f ca="1">IF(AL$6=OFFSET(Assumptions!$B$8,0,$C$1),AVERAGE((AI$149-AI$148)/AI$14,(AJ$149-AJ$148)/AJ$14,(AK$149-AK$148)/AK$14),(AK$149-AK$148)/AK$14) *AL$14 +AL$148</f>
        <v>60.6684402944149</v>
      </c>
      <c r="AM149" s="8">
        <f ca="1">IF(AM$6=OFFSET(Assumptions!$B$8,0,$C$1),AVERAGE((AJ$149-AJ$148)/AJ$14,(AK$149-AK$148)/AK$14,(AL$149-AL$148)/AL$14),(AL$149-AL$148)/AL$14) *AM$14 +AM$148</f>
        <v>63.075833518390425</v>
      </c>
      <c r="AN149" s="8">
        <f ca="1">IF(AN$6=OFFSET(Assumptions!$B$8,0,$C$1),AVERAGE((AK$149-AK$148)/AK$14,(AL$149-AL$148)/AL$14,(AM$149-AM$148)/AM$14),(AM$149-AM$148)/AM$14) *AN$14 +AN$148</f>
        <v>65.568101404259664</v>
      </c>
      <c r="AO149" s="8">
        <f ca="1">IF(AO$6=OFFSET(Assumptions!$B$8,0,$C$1),AVERAGE((AL$149-AL$148)/AL$14,(AM$149-AM$148)/AM$14,(AN$149-AN$148)/AN$14),(AN$149-AN$148)/AN$14) *AO$14 +AO$148</f>
        <v>68.135457677900959</v>
      </c>
      <c r="AP149" s="8">
        <f ca="1">IF(AP$6=OFFSET(Assumptions!$B$8,0,$C$1),AVERAGE((AM$149-AM$148)/AM$14,(AN$149-AN$148)/AN$14,(AO$149-AO$148)/AO$14),(AO$149-AO$148)/AO$14) *AP$14 +AP$148</f>
        <v>70.788804605197427</v>
      </c>
      <c r="AQ149" s="8">
        <f ca="1">IF(AQ$6=OFFSET(Assumptions!$B$8,0,$C$1),AVERAGE((AN$149-AN$148)/AN$14,(AO$149-AO$148)/AO$14,(AP$149-AP$148)/AP$14),(AP$149-AP$148)/AP$14) *AQ$14 +AQ$148</f>
        <v>73.52070751643204</v>
      </c>
      <c r="AR149" s="8">
        <f ca="1">IF(AR$6=OFFSET(Assumptions!$B$8,0,$C$1),AVERAGE((AO$149-AO$148)/AO$14,(AP$149-AP$148)/AP$14,(AQ$149-AQ$148)/AQ$14),(AQ$149-AQ$148)/AQ$14) *AR$14 +AR$148</f>
        <v>76.33425941442917</v>
      </c>
      <c r="AS149" s="8">
        <f ca="1">IF(AS$6=OFFSET(Assumptions!$B$8,0,$C$1),AVERAGE((AP$149-AP$148)/AP$14,(AQ$149-AQ$148)/AQ$14,(AR$149-AR$148)/AR$14),(AR$149-AR$148)/AR$14) *AS$14 +AS$148</f>
        <v>79.236024234613083</v>
      </c>
      <c r="AT149" s="8">
        <f ca="1">IF(AT$6=OFFSET(Assumptions!$B$8,0,$C$1),AVERAGE((AQ$149-AQ$148)/AQ$14,(AR$149-AR$148)/AR$14,(AS$149-AS$148)/AS$14),(AS$149-AS$148)/AS$14) *AT$14 +AT$148</f>
        <v>82.22831952154452</v>
      </c>
      <c r="AU149" s="8">
        <f ca="1">IF(AU$6=OFFSET(Assumptions!$B$8,0,$C$1),AVERAGE((AR$149-AR$148)/AR$14,(AS$149-AS$148)/AS$14,(AT$149-AT$148)/AT$14),(AT$149-AT$148)/AT$14) *AU$14 +AU$148</f>
        <v>85.315124359941279</v>
      </c>
      <c r="AV149" s="8">
        <f ca="1">IF(AV$6=OFFSET(Assumptions!$B$8,0,$C$1),AVERAGE((AS$149-AS$148)/AS$14,(AT$149-AT$148)/AT$14,(AU$149-AU$148)/AU$14),(AU$149-AU$148)/AU$14) *AV$14 +AV$148</f>
        <v>88.505982835709148</v>
      </c>
      <c r="AW149" s="8">
        <f ca="1">IF(AW$6=OFFSET(Assumptions!$B$8,0,$C$1),AVERAGE((AT$149-AT$148)/AT$14,(AU$149-AU$148)/AU$14,(AV$149-AV$148)/AV$14),(AV$149-AV$148)/AV$14) *AW$14 +AW$148</f>
        <v>91.799093529982528</v>
      </c>
    </row>
    <row r="150" spans="1:49" ht="15" x14ac:dyDescent="0.25">
      <c r="A150" s="2"/>
      <c r="B150" s="4"/>
      <c r="D150" s="47"/>
      <c r="E150" s="44"/>
      <c r="F150" s="44"/>
      <c r="G150" s="44"/>
      <c r="H150" s="44"/>
      <c r="I150" s="8"/>
      <c r="J150" s="8"/>
      <c r="K150" s="8"/>
      <c r="L150" s="8"/>
      <c r="M150" s="8"/>
      <c r="N150" s="8"/>
      <c r="O150" s="8"/>
      <c r="P150" s="8"/>
      <c r="Q150" s="8"/>
      <c r="R150" s="8"/>
      <c r="S150" s="8"/>
    </row>
    <row r="151" spans="1:49" x14ac:dyDescent="0.2">
      <c r="A151" s="22" t="s">
        <v>155</v>
      </c>
    </row>
    <row r="152" spans="1:49" x14ac:dyDescent="0.2">
      <c r="A152" s="1" t="s">
        <v>687</v>
      </c>
      <c r="D152" s="18">
        <f t="shared" ref="D152:AW152" si="134">D$389</f>
        <v>0.60399999999999998</v>
      </c>
      <c r="E152" s="19">
        <f t="shared" si="134"/>
        <v>0.59399999999999997</v>
      </c>
      <c r="F152" s="19">
        <f t="shared" si="134"/>
        <v>0.60799999999999998</v>
      </c>
      <c r="G152" s="19">
        <f t="shared" si="134"/>
        <v>0.61699999999999999</v>
      </c>
      <c r="H152" s="19">
        <f t="shared" si="134"/>
        <v>0.622</v>
      </c>
      <c r="I152" s="19">
        <f t="shared" si="134"/>
        <v>0.625</v>
      </c>
      <c r="J152" s="7">
        <f t="shared" si="134"/>
        <v>0.63900000000000001</v>
      </c>
      <c r="K152" s="7">
        <f t="shared" si="134"/>
        <v>0.66400000000000003</v>
      </c>
      <c r="L152" s="7">
        <f t="shared" si="134"/>
        <v>0.68400000000000005</v>
      </c>
      <c r="M152" s="7">
        <f t="shared" si="134"/>
        <v>0.71099999999999997</v>
      </c>
      <c r="N152" s="7">
        <f t="shared" si="134"/>
        <v>0.72899999999999998</v>
      </c>
      <c r="O152" s="7">
        <f t="shared" si="134"/>
        <v>0.746</v>
      </c>
      <c r="P152" s="7">
        <f t="shared" si="134"/>
        <v>0.76300000000000001</v>
      </c>
      <c r="Q152" s="7">
        <f t="shared" si="134"/>
        <v>0.78500000000000003</v>
      </c>
      <c r="R152" s="7">
        <f t="shared" si="134"/>
        <v>0.80400000000000005</v>
      </c>
      <c r="S152" s="7">
        <f t="shared" si="134"/>
        <v>0.82599999999999996</v>
      </c>
      <c r="T152" s="7">
        <f t="shared" si="134"/>
        <v>0.85</v>
      </c>
      <c r="U152" s="7">
        <f t="shared" si="134"/>
        <v>0.87</v>
      </c>
      <c r="V152" s="7">
        <f t="shared" si="134"/>
        <v>0.89300000000000002</v>
      </c>
      <c r="W152" s="7">
        <f t="shared" si="134"/>
        <v>0.91600000000000004</v>
      </c>
      <c r="X152" s="7">
        <f t="shared" si="134"/>
        <v>0.94100000000000006</v>
      </c>
      <c r="Y152" s="7">
        <f t="shared" si="134"/>
        <v>0.96400000000000008</v>
      </c>
      <c r="Z152" s="7">
        <f t="shared" si="134"/>
        <v>0.9890000000000001</v>
      </c>
      <c r="AA152" s="7">
        <f t="shared" si="134"/>
        <v>1.012</v>
      </c>
      <c r="AB152" s="7">
        <f t="shared" si="134"/>
        <v>1.0409999999999999</v>
      </c>
      <c r="AC152" s="7">
        <f t="shared" si="134"/>
        <v>1.0669999999999999</v>
      </c>
      <c r="AD152" s="7">
        <f t="shared" si="134"/>
        <v>1.0979999999999999</v>
      </c>
      <c r="AE152" s="7">
        <f t="shared" si="134"/>
        <v>1.1299999999999999</v>
      </c>
      <c r="AF152" s="7">
        <f t="shared" si="134"/>
        <v>1.1619999999999999</v>
      </c>
      <c r="AG152" s="7">
        <f t="shared" si="134"/>
        <v>1.2009999999999998</v>
      </c>
      <c r="AH152" s="7">
        <f t="shared" si="134"/>
        <v>1.2369999999999999</v>
      </c>
      <c r="AI152" s="7">
        <f t="shared" si="134"/>
        <v>1.2749999999999999</v>
      </c>
      <c r="AJ152" s="7">
        <f t="shared" si="134"/>
        <v>1.3129999999999999</v>
      </c>
      <c r="AK152" s="7">
        <f t="shared" si="134"/>
        <v>1.3499999999999999</v>
      </c>
      <c r="AL152" s="7">
        <f t="shared" si="134"/>
        <v>1.3939999999999999</v>
      </c>
      <c r="AM152" s="7">
        <f t="shared" si="134"/>
        <v>1.4309999999999998</v>
      </c>
      <c r="AN152" s="7">
        <f t="shared" si="134"/>
        <v>1.4729999999999999</v>
      </c>
      <c r="AO152" s="7">
        <f t="shared" si="134"/>
        <v>1.5119999999999998</v>
      </c>
      <c r="AP152" s="7">
        <f t="shared" si="134"/>
        <v>1.5539999999999998</v>
      </c>
      <c r="AQ152" s="7">
        <f t="shared" si="134"/>
        <v>1.5929999999999997</v>
      </c>
      <c r="AR152" s="7">
        <f t="shared" si="134"/>
        <v>1.6349999999999998</v>
      </c>
      <c r="AS152" s="7">
        <f t="shared" si="134"/>
        <v>1.6749999999999998</v>
      </c>
      <c r="AT152" s="7">
        <f t="shared" si="134"/>
        <v>1.7189999999999999</v>
      </c>
      <c r="AU152" s="7">
        <f t="shared" si="134"/>
        <v>1.7599999999999998</v>
      </c>
      <c r="AV152" s="7">
        <f t="shared" si="134"/>
        <v>1.7989999999999997</v>
      </c>
      <c r="AW152" s="7">
        <f t="shared" si="134"/>
        <v>1.8419999999999996</v>
      </c>
    </row>
    <row r="153" spans="1:49" x14ac:dyDescent="0.2">
      <c r="A153" s="1" t="s">
        <v>688</v>
      </c>
      <c r="D153" s="18">
        <f t="shared" ref="D153:I153" si="135">D$363-D$365</f>
        <v>0.56200000000000006</v>
      </c>
      <c r="E153" s="19">
        <f t="shared" si="135"/>
        <v>0.19099999999999995</v>
      </c>
      <c r="F153" s="19">
        <f t="shared" si="135"/>
        <v>0.63</v>
      </c>
      <c r="G153" s="19">
        <f t="shared" si="135"/>
        <v>0.67700000000000005</v>
      </c>
      <c r="H153" s="19">
        <f t="shared" si="135"/>
        <v>0.73</v>
      </c>
      <c r="I153" s="19">
        <f t="shared" si="135"/>
        <v>0.78799999999999992</v>
      </c>
      <c r="J153" s="7">
        <f t="shared" ref="J153:AW153" ca="1" si="136">J$363-J$365</f>
        <v>0.70440856539395513</v>
      </c>
      <c r="K153" s="7">
        <f t="shared" ca="1" si="136"/>
        <v>0.8173590591788662</v>
      </c>
      <c r="L153" s="7">
        <f t="shared" ca="1" si="136"/>
        <v>0.939510085157931</v>
      </c>
      <c r="M153" s="7">
        <f t="shared" ca="1" si="136"/>
        <v>1.0707254409545628</v>
      </c>
      <c r="N153" s="7">
        <f t="shared" ca="1" si="136"/>
        <v>1.2033577593693323</v>
      </c>
      <c r="O153" s="7">
        <f t="shared" ca="1" si="136"/>
        <v>1.3177337288104733</v>
      </c>
      <c r="P153" s="7">
        <f t="shared" ca="1" si="136"/>
        <v>1.4330984056097051</v>
      </c>
      <c r="Q153" s="7">
        <f t="shared" ca="1" si="136"/>
        <v>1.5489782132719752</v>
      </c>
      <c r="R153" s="7">
        <f t="shared" ca="1" si="136"/>
        <v>1.6653267984868729</v>
      </c>
      <c r="S153" s="7">
        <f t="shared" ca="1" si="136"/>
        <v>1.7825549807031975</v>
      </c>
      <c r="T153" s="7">
        <f t="shared" ca="1" si="136"/>
        <v>1.9011663804694277</v>
      </c>
      <c r="U153" s="7">
        <f t="shared" ca="1" si="136"/>
        <v>2.0212031602367242</v>
      </c>
      <c r="V153" s="7">
        <f t="shared" ca="1" si="136"/>
        <v>2.1424623944845842</v>
      </c>
      <c r="W153" s="7">
        <f t="shared" ca="1" si="136"/>
        <v>2.2647167936328292</v>
      </c>
      <c r="X153" s="7">
        <f t="shared" ca="1" si="136"/>
        <v>2.387983497758392</v>
      </c>
      <c r="Y153" s="7">
        <f t="shared" ca="1" si="136"/>
        <v>2.512086464623895</v>
      </c>
      <c r="Z153" s="7">
        <f t="shared" ca="1" si="136"/>
        <v>2.6370304304879517</v>
      </c>
      <c r="AA153" s="7">
        <f t="shared" ca="1" si="136"/>
        <v>2.7638666201188622</v>
      </c>
      <c r="AB153" s="7">
        <f t="shared" ca="1" si="136"/>
        <v>2.8941922411896193</v>
      </c>
      <c r="AC153" s="7">
        <f t="shared" ca="1" si="136"/>
        <v>3.030000714329387</v>
      </c>
      <c r="AD153" s="7">
        <f t="shared" ca="1" si="136"/>
        <v>3.1736140868119502</v>
      </c>
      <c r="AE153" s="7">
        <f t="shared" ca="1" si="136"/>
        <v>3.3269032412140933</v>
      </c>
      <c r="AF153" s="7">
        <f t="shared" ca="1" si="136"/>
        <v>3.4914777646249098</v>
      </c>
      <c r="AG153" s="7">
        <f t="shared" ca="1" si="136"/>
        <v>3.6686825666682639</v>
      </c>
      <c r="AH153" s="7">
        <f t="shared" ca="1" si="136"/>
        <v>3.8594562724711281</v>
      </c>
      <c r="AI153" s="7">
        <f t="shared" ca="1" si="136"/>
        <v>4.0650009849409852</v>
      </c>
      <c r="AJ153" s="7">
        <f t="shared" ca="1" si="136"/>
        <v>4.2863708672788379</v>
      </c>
      <c r="AK153" s="7">
        <f t="shared" ca="1" si="136"/>
        <v>4.5242938072677301</v>
      </c>
      <c r="AL153" s="7">
        <f t="shared" ca="1" si="136"/>
        <v>4.7794827108155777</v>
      </c>
      <c r="AM153" s="7">
        <f t="shared" ca="1" si="136"/>
        <v>5.0529859196277371</v>
      </c>
      <c r="AN153" s="7">
        <f t="shared" ca="1" si="136"/>
        <v>5.3454473351050522</v>
      </c>
      <c r="AO153" s="7">
        <f t="shared" ca="1" si="136"/>
        <v>5.656860456289392</v>
      </c>
      <c r="AP153" s="7">
        <f t="shared" ca="1" si="136"/>
        <v>5.9863051778111629</v>
      </c>
      <c r="AQ153" s="7">
        <f t="shared" ca="1" si="136"/>
        <v>6.3322471385735275</v>
      </c>
      <c r="AR153" s="7">
        <f t="shared" ca="1" si="136"/>
        <v>6.6926032129788888</v>
      </c>
      <c r="AS153" s="7">
        <f t="shared" ca="1" si="136"/>
        <v>7.0647057583182651</v>
      </c>
      <c r="AT153" s="7">
        <f t="shared" ca="1" si="136"/>
        <v>7.4475618574385276</v>
      </c>
      <c r="AU153" s="7">
        <f t="shared" ca="1" si="136"/>
        <v>7.8414188593573542</v>
      </c>
      <c r="AV153" s="7">
        <f t="shared" ca="1" si="136"/>
        <v>8.2463582428851421</v>
      </c>
      <c r="AW153" s="7">
        <f t="shared" ca="1" si="136"/>
        <v>8.6623120761321282</v>
      </c>
    </row>
    <row r="154" spans="1:49" x14ac:dyDescent="0.2">
      <c r="A154" s="1" t="s">
        <v>689</v>
      </c>
      <c r="B154" s="4" t="str">
        <f t="shared" ref="B154:B158" si="137">$B$43</f>
        <v>From Fiscal</v>
      </c>
      <c r="D154" s="18">
        <f>Fiscal!D$152-SUM(D$152:D$153)</f>
        <v>1.286</v>
      </c>
      <c r="E154" s="19">
        <f>Fiscal!E$152-SUM(E$152:E$153)</f>
        <v>1.619</v>
      </c>
      <c r="F154" s="19">
        <f>Fiscal!F$152-SUM(F$152:F$153)</f>
        <v>2.016</v>
      </c>
      <c r="G154" s="19">
        <f>Fiscal!G$152-SUM(G$152:G$153)</f>
        <v>1.6949999999999998</v>
      </c>
      <c r="H154" s="19">
        <f>Fiscal!H$152-SUM(H$152:H$153)</f>
        <v>1.8900000000000001</v>
      </c>
      <c r="I154" s="19">
        <f>Fiscal!I$152-SUM(I$152:I$153)</f>
        <v>2.0730000000000004</v>
      </c>
      <c r="J154" s="7">
        <f t="shared" ref="J154:AW154" ca="1" si="138">AVERAGE(SUM(I$334,I$347,I$356,I$380)-SUM(I$372-I$338,I$392),SUM(J$334,J$347,J$356,J$380)-SUM(J$372-J$338,J$392))*J$35</f>
        <v>1.5725482474241197</v>
      </c>
      <c r="K154" s="7">
        <f t="shared" ca="1" si="138"/>
        <v>1.7168122453429739</v>
      </c>
      <c r="L154" s="7">
        <f t="shared" ca="1" si="138"/>
        <v>1.8705710528842752</v>
      </c>
      <c r="M154" s="7">
        <f t="shared" ca="1" si="138"/>
        <v>2.0344592460487934</v>
      </c>
      <c r="N154" s="7">
        <f t="shared" ca="1" si="138"/>
        <v>2.186720742872919</v>
      </c>
      <c r="O154" s="7">
        <f t="shared" ca="1" si="138"/>
        <v>2.2814370210842729</v>
      </c>
      <c r="P154" s="7">
        <f t="shared" ca="1" si="138"/>
        <v>2.3783608165695784</v>
      </c>
      <c r="Q154" s="7">
        <f t="shared" ca="1" si="138"/>
        <v>2.4783750837324221</v>
      </c>
      <c r="R154" s="7">
        <f t="shared" ca="1" si="138"/>
        <v>2.5813889461402995</v>
      </c>
      <c r="S154" s="7">
        <f t="shared" ca="1" si="138"/>
        <v>2.6875307641822745</v>
      </c>
      <c r="T154" s="7">
        <f t="shared" ca="1" si="138"/>
        <v>2.7969862314629697</v>
      </c>
      <c r="U154" s="7">
        <f t="shared" ca="1" si="138"/>
        <v>2.909974408625597</v>
      </c>
      <c r="V154" s="7">
        <f t="shared" ca="1" si="138"/>
        <v>3.0268364620158867</v>
      </c>
      <c r="W154" s="7">
        <f t="shared" ca="1" si="138"/>
        <v>3.1478863488022353</v>
      </c>
      <c r="X154" s="7">
        <f t="shared" ca="1" si="138"/>
        <v>3.2734914297135558</v>
      </c>
      <c r="Y154" s="7">
        <f t="shared" ca="1" si="138"/>
        <v>3.4038403255687628</v>
      </c>
      <c r="Z154" s="7">
        <f t="shared" ca="1" si="138"/>
        <v>3.5392623788019386</v>
      </c>
      <c r="AA154" s="7">
        <f t="shared" ca="1" si="138"/>
        <v>3.6802052183937897</v>
      </c>
      <c r="AB154" s="7">
        <f t="shared" ca="1" si="138"/>
        <v>3.8269964499153826</v>
      </c>
      <c r="AC154" s="7">
        <f t="shared" ca="1" si="138"/>
        <v>3.9801347360550059</v>
      </c>
      <c r="AD154" s="7">
        <f t="shared" ca="1" si="138"/>
        <v>4.1399853303754197</v>
      </c>
      <c r="AE154" s="7">
        <f t="shared" ca="1" si="138"/>
        <v>4.3065557239327177</v>
      </c>
      <c r="AF154" s="7">
        <f t="shared" ca="1" si="138"/>
        <v>4.4800059686679452</v>
      </c>
      <c r="AG154" s="7">
        <f t="shared" ca="1" si="138"/>
        <v>4.6606205649205545</v>
      </c>
      <c r="AH154" s="7">
        <f t="shared" ca="1" si="138"/>
        <v>4.8485967063276663</v>
      </c>
      <c r="AI154" s="7">
        <f t="shared" ca="1" si="138"/>
        <v>5.0439145903212053</v>
      </c>
      <c r="AJ154" s="7">
        <f t="shared" ca="1" si="138"/>
        <v>5.2467253042512327</v>
      </c>
      <c r="AK154" s="7">
        <f t="shared" ca="1" si="138"/>
        <v>5.4572624183772636</v>
      </c>
      <c r="AL154" s="7">
        <f t="shared" ca="1" si="138"/>
        <v>5.6753564792721782</v>
      </c>
      <c r="AM154" s="7">
        <f t="shared" ca="1" si="138"/>
        <v>5.9010745837112522</v>
      </c>
      <c r="AN154" s="7">
        <f t="shared" ca="1" si="138"/>
        <v>6.1347279460304005</v>
      </c>
      <c r="AO154" s="7">
        <f t="shared" ca="1" si="138"/>
        <v>6.3760095715219025</v>
      </c>
      <c r="AP154" s="7">
        <f t="shared" ca="1" si="138"/>
        <v>6.6249726792189794</v>
      </c>
      <c r="AQ154" s="7">
        <f t="shared" ca="1" si="138"/>
        <v>6.88178263066097</v>
      </c>
      <c r="AR154" s="7">
        <f t="shared" ca="1" si="138"/>
        <v>7.1462323819228342</v>
      </c>
      <c r="AS154" s="7">
        <f t="shared" ca="1" si="138"/>
        <v>7.4187824497711281</v>
      </c>
      <c r="AT154" s="7">
        <f t="shared" ca="1" si="138"/>
        <v>7.6998563711840955</v>
      </c>
      <c r="AU154" s="7">
        <f t="shared" ca="1" si="138"/>
        <v>7.9897544176640283</v>
      </c>
      <c r="AV154" s="7">
        <f t="shared" ca="1" si="138"/>
        <v>8.289121477543933</v>
      </c>
      <c r="AW154" s="7">
        <f t="shared" ca="1" si="138"/>
        <v>8.5983267804800434</v>
      </c>
    </row>
    <row r="155" spans="1:49" ht="15" x14ac:dyDescent="0.25">
      <c r="A155" s="2" t="s">
        <v>690</v>
      </c>
      <c r="D155" s="40">
        <f t="shared" ref="D155:I155" si="139">SUM(D$152:D$154)</f>
        <v>2.452</v>
      </c>
      <c r="E155" s="39">
        <f t="shared" si="139"/>
        <v>2.4039999999999999</v>
      </c>
      <c r="F155" s="39">
        <f t="shared" si="139"/>
        <v>3.254</v>
      </c>
      <c r="G155" s="39">
        <f t="shared" si="139"/>
        <v>2.9889999999999999</v>
      </c>
      <c r="H155" s="39">
        <f t="shared" si="139"/>
        <v>3.242</v>
      </c>
      <c r="I155" s="39">
        <f t="shared" si="139"/>
        <v>3.4860000000000002</v>
      </c>
      <c r="J155" s="43">
        <f t="shared" ref="J155:AW155" ca="1" si="140">SUM(J$152:J$154)</f>
        <v>2.9159568128180746</v>
      </c>
      <c r="K155" s="43">
        <f t="shared" ca="1" si="140"/>
        <v>3.1981713045218401</v>
      </c>
      <c r="L155" s="43">
        <f t="shared" ca="1" si="140"/>
        <v>3.4940811380422061</v>
      </c>
      <c r="M155" s="43">
        <f t="shared" ca="1" si="140"/>
        <v>3.8161846870033562</v>
      </c>
      <c r="N155" s="43">
        <f t="shared" ca="1" si="140"/>
        <v>4.1190785022422514</v>
      </c>
      <c r="O155" s="43">
        <f t="shared" ca="1" si="140"/>
        <v>4.3451707498947467</v>
      </c>
      <c r="P155" s="43">
        <f t="shared" ca="1" si="140"/>
        <v>4.5744592221792839</v>
      </c>
      <c r="Q155" s="43">
        <f t="shared" ca="1" si="140"/>
        <v>4.8123532970043978</v>
      </c>
      <c r="R155" s="43">
        <f t="shared" ca="1" si="140"/>
        <v>5.0507157446271727</v>
      </c>
      <c r="S155" s="43">
        <f t="shared" ca="1" si="140"/>
        <v>5.2960857448854721</v>
      </c>
      <c r="T155" s="43">
        <f t="shared" ca="1" si="140"/>
        <v>5.5481526119323972</v>
      </c>
      <c r="U155" s="43">
        <f t="shared" ca="1" si="140"/>
        <v>5.8011775688623217</v>
      </c>
      <c r="V155" s="43">
        <f t="shared" ca="1" si="140"/>
        <v>6.0622988565004707</v>
      </c>
      <c r="W155" s="43">
        <f t="shared" ca="1" si="140"/>
        <v>6.3286031424350639</v>
      </c>
      <c r="X155" s="43">
        <f t="shared" ca="1" si="140"/>
        <v>6.6024749274719472</v>
      </c>
      <c r="Y155" s="43">
        <f t="shared" ca="1" si="140"/>
        <v>6.8799267901926573</v>
      </c>
      <c r="Z155" s="43">
        <f t="shared" ca="1" si="140"/>
        <v>7.1652928092898911</v>
      </c>
      <c r="AA155" s="43">
        <f t="shared" ca="1" si="140"/>
        <v>7.4560718385126519</v>
      </c>
      <c r="AB155" s="43">
        <f t="shared" ca="1" si="140"/>
        <v>7.7621886911050018</v>
      </c>
      <c r="AC155" s="43">
        <f t="shared" ca="1" si="140"/>
        <v>8.0771354503843931</v>
      </c>
      <c r="AD155" s="43">
        <f t="shared" ca="1" si="140"/>
        <v>8.4115994171873698</v>
      </c>
      <c r="AE155" s="43">
        <f t="shared" ca="1" si="140"/>
        <v>8.7634589651468104</v>
      </c>
      <c r="AF155" s="43">
        <f t="shared" ca="1" si="140"/>
        <v>9.1334837332928558</v>
      </c>
      <c r="AG155" s="43">
        <f t="shared" ca="1" si="140"/>
        <v>9.530303131588818</v>
      </c>
      <c r="AH155" s="43">
        <f t="shared" ca="1" si="140"/>
        <v>9.9450529787987954</v>
      </c>
      <c r="AI155" s="43">
        <f t="shared" ca="1" si="140"/>
        <v>10.38391557526219</v>
      </c>
      <c r="AJ155" s="43">
        <f t="shared" ca="1" si="140"/>
        <v>10.846096171530071</v>
      </c>
      <c r="AK155" s="43">
        <f t="shared" ca="1" si="140"/>
        <v>11.331556225644993</v>
      </c>
      <c r="AL155" s="43">
        <f t="shared" ca="1" si="140"/>
        <v>11.848839190087755</v>
      </c>
      <c r="AM155" s="43">
        <f t="shared" ca="1" si="140"/>
        <v>12.385060503338989</v>
      </c>
      <c r="AN155" s="43">
        <f t="shared" ca="1" si="140"/>
        <v>12.953175281135453</v>
      </c>
      <c r="AO155" s="43">
        <f t="shared" ca="1" si="140"/>
        <v>13.544870027811294</v>
      </c>
      <c r="AP155" s="43">
        <f t="shared" ca="1" si="140"/>
        <v>14.165277857030143</v>
      </c>
      <c r="AQ155" s="43">
        <f t="shared" ca="1" si="140"/>
        <v>14.807029769234497</v>
      </c>
      <c r="AR155" s="43">
        <f t="shared" ca="1" si="140"/>
        <v>15.473835594901724</v>
      </c>
      <c r="AS155" s="43">
        <f t="shared" ca="1" si="140"/>
        <v>16.158488208089395</v>
      </c>
      <c r="AT155" s="43">
        <f t="shared" ca="1" si="140"/>
        <v>16.866418228622621</v>
      </c>
      <c r="AU155" s="43">
        <f t="shared" ca="1" si="140"/>
        <v>17.591173277021383</v>
      </c>
      <c r="AV155" s="43">
        <f t="shared" ca="1" si="140"/>
        <v>18.334479720429073</v>
      </c>
      <c r="AW155" s="43">
        <f t="shared" ca="1" si="140"/>
        <v>19.10263885661217</v>
      </c>
    </row>
    <row r="156" spans="1:49" x14ac:dyDescent="0.2">
      <c r="A156" s="1" t="s">
        <v>295</v>
      </c>
      <c r="B156" s="4" t="str">
        <f t="shared" si="137"/>
        <v>From Fiscal</v>
      </c>
      <c r="D156" s="18">
        <f>Fiscal!D$219</f>
        <v>1.429</v>
      </c>
      <c r="E156" s="19">
        <f>Fiscal!E$219</f>
        <v>1.47</v>
      </c>
      <c r="F156" s="19">
        <f>Fiscal!F$219</f>
        <v>1.411</v>
      </c>
      <c r="G156" s="19">
        <f>Fiscal!G$219</f>
        <v>1.43</v>
      </c>
      <c r="H156" s="19">
        <f>Fiscal!H$219</f>
        <v>1.4750000000000001</v>
      </c>
      <c r="I156" s="19">
        <f>Fiscal!I$219</f>
        <v>1.528</v>
      </c>
      <c r="J156" s="7">
        <f>I$156*Exogenous!Q$27/Exogenous!P$27</f>
        <v>1.5975413368759914</v>
      </c>
      <c r="K156" s="7">
        <f>J$156*Exogenous!R$27/Exogenous!Q$27</f>
        <v>1.676441547823813</v>
      </c>
      <c r="L156" s="7">
        <f>K$156*Exogenous!S$27/Exogenous!R$27</f>
        <v>1.7561794509410302</v>
      </c>
      <c r="M156" s="7">
        <f>L$156*Exogenous!T$27/Exogenous!S$27</f>
        <v>1.8383464429449301</v>
      </c>
      <c r="N156" s="7">
        <f>M$156*Exogenous!U$27/Exogenous!T$27</f>
        <v>1.9212845438006589</v>
      </c>
      <c r="O156" s="7">
        <f>N$156*Exogenous!V$27/Exogenous!U$27</f>
        <v>2.0066342092493894</v>
      </c>
      <c r="P156" s="7">
        <f>O$156*Exogenous!W$27/Exogenous!V$27</f>
        <v>2.0965721670652058</v>
      </c>
      <c r="Q156" s="7">
        <f>P$156*Exogenous!X$27/Exogenous!W$27</f>
        <v>2.1893108705312194</v>
      </c>
      <c r="R156" s="7">
        <f>Q$156*Exogenous!Y$27/Exogenous!X$27</f>
        <v>2.2841680297963842</v>
      </c>
      <c r="S156" s="7">
        <f>R$156*Exogenous!Z$27/Exogenous!Y$27</f>
        <v>2.3819423394643611</v>
      </c>
      <c r="T156" s="7">
        <f>S$156*Exogenous!AA$27/Exogenous!Z$27</f>
        <v>2.4830085397156605</v>
      </c>
      <c r="U156" s="7">
        <f>T$156*Exogenous!AB$27/Exogenous!AA$27</f>
        <v>2.5876800116656153</v>
      </c>
      <c r="V156" s="7">
        <f>U$156*Exogenous!AC$27/Exogenous!AB$27</f>
        <v>2.6962161716722113</v>
      </c>
      <c r="W156" s="7">
        <f>V$156*Exogenous!AD$27/Exogenous!AC$27</f>
        <v>2.8089616203798142</v>
      </c>
      <c r="X156" s="7">
        <f>W$156*Exogenous!AE$27/Exogenous!AD$27</f>
        <v>2.9261584364787194</v>
      </c>
      <c r="Y156" s="7">
        <f>X$156*Exogenous!AF$27/Exogenous!AE$27</f>
        <v>3.0477681197804412</v>
      </c>
      <c r="Z156" s="7">
        <f>Y$156*Exogenous!AG$27/Exogenous!AF$27</f>
        <v>3.1743036652581216</v>
      </c>
      <c r="AA156" s="7">
        <f>Z$156*Exogenous!AH$27/Exogenous!AG$27</f>
        <v>3.3065859835949452</v>
      </c>
      <c r="AB156" s="7">
        <f>AA$156*Exogenous!AI$27/Exogenous!AH$27</f>
        <v>3.4448969274017176</v>
      </c>
      <c r="AC156" s="7">
        <f>AB$156*Exogenous!AJ$27/Exogenous!AI$27</f>
        <v>3.5895168955811103</v>
      </c>
      <c r="AD156" s="7">
        <f>AC$156*Exogenous!AK$27/Exogenous!AJ$27</f>
        <v>3.741358603521971</v>
      </c>
      <c r="AE156" s="7">
        <f>AD$156*Exogenous!AL$27/Exogenous!AK$27</f>
        <v>3.9014160163730462</v>
      </c>
      <c r="AF156" s="7">
        <f>AE$156*Exogenous!AM$27/Exogenous!AL$27</f>
        <v>4.0698888895473511</v>
      </c>
      <c r="AG156" s="7">
        <f>AF$156*Exogenous!AN$27/Exogenous!AM$27</f>
        <v>4.2474155343024007</v>
      </c>
      <c r="AH156" s="7">
        <f>AG$156*Exogenous!AO$27/Exogenous!AN$27</f>
        <v>4.4348535823655606</v>
      </c>
      <c r="AI156" s="7">
        <f>AH$156*Exogenous!AP$27/Exogenous!AO$27</f>
        <v>4.6323909495293689</v>
      </c>
      <c r="AJ156" s="7">
        <f>AI$156*Exogenous!AQ$27/Exogenous!AP$27</f>
        <v>4.8407785685185356</v>
      </c>
      <c r="AK156" s="7">
        <f>AJ$156*Exogenous!AR$27/Exogenous!AQ$27</f>
        <v>5.061186761864291</v>
      </c>
      <c r="AL156" s="7">
        <f>AK$156*Exogenous!AS$27/Exogenous!AR$27</f>
        <v>5.2944225472176818</v>
      </c>
      <c r="AM156" s="7">
        <f>AL$156*Exogenous!AT$27/Exogenous!AS$27</f>
        <v>5.5412962151301279</v>
      </c>
      <c r="AN156" s="7">
        <f>AM$156*Exogenous!AU$27/Exogenous!AT$27</f>
        <v>5.8026690437791881</v>
      </c>
      <c r="AO156" s="7">
        <f>AN$156*Exogenous!AV$27/Exogenous!AU$27</f>
        <v>6.0794538329598282</v>
      </c>
      <c r="AP156" s="7">
        <f>AO$156*Exogenous!AW$27/Exogenous!AV$27</f>
        <v>6.3726147243235367</v>
      </c>
      <c r="AQ156" s="7">
        <f>AP$156*Exogenous!AX$27/Exogenous!AW$27</f>
        <v>6.6831727436938602</v>
      </c>
      <c r="AR156" s="7">
        <f>AQ$156*Exogenous!AY$27/Exogenous!AX$27</f>
        <v>7.0124279659162232</v>
      </c>
      <c r="AS156" s="7">
        <f>AR$156*Exogenous!AZ$27/Exogenous!AY$27</f>
        <v>7.3622226762533636</v>
      </c>
      <c r="AT156" s="7">
        <f>AS$156*Exogenous!BA$27/Exogenous!AZ$27</f>
        <v>7.7231615630266681</v>
      </c>
      <c r="AU156" s="7">
        <f>AT$156*Exogenous!BB$27/Exogenous!BA$27</f>
        <v>8.1017957689602245</v>
      </c>
      <c r="AV156" s="7">
        <f>AU$156*Exogenous!BC$27/Exogenous!BB$27</f>
        <v>8.4989928213049275</v>
      </c>
      <c r="AW156" s="7">
        <f>AV$156*Exogenous!BD$27/Exogenous!BC$27</f>
        <v>8.915662778532738</v>
      </c>
    </row>
    <row r="157" spans="1:49" x14ac:dyDescent="0.2">
      <c r="A157" s="1" t="s">
        <v>529</v>
      </c>
      <c r="B157" s="4" t="str">
        <f t="shared" si="137"/>
        <v>From Fiscal</v>
      </c>
      <c r="D157" s="18">
        <f>Fiscal!D$220</f>
        <v>1.0429999999999999</v>
      </c>
      <c r="E157" s="19">
        <f>Fiscal!E$220</f>
        <v>1.0609999999999999</v>
      </c>
      <c r="F157" s="19">
        <f>Fiscal!F$220</f>
        <v>1.1140000000000001</v>
      </c>
      <c r="G157" s="19">
        <f>Fiscal!G$220</f>
        <v>1.2669999999999999</v>
      </c>
      <c r="H157" s="19">
        <f>Fiscal!H$220</f>
        <v>1.347</v>
      </c>
      <c r="I157" s="19">
        <f>Fiscal!I$220</f>
        <v>1.4490000000000001</v>
      </c>
      <c r="J157" s="7">
        <f t="shared" ref="J157:AW157" ca="1" si="141">AVERAGE(SUM(I$335-I$334,I$349,I$358,I$381),SUM(J$335-J$334,J$349,J$358,J$381))*J$35</f>
        <v>1.3638596801259453</v>
      </c>
      <c r="K157" s="7">
        <f t="shared" ca="1" si="141"/>
        <v>1.4672887796928056</v>
      </c>
      <c r="L157" s="7">
        <f t="shared" ca="1" si="141"/>
        <v>1.5891514600005108</v>
      </c>
      <c r="M157" s="7">
        <f t="shared" ca="1" si="141"/>
        <v>1.7210134883049839</v>
      </c>
      <c r="N157" s="7">
        <f t="shared" ca="1" si="141"/>
        <v>1.8450919868057709</v>
      </c>
      <c r="O157" s="7">
        <f t="shared" ca="1" si="141"/>
        <v>1.9233936987075362</v>
      </c>
      <c r="P157" s="7">
        <f t="shared" ca="1" si="141"/>
        <v>2.0051065032988524</v>
      </c>
      <c r="Q157" s="7">
        <f t="shared" ca="1" si="141"/>
        <v>2.0894247682625906</v>
      </c>
      <c r="R157" s="7">
        <f t="shared" ca="1" si="141"/>
        <v>2.1762718790983171</v>
      </c>
      <c r="S157" s="7">
        <f t="shared" ca="1" si="141"/>
        <v>2.2657560516196655</v>
      </c>
      <c r="T157" s="7">
        <f t="shared" ca="1" si="141"/>
        <v>2.3580338371167748</v>
      </c>
      <c r="U157" s="7">
        <f t="shared" ca="1" si="141"/>
        <v>2.4532899173743692</v>
      </c>
      <c r="V157" s="7">
        <f t="shared" ca="1" si="141"/>
        <v>2.5518119168999505</v>
      </c>
      <c r="W157" s="7">
        <f t="shared" ca="1" si="141"/>
        <v>2.6538645211675318</v>
      </c>
      <c r="X157" s="7">
        <f t="shared" ca="1" si="141"/>
        <v>2.7597574381833465</v>
      </c>
      <c r="Y157" s="7">
        <f t="shared" ca="1" si="141"/>
        <v>2.8696496870617474</v>
      </c>
      <c r="Z157" s="7">
        <f t="shared" ca="1" si="141"/>
        <v>2.9838189240152775</v>
      </c>
      <c r="AA157" s="7">
        <f t="shared" ca="1" si="141"/>
        <v>3.1026425281926469</v>
      </c>
      <c r="AB157" s="7">
        <f t="shared" ca="1" si="141"/>
        <v>3.2263966915225484</v>
      </c>
      <c r="AC157" s="7">
        <f t="shared" ca="1" si="141"/>
        <v>3.3555018177520841</v>
      </c>
      <c r="AD157" s="7">
        <f t="shared" ca="1" si="141"/>
        <v>3.490265838415</v>
      </c>
      <c r="AE157" s="7">
        <f t="shared" ca="1" si="141"/>
        <v>3.6306950689387847</v>
      </c>
      <c r="AF157" s="7">
        <f t="shared" ca="1" si="141"/>
        <v>3.77692444309195</v>
      </c>
      <c r="AG157" s="7">
        <f t="shared" ca="1" si="141"/>
        <v>3.9291938124045309</v>
      </c>
      <c r="AH157" s="7">
        <f t="shared" ca="1" si="141"/>
        <v>4.0876694234113016</v>
      </c>
      <c r="AI157" s="7">
        <f t="shared" ca="1" si="141"/>
        <v>4.2523345813123168</v>
      </c>
      <c r="AJ157" s="7">
        <f t="shared" ca="1" si="141"/>
        <v>4.4233166621667799</v>
      </c>
      <c r="AK157" s="7">
        <f t="shared" ca="1" si="141"/>
        <v>4.6008125802708966</v>
      </c>
      <c r="AL157" s="7">
        <f t="shared" ca="1" si="141"/>
        <v>4.7846794758170432</v>
      </c>
      <c r="AM157" s="7">
        <f t="shared" ca="1" si="141"/>
        <v>4.9749739155715078</v>
      </c>
      <c r="AN157" s="7">
        <f t="shared" ca="1" si="141"/>
        <v>5.1719582726294533</v>
      </c>
      <c r="AO157" s="7">
        <f t="shared" ca="1" si="141"/>
        <v>5.3753737313054524</v>
      </c>
      <c r="AP157" s="7">
        <f t="shared" ca="1" si="141"/>
        <v>5.5852651585637085</v>
      </c>
      <c r="AQ157" s="7">
        <f t="shared" ca="1" si="141"/>
        <v>5.8017719644952432</v>
      </c>
      <c r="AR157" s="7">
        <f t="shared" ca="1" si="141"/>
        <v>6.02471959815822</v>
      </c>
      <c r="AS157" s="7">
        <f t="shared" ca="1" si="141"/>
        <v>6.2544963039086081</v>
      </c>
      <c r="AT157" s="7">
        <f t="shared" ca="1" si="141"/>
        <v>6.4914591498344549</v>
      </c>
      <c r="AU157" s="7">
        <f t="shared" ca="1" si="141"/>
        <v>6.7358612835396956</v>
      </c>
      <c r="AV157" s="7">
        <f t="shared" ca="1" si="141"/>
        <v>6.9882463861098101</v>
      </c>
      <c r="AW157" s="7">
        <f t="shared" ca="1" si="141"/>
        <v>7.2489257411733252</v>
      </c>
    </row>
    <row r="158" spans="1:49" x14ac:dyDescent="0.2">
      <c r="A158" s="1" t="s">
        <v>530</v>
      </c>
      <c r="B158" s="4" t="str">
        <f t="shared" si="137"/>
        <v>From Fiscal</v>
      </c>
      <c r="D158" s="18">
        <f>Fiscal!D$221</f>
        <v>-1.4</v>
      </c>
      <c r="E158" s="19">
        <f>Fiscal!E$221</f>
        <v>-1.214</v>
      </c>
      <c r="F158" s="19">
        <f>Fiscal!F$221</f>
        <v>-1.512</v>
      </c>
      <c r="G158" s="19">
        <f>Fiscal!G$221</f>
        <v>-1.1890000000000001</v>
      </c>
      <c r="H158" s="19">
        <f>Fiscal!H$221</f>
        <v>-1.2390000000000001</v>
      </c>
      <c r="I158" s="19">
        <f>Fiscal!I$221</f>
        <v>-1.29</v>
      </c>
      <c r="J158" s="7">
        <f ca="1">IF(J$6=OFFSET(Assumptions!$B$8,0,$C$1),AVERAGE(G$158/SUM(G$155:G$157),H$158/SUM(H$155:H$157),I$158/SUM(I$155:I$157)),I$158/SUM(I$155:I$157))*SUM(J$155:J$157)</f>
        <v>-1.200995727114279</v>
      </c>
      <c r="K158" s="7">
        <f ca="1">IF(K$6=OFFSET(Assumptions!$B$8,0,$C$1),AVERAGE(H$158/SUM(H$155:H$157),I$158/SUM(I$155:I$157),J$158/SUM(J$155:J$157)),J$158/SUM(J$155:J$157))*SUM(K$155:K$157)</f>
        <v>-1.2959219061349054</v>
      </c>
      <c r="L158" s="7">
        <f ca="1">IF(L$6=OFFSET(Assumptions!$B$8,0,$C$1),AVERAGE(I$158/SUM(I$155:I$157),J$158/SUM(J$155:J$157),K$158/SUM(K$155:K$157)),K$158/SUM(K$155:K$157))*SUM(L$155:L$157)</f>
        <v>-1.3975845753558525</v>
      </c>
      <c r="M158" s="7">
        <f ca="1">IF(M$6=OFFSET(Assumptions!$B$8,0,$C$1),AVERAGE(J$158/SUM(J$155:J$157),K$158/SUM(K$155:K$157),L$158/SUM(L$155:L$157)),L$158/SUM(L$155:L$157))*SUM(M$155:M$157)</f>
        <v>-1.5071394031379166</v>
      </c>
      <c r="N158" s="7">
        <f ca="1">IF(N$6=OFFSET(Assumptions!$B$8,0,$C$1),AVERAGE(K$158/SUM(K$155:K$157),L$158/SUM(L$155:L$157),M$158/SUM(M$155:M$157)),M$158/SUM(M$155:M$157))*SUM(N$155:N$157)</f>
        <v>-1.6113359225386952</v>
      </c>
      <c r="O158" s="7">
        <f ca="1">IF(O$6=OFFSET(Assumptions!$B$8,0,$C$1),AVERAGE(L$158/SUM(L$155:L$157),M$158/SUM(M$155:M$157),N$158/SUM(N$155:N$157)),N$158/SUM(N$155:N$157))*SUM(O$155:O$157)</f>
        <v>-1.6909772242684822</v>
      </c>
      <c r="P158" s="7">
        <f ca="1">IF(P$6=OFFSET(Assumptions!$B$8,0,$C$1),AVERAGE(M$158/SUM(M$155:M$157),N$158/SUM(N$155:N$157),O$158/SUM(O$155:O$157)),O$158/SUM(O$155:O$157))*SUM(P$155:P$157)</f>
        <v>-1.7729062681756</v>
      </c>
      <c r="Q158" s="7">
        <f ca="1">IF(Q$6=OFFSET(Assumptions!$B$8,0,$C$1),AVERAGE(N$158/SUM(N$155:N$157),O$158/SUM(O$155:O$157),P$158/SUM(P$155:P$157)),P$158/SUM(P$155:P$157))*SUM(Q$155:Q$157)</f>
        <v>-1.8576985242097994</v>
      </c>
      <c r="R158" s="7">
        <f ca="1">IF(R$6=OFFSET(Assumptions!$B$8,0,$C$1),AVERAGE(O$158/SUM(O$155:O$157),P$158/SUM(P$155:P$157),Q$158/SUM(Q$155:Q$157)),Q$158/SUM(Q$155:Q$157))*SUM(R$155:R$157)</f>
        <v>-1.9435361314640938</v>
      </c>
      <c r="S158" s="7">
        <f ca="1">IF(S$6=OFFSET(Assumptions!$B$8,0,$C$1),AVERAGE(P$158/SUM(P$155:P$157),Q$158/SUM(Q$155:Q$157),R$158/SUM(R$155:R$157)),R$158/SUM(R$155:R$157))*SUM(S$155:S$157)</f>
        <v>-2.0319406448342527</v>
      </c>
      <c r="T158" s="7">
        <f ca="1">IF(T$6=OFFSET(Assumptions!$B$8,0,$C$1),AVERAGE(Q$158/SUM(Q$155:Q$157),R$158/SUM(R$155:R$157),S$158/SUM(S$155:S$157)),S$158/SUM(S$155:S$157))*SUM(T$155:T$157)</f>
        <v>-2.122957143490062</v>
      </c>
      <c r="U158" s="7">
        <f ca="1">IF(U$6=OFFSET(Assumptions!$B$8,0,$C$1),AVERAGE(R$158/SUM(R$155:R$157),S$158/SUM(S$155:S$157),T$158/SUM(T$155:T$157)),T$158/SUM(T$155:T$157))*SUM(U$155:U$157)</f>
        <v>-2.2155147252829774</v>
      </c>
      <c r="V158" s="7">
        <f ca="1">IF(V$6=OFFSET(Assumptions!$B$8,0,$C$1),AVERAGE(S$158/SUM(S$155:S$157),T$158/SUM(T$155:T$157),U$158/SUM(U$155:U$157)),U$158/SUM(U$155:U$157))*SUM(V$155:V$157)</f>
        <v>-2.3111838221552881</v>
      </c>
      <c r="W158" s="7">
        <f ca="1">IF(W$6=OFFSET(Assumptions!$B$8,0,$C$1),AVERAGE(T$158/SUM(T$155:T$157),U$158/SUM(U$155:U$157),V$158/SUM(V$155:V$157)),V$158/SUM(V$155:V$157))*SUM(W$155:W$157)</f>
        <v>-2.4094936188472182</v>
      </c>
      <c r="X158" s="7">
        <f ca="1">IF(X$6=OFFSET(Assumptions!$B$8,0,$C$1),AVERAGE(U$158/SUM(U$155:U$157),V$158/SUM(V$155:V$157),W$158/SUM(W$155:W$157)),W$158/SUM(W$155:W$157))*SUM(X$155:X$157)</f>
        <v>-2.511044124554402</v>
      </c>
      <c r="Y158" s="7">
        <f ca="1">IF(Y$6=OFFSET(Assumptions!$B$8,0,$C$1),AVERAGE(V$158/SUM(V$155:V$157),W$158/SUM(W$155:W$157),X$158/SUM(X$155:X$157)),X$158/SUM(X$155:X$157))*SUM(Y$155:Y$157)</f>
        <v>-2.6150451656128832</v>
      </c>
      <c r="Z158" s="7">
        <f ca="1">IF(Z$6=OFFSET(Assumptions!$B$8,0,$C$1),AVERAGE(W$158/SUM(W$155:W$157),X$158/SUM(X$155:X$157),Y$158/SUM(Y$155:Y$157)),Y$158/SUM(Y$155:Y$157))*SUM(Z$155:Z$157)</f>
        <v>-2.7225439436504622</v>
      </c>
      <c r="AA158" s="7">
        <f ca="1">IF(AA$6=OFFSET(Assumptions!$B$8,0,$C$1),AVERAGE(X$158/SUM(X$155:X$157),Y$158/SUM(Y$155:Y$157),Z$158/SUM(Z$155:Z$157)),Z$158/SUM(Z$155:Z$157))*SUM(AA$155:AA$157)</f>
        <v>-2.833274229344763</v>
      </c>
      <c r="AB158" s="7">
        <f ca="1">IF(AB$6=OFFSET(Assumptions!$B$8,0,$C$1),AVERAGE(Y$158/SUM(Y$155:Y$157),Z$158/SUM(Z$155:Z$157),AA$158/SUM(AA$155:AA$157)),AA$158/SUM(AA$155:AA$157))*SUM(AB$155:AB$157)</f>
        <v>-2.9493781191565684</v>
      </c>
      <c r="AC158" s="7">
        <f ca="1">IF(AC$6=OFFSET(Assumptions!$B$8,0,$C$1),AVERAGE(Z$158/SUM(Z$155:Z$157),AA$158/SUM(AA$155:AA$157),AB$158/SUM(AB$155:AB$157)),AB$158/SUM(AB$155:AB$157))*SUM(AC$155:AC$157)</f>
        <v>-3.0696689711725953</v>
      </c>
      <c r="AD158" s="7">
        <f ca="1">IF(AD$6=OFFSET(Assumptions!$B$8,0,$C$1),AVERAGE(AA$158/SUM(AA$155:AA$157),AB$158/SUM(AB$155:AB$157),AC$158/SUM(AC$155:AC$157)),AC$158/SUM(AC$155:AC$157))*SUM(AD$155:AD$157)</f>
        <v>-3.1965800887225915</v>
      </c>
      <c r="AE158" s="7">
        <f ca="1">IF(AE$6=OFFSET(Assumptions!$B$8,0,$C$1),AVERAGE(AB$158/SUM(AB$155:AB$157),AC$158/SUM(AC$155:AC$157),AD$158/SUM(AD$155:AD$157)),AD$158/SUM(AD$155:AD$157))*SUM(AE$155:AE$157)</f>
        <v>-3.329882332873304</v>
      </c>
      <c r="AF158" s="7">
        <f ca="1">IF(AF$6=OFFSET(Assumptions!$B$8,0,$C$1),AVERAGE(AC$158/SUM(AC$155:AC$157),AD$158/SUM(AD$155:AD$157),AE$158/SUM(AE$155:AE$157)),AE$158/SUM(AE$155:AE$157))*SUM(AF$155:AF$157)</f>
        <v>-3.4698013651382809</v>
      </c>
      <c r="AG158" s="7">
        <f ca="1">IF(AG$6=OFFSET(Assumptions!$B$8,0,$C$1),AVERAGE(AD$158/SUM(AD$155:AD$157),AE$158/SUM(AE$155:AE$157),AF$158/SUM(AF$155:AF$157)),AF$158/SUM(AF$155:AF$157))*SUM(AG$155:AG$157)</f>
        <v>-3.6182799895086437</v>
      </c>
      <c r="AH158" s="7">
        <f ca="1">IF(AH$6=OFFSET(Assumptions!$B$8,0,$C$1),AVERAGE(AE$158/SUM(AE$155:AE$157),AF$158/SUM(AF$155:AF$157),AG$158/SUM(AG$155:AG$157)),AG$158/SUM(AG$155:AG$157))*SUM(AH$155:AH$157)</f>
        <v>-3.7737160965598133</v>
      </c>
      <c r="AI158" s="7">
        <f ca="1">IF(AI$6=OFFSET(Assumptions!$B$8,0,$C$1),AVERAGE(AF$158/SUM(AF$155:AF$157),AG$158/SUM(AG$155:AG$157),AH$158/SUM(AH$155:AH$157)),AH$158/SUM(AH$155:AH$157))*SUM(AI$155:AI$157)</f>
        <v>-3.9374079825998942</v>
      </c>
      <c r="AJ158" s="7">
        <f ca="1">IF(AJ$6=OFFSET(Assumptions!$B$8,0,$C$1),AVERAGE(AG$158/SUM(AG$155:AG$157),AH$158/SUM(AH$155:AH$157),AI$158/SUM(AI$155:AI$157)),AI$158/SUM(AI$155:AI$157))*SUM(AJ$155:AJ$157)</f>
        <v>-4.1093727223769561</v>
      </c>
      <c r="AK158" s="7">
        <f ca="1">IF(AK$6=OFFSET(Assumptions!$B$8,0,$C$1),AVERAGE(AH$158/SUM(AH$155:AH$157),AI$158/SUM(AI$155:AI$157),AJ$158/SUM(AJ$155:AJ$157)),AJ$158/SUM(AJ$155:AJ$157))*SUM(AK$155:AK$157)</f>
        <v>-4.2898818251146533</v>
      </c>
      <c r="AL158" s="7">
        <f ca="1">IF(AL$6=OFFSET(Assumptions!$B$8,0,$C$1),AVERAGE(AI$158/SUM(AI$155:AI$157),AJ$158/SUM(AJ$155:AJ$157),AK$158/SUM(AK$155:AK$157)),AK$158/SUM(AK$155:AK$157))*SUM(AL$155:AL$157)</f>
        <v>-4.4808167996434012</v>
      </c>
      <c r="AM158" s="7">
        <f ca="1">IF(AM$6=OFFSET(Assumptions!$B$8,0,$C$1),AVERAGE(AJ$158/SUM(AJ$155:AJ$157),AK$158/SUM(AK$155:AK$157),AL$158/SUM(AL$155:AL$157)),AL$158/SUM(AL$155:AL$157))*SUM(AM$155:AM$157)</f>
        <v>-4.6797219146951985</v>
      </c>
      <c r="AN158" s="7">
        <f ca="1">IF(AN$6=OFFSET(Assumptions!$B$8,0,$C$1),AVERAGE(AK$158/SUM(AK$155:AK$157),AL$158/SUM(AL$155:AL$157),AM$158/SUM(AM$155:AM$157)),AM$158/SUM(AM$155:AM$157))*SUM(AN$155:AN$157)</f>
        <v>-4.8894740648732018</v>
      </c>
      <c r="AO158" s="7">
        <f ca="1">IF(AO$6=OFFSET(Assumptions!$B$8,0,$C$1),AVERAGE(AL$158/SUM(AL$155:AL$157),AM$158/SUM(AM$155:AM$157),AN$158/SUM(AN$155:AN$157)),AN$158/SUM(AN$155:AN$157))*SUM(AO$155:AO$157)</f>
        <v>-5.1085080841764157</v>
      </c>
      <c r="AP158" s="7">
        <f ca="1">IF(AP$6=OFFSET(Assumptions!$B$8,0,$C$1),AVERAGE(AM$158/SUM(AM$155:AM$157),AN$158/SUM(AN$155:AN$157),AO$158/SUM(AO$155:AO$157)),AO$158/SUM(AO$155:AO$157))*SUM(AP$155:AP$157)</f>
        <v>-5.3380790710396262</v>
      </c>
      <c r="AQ158" s="7">
        <f ca="1">IF(AQ$6=OFFSET(Assumptions!$B$8,0,$C$1),AVERAGE(AN$158/SUM(AN$155:AN$157),AO$158/SUM(AO$155:AO$157),AP$158/SUM(AP$155:AP$157)),AP$158/SUM(AP$155:AP$157))*SUM(AQ$155:AQ$157)</f>
        <v>-5.5769183502140915</v>
      </c>
      <c r="AR158" s="7">
        <f ca="1">IF(AR$6=OFFSET(Assumptions!$B$8,0,$C$1),AVERAGE(AO$158/SUM(AO$155:AO$157),AP$158/SUM(AP$155:AP$157),AQ$158/SUM(AQ$155:AQ$157)),AQ$158/SUM(AQ$155:AQ$157))*SUM(AR$155:AR$157)</f>
        <v>-5.8260139915296172</v>
      </c>
      <c r="AS158" s="7">
        <f ca="1">IF(AS$6=OFFSET(Assumptions!$B$8,0,$C$1),AVERAGE(AP$158/SUM(AP$155:AP$157),AQ$158/SUM(AQ$155:AQ$157),AR$158/SUM(AR$155:AR$157)),AR$158/SUM(AR$155:AR$157))*SUM(AS$155:AS$157)</f>
        <v>-6.0843490633830193</v>
      </c>
      <c r="AT158" s="7">
        <f ca="1">IF(AT$6=OFFSET(Assumptions!$B$8,0,$C$1),AVERAGE(AQ$158/SUM(AQ$155:AQ$157),AR$158/SUM(AR$155:AR$157),AS$158/SUM(AS$155:AS$157)),AS$158/SUM(AS$155:AS$157))*SUM(AT$155:AT$157)</f>
        <v>-6.3511863738501724</v>
      </c>
      <c r="AU158" s="7">
        <f ca="1">IF(AU$6=OFFSET(Assumptions!$B$8,0,$C$1),AVERAGE(AR$158/SUM(AR$155:AR$157),AS$158/SUM(AS$155:AS$157),AT$158/SUM(AT$155:AT$157)),AT$158/SUM(AT$155:AT$157))*SUM(AU$155:AU$157)</f>
        <v>-6.6265978333774038</v>
      </c>
      <c r="AV158" s="7">
        <f ca="1">IF(AV$6=OFFSET(Assumptions!$B$8,0,$C$1),AVERAGE(AS$158/SUM(AS$155:AS$157),AT$158/SUM(AT$155:AT$157),AU$158/SUM(AU$155:AU$157)),AU$158/SUM(AU$155:AU$157))*SUM(AV$155:AV$157)</f>
        <v>-6.9112245829082823</v>
      </c>
      <c r="AW158" s="7">
        <f ca="1">IF(AW$6=OFFSET(Assumptions!$B$8,0,$C$1),AVERAGE(AT$158/SUM(AT$155:AT$157),AU$158/SUM(AU$155:AU$157),AV$158/SUM(AV$155:AV$157)),AV$158/SUM(AV$155:AV$157))*SUM(AW$155:AW$157)</f>
        <v>-7.2066038197002227</v>
      </c>
    </row>
    <row r="159" spans="1:49" ht="15" x14ac:dyDescent="0.25">
      <c r="A159" s="2" t="s">
        <v>691</v>
      </c>
      <c r="D159" s="40">
        <f t="shared" ref="D159:I159" si="142">SUM(D$155:D$158)</f>
        <v>3.5240000000000005</v>
      </c>
      <c r="E159" s="39">
        <f t="shared" si="142"/>
        <v>3.7209999999999996</v>
      </c>
      <c r="F159" s="39">
        <f t="shared" si="142"/>
        <v>4.2669999999999995</v>
      </c>
      <c r="G159" s="39">
        <f t="shared" si="142"/>
        <v>4.4969999999999999</v>
      </c>
      <c r="H159" s="39">
        <f t="shared" si="142"/>
        <v>4.8250000000000002</v>
      </c>
      <c r="I159" s="39">
        <f t="shared" si="142"/>
        <v>5.173</v>
      </c>
      <c r="J159" s="43">
        <f t="shared" ref="J159:AW159" ca="1" si="143">SUM(J$155:J$158)</f>
        <v>4.6763621027057329</v>
      </c>
      <c r="K159" s="43">
        <f t="shared" ca="1" si="143"/>
        <v>5.0459797259035524</v>
      </c>
      <c r="L159" s="43">
        <f t="shared" ca="1" si="143"/>
        <v>5.4418274736278942</v>
      </c>
      <c r="M159" s="43">
        <f t="shared" ca="1" si="143"/>
        <v>5.8684052151153541</v>
      </c>
      <c r="N159" s="43">
        <f t="shared" ca="1" si="143"/>
        <v>6.2741191103099858</v>
      </c>
      <c r="O159" s="43">
        <f t="shared" ca="1" si="143"/>
        <v>6.5842214335831892</v>
      </c>
      <c r="P159" s="43">
        <f t="shared" ca="1" si="143"/>
        <v>6.9032316243677432</v>
      </c>
      <c r="Q159" s="43">
        <f t="shared" ca="1" si="143"/>
        <v>7.2333904115884087</v>
      </c>
      <c r="R159" s="43">
        <f t="shared" ca="1" si="143"/>
        <v>7.5676195220577798</v>
      </c>
      <c r="S159" s="43">
        <f t="shared" ca="1" si="143"/>
        <v>7.9118434911352455</v>
      </c>
      <c r="T159" s="43">
        <f t="shared" ca="1" si="143"/>
        <v>8.2662378452747696</v>
      </c>
      <c r="U159" s="43">
        <f t="shared" ca="1" si="143"/>
        <v>8.6266327726193293</v>
      </c>
      <c r="V159" s="43">
        <f t="shared" ca="1" si="143"/>
        <v>8.999143122917344</v>
      </c>
      <c r="W159" s="43">
        <f t="shared" ca="1" si="143"/>
        <v>9.3819356651351917</v>
      </c>
      <c r="X159" s="43">
        <f t="shared" ca="1" si="143"/>
        <v>9.7773466775796098</v>
      </c>
      <c r="Y159" s="43">
        <f t="shared" ca="1" si="143"/>
        <v>10.182299431421962</v>
      </c>
      <c r="Z159" s="43">
        <f t="shared" ca="1" si="143"/>
        <v>10.600871454912829</v>
      </c>
      <c r="AA159" s="43">
        <f t="shared" ca="1" si="143"/>
        <v>11.03202612095548</v>
      </c>
      <c r="AB159" s="43">
        <f t="shared" ca="1" si="143"/>
        <v>11.484104190872699</v>
      </c>
      <c r="AC159" s="43">
        <f t="shared" ca="1" si="143"/>
        <v>11.952485192544993</v>
      </c>
      <c r="AD159" s="43">
        <f t="shared" ca="1" si="143"/>
        <v>12.446643770401751</v>
      </c>
      <c r="AE159" s="43">
        <f t="shared" ca="1" si="143"/>
        <v>12.96568771758534</v>
      </c>
      <c r="AF159" s="43">
        <f t="shared" ca="1" si="143"/>
        <v>13.510495700793875</v>
      </c>
      <c r="AG159" s="43">
        <f t="shared" ca="1" si="143"/>
        <v>14.088632488787106</v>
      </c>
      <c r="AH159" s="43">
        <f t="shared" ca="1" si="143"/>
        <v>14.693859888015844</v>
      </c>
      <c r="AI159" s="43">
        <f t="shared" ca="1" si="143"/>
        <v>15.331233123503985</v>
      </c>
      <c r="AJ159" s="43">
        <f t="shared" ca="1" si="143"/>
        <v>16.000818679838428</v>
      </c>
      <c r="AK159" s="43">
        <f t="shared" ca="1" si="143"/>
        <v>16.703673742665529</v>
      </c>
      <c r="AL159" s="43">
        <f t="shared" ca="1" si="143"/>
        <v>17.447124413479081</v>
      </c>
      <c r="AM159" s="43">
        <f t="shared" ca="1" si="143"/>
        <v>18.221608719345426</v>
      </c>
      <c r="AN159" s="43">
        <f t="shared" ca="1" si="143"/>
        <v>19.038328532670892</v>
      </c>
      <c r="AO159" s="43">
        <f t="shared" ca="1" si="143"/>
        <v>19.891189507900158</v>
      </c>
      <c r="AP159" s="43">
        <f t="shared" ca="1" si="143"/>
        <v>20.785078668877762</v>
      </c>
      <c r="AQ159" s="43">
        <f t="shared" ca="1" si="143"/>
        <v>21.715056127209508</v>
      </c>
      <c r="AR159" s="43">
        <f t="shared" ca="1" si="143"/>
        <v>22.68496916744655</v>
      </c>
      <c r="AS159" s="43">
        <f t="shared" ca="1" si="143"/>
        <v>23.690858124868345</v>
      </c>
      <c r="AT159" s="43">
        <f t="shared" ca="1" si="143"/>
        <v>24.729852567633571</v>
      </c>
      <c r="AU159" s="43">
        <f t="shared" ca="1" si="143"/>
        <v>25.802232496143901</v>
      </c>
      <c r="AV159" s="43">
        <f t="shared" ca="1" si="143"/>
        <v>26.910494344935529</v>
      </c>
      <c r="AW159" s="43">
        <f t="shared" ca="1" si="143"/>
        <v>28.060623556618008</v>
      </c>
    </row>
    <row r="160" spans="1:49" ht="15" x14ac:dyDescent="0.25">
      <c r="A160" s="2"/>
      <c r="D160" s="55"/>
      <c r="E160" s="56"/>
      <c r="F160" s="56"/>
      <c r="G160" s="56"/>
      <c r="H160" s="56"/>
      <c r="I160" s="56"/>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row>
    <row r="161" spans="1:49" x14ac:dyDescent="0.2">
      <c r="A161" s="22" t="s">
        <v>156</v>
      </c>
    </row>
    <row r="162" spans="1:49" ht="15" x14ac:dyDescent="0.25">
      <c r="A162" s="2" t="s">
        <v>468</v>
      </c>
      <c r="B162" s="4" t="str">
        <f t="shared" ref="B162:B163" si="144">$B$43</f>
        <v>From Fiscal</v>
      </c>
      <c r="D162" s="47">
        <f>Fiscal!D$153</f>
        <v>0.73899999999999999</v>
      </c>
      <c r="E162" s="44">
        <f>Fiscal!E$153</f>
        <v>0.59499999999999997</v>
      </c>
      <c r="F162" s="44">
        <f>Fiscal!F$153</f>
        <v>0.57299999999999995</v>
      </c>
      <c r="G162" s="44">
        <f>Fiscal!G$153</f>
        <v>0.54300000000000004</v>
      </c>
      <c r="H162" s="44">
        <f>Fiscal!H$153</f>
        <v>0.502</v>
      </c>
      <c r="I162" s="44">
        <f>Fiscal!I$153</f>
        <v>0.502</v>
      </c>
      <c r="J162" s="8">
        <f ca="1">IF(J$6=OFFSET(Assumptions!$B$8,0,$C$1),AVERAGE(G$162/G$14,H$162/H$14,I$162/I$14),I$162/I$14) *J$14</f>
        <v>0.56214703078952732</v>
      </c>
      <c r="K162" s="8">
        <f ca="1">IF(K$6=OFFSET(Assumptions!$B$8,0,$C$1),AVERAGE(H$162/H$14,I$162/I$14,J$162/J$14),J$162/J$14) *K$14</f>
        <v>0.58563926614108086</v>
      </c>
      <c r="L162" s="8">
        <f ca="1">IF(L$6=OFFSET(Assumptions!$B$8,0,$C$1),AVERAGE(I$162/I$14,J$162/J$14,K$162/K$14),K$162/K$14) *L$14</f>
        <v>0.61102397015372678</v>
      </c>
      <c r="M162" s="8">
        <f ca="1">IF(M$6=OFFSET(Assumptions!$B$8,0,$C$1),AVERAGE(J$162/J$14,K$162/K$14,L$162/L$14),L$162/L$14) *M$14</f>
        <v>0.63742414902654998</v>
      </c>
      <c r="N162" s="8">
        <f ca="1">IF(N$6=OFFSET(Assumptions!$B$8,0,$C$1),AVERAGE(K$162/K$14,L$162/L$14,M$162/M$14),M$162/M$14) *N$14</f>
        <v>0.66491464404429557</v>
      </c>
      <c r="O162" s="8">
        <f ca="1">IF(O$6=OFFSET(Assumptions!$B$8,0,$C$1),AVERAGE(L$162/L$14,M$162/M$14,N$162/N$14),N$162/N$14) *O$14</f>
        <v>0.69329767797789077</v>
      </c>
      <c r="P162" s="8">
        <f ca="1">IF(P$6=OFFSET(Assumptions!$B$8,0,$C$1),AVERAGE(M$162/M$14,N$162/N$14,O$162/O$14),O$162/O$14) *P$14</f>
        <v>0.72261647499939063</v>
      </c>
      <c r="Q162" s="8">
        <f ca="1">IF(Q$6=OFFSET(Assumptions!$B$8,0,$C$1),AVERAGE(N$162/N$14,O$162/O$14,P$162/P$14),P$162/P$14) *Q$14</f>
        <v>0.75283936542453067</v>
      </c>
      <c r="R162" s="8">
        <f ca="1">IF(R$6=OFFSET(Assumptions!$B$8,0,$C$1),AVERAGE(O$162/O$14,P$162/P$14,Q$162/Q$14),Q$162/Q$14) *R$14</f>
        <v>0.78394391729494017</v>
      </c>
      <c r="S162" s="8">
        <f ca="1">IF(S$6=OFFSET(Assumptions!$B$8,0,$C$1),AVERAGE(P$162/P$14,Q$162/Q$14,R$162/R$14),R$162/R$14) *S$14</f>
        <v>0.81602897960810872</v>
      </c>
      <c r="T162" s="8">
        <f ca="1">IF(T$6=OFFSET(Assumptions!$B$8,0,$C$1),AVERAGE(Q$162/Q$14,R$162/R$14,S$162/S$14),S$162/S$14) *T$14</f>
        <v>0.84910625269996642</v>
      </c>
      <c r="U162" s="8">
        <f ca="1">IF(U$6=OFFSET(Assumptions!$B$8,0,$C$1),AVERAGE(R$162/R$14,S$162/S$14,T$162/T$14),T$162/T$14) *U$14</f>
        <v>0.8832944500317339</v>
      </c>
      <c r="V162" s="8">
        <f ca="1">IF(V$6=OFFSET(Assumptions!$B$8,0,$C$1),AVERAGE(S$162/S$14,T$162/T$14,U$162/U$14),U$162/U$14) *V$14</f>
        <v>0.91867796536379975</v>
      </c>
      <c r="W162" s="8">
        <f ca="1">IF(W$6=OFFSET(Assumptions!$B$8,0,$C$1),AVERAGE(T$162/T$14,U$162/U$14,V$162/V$14),V$162/V$14) *W$14</f>
        <v>0.95535931366512539</v>
      </c>
      <c r="X162" s="8">
        <f ca="1">IF(X$6=OFFSET(Assumptions!$B$8,0,$C$1),AVERAGE(U$162/U$14,V$162/V$14,W$162/W$14),W$162/W$14) *X$14</f>
        <v>0.99345468154125138</v>
      </c>
      <c r="Y162" s="8">
        <f ca="1">IF(Y$6=OFFSET(Assumptions!$B$8,0,$C$1),AVERAGE(V$162/V$14,W$162/W$14,X$162/X$14),X$162/X$14) *Y$14</f>
        <v>1.0329601743842123</v>
      </c>
      <c r="Z162" s="8">
        <f ca="1">IF(Z$6=OFFSET(Assumptions!$B$8,0,$C$1),AVERAGE(W$162/W$14,X$162/X$14,Y$162/Y$14),Y$162/Y$14) *Z$14</f>
        <v>1.0740757548713533</v>
      </c>
      <c r="AA162" s="8">
        <f ca="1">IF(AA$6=OFFSET(Assumptions!$B$8,0,$C$1),AVERAGE(X$162/X$14,Y$162/Y$14,Z$162/Z$14),Z$162/Z$14) *AA$14</f>
        <v>1.1168679481536894</v>
      </c>
      <c r="AB162" s="8">
        <f ca="1">IF(AB$6=OFFSET(Assumptions!$B$8,0,$C$1),AVERAGE(Y$162/Y$14,Z$162/Z$14,AA$162/AA$14),AA$162/AA$14) *AB$14</f>
        <v>1.1614652631395603</v>
      </c>
      <c r="AC162" s="8">
        <f ca="1">IF(AC$6=OFFSET(Assumptions!$B$8,0,$C$1),AVERAGE(Z$162/Z$14,AA$162/AA$14,AB$162/AB$14),AB$162/AB$14) *AC$14</f>
        <v>1.208036060745</v>
      </c>
      <c r="AD162" s="8">
        <f ca="1">IF(AD$6=OFFSET(Assumptions!$B$8,0,$C$1),AVERAGE(AA$162/AA$14,AB$162/AB$14,AC$162/AC$14),AC$162/AC$14) *AD$14</f>
        <v>1.2566294271651679</v>
      </c>
      <c r="AE162" s="8">
        <f ca="1">IF(AE$6=OFFSET(Assumptions!$B$8,0,$C$1),AVERAGE(AB$162/AB$14,AC$162/AC$14,AD$162/AD$14),AD$162/AD$14) *AE$14</f>
        <v>1.3072007358698414</v>
      </c>
      <c r="AF162" s="8">
        <f ca="1">IF(AF$6=OFFSET(Assumptions!$B$8,0,$C$1),AVERAGE(AC$162/AC$14,AD$162/AD$14,AE$162/AE$14),AE$162/AE$14) *AF$14</f>
        <v>1.359889897421404</v>
      </c>
      <c r="AG162" s="8">
        <f ca="1">IF(AG$6=OFFSET(Assumptions!$B$8,0,$C$1),AVERAGE(AD$162/AD$14,AE$162/AE$14,AF$162/AF$14),AF$162/AF$14) *AG$14</f>
        <v>1.4147263733957767</v>
      </c>
      <c r="AH162" s="8">
        <f ca="1">IF(AH$6=OFFSET(Assumptions!$B$8,0,$C$1),AVERAGE(AE$162/AE$14,AF$162/AF$14,AG$162/AG$14),AG$162/AG$14) *AH$14</f>
        <v>1.4717980978870846</v>
      </c>
      <c r="AI162" s="8">
        <f ca="1">IF(AI$6=OFFSET(Assumptions!$B$8,0,$C$1),AVERAGE(AF$162/AF$14,AG$162/AG$14,AH$162/AH$14),AH$162/AH$14) *AI$14</f>
        <v>1.5310053476999841</v>
      </c>
      <c r="AJ162" s="8">
        <f ca="1">IF(AJ$6=OFFSET(Assumptions!$B$8,0,$C$1),AVERAGE(AG$162/AG$14,AH$162/AH$14,AI$162/AI$14),AI$162/AI$14) *AJ$14</f>
        <v>1.5925377931546607</v>
      </c>
      <c r="AK162" s="8">
        <f ca="1">IF(AK$6=OFFSET(Assumptions!$B$8,0,$C$1),AVERAGE(AH$162/AH$14,AI$162/AI$14,AJ$162/AJ$14),AJ$162/AJ$14) *AK$14</f>
        <v>1.6563448157660643</v>
      </c>
      <c r="AL162" s="8">
        <f ca="1">IF(AL$6=OFFSET(Assumptions!$B$8,0,$C$1),AVERAGE(AI$162/AI$14,AJ$162/AJ$14,AK$162/AK$14),AK$162/AK$14) *AL$14</f>
        <v>1.7223761529821642</v>
      </c>
      <c r="AM162" s="8">
        <f ca="1">IF(AM$6=OFFSET(Assumptions!$B$8,0,$C$1),AVERAGE(AJ$162/AJ$14,AK$162/AK$14,AL$162/AL$14),AL$162/AL$14) *AM$14</f>
        <v>1.7907220122082175</v>
      </c>
      <c r="AN162" s="8">
        <f ca="1">IF(AN$6=OFFSET(Assumptions!$B$8,0,$C$1),AVERAGE(AK$162/AK$14,AL$162/AL$14,AM$162/AM$14),AM$162/AM$14) *AN$14</f>
        <v>1.86147746187254</v>
      </c>
      <c r="AO162" s="8">
        <f ca="1">IF(AO$6=OFFSET(Assumptions!$B$8,0,$C$1),AVERAGE(AL$162/AL$14,AM$162/AM$14,AN$162/AN$14),AN$162/AN$14) *AO$14</f>
        <v>1.9343646697926686</v>
      </c>
      <c r="AP162" s="8">
        <f ca="1">IF(AP$6=OFFSET(Assumptions!$B$8,0,$C$1),AVERAGE(AM$162/AM$14,AN$162/AN$14,AO$162/AO$14),AO$162/AO$14) *AP$14</f>
        <v>2.0096931511412266</v>
      </c>
      <c r="AQ162" s="8">
        <f ca="1">IF(AQ$6=OFFSET(Assumptions!$B$8,0,$C$1),AVERAGE(AN$162/AN$14,AO$162/AO$14,AP$162/AP$14),AP$162/AP$14) *AQ$14</f>
        <v>2.087251835751192</v>
      </c>
      <c r="AR162" s="8">
        <f ca="1">IF(AR$6=OFFSET(Assumptions!$B$8,0,$C$1),AVERAGE(AO$162/AO$14,AP$162/AP$14,AQ$162/AQ$14),AQ$162/AQ$14) *AR$14</f>
        <v>2.1671285339285489</v>
      </c>
      <c r="AS162" s="8">
        <f ca="1">IF(AS$6=OFFSET(Assumptions!$B$8,0,$C$1),AVERAGE(AP$162/AP$14,AQ$162/AQ$14,AR$162/AR$14),AR$162/AR$14) *AS$14</f>
        <v>2.2495095957061908</v>
      </c>
      <c r="AT162" s="8">
        <f ca="1">IF(AT$6=OFFSET(Assumptions!$B$8,0,$C$1),AVERAGE(AQ$162/AQ$14,AR$162/AR$14,AS$162/AS$14),AS$162/AS$14) *AT$14</f>
        <v>2.3344608161410778</v>
      </c>
      <c r="AU162" s="8">
        <f ca="1">IF(AU$6=OFFSET(Assumptions!$B$8,0,$C$1),AVERAGE(AR$162/AR$14,AS$162/AS$14,AT$162/AT$14),AT$162/AT$14) *AU$14</f>
        <v>2.4220951613914865</v>
      </c>
      <c r="AV162" s="8">
        <f ca="1">IF(AV$6=OFFSET(Assumptions!$B$8,0,$C$1),AVERAGE(AS$162/AS$14,AT$162/AT$14,AU$162/AU$14),AU$162/AU$14) *AV$14</f>
        <v>2.5126835879198928</v>
      </c>
      <c r="AW162" s="8">
        <f ca="1">IF(AW$6=OFFSET(Assumptions!$B$8,0,$C$1),AVERAGE(AT$162/AT$14,AU$162/AU$14,AV$162/AV$14),AV$162/AV$14) *AW$14</f>
        <v>2.606174953470445</v>
      </c>
    </row>
    <row r="163" spans="1:49" ht="15" x14ac:dyDescent="0.25">
      <c r="A163" s="2" t="s">
        <v>469</v>
      </c>
      <c r="B163" s="4" t="str">
        <f t="shared" si="144"/>
        <v>From Fiscal</v>
      </c>
      <c r="D163" s="47">
        <f>Fiscal!D$13</f>
        <v>3.6150000000000002</v>
      </c>
      <c r="E163" s="44">
        <f>Fiscal!E$13</f>
        <v>3.6070000000000002</v>
      </c>
      <c r="F163" s="44">
        <f>Fiscal!F$13</f>
        <v>3.6150000000000002</v>
      </c>
      <c r="G163" s="44">
        <f>Fiscal!G$13</f>
        <v>3.6880000000000002</v>
      </c>
      <c r="H163" s="44">
        <f>Fiscal!H$13</f>
        <v>3.746</v>
      </c>
      <c r="I163" s="44">
        <f>Fiscal!I$13</f>
        <v>3.8780000000000001</v>
      </c>
      <c r="J163" s="8">
        <f ca="1">IF(J$6=OFFSET(Assumptions!$B$8,0,$C$1),AVERAGE((G$163-G$162)/G$14,(H$163-H$162)/H$14,(I$163-I$162)/I$14),(I$163-I$162)/I$14) *J$14 +J$162</f>
        <v>4.1024364994954983</v>
      </c>
      <c r="K163" s="8">
        <f ca="1">IF(K$6=OFFSET(Assumptions!$B$8,0,$C$1),AVERAGE((H$163-H$162)/H$14,(I$163-I$162)/I$14,(J$163-J$162)/J$14),(J$163-J$162)/J$14) *K$14 +K$162</f>
        <v>4.2738781303898108</v>
      </c>
      <c r="L163" s="8">
        <f ca="1">IF(L$6=OFFSET(Assumptions!$B$8,0,$C$1),AVERAGE((I$163-I$162)/I$14,(J$163-J$162)/J$14,(K$163-K$162)/K$14),(K$163-K$162)/K$14) *L$14 +L$162</f>
        <v>4.4591306187363333</v>
      </c>
      <c r="M163" s="8">
        <f ca="1">IF(M$6=OFFSET(Assumptions!$B$8,0,$C$1),AVERAGE((J$163-J$162)/J$14,(K$163-K$162)/K$14,(L$163-L$162)/L$14),(L$163-L$162)/L$14) *M$14 +M$162</f>
        <v>4.6517938393335623</v>
      </c>
      <c r="N163" s="8">
        <f ca="1">IF(N$6=OFFSET(Assumptions!$B$8,0,$C$1),AVERAGE((K$163-K$162)/K$14,(L$163-L$162)/L$14,(M$163-M$162)/M$14),(M$163-M$162)/M$14) *N$14 +N$162</f>
        <v>4.8524139688957577</v>
      </c>
      <c r="O163" s="8">
        <f ca="1">IF(O$6=OFFSET(Assumptions!$B$8,0,$C$1),AVERAGE((L$163-L$162)/L$14,(M$163-M$162)/M$14,(N$163-N$162)/N$14),(N$163-N$162)/N$14) *O$14 +O$162</f>
        <v>5.0595476687964087</v>
      </c>
      <c r="P163" s="8">
        <f ca="1">IF(P$6=OFFSET(Assumptions!$B$8,0,$C$1),AVERAGE((M$163-M$162)/M$14,(N$163-N$162)/N$14,(O$163-O$162)/O$14),(O$163-O$162)/O$14) *P$14 +P$162</f>
        <v>5.273510380390511</v>
      </c>
      <c r="Q163" s="8">
        <f ca="1">IF(Q$6=OFFSET(Assumptions!$B$8,0,$C$1),AVERAGE((N$163-N$162)/N$14,(O$163-O$162)/O$14,(P$163-P$162)/P$14),(P$163-P$162)/P$14) *Q$14 +Q$162</f>
        <v>5.4940709846619749</v>
      </c>
      <c r="R163" s="8">
        <f ca="1">IF(R$6=OFFSET(Assumptions!$B$8,0,$C$1),AVERAGE((O$163-O$162)/O$14,(P$163-P$162)/P$14,(Q$163-Q$162)/Q$14),(Q$163-Q$162)/Q$14) *R$14 +R$162</f>
        <v>5.7210657776690654</v>
      </c>
      <c r="S163" s="8">
        <f ca="1">IF(S$6=OFFSET(Assumptions!$B$8,0,$C$1),AVERAGE((P$163-P$162)/P$14,(Q$163-Q$162)/Q$14,(R$163-R$162)/R$14),(R$163-R$162)/R$14) *S$14 +S$162</f>
        <v>5.9552161396077592</v>
      </c>
      <c r="T163" s="8">
        <f ca="1">IF(T$6=OFFSET(Assumptions!$B$8,0,$C$1),AVERAGE((Q$163-Q$162)/Q$14,(R$163-R$162)/R$14,(S$163-S$162)/S$14),(S$163-S$162)/S$14) *T$14 +T$162</f>
        <v>6.1966074571874898</v>
      </c>
      <c r="U163" s="8">
        <f ca="1">IF(U$6=OFFSET(Assumptions!$B$8,0,$C$1),AVERAGE((R$163-R$162)/R$14,(S$163-S$162)/S$14,(T$163-T$162)/T$14),(T$163-T$162)/T$14) *U$14 +U$162</f>
        <v>6.4461060774840551</v>
      </c>
      <c r="V163" s="8">
        <f ca="1">IF(V$6=OFFSET(Assumptions!$B$8,0,$C$1),AVERAGE((S$163-S$162)/S$14,(T$163-T$162)/T$14,(U$163-U$162)/U$14),(U$163-U$162)/U$14) *V$14 +V$162</f>
        <v>6.7043278892667342</v>
      </c>
      <c r="W163" s="8">
        <f ca="1">IF(W$6=OFFSET(Assumptions!$B$8,0,$C$1),AVERAGE((T$163-T$162)/T$14,(U$163-U$162)/U$14,(V$163-V$162)/V$14),(V$163-V$162)/V$14) *W$14 +W$162</f>
        <v>6.9720210262574502</v>
      </c>
      <c r="X163" s="8">
        <f ca="1">IF(X$6=OFFSET(Assumptions!$B$8,0,$C$1),AVERAGE((U$163-U$162)/U$14,(V$163-V$162)/V$14,(W$163-W$162)/W$14),(W$163-W$162)/W$14) *X$14 +X$162</f>
        <v>7.2500333950450777</v>
      </c>
      <c r="Y163" s="8">
        <f ca="1">IF(Y$6=OFFSET(Assumptions!$B$8,0,$C$1),AVERAGE((V$163-V$162)/V$14,(W$163-W$162)/W$14,(X$163-X$162)/X$14),(X$163-X$162)/X$14) *Y$14 +Y$162</f>
        <v>7.5383365735603087</v>
      </c>
      <c r="Z163" s="8">
        <f ca="1">IF(Z$6=OFFSET(Assumptions!$B$8,0,$C$1),AVERAGE((W$163-W$162)/W$14,(X$163-X$162)/X$14,(Y$163-Y$162)/Y$14),(Y$163-Y$162)/Y$14) *Z$14 +Z$162</f>
        <v>7.838389849393665</v>
      </c>
      <c r="AA163" s="8">
        <f ca="1">IF(AA$6=OFFSET(Assumptions!$B$8,0,$C$1),AVERAGE((X$163-X$162)/X$14,(Y$163-Y$162)/Y$14,(Z$163-Z$162)/Z$14),(Z$163-Z$162)/Z$14) *AA$14 +AA$162</f>
        <v>8.1506787097801734</v>
      </c>
      <c r="AB163" s="8">
        <f ca="1">IF(AB$6=OFFSET(Assumptions!$B$8,0,$C$1),AVERAGE((Y$163-Y$162)/Y$14,(Z$163-Z$162)/Z$14,(AA$163-AA$162)/AA$14),(AA$163-AA$162)/AA$14) *AB$14 +AB$162</f>
        <v>8.4761409870078452</v>
      </c>
      <c r="AC163" s="8">
        <f ca="1">IF(AC$6=OFFSET(Assumptions!$B$8,0,$C$1),AVERAGE((Z$163-Z$162)/Z$14,(AA$163-AA$162)/AA$14,(AB$163-AB$162)/AB$14),(AB$163-AB$162)/AB$14) *AC$14 +AC$162</f>
        <v>8.8160053453392244</v>
      </c>
      <c r="AD163" s="8">
        <f ca="1">IF(AD$6=OFFSET(Assumptions!$B$8,0,$C$1),AVERAGE((AA$163-AA$162)/AA$14,(AB$163-AB$162)/AB$14,(AC$163-AC$162)/AC$14),(AC$163-AC$162)/AC$14) *AD$14 +AD$162</f>
        <v>9.1706300060004562</v>
      </c>
      <c r="AE163" s="8">
        <f ca="1">IF(AE$6=OFFSET(Assumptions!$B$8,0,$C$1),AVERAGE((AB$163-AB$162)/AB$14,(AC$163-AC$162)/AC$14,(AD$163-AD$162)/AD$14),(AD$163-AD$162)/AD$14) *AE$14 +AE$162</f>
        <v>9.5396892935073652</v>
      </c>
      <c r="AF163" s="8">
        <f ca="1">IF(AF$6=OFFSET(Assumptions!$B$8,0,$C$1),AVERAGE((AC$163-AC$162)/AC$14,(AD$163-AD$162)/AD$14,(AE$163-AE$162)/AE$14),(AE$163-AE$162)/AE$14) *AF$14 +AF$162</f>
        <v>9.9242042471367746</v>
      </c>
      <c r="AG163" s="8">
        <f ca="1">IF(AG$6=OFFSET(Assumptions!$B$8,0,$C$1),AVERAGE((AD$163-AD$162)/AD$14,(AE$163-AE$162)/AE$14,(AF$163-AF$162)/AF$14),(AF$163-AF$162)/AF$14) *AG$14 +AG$162</f>
        <v>10.324389871572105</v>
      </c>
      <c r="AH163" s="8">
        <f ca="1">IF(AH$6=OFFSET(Assumptions!$B$8,0,$C$1),AVERAGE((AE$163-AE$162)/AE$14,(AF$163-AF$162)/AF$14,(AG$163-AG$162)/AG$14),(AG$163-AG$162)/AG$14) *AH$14 +AH$162</f>
        <v>10.740887892229541</v>
      </c>
      <c r="AI163" s="8">
        <f ca="1">IF(AI$6=OFFSET(Assumptions!$B$8,0,$C$1),AVERAGE((AF$163-AF$162)/AF$14,(AG$163-AG$162)/AG$14,(AH$163-AH$162)/AH$14),(AH$163-AH$162)/AH$14) *AI$14 +AI$162</f>
        <v>11.172970549192161</v>
      </c>
      <c r="AJ163" s="8">
        <f ca="1">IF(AJ$6=OFFSET(Assumptions!$B$8,0,$C$1),AVERAGE((AG$163-AG$162)/AG$14,(AH$163-AH$162)/AH$14,(AI$163-AI$162)/AI$14),(AI$163-AI$162)/AI$14) *AJ$14 +AJ$162</f>
        <v>11.622022018488266</v>
      </c>
      <c r="AK163" s="8">
        <f ca="1">IF(AK$6=OFFSET(Assumptions!$B$8,0,$C$1),AVERAGE((AH$163-AH$162)/AH$14,(AI$163-AI$162)/AI$14,(AJ$163-AJ$162)/AJ$14),(AJ$163-AJ$162)/AJ$14) *AK$14 +AK$162</f>
        <v>12.087672896546827</v>
      </c>
      <c r="AL163" s="8">
        <f ca="1">IF(AL$6=OFFSET(Assumptions!$B$8,0,$C$1),AVERAGE((AI$163-AI$162)/AI$14,(AJ$163-AJ$162)/AJ$14,(AK$163-AK$162)/AK$14),(AK$163-AK$162)/AK$14) *AL$14 +AL$162</f>
        <v>12.569556377324735</v>
      </c>
      <c r="AM163" s="8">
        <f ca="1">IF(AM$6=OFFSET(Assumptions!$B$8,0,$C$1),AVERAGE((AJ$163-AJ$162)/AJ$14,(AK$163-AK$162)/AK$14,(AL$163-AL$162)/AL$14),(AL$163-AL$162)/AL$14) *AM$14 +AM$162</f>
        <v>13.068330776407741</v>
      </c>
      <c r="AN163" s="8">
        <f ca="1">IF(AN$6=OFFSET(Assumptions!$B$8,0,$C$1),AVERAGE((AK$163-AK$162)/AK$14,(AL$163-AL$162)/AL$14,(AM$163-AM$162)/AM$14),(AM$163-AM$162)/AM$14) *AN$14 +AN$162</f>
        <v>13.584689884154791</v>
      </c>
      <c r="AO163" s="8">
        <f ca="1">IF(AO$6=OFFSET(Assumptions!$B$8,0,$C$1),AVERAGE((AL$163-AL$162)/AL$14,(AM$163-AM$162)/AM$14,(AN$163-AN$162)/AN$14),(AN$163-AN$162)/AN$14) *AO$14 +AO$162</f>
        <v>14.116606136915015</v>
      </c>
      <c r="AP163" s="8">
        <f ca="1">IF(AP$6=OFFSET(Assumptions!$B$8,0,$C$1),AVERAGE((AM$163-AM$162)/AM$14,(AN$163-AN$162)/AN$14,(AO$163-AO$162)/AO$14),(AO$163-AO$162)/AO$14) *AP$14 +AP$162</f>
        <v>14.666338314459139</v>
      </c>
      <c r="AQ163" s="8">
        <f ca="1">IF(AQ$6=OFFSET(Assumptions!$B$8,0,$C$1),AVERAGE((AN$163-AN$162)/AN$14,(AO$163-AO$162)/AO$14,(AP$163-AP$162)/AP$14),(AP$163-AP$162)/AP$14) *AQ$14 +AQ$162</f>
        <v>15.232346068960489</v>
      </c>
      <c r="AR163" s="8">
        <f ca="1">IF(AR$6=OFFSET(Assumptions!$B$8,0,$C$1),AVERAGE((AO$163-AO$162)/AO$14,(AP$163-AP$162)/AP$14,(AQ$163-AQ$162)/AQ$14),(AQ$163-AQ$162)/AQ$14) *AR$14 +AR$162</f>
        <v>15.815270222454172</v>
      </c>
      <c r="AS163" s="8">
        <f ca="1">IF(AS$6=OFFSET(Assumptions!$B$8,0,$C$1),AVERAGE((AP$163-AP$162)/AP$14,(AQ$163-AQ$162)/AQ$14,(AR$163-AR$162)/AR$14),(AR$163-AR$162)/AR$14) *AS$14 +AS$162</f>
        <v>16.416470720176498</v>
      </c>
      <c r="AT163" s="8">
        <f ca="1">IF(AT$6=OFFSET(Assumptions!$B$8,0,$C$1),AVERAGE((AQ$163-AQ$162)/AQ$14,(AR$163-AR$162)/AR$14,(AS$163-AS$162)/AS$14),(AS$163-AS$162)/AS$14) *AT$14 +AT$162</f>
        <v>17.03642772128223</v>
      </c>
      <c r="AU163" s="8">
        <f ca="1">IF(AU$6=OFFSET(Assumptions!$B$8,0,$C$1),AVERAGE((AR$163-AR$162)/AR$14,(AS$163-AS$162)/AS$14,(AT$163-AT$162)/AT$14),(AT$163-AT$162)/AT$14) *AU$14 +AU$162</f>
        <v>17.675965630180784</v>
      </c>
      <c r="AV163" s="8">
        <f ca="1">IF(AV$6=OFFSET(Assumptions!$B$8,0,$C$1),AVERAGE((AS$163-AS$162)/AS$14,(AT$163-AT$162)/AT$14,(AU$163-AU$162)/AU$14),(AU$163-AU$162)/AU$14) *AV$14 +AV$162</f>
        <v>18.33706183289495</v>
      </c>
      <c r="AW163" s="8">
        <f ca="1">IF(AW$6=OFFSET(Assumptions!$B$8,0,$C$1),AVERAGE((AT$163-AT$162)/AT$14,(AU$163-AU$162)/AU$14,(AV$163-AV$162)/AV$14),(AV$163-AV$162)/AV$14) *AW$14 +AW$162</f>
        <v>19.019343103479237</v>
      </c>
    </row>
    <row r="164" spans="1:49" ht="15" x14ac:dyDescent="0.25">
      <c r="A164" s="2"/>
      <c r="B164" s="4"/>
    </row>
    <row r="165" spans="1:49" x14ac:dyDescent="0.2">
      <c r="A165" s="22" t="s">
        <v>158</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row>
    <row r="166" spans="1:49" x14ac:dyDescent="0.2">
      <c r="A166" s="1" t="s">
        <v>477</v>
      </c>
      <c r="B166" s="4" t="str">
        <f t="shared" ref="B166:B182" si="145">$B$43</f>
        <v>From Fiscal</v>
      </c>
      <c r="D166" s="18">
        <f>Fiscal!D$224</f>
        <v>11.590999999999999</v>
      </c>
      <c r="E166" s="19">
        <f>Fiscal!E$224</f>
        <v>12.260999999999999</v>
      </c>
      <c r="F166" s="19">
        <f>Fiscal!F$224</f>
        <v>12.912000000000001</v>
      </c>
      <c r="G166" s="19">
        <f>Fiscal!G$224</f>
        <v>13.473000000000001</v>
      </c>
      <c r="H166" s="19">
        <f>Fiscal!H$224</f>
        <v>14.161</v>
      </c>
      <c r="I166" s="19">
        <f>Fiscal!I$224</f>
        <v>14.916</v>
      </c>
      <c r="J166" s="7">
        <f ca="1">I$166*(1+Popn!Q$222)*J$188/I$188</f>
        <v>15.736157684123881</v>
      </c>
      <c r="K166" s="7">
        <f ca="1">J$166*(1+Popn!R$222)*K$188/J$188</f>
        <v>16.756594314454279</v>
      </c>
      <c r="L166" s="7">
        <f ca="1">K$166*(1+Popn!S$222)*L$188/K$188</f>
        <v>17.917605386978057</v>
      </c>
      <c r="M166" s="7">
        <f ca="1">L$166*(1+Popn!T$222)*M$188/L$188</f>
        <v>19.179708906509557</v>
      </c>
      <c r="N166" s="7">
        <f ca="1">M$166*(1+Popn!U$222)*N$188/M$188</f>
        <v>20.512926894170981</v>
      </c>
      <c r="O166" s="7">
        <f ca="1">N$166*(1+Popn!V$222)*O$188/N$188</f>
        <v>21.950269939006439</v>
      </c>
      <c r="P166" s="7">
        <f ca="1">O$166*(1+Popn!W$222)*P$188/O$188</f>
        <v>23.483284568229102</v>
      </c>
      <c r="Q166" s="7">
        <f ca="1">P$166*(1+Popn!X$222)*Q$188/P$188</f>
        <v>25.071911918462842</v>
      </c>
      <c r="R166" s="7">
        <f ca="1">Q$166*(1+Popn!Y$222)*R$188/Q$188</f>
        <v>26.70158128432065</v>
      </c>
      <c r="S166" s="7">
        <f ca="1">R$166*(1+Popn!Z$222)*S$188/R$188</f>
        <v>28.335366844264747</v>
      </c>
      <c r="T166" s="7">
        <f ca="1">S$166*(1+Popn!AA$222)*T$188/S$188</f>
        <v>30.011171744446052</v>
      </c>
      <c r="U166" s="7">
        <f ca="1">T$166*(1+Popn!AB$222)*U$188/T$188</f>
        <v>31.756157643303581</v>
      </c>
      <c r="V166" s="7">
        <f ca="1">U$166*(1+Popn!AC$222)*V$188/U$188</f>
        <v>33.580646375546735</v>
      </c>
      <c r="W166" s="7">
        <f ca="1">V$166*(1+Popn!AD$222)*W$188/V$188</f>
        <v>35.48726154367143</v>
      </c>
      <c r="X166" s="7">
        <f ca="1">W$166*(1+Popn!AE$222)*X$188/W$188</f>
        <v>37.451360723820279</v>
      </c>
      <c r="Y166" s="7">
        <f ca="1">X$166*(1+Popn!AF$222)*Y$188/X$188</f>
        <v>39.531819289939975</v>
      </c>
      <c r="Z166" s="7">
        <f ca="1">Y$166*(1+Popn!AG$222)*Z$188/Y$188</f>
        <v>41.650016590691848</v>
      </c>
      <c r="AA166" s="7">
        <f ca="1">Z$166*(1+Popn!AH$222)*AA$188/Z$188</f>
        <v>43.771479613469502</v>
      </c>
      <c r="AB166" s="7">
        <f ca="1">AA$166*(1+Popn!AI$222)*AB$188/AA$188</f>
        <v>45.88332601870848</v>
      </c>
      <c r="AC166" s="7">
        <f ca="1">AB$166*(1+Popn!AJ$222)*AC$188/AB$188</f>
        <v>47.975154993116782</v>
      </c>
      <c r="AD166" s="7">
        <f ca="1">AC$166*(1+Popn!AK$222)*AD$188/AC$188</f>
        <v>50.038121904694734</v>
      </c>
      <c r="AE166" s="7">
        <f ca="1">AD$166*(1+Popn!AL$222)*AE$188/AD$188</f>
        <v>52.158403402235066</v>
      </c>
      <c r="AF166" s="7">
        <f ca="1">AE$166*(1+Popn!AM$222)*AF$188/AE$188</f>
        <v>54.295168192970195</v>
      </c>
      <c r="AG166" s="7">
        <f ca="1">AF$166*(1+Popn!AN$222)*AG$188/AF$188</f>
        <v>56.545460888745801</v>
      </c>
      <c r="AH166" s="7">
        <f ca="1">AG$166*(1+Popn!AO$222)*AH$188/AG$188</f>
        <v>58.870042174343929</v>
      </c>
      <c r="AI166" s="7">
        <f ca="1">AH$166*(1+Popn!AP$222)*AI$188/AH$188</f>
        <v>61.289176774335203</v>
      </c>
      <c r="AJ166" s="7">
        <f ca="1">AI$166*(1+Popn!AQ$222)*AJ$188/AI$188</f>
        <v>63.812722380378375</v>
      </c>
      <c r="AK166" s="7">
        <f ca="1">AJ$166*(1+Popn!AR$222)*AK$188/AJ$188</f>
        <v>66.488143343535967</v>
      </c>
      <c r="AL166" s="7">
        <f ca="1">AK$166*(1+Popn!AS$222)*AL$188/AK$188</f>
        <v>69.267448193982133</v>
      </c>
      <c r="AM166" s="7">
        <f ca="1">AL$166*(1+Popn!AT$222)*AM$188/AL$188</f>
        <v>72.171994017859504</v>
      </c>
      <c r="AN166" s="7">
        <f ca="1">AM$166*(1+Popn!AU$222)*AN$188/AM$188</f>
        <v>75.247124744946859</v>
      </c>
      <c r="AO166" s="7">
        <f ca="1">AN$166*(1+Popn!AV$222)*AO$188/AN$188</f>
        <v>78.523565239221526</v>
      </c>
      <c r="AP166" s="7">
        <f ca="1">AO$166*(1+Popn!AW$222)*AP$188/AO$188</f>
        <v>82.085340568626279</v>
      </c>
      <c r="AQ166" s="7">
        <f ca="1">AP$166*(1+Popn!AX$222)*AQ$188/AP$188</f>
        <v>85.916962030497459</v>
      </c>
      <c r="AR166" s="7">
        <f ca="1">AQ$166*(1+Popn!AY$222)*AR$188/AQ$188</f>
        <v>90.089945614700184</v>
      </c>
      <c r="AS166" s="7">
        <f ca="1">AR$166*(1+Popn!AZ$222)*AS$188/AR$188</f>
        <v>94.59794722898144</v>
      </c>
      <c r="AT166" s="7">
        <f ca="1">AS$166*(1+Popn!BA$222)*AT$188/AS$188</f>
        <v>99.232327652486816</v>
      </c>
      <c r="AU166" s="7">
        <f ca="1">AT$166*(1+Popn!BB$222)*AU$188/AT$188</f>
        <v>104.07193000661205</v>
      </c>
      <c r="AV166" s="7">
        <f ca="1">AU$166*(1+Popn!BC$222)*AV$188/AU$188</f>
        <v>109.07312828189313</v>
      </c>
      <c r="AW166" s="7">
        <f ca="1">AV$166*(1+Popn!BD$222)*AW$188/AV$188</f>
        <v>114.31452376693127</v>
      </c>
    </row>
    <row r="167" spans="1:49" x14ac:dyDescent="0.2">
      <c r="A167" s="1" t="s">
        <v>506</v>
      </c>
      <c r="B167" s="4" t="str">
        <f t="shared" si="145"/>
        <v>From Fiscal</v>
      </c>
      <c r="D167" s="18">
        <f>Fiscal!D$225</f>
        <v>1.6839999999999999</v>
      </c>
      <c r="E167" s="19">
        <f>Fiscal!E$225</f>
        <v>1.6739999999999999</v>
      </c>
      <c r="F167" s="19">
        <f>Fiscal!F$225</f>
        <v>1.677</v>
      </c>
      <c r="G167" s="19">
        <f>Fiscal!G$225</f>
        <v>1.6140000000000001</v>
      </c>
      <c r="H167" s="19">
        <f>Fiscal!H$225</f>
        <v>1.577</v>
      </c>
      <c r="I167" s="19">
        <f>Fiscal!I$225</f>
        <v>1.571</v>
      </c>
      <c r="J167" s="7">
        <f ca="1">IF(AND(J$6&gt;=OFFSET(Assumptions!$B$43,0,$C$1),OFFSET(Assumptions!$B$42,0,$C$1)="AllGDP"),IF(J$6=OFFSET(Assumptions!$B$43,0,$C$1),AVERAGE(G$167/SUM(G$167:G$169),H$167/SUM(H$167:H$169),I$167/SUM(I$167:I$169)),I$167/SUM(I$167:I$169))*J$14*(SUM(I$167:I$169)/I$14+MIN(ABS(OFFSET(Assumptions!$B$45,0,$C$1)-SUM(I$167:I$169)/I$14),OFFSET(Assumptions!$B$44,0,$C$1))*SIGN(OFFSET(Assumptions!$B$45,0,$C$1)-SUM(I$167:I$169)/I$14)),I$167*(1+Exogenous!$B$41*Popn!Q$208+Exogenous!$B$42*Popn!Q$210+Exogenous!$B$43*Popn!Q$213+Exogenous!$B$44*Popn!Q$216+Exogenous!$B$45*Popn!Q$220+Exogenous!$B$46*Popn!Q$222)*AVERAGE(1,J$19*J$26/(I$19*I$26))*(1+J$34))</f>
        <v>1.714219430249331</v>
      </c>
      <c r="K167" s="7">
        <f ca="1">IF(AND(K$6&gt;=OFFSET(Assumptions!$B$43,0,$C$1),OFFSET(Assumptions!$B$42,0,$C$1)="AllGDP"),IF(K$6=OFFSET(Assumptions!$B$43,0,$C$1),AVERAGE(H$167/SUM(H$167:H$169),I$167/SUM(I$167:I$169),J$167/SUM(J$167:J$169)),J$167/SUM(J$167:J$169))*K$14*(SUM(J$167:J$169)/J$14+MIN(ABS(OFFSET(Assumptions!$B$45,0,$C$1)-SUM(J$167:J$169)/J$14),OFFSET(Assumptions!$B$44,0,$C$1))*SIGN(OFFSET(Assumptions!$B$45,0,$C$1)-SUM(J$167:J$169)/J$14)),J$167*(1+Exogenous!$B$41*Popn!R$208+Exogenous!$B$42*Popn!R$210+Exogenous!$B$43*Popn!R$213+Exogenous!$B$44*Popn!R$216+Exogenous!$B$45*Popn!R$220+Exogenous!$B$46*Popn!R$222)*AVERAGE(1,K$19*K$26/(J$19*J$26))*(1+K$34))</f>
        <v>1.8459648998519422</v>
      </c>
      <c r="L167" s="7">
        <f ca="1">IF(AND(L$6&gt;=OFFSET(Assumptions!$B$43,0,$C$1),OFFSET(Assumptions!$B$42,0,$C$1)="AllGDP"),IF(L$6=OFFSET(Assumptions!$B$43,0,$C$1),AVERAGE(I$167/SUM(I$167:I$169),J$167/SUM(J$167:J$169),K$167/SUM(K$167:K$169)),K$167/SUM(K$167:K$169))*L$14*(SUM(K$167:K$169)/K$14+MIN(ABS(OFFSET(Assumptions!$B$45,0,$C$1)-SUM(K$167:K$169)/K$14),OFFSET(Assumptions!$B$44,0,$C$1))*SIGN(OFFSET(Assumptions!$B$45,0,$C$1)-SUM(K$167:K$169)/K$14)),K$167*(1+Exogenous!$B$41*Popn!S$208+Exogenous!$B$42*Popn!S$210+Exogenous!$B$43*Popn!S$213+Exogenous!$B$44*Popn!S$216+Exogenous!$B$45*Popn!S$220+Exogenous!$B$46*Popn!S$222)*AVERAGE(1,L$19*L$26/(K$19*K$26))*(1+L$34))</f>
        <v>1.9886920801128039</v>
      </c>
      <c r="M167" s="7">
        <f ca="1">IF(AND(M$6&gt;=OFFSET(Assumptions!$B$43,0,$C$1),OFFSET(Assumptions!$B$42,0,$C$1)="AllGDP"),IF(M$6=OFFSET(Assumptions!$B$43,0,$C$1),AVERAGE(J$167/SUM(J$167:J$169),K$167/SUM(K$167:K$169),L$167/SUM(L$167:L$169)),L$167/SUM(L$167:L$169))*M$14*(SUM(L$167:L$169)/L$14+MIN(ABS(OFFSET(Assumptions!$B$45,0,$C$1)-SUM(L$167:L$169)/L$14),OFFSET(Assumptions!$B$44,0,$C$1))*SIGN(OFFSET(Assumptions!$B$45,0,$C$1)-SUM(L$167:L$169)/L$14)),L$167*(1+Exogenous!$B$41*Popn!T$208+Exogenous!$B$42*Popn!T$210+Exogenous!$B$43*Popn!T$213+Exogenous!$B$44*Popn!T$216+Exogenous!$B$45*Popn!T$220+Exogenous!$B$46*Popn!T$222)*AVERAGE(1,M$19*M$26/(L$19*L$26))*(1+M$34))</f>
        <v>2.1400393272540703</v>
      </c>
      <c r="N167" s="7">
        <f ca="1">IF(AND(N$6&gt;=OFFSET(Assumptions!$B$43,0,$C$1),OFFSET(Assumptions!$B$42,0,$C$1)="AllGDP"),IF(N$6=OFFSET(Assumptions!$B$43,0,$C$1),AVERAGE(K$167/SUM(K$167:K$169),L$167/SUM(L$167:L$169),M$167/SUM(M$167:M$169)),M$167/SUM(M$167:M$169))*N$14*(SUM(M$167:M$169)/M$14+MIN(ABS(OFFSET(Assumptions!$B$45,0,$C$1)-SUM(M$167:M$169)/M$14),OFFSET(Assumptions!$B$44,0,$C$1))*SIGN(OFFSET(Assumptions!$B$45,0,$C$1)-SUM(M$167:M$169)/M$14)),M$167*(1+Exogenous!$B$41*Popn!U$208+Exogenous!$B$42*Popn!U$210+Exogenous!$B$43*Popn!U$213+Exogenous!$B$44*Popn!U$216+Exogenous!$B$45*Popn!U$220+Exogenous!$B$46*Popn!U$222)*AVERAGE(1,N$19*N$26/(M$19*M$26))*(1+N$34))</f>
        <v>2.3005782631764804</v>
      </c>
      <c r="O167" s="7">
        <f ca="1">IF(AND(O$6&gt;=OFFSET(Assumptions!$B$43,0,$C$1),OFFSET(Assumptions!$B$42,0,$C$1)="AllGDP"),IF(O$6=OFFSET(Assumptions!$B$43,0,$C$1),AVERAGE(L$167/SUM(L$167:L$169),M$167/SUM(M$167:M$169),N$167/SUM(N$167:N$169)),N$167/SUM(N$167:N$169))*O$14*(SUM(N$167:N$169)/N$14+MIN(ABS(OFFSET(Assumptions!$B$45,0,$C$1)-SUM(N$167:N$169)/N$14),OFFSET(Assumptions!$B$44,0,$C$1))*SIGN(OFFSET(Assumptions!$B$45,0,$C$1)-SUM(N$167:N$169)/N$14)),N$167*(1+Exogenous!$B$41*Popn!V$208+Exogenous!$B$42*Popn!V$210+Exogenous!$B$43*Popn!V$213+Exogenous!$B$44*Popn!V$216+Exogenous!$B$45*Popn!V$220+Exogenous!$B$46*Popn!V$222)*AVERAGE(1,O$19*O$26/(N$19*N$26))*(1+O$34))</f>
        <v>2.4699400057263485</v>
      </c>
      <c r="P167" s="7">
        <f ca="1">IF(AND(P$6&gt;=OFFSET(Assumptions!$B$43,0,$C$1),OFFSET(Assumptions!$B$42,0,$C$1)="AllGDP"),IF(P$6=OFFSET(Assumptions!$B$43,0,$C$1),AVERAGE(M$167/SUM(M$167:M$169),N$167/SUM(N$167:N$169),O$167/SUM(O$167:O$169)),O$167/SUM(O$167:O$169))*P$14*(SUM(O$167:O$169)/O$14+MIN(ABS(OFFSET(Assumptions!$B$45,0,$C$1)-SUM(O$167:O$169)/O$14),OFFSET(Assumptions!$B$44,0,$C$1))*SIGN(OFFSET(Assumptions!$B$45,0,$C$1)-SUM(O$167:O$169)/O$14)),O$167*(1+Exogenous!$B$41*Popn!W$208+Exogenous!$B$42*Popn!W$210+Exogenous!$B$43*Popn!W$213+Exogenous!$B$44*Popn!W$216+Exogenous!$B$45*Popn!W$220+Exogenous!$B$46*Popn!W$222)*AVERAGE(1,P$19*P$26/(O$19*O$26))*(1+P$34))</f>
        <v>2.6485578024908891</v>
      </c>
      <c r="Q167" s="7">
        <f ca="1">IF(AND(Q$6&gt;=OFFSET(Assumptions!$B$43,0,$C$1),OFFSET(Assumptions!$B$42,0,$C$1)="AllGDP"),IF(Q$6=OFFSET(Assumptions!$B$43,0,$C$1),AVERAGE(N$167/SUM(N$167:N$169),O$167/SUM(O$167:O$169),P$167/SUM(P$167:P$169)),P$167/SUM(P$167:P$169))*Q$14*(SUM(P$167:P$169)/P$14+MIN(ABS(OFFSET(Assumptions!$B$45,0,$C$1)-SUM(P$167:P$169)/P$14),OFFSET(Assumptions!$B$44,0,$C$1))*SIGN(OFFSET(Assumptions!$B$45,0,$C$1)-SUM(P$167:P$169)/P$14)),P$167*(1+Exogenous!$B$41*Popn!X$208+Exogenous!$B$42*Popn!X$210+Exogenous!$B$43*Popn!X$213+Exogenous!$B$44*Popn!X$216+Exogenous!$B$45*Popn!X$220+Exogenous!$B$46*Popn!X$222)*AVERAGE(1,Q$19*Q$26/(P$19*P$26))*(1+Q$34))</f>
        <v>2.8366004562753275</v>
      </c>
      <c r="R167" s="7">
        <f ca="1">IF(AND(R$6&gt;=OFFSET(Assumptions!$B$43,0,$C$1),OFFSET(Assumptions!$B$42,0,$C$1)="AllGDP"),IF(R$6=OFFSET(Assumptions!$B$43,0,$C$1),AVERAGE(O$167/SUM(O$167:O$169),P$167/SUM(P$167:P$169),Q$167/SUM(Q$167:Q$169)),Q$167/SUM(Q$167:Q$169))*R$14*(SUM(Q$167:Q$169)/Q$14+MIN(ABS(OFFSET(Assumptions!$B$45,0,$C$1)-SUM(Q$167:Q$169)/Q$14),OFFSET(Assumptions!$B$44,0,$C$1))*SIGN(OFFSET(Assumptions!$B$45,0,$C$1)-SUM(Q$167:Q$169)/Q$14)),Q$167*(1+Exogenous!$B$41*Popn!Y$208+Exogenous!$B$42*Popn!Y$210+Exogenous!$B$43*Popn!Y$213+Exogenous!$B$44*Popn!Y$216+Exogenous!$B$45*Popn!Y$220+Exogenous!$B$46*Popn!Y$222)*AVERAGE(1,R$19*R$26/(Q$19*Q$26))*(1+R$34))</f>
        <v>3.0342595227085347</v>
      </c>
      <c r="S167" s="7">
        <f ca="1">IF(AND(S$6&gt;=OFFSET(Assumptions!$B$43,0,$C$1),OFFSET(Assumptions!$B$42,0,$C$1)="AllGDP"),IF(S$6=OFFSET(Assumptions!$B$43,0,$C$1),AVERAGE(P$167/SUM(P$167:P$169),Q$167/SUM(Q$167:Q$169),R$167/SUM(R$167:R$169)),R$167/SUM(R$167:R$169))*S$14*(SUM(R$167:R$169)/R$14+MIN(ABS(OFFSET(Assumptions!$B$45,0,$C$1)-SUM(R$167:R$169)/R$14),OFFSET(Assumptions!$B$44,0,$C$1))*SIGN(OFFSET(Assumptions!$B$45,0,$C$1)-SUM(R$167:R$169)/R$14)),R$167*(1+Exogenous!$B$41*Popn!Z$208+Exogenous!$B$42*Popn!Z$210+Exogenous!$B$43*Popn!Z$213+Exogenous!$B$44*Popn!Z$216+Exogenous!$B$45*Popn!Z$220+Exogenous!$B$46*Popn!Z$222)*AVERAGE(1,S$19*S$26/(R$19*R$26))*(1+S$34))</f>
        <v>3.2421992145679059</v>
      </c>
      <c r="T167" s="7">
        <f ca="1">IF(AND(T$6&gt;=OFFSET(Assumptions!$B$43,0,$C$1),OFFSET(Assumptions!$B$42,0,$C$1)="AllGDP"),IF(T$6=OFFSET(Assumptions!$B$43,0,$C$1),AVERAGE(Q$167/SUM(Q$167:Q$169),R$167/SUM(R$167:R$169),S$167/SUM(S$167:S$169)),S$167/SUM(S$167:S$169))*T$14*(SUM(S$167:S$169)/S$14+MIN(ABS(OFFSET(Assumptions!$B$45,0,$C$1)-SUM(S$167:S$169)/S$14),OFFSET(Assumptions!$B$44,0,$C$1))*SIGN(OFFSET(Assumptions!$B$45,0,$C$1)-SUM(S$167:S$169)/S$14)),S$167*(1+Exogenous!$B$41*Popn!AA$208+Exogenous!$B$42*Popn!AA$210+Exogenous!$B$43*Popn!AA$213+Exogenous!$B$44*Popn!AA$216+Exogenous!$B$45*Popn!AA$220+Exogenous!$B$46*Popn!AA$222)*AVERAGE(1,T$19*T$26/(S$19*S$26))*(1+T$34))</f>
        <v>3.4607691279953783</v>
      </c>
      <c r="U167" s="7">
        <f ca="1">IF(AND(U$6&gt;=OFFSET(Assumptions!$B$43,0,$C$1),OFFSET(Assumptions!$B$42,0,$C$1)="AllGDP"),IF(U$6=OFFSET(Assumptions!$B$43,0,$C$1),AVERAGE(R$167/SUM(R$167:R$169),S$167/SUM(S$167:S$169),T$167/SUM(T$167:T$169)),T$167/SUM(T$167:T$169))*U$14*(SUM(T$167:T$169)/T$14+MIN(ABS(OFFSET(Assumptions!$B$45,0,$C$1)-SUM(T$167:T$169)/T$14),OFFSET(Assumptions!$B$44,0,$C$1))*SIGN(OFFSET(Assumptions!$B$45,0,$C$1)-SUM(T$167:T$169)/T$14)),T$167*(1+Exogenous!$B$41*Popn!AB$208+Exogenous!$B$42*Popn!AB$210+Exogenous!$B$43*Popn!AB$213+Exogenous!$B$44*Popn!AB$216+Exogenous!$B$45*Popn!AB$220+Exogenous!$B$46*Popn!AB$222)*AVERAGE(1,U$19*U$26/(T$19*T$26))*(1+U$34))</f>
        <v>3.6907708079053112</v>
      </c>
      <c r="V167" s="7">
        <f ca="1">IF(AND(V$6&gt;=OFFSET(Assumptions!$B$43,0,$C$1),OFFSET(Assumptions!$B$42,0,$C$1)="AllGDP"),IF(V$6=OFFSET(Assumptions!$B$43,0,$C$1),AVERAGE(S$167/SUM(S$167:S$169),T$167/SUM(T$167:T$169),U$167/SUM(U$167:U$169)),U$167/SUM(U$167:U$169))*V$14*(SUM(U$167:U$169)/U$14+MIN(ABS(OFFSET(Assumptions!$B$45,0,$C$1)-SUM(U$167:U$169)/U$14),OFFSET(Assumptions!$B$44,0,$C$1))*SIGN(OFFSET(Assumptions!$B$45,0,$C$1)-SUM(U$167:U$169)/U$14)),U$167*(1+Exogenous!$B$41*Popn!AC$208+Exogenous!$B$42*Popn!AC$210+Exogenous!$B$43*Popn!AC$213+Exogenous!$B$44*Popn!AC$216+Exogenous!$B$45*Popn!AC$220+Exogenous!$B$46*Popn!AC$222)*AVERAGE(1,V$19*V$26/(U$19*U$26))*(1+V$34))</f>
        <v>3.9329076120933313</v>
      </c>
      <c r="W167" s="7">
        <f ca="1">IF(AND(W$6&gt;=OFFSET(Assumptions!$B$43,0,$C$1),OFFSET(Assumptions!$B$42,0,$C$1)="AllGDP"),IF(W$6=OFFSET(Assumptions!$B$43,0,$C$1),AVERAGE(T$167/SUM(T$167:T$169),U$167/SUM(U$167:U$169),V$167/SUM(V$167:V$169)),V$167/SUM(V$167:V$169))*W$14*(SUM(V$167:V$169)/V$14+MIN(ABS(OFFSET(Assumptions!$B$45,0,$C$1)-SUM(V$167:V$169)/V$14),OFFSET(Assumptions!$B$44,0,$C$1))*SIGN(OFFSET(Assumptions!$B$45,0,$C$1)-SUM(V$167:V$169)/V$14)),V$167*(1+Exogenous!$B$41*Popn!AD$208+Exogenous!$B$42*Popn!AD$210+Exogenous!$B$43*Popn!AD$213+Exogenous!$B$44*Popn!AD$216+Exogenous!$B$45*Popn!AD$220+Exogenous!$B$46*Popn!AD$222)*AVERAGE(1,W$19*W$26/(V$19*V$26))*(1+W$34))</f>
        <v>4.1182945892200795</v>
      </c>
      <c r="X167" s="7">
        <f ca="1">IF(AND(X$6&gt;=OFFSET(Assumptions!$B$43,0,$C$1),OFFSET(Assumptions!$B$42,0,$C$1)="AllGDP"),IF(X$6=OFFSET(Assumptions!$B$43,0,$C$1),AVERAGE(U$167/SUM(U$167:U$169),V$167/SUM(V$167:V$169),W$167/SUM(W$167:W$169)),W$167/SUM(W$167:W$169))*X$14*(SUM(W$167:W$169)/W$14+MIN(ABS(OFFSET(Assumptions!$B$45,0,$C$1)-SUM(W$167:W$169)/W$14),OFFSET(Assumptions!$B$44,0,$C$1))*SIGN(OFFSET(Assumptions!$B$45,0,$C$1)-SUM(W$167:W$169)/W$14)),W$167*(1+Exogenous!$B$41*Popn!AE$208+Exogenous!$B$42*Popn!AE$210+Exogenous!$B$43*Popn!AE$213+Exogenous!$B$44*Popn!AE$216+Exogenous!$B$45*Popn!AE$220+Exogenous!$B$46*Popn!AE$222)*AVERAGE(1,X$19*X$26/(W$19*W$26))*(1+X$34))</f>
        <v>4.2825133759681933</v>
      </c>
      <c r="Y167" s="7">
        <f ca="1">IF(AND(Y$6&gt;=OFFSET(Assumptions!$B$43,0,$C$1),OFFSET(Assumptions!$B$42,0,$C$1)="AllGDP"),IF(Y$6=OFFSET(Assumptions!$B$43,0,$C$1),AVERAGE(V$167/SUM(V$167:V$169),W$167/SUM(W$167:W$169),X$167/SUM(X$167:X$169)),X$167/SUM(X$167:X$169))*Y$14*(SUM(X$167:X$169)/X$14+MIN(ABS(OFFSET(Assumptions!$B$45,0,$C$1)-SUM(X$167:X$169)/X$14),OFFSET(Assumptions!$B$44,0,$C$1))*SIGN(OFFSET(Assumptions!$B$45,0,$C$1)-SUM(X$167:X$169)/X$14)),X$167*(1+Exogenous!$B$41*Popn!AF$208+Exogenous!$B$42*Popn!AF$210+Exogenous!$B$43*Popn!AF$213+Exogenous!$B$44*Popn!AF$216+Exogenous!$B$45*Popn!AF$220+Exogenous!$B$46*Popn!AF$222)*AVERAGE(1,Y$19*Y$26/(X$19*X$26))*(1+Y$34))</f>
        <v>4.4528108285522654</v>
      </c>
      <c r="Z167" s="7">
        <f ca="1">IF(AND(Z$6&gt;=OFFSET(Assumptions!$B$43,0,$C$1),OFFSET(Assumptions!$B$42,0,$C$1)="AllGDP"),IF(Z$6=OFFSET(Assumptions!$B$43,0,$C$1),AVERAGE(W$167/SUM(W$167:W$169),X$167/SUM(X$167:X$169),Y$167/SUM(Y$167:Y$169)),Y$167/SUM(Y$167:Y$169))*Z$14*(SUM(Y$167:Y$169)/Y$14+MIN(ABS(OFFSET(Assumptions!$B$45,0,$C$1)-SUM(Y$167:Y$169)/Y$14),OFFSET(Assumptions!$B$44,0,$C$1))*SIGN(OFFSET(Assumptions!$B$45,0,$C$1)-SUM(Y$167:Y$169)/Y$14)),Y$167*(1+Exogenous!$B$41*Popn!AG$208+Exogenous!$B$42*Popn!AG$210+Exogenous!$B$43*Popn!AG$213+Exogenous!$B$44*Popn!AG$216+Exogenous!$B$45*Popn!AG$220+Exogenous!$B$46*Popn!AG$222)*AVERAGE(1,Z$19*Z$26/(Y$19*Y$26))*(1+Z$34))</f>
        <v>4.630048931777778</v>
      </c>
      <c r="AA167" s="7">
        <f ca="1">IF(AND(AA$6&gt;=OFFSET(Assumptions!$B$43,0,$C$1),OFFSET(Assumptions!$B$42,0,$C$1)="AllGDP"),IF(AA$6=OFFSET(Assumptions!$B$43,0,$C$1),AVERAGE(X$167/SUM(X$167:X$169),Y$167/SUM(Y$167:Y$169),Z$167/SUM(Z$167:Z$169)),Z$167/SUM(Z$167:Z$169))*AA$14*(SUM(Z$167:Z$169)/Z$14+MIN(ABS(OFFSET(Assumptions!$B$45,0,$C$1)-SUM(Z$167:Z$169)/Z$14),OFFSET(Assumptions!$B$44,0,$C$1))*SIGN(OFFSET(Assumptions!$B$45,0,$C$1)-SUM(Z$167:Z$169)/Z$14)),Z$167*(1+Exogenous!$B$41*Popn!AH$208+Exogenous!$B$42*Popn!AH$210+Exogenous!$B$43*Popn!AH$213+Exogenous!$B$44*Popn!AH$216+Exogenous!$B$45*Popn!AH$220+Exogenous!$B$46*Popn!AH$222)*AVERAGE(1,AA$19*AA$26/(Z$19*Z$26))*(1+AA$34))</f>
        <v>4.8145144575069558</v>
      </c>
      <c r="AB167" s="7">
        <f ca="1">IF(AND(AB$6&gt;=OFFSET(Assumptions!$B$43,0,$C$1),OFFSET(Assumptions!$B$42,0,$C$1)="AllGDP"),IF(AB$6=OFFSET(Assumptions!$B$43,0,$C$1),AVERAGE(Y$167/SUM(Y$167:Y$169),Z$167/SUM(Z$167:Z$169),AA$167/SUM(AA$167:AA$169)),AA$167/SUM(AA$167:AA$169))*AB$14*(SUM(AA$167:AA$169)/AA$14+MIN(ABS(OFFSET(Assumptions!$B$45,0,$C$1)-SUM(AA$167:AA$169)/AA$14),OFFSET(Assumptions!$B$44,0,$C$1))*SIGN(OFFSET(Assumptions!$B$45,0,$C$1)-SUM(AA$167:AA$169)/AA$14)),AA$167*(1+Exogenous!$B$41*Popn!AI$208+Exogenous!$B$42*Popn!AI$210+Exogenous!$B$43*Popn!AI$213+Exogenous!$B$44*Popn!AI$216+Exogenous!$B$45*Popn!AI$220+Exogenous!$B$46*Popn!AI$222)*AVERAGE(1,AB$19*AB$26/(AA$19*AA$26))*(1+AB$34))</f>
        <v>5.0067613727491862</v>
      </c>
      <c r="AC167" s="7">
        <f ca="1">IF(AND(AC$6&gt;=OFFSET(Assumptions!$B$43,0,$C$1),OFFSET(Assumptions!$B$42,0,$C$1)="AllGDP"),IF(AC$6=OFFSET(Assumptions!$B$43,0,$C$1),AVERAGE(Z$167/SUM(Z$167:Z$169),AA$167/SUM(AA$167:AA$169),AB$167/SUM(AB$167:AB$169)),AB$167/SUM(AB$167:AB$169))*AC$14*(SUM(AB$167:AB$169)/AB$14+MIN(ABS(OFFSET(Assumptions!$B$45,0,$C$1)-SUM(AB$167:AB$169)/AB$14),OFFSET(Assumptions!$B$44,0,$C$1))*SIGN(OFFSET(Assumptions!$B$45,0,$C$1)-SUM(AB$167:AB$169)/AB$14)),AB$167*(1+Exogenous!$B$41*Popn!AJ$208+Exogenous!$B$42*Popn!AJ$210+Exogenous!$B$43*Popn!AJ$213+Exogenous!$B$44*Popn!AJ$216+Exogenous!$B$45*Popn!AJ$220+Exogenous!$B$46*Popn!AJ$222)*AVERAGE(1,AC$19*AC$26/(AB$19*AB$26))*(1+AC$34))</f>
        <v>5.2075154356978768</v>
      </c>
      <c r="AD167" s="7">
        <f ca="1">IF(AND(AD$6&gt;=OFFSET(Assumptions!$B$43,0,$C$1),OFFSET(Assumptions!$B$42,0,$C$1)="AllGDP"),IF(AD$6=OFFSET(Assumptions!$B$43,0,$C$1),AVERAGE(AA$167/SUM(AA$167:AA$169),AB$167/SUM(AB$167:AB$169),AC$167/SUM(AC$167:AC$169)),AC$167/SUM(AC$167:AC$169))*AD$14*(SUM(AC$167:AC$169)/AC$14+MIN(ABS(OFFSET(Assumptions!$B$45,0,$C$1)-SUM(AC$167:AC$169)/AC$14),OFFSET(Assumptions!$B$44,0,$C$1))*SIGN(OFFSET(Assumptions!$B$45,0,$C$1)-SUM(AC$167:AC$169)/AC$14)),AC$167*(1+Exogenous!$B$41*Popn!AK$208+Exogenous!$B$42*Popn!AK$210+Exogenous!$B$43*Popn!AK$213+Exogenous!$B$44*Popn!AK$216+Exogenous!$B$45*Popn!AK$220+Exogenous!$B$46*Popn!AK$222)*AVERAGE(1,AD$19*AD$26/(AC$19*AC$26))*(1+AD$34))</f>
        <v>5.4169882436118142</v>
      </c>
      <c r="AE167" s="7">
        <f ca="1">IF(AND(AE$6&gt;=OFFSET(Assumptions!$B$43,0,$C$1),OFFSET(Assumptions!$B$42,0,$C$1)="AllGDP"),IF(AE$6=OFFSET(Assumptions!$B$43,0,$C$1),AVERAGE(AB$167/SUM(AB$167:AB$169),AC$167/SUM(AC$167:AC$169),AD$167/SUM(AD$167:AD$169)),AD$167/SUM(AD$167:AD$169))*AE$14*(SUM(AD$167:AD$169)/AD$14+MIN(ABS(OFFSET(Assumptions!$B$45,0,$C$1)-SUM(AD$167:AD$169)/AD$14),OFFSET(Assumptions!$B$44,0,$C$1))*SIGN(OFFSET(Assumptions!$B$45,0,$C$1)-SUM(AD$167:AD$169)/AD$14)),AD$167*(1+Exogenous!$B$41*Popn!AL$208+Exogenous!$B$42*Popn!AL$210+Exogenous!$B$43*Popn!AL$213+Exogenous!$B$44*Popn!AL$216+Exogenous!$B$45*Popn!AL$220+Exogenous!$B$46*Popn!AL$222)*AVERAGE(1,AE$19*AE$26/(AD$19*AD$26))*(1+AE$34))</f>
        <v>5.6349874236368036</v>
      </c>
      <c r="AF167" s="7">
        <f ca="1">IF(AND(AF$6&gt;=OFFSET(Assumptions!$B$43,0,$C$1),OFFSET(Assumptions!$B$42,0,$C$1)="AllGDP"),IF(AF$6=OFFSET(Assumptions!$B$43,0,$C$1),AVERAGE(AC$167/SUM(AC$167:AC$169),AD$167/SUM(AD$167:AD$169),AE$167/SUM(AE$167:AE$169)),AE$167/SUM(AE$167:AE$169))*AF$14*(SUM(AE$167:AE$169)/AE$14+MIN(ABS(OFFSET(Assumptions!$B$45,0,$C$1)-SUM(AE$167:AE$169)/AE$14),OFFSET(Assumptions!$B$44,0,$C$1))*SIGN(OFFSET(Assumptions!$B$45,0,$C$1)-SUM(AE$167:AE$169)/AE$14)),AE$167*(1+Exogenous!$B$41*Popn!AM$208+Exogenous!$B$42*Popn!AM$210+Exogenous!$B$43*Popn!AM$213+Exogenous!$B$44*Popn!AM$216+Exogenous!$B$45*Popn!AM$220+Exogenous!$B$46*Popn!AM$222)*AVERAGE(1,AF$19*AF$26/(AE$19*AE$26))*(1+AF$34))</f>
        <v>5.8621160922168887</v>
      </c>
      <c r="AG167" s="7">
        <f ca="1">IF(AND(AG$6&gt;=OFFSET(Assumptions!$B$43,0,$C$1),OFFSET(Assumptions!$B$42,0,$C$1)="AllGDP"),IF(AG$6=OFFSET(Assumptions!$B$43,0,$C$1),AVERAGE(AD$167/SUM(AD$167:AD$169),AE$167/SUM(AE$167:AE$169),AF$167/SUM(AF$167:AF$169)),AF$167/SUM(AF$167:AF$169))*AG$14*(SUM(AF$167:AF$169)/AF$14+MIN(ABS(OFFSET(Assumptions!$B$45,0,$C$1)-SUM(AF$167:AF$169)/AF$14),OFFSET(Assumptions!$B$44,0,$C$1))*SIGN(OFFSET(Assumptions!$B$45,0,$C$1)-SUM(AF$167:AF$169)/AF$14)),AF$167*(1+Exogenous!$B$41*Popn!AN$208+Exogenous!$B$42*Popn!AN$210+Exogenous!$B$43*Popn!AN$213+Exogenous!$B$44*Popn!AN$216+Exogenous!$B$45*Popn!AN$220+Exogenous!$B$46*Popn!AN$222)*AVERAGE(1,AG$19*AG$26/(AF$19*AF$26))*(1+AG$34))</f>
        <v>6.0985012502060583</v>
      </c>
      <c r="AH167" s="7">
        <f ca="1">IF(AND(AH$6&gt;=OFFSET(Assumptions!$B$43,0,$C$1),OFFSET(Assumptions!$B$42,0,$C$1)="AllGDP"),IF(AH$6=OFFSET(Assumptions!$B$43,0,$C$1),AVERAGE(AE$167/SUM(AE$167:AE$169),AF$167/SUM(AF$167:AF$169),AG$167/SUM(AG$167:AG$169)),AG$167/SUM(AG$167:AG$169))*AH$14*(SUM(AG$167:AG$169)/AG$14+MIN(ABS(OFFSET(Assumptions!$B$45,0,$C$1)-SUM(AG$167:AG$169)/AG$14),OFFSET(Assumptions!$B$44,0,$C$1))*SIGN(OFFSET(Assumptions!$B$45,0,$C$1)-SUM(AG$167:AG$169)/AG$14)),AG$167*(1+Exogenous!$B$41*Popn!AO$208+Exogenous!$B$42*Popn!AO$210+Exogenous!$B$43*Popn!AO$213+Exogenous!$B$44*Popn!AO$216+Exogenous!$B$45*Popn!AO$220+Exogenous!$B$46*Popn!AO$222)*AVERAGE(1,AH$19*AH$26/(AG$19*AG$26))*(1+AH$34))</f>
        <v>6.3445219576070429</v>
      </c>
      <c r="AI167" s="7">
        <f ca="1">IF(AND(AI$6&gt;=OFFSET(Assumptions!$B$43,0,$C$1),OFFSET(Assumptions!$B$42,0,$C$1)="AllGDP"),IF(AI$6=OFFSET(Assumptions!$B$43,0,$C$1),AVERAGE(AF$167/SUM(AF$167:AF$169),AG$167/SUM(AG$167:AG$169),AH$167/SUM(AH$167:AH$169)),AH$167/SUM(AH$167:AH$169))*AI$14*(SUM(AH$167:AH$169)/AH$14+MIN(ABS(OFFSET(Assumptions!$B$45,0,$C$1)-SUM(AH$167:AH$169)/AH$14),OFFSET(Assumptions!$B$44,0,$C$1))*SIGN(OFFSET(Assumptions!$B$45,0,$C$1)-SUM(AH$167:AH$169)/AH$14)),AH$167*(1+Exogenous!$B$41*Popn!AP$208+Exogenous!$B$42*Popn!AP$210+Exogenous!$B$43*Popn!AP$213+Exogenous!$B$44*Popn!AP$216+Exogenous!$B$45*Popn!AP$220+Exogenous!$B$46*Popn!AP$222)*AVERAGE(1,AI$19*AI$26/(AH$19*AH$26))*(1+AI$34))</f>
        <v>6.5997483348028938</v>
      </c>
      <c r="AJ167" s="7">
        <f ca="1">IF(AND(AJ$6&gt;=OFFSET(Assumptions!$B$43,0,$C$1),OFFSET(Assumptions!$B$42,0,$C$1)="AllGDP"),IF(AJ$6=OFFSET(Assumptions!$B$43,0,$C$1),AVERAGE(AG$167/SUM(AG$167:AG$169),AH$167/SUM(AH$167:AH$169),AI$167/SUM(AI$167:AI$169)),AI$167/SUM(AI$167:AI$169))*AJ$14*(SUM(AI$167:AI$169)/AI$14+MIN(ABS(OFFSET(Assumptions!$B$45,0,$C$1)-SUM(AI$167:AI$169)/AI$14),OFFSET(Assumptions!$B$44,0,$C$1))*SIGN(OFFSET(Assumptions!$B$45,0,$C$1)-SUM(AI$167:AI$169)/AI$14)),AI$167*(1+Exogenous!$B$41*Popn!AQ$208+Exogenous!$B$42*Popn!AQ$210+Exogenous!$B$43*Popn!AQ$213+Exogenous!$B$44*Popn!AQ$216+Exogenous!$B$45*Popn!AQ$220+Exogenous!$B$46*Popn!AQ$222)*AVERAGE(1,AJ$19*AJ$26/(AI$19*AI$26))*(1+AJ$34))</f>
        <v>6.8649979990421022</v>
      </c>
      <c r="AK167" s="7">
        <f ca="1">IF(AND(AK$6&gt;=OFFSET(Assumptions!$B$43,0,$C$1),OFFSET(Assumptions!$B$42,0,$C$1)="AllGDP"),IF(AK$6=OFFSET(Assumptions!$B$43,0,$C$1),AVERAGE(AH$167/SUM(AH$167:AH$169),AI$167/SUM(AI$167:AI$169),AJ$167/SUM(AJ$167:AJ$169)),AJ$167/SUM(AJ$167:AJ$169))*AK$14*(SUM(AJ$167:AJ$169)/AJ$14+MIN(ABS(OFFSET(Assumptions!$B$45,0,$C$1)-SUM(AJ$167:AJ$169)/AJ$14),OFFSET(Assumptions!$B$44,0,$C$1))*SIGN(OFFSET(Assumptions!$B$45,0,$C$1)-SUM(AJ$167:AJ$169)/AJ$14)),AJ$167*(1+Exogenous!$B$41*Popn!AR$208+Exogenous!$B$42*Popn!AR$210+Exogenous!$B$43*Popn!AR$213+Exogenous!$B$44*Popn!AR$216+Exogenous!$B$45*Popn!AR$220+Exogenous!$B$46*Popn!AR$222)*AVERAGE(1,AK$19*AK$26/(AJ$19*AJ$26))*(1+AK$34))</f>
        <v>7.1400527477802234</v>
      </c>
      <c r="AL167" s="7">
        <f ca="1">IF(AND(AL$6&gt;=OFFSET(Assumptions!$B$43,0,$C$1),OFFSET(Assumptions!$B$42,0,$C$1)="AllGDP"),IF(AL$6=OFFSET(Assumptions!$B$43,0,$C$1),AVERAGE(AI$167/SUM(AI$167:AI$169),AJ$167/SUM(AJ$167:AJ$169),AK$167/SUM(AK$167:AK$169)),AK$167/SUM(AK$167:AK$169))*AL$14*(SUM(AK$167:AK$169)/AK$14+MIN(ABS(OFFSET(Assumptions!$B$45,0,$C$1)-SUM(AK$167:AK$169)/AK$14),OFFSET(Assumptions!$B$44,0,$C$1))*SIGN(OFFSET(Assumptions!$B$45,0,$C$1)-SUM(AK$167:AK$169)/AK$14)),AK$167*(1+Exogenous!$B$41*Popn!AS$208+Exogenous!$B$42*Popn!AS$210+Exogenous!$B$43*Popn!AS$213+Exogenous!$B$44*Popn!AS$216+Exogenous!$B$45*Popn!AS$220+Exogenous!$B$46*Popn!AS$222)*AVERAGE(1,AL$19*AL$26/(AK$19*AK$26))*(1+AL$34))</f>
        <v>7.4246959128034211</v>
      </c>
      <c r="AM167" s="7">
        <f ca="1">IF(AND(AM$6&gt;=OFFSET(Assumptions!$B$43,0,$C$1),OFFSET(Assumptions!$B$42,0,$C$1)="AllGDP"),IF(AM$6=OFFSET(Assumptions!$B$43,0,$C$1),AVERAGE(AJ$167/SUM(AJ$167:AJ$169),AK$167/SUM(AK$167:AK$169),AL$167/SUM(AL$167:AL$169)),AL$167/SUM(AL$167:AL$169))*AM$14*(SUM(AL$167:AL$169)/AL$14+MIN(ABS(OFFSET(Assumptions!$B$45,0,$C$1)-SUM(AL$167:AL$169)/AL$14),OFFSET(Assumptions!$B$44,0,$C$1))*SIGN(OFFSET(Assumptions!$B$45,0,$C$1)-SUM(AL$167:AL$169)/AL$14)),AL$167*(1+Exogenous!$B$41*Popn!AT$208+Exogenous!$B$42*Popn!AT$210+Exogenous!$B$43*Popn!AT$213+Exogenous!$B$44*Popn!AT$216+Exogenous!$B$45*Popn!AT$220+Exogenous!$B$46*Popn!AT$222)*AVERAGE(1,AM$19*AM$26/(AL$19*AL$26))*(1+AM$34))</f>
        <v>7.71931635374143</v>
      </c>
      <c r="AN167" s="7">
        <f ca="1">IF(AND(AN$6&gt;=OFFSET(Assumptions!$B$43,0,$C$1),OFFSET(Assumptions!$B$42,0,$C$1)="AllGDP"),IF(AN$6=OFFSET(Assumptions!$B$43,0,$C$1),AVERAGE(AK$167/SUM(AK$167:AK$169),AL$167/SUM(AL$167:AL$169),AM$167/SUM(AM$167:AM$169)),AM$167/SUM(AM$167:AM$169))*AN$14*(SUM(AM$167:AM$169)/AM$14+MIN(ABS(OFFSET(Assumptions!$B$45,0,$C$1)-SUM(AM$167:AM$169)/AM$14),OFFSET(Assumptions!$B$44,0,$C$1))*SIGN(OFFSET(Assumptions!$B$45,0,$C$1)-SUM(AM$167:AM$169)/AM$14)),AM$167*(1+Exogenous!$B$41*Popn!AU$208+Exogenous!$B$42*Popn!AU$210+Exogenous!$B$43*Popn!AU$213+Exogenous!$B$44*Popn!AU$216+Exogenous!$B$45*Popn!AU$220+Exogenous!$B$46*Popn!AU$222)*AVERAGE(1,AN$19*AN$26/(AM$19*AM$26))*(1+AN$34))</f>
        <v>8.0243238847744642</v>
      </c>
      <c r="AO167" s="7">
        <f ca="1">IF(AND(AO$6&gt;=OFFSET(Assumptions!$B$43,0,$C$1),OFFSET(Assumptions!$B$42,0,$C$1)="AllGDP"),IF(AO$6=OFFSET(Assumptions!$B$43,0,$C$1),AVERAGE(AL$167/SUM(AL$167:AL$169),AM$167/SUM(AM$167:AM$169),AN$167/SUM(AN$167:AN$169)),AN$167/SUM(AN$167:AN$169))*AO$14*(SUM(AN$167:AN$169)/AN$14+MIN(ABS(OFFSET(Assumptions!$B$45,0,$C$1)-SUM(AN$167:AN$169)/AN$14),OFFSET(Assumptions!$B$44,0,$C$1))*SIGN(OFFSET(Assumptions!$B$45,0,$C$1)-SUM(AN$167:AN$169)/AN$14)),AN$167*(1+Exogenous!$B$41*Popn!AV$208+Exogenous!$B$42*Popn!AV$210+Exogenous!$B$43*Popn!AV$213+Exogenous!$B$44*Popn!AV$216+Exogenous!$B$45*Popn!AV$220+Exogenous!$B$46*Popn!AV$222)*AVERAGE(1,AO$19*AO$26/(AN$19*AN$26))*(1+AO$34))</f>
        <v>8.3385208468046486</v>
      </c>
      <c r="AP167" s="7">
        <f ca="1">IF(AND(AP$6&gt;=OFFSET(Assumptions!$B$43,0,$C$1),OFFSET(Assumptions!$B$42,0,$C$1)="AllGDP"),IF(AP$6=OFFSET(Assumptions!$B$43,0,$C$1),AVERAGE(AM$167/SUM(AM$167:AM$169),AN$167/SUM(AN$167:AN$169),AO$167/SUM(AO$167:AO$169)),AO$167/SUM(AO$167:AO$169))*AP$14*(SUM(AO$167:AO$169)/AO$14+MIN(ABS(OFFSET(Assumptions!$B$45,0,$C$1)-SUM(AO$167:AO$169)/AO$14),OFFSET(Assumptions!$B$44,0,$C$1))*SIGN(OFFSET(Assumptions!$B$45,0,$C$1)-SUM(AO$167:AO$169)/AO$14)),AO$167*(1+Exogenous!$B$41*Popn!AW$208+Exogenous!$B$42*Popn!AW$210+Exogenous!$B$43*Popn!AW$213+Exogenous!$B$44*Popn!AW$216+Exogenous!$B$45*Popn!AW$220+Exogenous!$B$46*Popn!AW$222)*AVERAGE(1,AP$19*AP$26/(AO$19*AO$26))*(1+AP$34))</f>
        <v>8.6632414756974487</v>
      </c>
      <c r="AQ167" s="7">
        <f ca="1">IF(AND(AQ$6&gt;=OFFSET(Assumptions!$B$43,0,$C$1),OFFSET(Assumptions!$B$42,0,$C$1)="AllGDP"),IF(AQ$6=OFFSET(Assumptions!$B$43,0,$C$1),AVERAGE(AN$167/SUM(AN$167:AN$169),AO$167/SUM(AO$167:AO$169),AP$167/SUM(AP$167:AP$169)),AP$167/SUM(AP$167:AP$169))*AQ$14*(SUM(AP$167:AP$169)/AP$14+MIN(ABS(OFFSET(Assumptions!$B$45,0,$C$1)-SUM(AP$167:AP$169)/AP$14),OFFSET(Assumptions!$B$44,0,$C$1))*SIGN(OFFSET(Assumptions!$B$45,0,$C$1)-SUM(AP$167:AP$169)/AP$14)),AP$167*(1+Exogenous!$B$41*Popn!AX$208+Exogenous!$B$42*Popn!AX$210+Exogenous!$B$43*Popn!AX$213+Exogenous!$B$44*Popn!AX$216+Exogenous!$B$45*Popn!AX$220+Exogenous!$B$46*Popn!AX$222)*AVERAGE(1,AQ$19*AQ$26/(AP$19*AP$26))*(1+AQ$34))</f>
        <v>8.9975759052754345</v>
      </c>
      <c r="AR167" s="7">
        <f ca="1">IF(AND(AR$6&gt;=OFFSET(Assumptions!$B$43,0,$C$1),OFFSET(Assumptions!$B$42,0,$C$1)="AllGDP"),IF(AR$6=OFFSET(Assumptions!$B$43,0,$C$1),AVERAGE(AO$167/SUM(AO$167:AO$169),AP$167/SUM(AP$167:AP$169),AQ$167/SUM(AQ$167:AQ$169)),AQ$167/SUM(AQ$167:AQ$169))*AR$14*(SUM(AQ$167:AQ$169)/AQ$14+MIN(ABS(OFFSET(Assumptions!$B$45,0,$C$1)-SUM(AQ$167:AQ$169)/AQ$14),OFFSET(Assumptions!$B$44,0,$C$1))*SIGN(OFFSET(Assumptions!$B$45,0,$C$1)-SUM(AQ$167:AQ$169)/AQ$14)),AQ$167*(1+Exogenous!$B$41*Popn!AY$208+Exogenous!$B$42*Popn!AY$210+Exogenous!$B$43*Popn!AY$213+Exogenous!$B$44*Popn!AY$216+Exogenous!$B$45*Popn!AY$220+Exogenous!$B$46*Popn!AY$222)*AVERAGE(1,AR$19*AR$26/(AQ$19*AQ$26))*(1+AR$34))</f>
        <v>9.3419026619242729</v>
      </c>
      <c r="AS167" s="7">
        <f ca="1">IF(AND(AS$6&gt;=OFFSET(Assumptions!$B$43,0,$C$1),OFFSET(Assumptions!$B$42,0,$C$1)="AllGDP"),IF(AS$6=OFFSET(Assumptions!$B$43,0,$C$1),AVERAGE(AP$167/SUM(AP$167:AP$169),AQ$167/SUM(AQ$167:AQ$169),AR$167/SUM(AR$167:AR$169)),AR$167/SUM(AR$167:AR$169))*AS$14*(SUM(AR$167:AR$169)/AR$14+MIN(ABS(OFFSET(Assumptions!$B$45,0,$C$1)-SUM(AR$167:AR$169)/AR$14),OFFSET(Assumptions!$B$44,0,$C$1))*SIGN(OFFSET(Assumptions!$B$45,0,$C$1)-SUM(AR$167:AR$169)/AR$14)),AR$167*(1+Exogenous!$B$41*Popn!AZ$208+Exogenous!$B$42*Popn!AZ$210+Exogenous!$B$43*Popn!AZ$213+Exogenous!$B$44*Popn!AZ$216+Exogenous!$B$45*Popn!AZ$220+Exogenous!$B$46*Popn!AZ$222)*AVERAGE(1,AS$19*AS$26/(AR$19*AR$26))*(1+AS$34))</f>
        <v>9.6970250500355064</v>
      </c>
      <c r="AT167" s="7">
        <f ca="1">IF(AND(AT$6&gt;=OFFSET(Assumptions!$B$43,0,$C$1),OFFSET(Assumptions!$B$42,0,$C$1)="AllGDP"),IF(AT$6=OFFSET(Assumptions!$B$43,0,$C$1),AVERAGE(AQ$167/SUM(AQ$167:AQ$169),AR$167/SUM(AR$167:AR$169),AS$167/SUM(AS$167:AS$169)),AS$167/SUM(AS$167:AS$169))*AT$14*(SUM(AS$167:AS$169)/AS$14+MIN(ABS(OFFSET(Assumptions!$B$45,0,$C$1)-SUM(AS$167:AS$169)/AS$14),OFFSET(Assumptions!$B$44,0,$C$1))*SIGN(OFFSET(Assumptions!$B$45,0,$C$1)-SUM(AS$167:AS$169)/AS$14)),AS$167*(1+Exogenous!$B$41*Popn!BA$208+Exogenous!$B$42*Popn!BA$210+Exogenous!$B$43*Popn!BA$213+Exogenous!$B$44*Popn!BA$216+Exogenous!$B$45*Popn!BA$220+Exogenous!$B$46*Popn!BA$222)*AVERAGE(1,AT$19*AT$26/(AS$19*AS$26))*(1+AT$34))</f>
        <v>10.06322669423413</v>
      </c>
      <c r="AU167" s="7">
        <f ca="1">IF(AND(AU$6&gt;=OFFSET(Assumptions!$B$43,0,$C$1),OFFSET(Assumptions!$B$42,0,$C$1)="AllGDP"),IF(AU$6=OFFSET(Assumptions!$B$43,0,$C$1),AVERAGE(AR$167/SUM(AR$167:AR$169),AS$167/SUM(AS$167:AS$169),AT$167/SUM(AT$167:AT$169)),AT$167/SUM(AT$167:AT$169))*AU$14*(SUM(AT$167:AT$169)/AT$14+MIN(ABS(OFFSET(Assumptions!$B$45,0,$C$1)-SUM(AT$167:AT$169)/AT$14),OFFSET(Assumptions!$B$44,0,$C$1))*SIGN(OFFSET(Assumptions!$B$45,0,$C$1)-SUM(AT$167:AT$169)/AT$14)),AT$167*(1+Exogenous!$B$41*Popn!BB$208+Exogenous!$B$42*Popn!BB$210+Exogenous!$B$43*Popn!BB$213+Exogenous!$B$44*Popn!BB$216+Exogenous!$B$45*Popn!BB$220+Exogenous!$B$46*Popn!BB$222)*AVERAGE(1,AU$19*AU$26/(AT$19*AT$26))*(1+AU$34))</f>
        <v>10.440994560954383</v>
      </c>
      <c r="AV167" s="7">
        <f ca="1">IF(AND(AV$6&gt;=OFFSET(Assumptions!$B$43,0,$C$1),OFFSET(Assumptions!$B$42,0,$C$1)="AllGDP"),IF(AV$6=OFFSET(Assumptions!$B$43,0,$C$1),AVERAGE(AS$167/SUM(AS$167:AS$169),AT$167/SUM(AT$167:AT$169),AU$167/SUM(AU$167:AU$169)),AU$167/SUM(AU$167:AU$169))*AV$14*(SUM(AU$167:AU$169)/AU$14+MIN(ABS(OFFSET(Assumptions!$B$45,0,$C$1)-SUM(AU$167:AU$169)/AU$14),OFFSET(Assumptions!$B$44,0,$C$1))*SIGN(OFFSET(Assumptions!$B$45,0,$C$1)-SUM(AU$167:AU$169)/AU$14)),AU$167*(1+Exogenous!$B$41*Popn!BC$208+Exogenous!$B$42*Popn!BC$210+Exogenous!$B$43*Popn!BC$213+Exogenous!$B$44*Popn!BC$216+Exogenous!$B$45*Popn!BC$220+Exogenous!$B$46*Popn!BC$222)*AVERAGE(1,AV$19*AV$26/(AU$19*AU$26))*(1+AV$34))</f>
        <v>10.831496669932269</v>
      </c>
      <c r="AW167" s="7">
        <f ca="1">IF(AND(AW$6&gt;=OFFSET(Assumptions!$B$43,0,$C$1),OFFSET(Assumptions!$B$42,0,$C$1)="AllGDP"),IF(AW$6=OFFSET(Assumptions!$B$43,0,$C$1),AVERAGE(AT$167/SUM(AT$167:AT$169),AU$167/SUM(AU$167:AU$169),AV$167/SUM(AV$167:AV$169)),AV$167/SUM(AV$167:AV$169))*AW$14*(SUM(AV$167:AV$169)/AV$14+MIN(ABS(OFFSET(Assumptions!$B$45,0,$C$1)-SUM(AV$167:AV$169)/AV$14),OFFSET(Assumptions!$B$44,0,$C$1))*SIGN(OFFSET(Assumptions!$B$45,0,$C$1)-SUM(AV$167:AV$169)/AV$14)),AV$167*(1+Exogenous!$B$41*Popn!BD$208+Exogenous!$B$42*Popn!BD$210+Exogenous!$B$43*Popn!BD$213+Exogenous!$B$44*Popn!BD$216+Exogenous!$B$45*Popn!BD$220+Exogenous!$B$46*Popn!BD$222)*AVERAGE(1,AW$19*AW$26/(AV$19*AV$26))*(1+AW$34))</f>
        <v>11.234512560789637</v>
      </c>
    </row>
    <row r="168" spans="1:49" x14ac:dyDescent="0.2">
      <c r="A168" s="1" t="s">
        <v>316</v>
      </c>
      <c r="B168" s="4" t="str">
        <f t="shared" si="145"/>
        <v>From Fiscal</v>
      </c>
      <c r="D168" s="18">
        <f>Fiscal!D$226</f>
        <v>1.5149999999999999</v>
      </c>
      <c r="E168" s="19">
        <f>Fiscal!E$226</f>
        <v>1.524</v>
      </c>
      <c r="F168" s="19">
        <f>Fiscal!F$226</f>
        <v>1.5149999999999999</v>
      </c>
      <c r="G168" s="19">
        <f>Fiscal!G$226</f>
        <v>1.4930000000000001</v>
      </c>
      <c r="H168" s="19">
        <f>Fiscal!H$226</f>
        <v>1.5089999999999999</v>
      </c>
      <c r="I168" s="19">
        <f>Fiscal!I$226</f>
        <v>1.5289999999999999</v>
      </c>
      <c r="J168" s="7">
        <f ca="1">IF(AND(J$6&gt;=OFFSET(Assumptions!$B$43,0,$C$1),OFFSET(Assumptions!$B$42,0,$C$1)="AllGDP"),IF(J$6=OFFSET(Assumptions!$B$43,0,$C$1),AVERAGE(G$168/SUM(G$167:G$169),H$168/SUM(H$167:H$169),I$168/SUM(I$167:I$169)),I$168/SUM(I$167:I$169))*J$14*(SUM(I$167:I$169)/I$14+MIN(ABS(OFFSET(Assumptions!$B$45,0,$C$1)-SUM(I$167:I$169)/I$14),OFFSET(Assumptions!$B$44,0,$C$1))*SIGN(OFFSET(Assumptions!$B$45,0,$C$1)-SUM(I$167:I$169)/I$14)),I$168*(1+Exogenous!$I$41*Popn!Q$208+Exogenous!$I$42*Popn!Q$212+Exogenous!$I$43*Popn!Q$215+Exogenous!$I$44*Popn!Q$219+Exogenous!$I$45*Popn!Q$221+Exogenous!$I$46*Popn!Q$222)*(1+J$34))</f>
        <v>1.6310814574564301</v>
      </c>
      <c r="K168" s="7">
        <f ca="1">IF(AND(K$6&gt;=OFFSET(Assumptions!$B$43,0,$C$1),OFFSET(Assumptions!$B$42,0,$C$1)="AllGDP"),IF(K$6=OFFSET(Assumptions!$B$43,0,$C$1),AVERAGE(H$168/SUM(H$167:H$169),I$168/SUM(I$167:I$169),J$168/SUM(J$167:J$169)),J$168/SUM(J$167:J$169))*K$14*(SUM(J$167:J$169)/J$14+MIN(ABS(OFFSET(Assumptions!$B$45,0,$C$1)-SUM(J$167:J$169)/J$14),OFFSET(Assumptions!$B$44,0,$C$1))*SIGN(OFFSET(Assumptions!$B$45,0,$C$1)-SUM(J$167:J$169)/J$14)),J$168*(1+Exogenous!$I$41*Popn!R$208+Exogenous!$I$42*Popn!R$212+Exogenous!$I$43*Popn!R$215+Exogenous!$I$44*Popn!R$219+Exogenous!$I$45*Popn!R$221+Exogenous!$I$46*Popn!R$222)*(1+K$34))</f>
        <v>1.7564374000975966</v>
      </c>
      <c r="L168" s="7">
        <f ca="1">IF(AND(L$6&gt;=OFFSET(Assumptions!$B$43,0,$C$1),OFFSET(Assumptions!$B$42,0,$C$1)="AllGDP"),IF(L$6=OFFSET(Assumptions!$B$43,0,$C$1),AVERAGE(I$168/SUM(I$167:I$169),J$168/SUM(J$167:J$169),K$168/SUM(K$167:K$169)),K$168/SUM(K$167:K$169))*L$14*(SUM(K$167:K$169)/K$14+MIN(ABS(OFFSET(Assumptions!$B$45,0,$C$1)-SUM(K$167:K$169)/K$14),OFFSET(Assumptions!$B$44,0,$C$1))*SIGN(OFFSET(Assumptions!$B$45,0,$C$1)-SUM(K$167:K$169)/K$14)),K$168*(1+Exogenous!$I$41*Popn!S$208+Exogenous!$I$42*Popn!S$212+Exogenous!$I$43*Popn!S$215+Exogenous!$I$44*Popn!S$219+Exogenous!$I$45*Popn!S$221+Exogenous!$I$46*Popn!S$222)*(1+L$34))</f>
        <v>1.8922424511257909</v>
      </c>
      <c r="M168" s="7">
        <f ca="1">IF(AND(M$6&gt;=OFFSET(Assumptions!$B$43,0,$C$1),OFFSET(Assumptions!$B$42,0,$C$1)="AllGDP"),IF(M$6=OFFSET(Assumptions!$B$43,0,$C$1),AVERAGE(J$168/SUM(J$167:J$169),K$168/SUM(K$167:K$169),L$168/SUM(L$167:L$169)),L$168/SUM(L$167:L$169))*M$14*(SUM(L$167:L$169)/L$14+MIN(ABS(OFFSET(Assumptions!$B$45,0,$C$1)-SUM(L$167:L$169)/L$14),OFFSET(Assumptions!$B$44,0,$C$1))*SIGN(OFFSET(Assumptions!$B$45,0,$C$1)-SUM(L$167:L$169)/L$14)),L$168*(1+Exogenous!$I$41*Popn!T$208+Exogenous!$I$42*Popn!T$212+Exogenous!$I$43*Popn!T$215+Exogenous!$I$44*Popn!T$219+Exogenous!$I$45*Popn!T$221+Exogenous!$I$46*Popn!T$222)*(1+M$34))</f>
        <v>2.0362495041862556</v>
      </c>
      <c r="N168" s="7">
        <f ca="1">IF(AND(N$6&gt;=OFFSET(Assumptions!$B$43,0,$C$1),OFFSET(Assumptions!$B$42,0,$C$1)="AllGDP"),IF(N$6=OFFSET(Assumptions!$B$43,0,$C$1),AVERAGE(K$168/SUM(K$167:K$169),L$168/SUM(L$167:L$169),M$168/SUM(M$167:M$169)),M$168/SUM(M$167:M$169))*N$14*(SUM(M$167:M$169)/M$14+MIN(ABS(OFFSET(Assumptions!$B$45,0,$C$1)-SUM(M$167:M$169)/M$14),OFFSET(Assumptions!$B$44,0,$C$1))*SIGN(OFFSET(Assumptions!$B$45,0,$C$1)-SUM(M$167:M$169)/M$14)),M$168*(1+Exogenous!$I$41*Popn!U$208+Exogenous!$I$42*Popn!U$212+Exogenous!$I$43*Popn!U$215+Exogenous!$I$44*Popn!U$219+Exogenous!$I$45*Popn!U$221+Exogenous!$I$46*Popn!U$222)*(1+N$34))</f>
        <v>2.1890024580742784</v>
      </c>
      <c r="O168" s="7">
        <f ca="1">IF(AND(O$6&gt;=OFFSET(Assumptions!$B$43,0,$C$1),OFFSET(Assumptions!$B$42,0,$C$1)="AllGDP"),IF(O$6=OFFSET(Assumptions!$B$43,0,$C$1),AVERAGE(L$168/SUM(L$167:L$169),M$168/SUM(M$167:M$169),N$168/SUM(N$167:N$169)),N$168/SUM(N$167:N$169))*O$14*(SUM(N$167:N$169)/N$14+MIN(ABS(OFFSET(Assumptions!$B$45,0,$C$1)-SUM(N$167:N$169)/N$14),OFFSET(Assumptions!$B$44,0,$C$1))*SIGN(OFFSET(Assumptions!$B$45,0,$C$1)-SUM(N$167:N$169)/N$14)),N$168*(1+Exogenous!$I$41*Popn!V$208+Exogenous!$I$42*Popn!V$212+Exogenous!$I$43*Popn!V$215+Exogenous!$I$44*Popn!V$219+Exogenous!$I$45*Popn!V$221+Exogenous!$I$46*Popn!V$222)*(1+O$34))</f>
        <v>2.3501503210613528</v>
      </c>
      <c r="P168" s="7">
        <f ca="1">IF(AND(P$6&gt;=OFFSET(Assumptions!$B$43,0,$C$1),OFFSET(Assumptions!$B$42,0,$C$1)="AllGDP"),IF(P$6=OFFSET(Assumptions!$B$43,0,$C$1),AVERAGE(M$168/SUM(M$167:M$169),N$168/SUM(N$167:N$169),O$168/SUM(O$167:O$169)),O$168/SUM(O$167:O$169))*P$14*(SUM(O$167:O$169)/O$14+MIN(ABS(OFFSET(Assumptions!$B$45,0,$C$1)-SUM(O$167:O$169)/O$14),OFFSET(Assumptions!$B$44,0,$C$1))*SIGN(OFFSET(Assumptions!$B$45,0,$C$1)-SUM(O$167:O$169)/O$14)),O$168*(1+Exogenous!$I$41*Popn!W$208+Exogenous!$I$42*Popn!W$212+Exogenous!$I$43*Popn!W$215+Exogenous!$I$44*Popn!W$219+Exogenous!$I$45*Popn!W$221+Exogenous!$I$46*Popn!W$222)*(1+P$34))</f>
        <v>2.5201053286486768</v>
      </c>
      <c r="Q168" s="7">
        <f ca="1">IF(AND(Q$6&gt;=OFFSET(Assumptions!$B$43,0,$C$1),OFFSET(Assumptions!$B$42,0,$C$1)="AllGDP"),IF(Q$6=OFFSET(Assumptions!$B$43,0,$C$1),AVERAGE(N$168/SUM(N$167:N$169),O$168/SUM(O$167:O$169),P$168/SUM(P$167:P$169)),P$168/SUM(P$167:P$169))*Q$14*(SUM(P$167:P$169)/P$14+MIN(ABS(OFFSET(Assumptions!$B$45,0,$C$1)-SUM(P$167:P$169)/P$14),OFFSET(Assumptions!$B$44,0,$C$1))*SIGN(OFFSET(Assumptions!$B$45,0,$C$1)-SUM(P$167:P$169)/P$14)),P$168*(1+Exogenous!$I$41*Popn!X$208+Exogenous!$I$42*Popn!X$212+Exogenous!$I$43*Popn!X$215+Exogenous!$I$44*Popn!X$219+Exogenous!$I$45*Popn!X$221+Exogenous!$I$46*Popn!X$222)*(1+Q$34))</f>
        <v>2.6990280968698288</v>
      </c>
      <c r="R168" s="7">
        <f ca="1">IF(AND(R$6&gt;=OFFSET(Assumptions!$B$43,0,$C$1),OFFSET(Assumptions!$B$42,0,$C$1)="AllGDP"),IF(R$6=OFFSET(Assumptions!$B$43,0,$C$1),AVERAGE(O$168/SUM(O$167:O$169),P$168/SUM(P$167:P$169),Q$168/SUM(Q$167:Q$169)),Q$168/SUM(Q$167:Q$169))*R$14*(SUM(Q$167:Q$169)/Q$14+MIN(ABS(OFFSET(Assumptions!$B$45,0,$C$1)-SUM(Q$167:Q$169)/Q$14),OFFSET(Assumptions!$B$44,0,$C$1))*SIGN(OFFSET(Assumptions!$B$45,0,$C$1)-SUM(Q$167:Q$169)/Q$14)),Q$168*(1+Exogenous!$I$41*Popn!Y$208+Exogenous!$I$42*Popn!Y$212+Exogenous!$I$43*Popn!Y$215+Exogenous!$I$44*Popn!Y$219+Exogenous!$I$45*Popn!Y$221+Exogenous!$I$46*Popn!Y$222)*(1+R$34))</f>
        <v>2.8871008910922464</v>
      </c>
      <c r="S168" s="7">
        <f ca="1">IF(AND(S$6&gt;=OFFSET(Assumptions!$B$43,0,$C$1),OFFSET(Assumptions!$B$42,0,$C$1)="AllGDP"),IF(S$6=OFFSET(Assumptions!$B$43,0,$C$1),AVERAGE(P$168/SUM(P$167:P$169),Q$168/SUM(Q$167:Q$169),R$168/SUM(R$167:R$169)),R$168/SUM(R$167:R$169))*S$14*(SUM(R$167:R$169)/R$14+MIN(ABS(OFFSET(Assumptions!$B$45,0,$C$1)-SUM(R$167:R$169)/R$14),OFFSET(Assumptions!$B$44,0,$C$1))*SIGN(OFFSET(Assumptions!$B$45,0,$C$1)-SUM(R$167:R$169)/R$14)),R$168*(1+Exogenous!$I$41*Popn!Z$208+Exogenous!$I$42*Popn!Z$212+Exogenous!$I$43*Popn!Z$215+Exogenous!$I$44*Popn!Z$219+Exogenous!$I$45*Popn!Z$221+Exogenous!$I$46*Popn!Z$222)*(1+S$34))</f>
        <v>3.0849557104205356</v>
      </c>
      <c r="T168" s="7">
        <f ca="1">IF(AND(T$6&gt;=OFFSET(Assumptions!$B$43,0,$C$1),OFFSET(Assumptions!$B$42,0,$C$1)="AllGDP"),IF(T$6=OFFSET(Assumptions!$B$43,0,$C$1),AVERAGE(Q$168/SUM(Q$167:Q$169),R$168/SUM(R$167:R$169),S$168/SUM(S$167:S$169)),S$168/SUM(S$167:S$169))*T$14*(SUM(S$167:S$169)/S$14+MIN(ABS(OFFSET(Assumptions!$B$45,0,$C$1)-SUM(S$167:S$169)/S$14),OFFSET(Assumptions!$B$44,0,$C$1))*SIGN(OFFSET(Assumptions!$B$45,0,$C$1)-SUM(S$167:S$169)/S$14)),S$168*(1+Exogenous!$I$41*Popn!AA$208+Exogenous!$I$42*Popn!AA$212+Exogenous!$I$43*Popn!AA$215+Exogenous!$I$44*Popn!AA$219+Exogenous!$I$45*Popn!AA$221+Exogenous!$I$46*Popn!AA$222)*(1+T$34))</f>
        <v>3.2929251959242403</v>
      </c>
      <c r="U168" s="7">
        <f ca="1">IF(AND(U$6&gt;=OFFSET(Assumptions!$B$43,0,$C$1),OFFSET(Assumptions!$B$42,0,$C$1)="AllGDP"),IF(U$6=OFFSET(Assumptions!$B$43,0,$C$1),AVERAGE(R$168/SUM(R$167:R$169),S$168/SUM(S$167:S$169),T$168/SUM(T$167:T$169)),T$168/SUM(T$167:T$169))*U$14*(SUM(T$167:T$169)/T$14+MIN(ABS(OFFSET(Assumptions!$B$45,0,$C$1)-SUM(T$167:T$169)/T$14),OFFSET(Assumptions!$B$44,0,$C$1))*SIGN(OFFSET(Assumptions!$B$45,0,$C$1)-SUM(T$167:T$169)/T$14)),T$168*(1+Exogenous!$I$41*Popn!AB$208+Exogenous!$I$42*Popn!AB$212+Exogenous!$I$43*Popn!AB$215+Exogenous!$I$44*Popn!AB$219+Exogenous!$I$45*Popn!AB$221+Exogenous!$I$46*Popn!AB$222)*(1+U$34))</f>
        <v>3.5117720183700434</v>
      </c>
      <c r="V168" s="7">
        <f ca="1">IF(AND(V$6&gt;=OFFSET(Assumptions!$B$43,0,$C$1),OFFSET(Assumptions!$B$42,0,$C$1)="AllGDP"),IF(V$6=OFFSET(Assumptions!$B$43,0,$C$1),AVERAGE(S$168/SUM(S$167:S$169),T$168/SUM(T$167:T$169),U$168/SUM(U$167:U$169)),U$168/SUM(U$167:U$169))*V$14*(SUM(U$167:U$169)/U$14+MIN(ABS(OFFSET(Assumptions!$B$45,0,$C$1)-SUM(U$167:U$169)/U$14),OFFSET(Assumptions!$B$44,0,$C$1))*SIGN(OFFSET(Assumptions!$B$45,0,$C$1)-SUM(U$167:U$169)/U$14)),U$168*(1+Exogenous!$I$41*Popn!AC$208+Exogenous!$I$42*Popn!AC$212+Exogenous!$I$43*Popn!AC$215+Exogenous!$I$44*Popn!AC$219+Exogenous!$I$45*Popn!AC$221+Exogenous!$I$46*Popn!AC$222)*(1+V$34))</f>
        <v>3.7421654233855222</v>
      </c>
      <c r="W168" s="7">
        <f ca="1">IF(AND(W$6&gt;=OFFSET(Assumptions!$B$43,0,$C$1),OFFSET(Assumptions!$B$42,0,$C$1)="AllGDP"),IF(W$6=OFFSET(Assumptions!$B$43,0,$C$1),AVERAGE(T$168/SUM(T$167:T$169),U$168/SUM(U$167:U$169),V$168/SUM(V$167:V$169)),V$168/SUM(V$167:V$169))*W$14*(SUM(V$167:V$169)/V$14+MIN(ABS(OFFSET(Assumptions!$B$45,0,$C$1)-SUM(V$167:V$169)/V$14),OFFSET(Assumptions!$B$44,0,$C$1))*SIGN(OFFSET(Assumptions!$B$45,0,$C$1)-SUM(V$167:V$169)/V$14)),V$168*(1+Exogenous!$I$41*Popn!AD$208+Exogenous!$I$42*Popn!AD$212+Exogenous!$I$43*Popn!AD$215+Exogenous!$I$44*Popn!AD$219+Exogenous!$I$45*Popn!AD$221+Exogenous!$I$46*Popn!AD$222)*(1+W$34))</f>
        <v>3.9185613126803696</v>
      </c>
      <c r="X168" s="7">
        <f ca="1">IF(AND(X$6&gt;=OFFSET(Assumptions!$B$43,0,$C$1),OFFSET(Assumptions!$B$42,0,$C$1)="AllGDP"),IF(X$6=OFFSET(Assumptions!$B$43,0,$C$1),AVERAGE(U$168/SUM(U$167:U$169),V$168/SUM(V$167:V$169),W$168/SUM(W$167:W$169)),W$168/SUM(W$167:W$169))*X$14*(SUM(W$167:W$169)/W$14+MIN(ABS(OFFSET(Assumptions!$B$45,0,$C$1)-SUM(W$167:W$169)/W$14),OFFSET(Assumptions!$B$44,0,$C$1))*SIGN(OFFSET(Assumptions!$B$45,0,$C$1)-SUM(W$167:W$169)/W$14)),W$168*(1+Exogenous!$I$41*Popn!AE$208+Exogenous!$I$42*Popn!AE$212+Exogenous!$I$43*Popn!AE$215+Exogenous!$I$44*Popn!AE$219+Exogenous!$I$45*Popn!AE$221+Exogenous!$I$46*Popn!AE$222)*(1+X$34))</f>
        <v>4.0748156482130629</v>
      </c>
      <c r="Y168" s="7">
        <f ca="1">IF(AND(Y$6&gt;=OFFSET(Assumptions!$B$43,0,$C$1),OFFSET(Assumptions!$B$42,0,$C$1)="AllGDP"),IF(Y$6=OFFSET(Assumptions!$B$43,0,$C$1),AVERAGE(V$168/SUM(V$167:V$169),W$168/SUM(W$167:W$169),X$168/SUM(X$167:X$169)),X$168/SUM(X$167:X$169))*Y$14*(SUM(X$167:X$169)/X$14+MIN(ABS(OFFSET(Assumptions!$B$45,0,$C$1)-SUM(X$167:X$169)/X$14),OFFSET(Assumptions!$B$44,0,$C$1))*SIGN(OFFSET(Assumptions!$B$45,0,$C$1)-SUM(X$167:X$169)/X$14)),X$168*(1+Exogenous!$I$41*Popn!AF$208+Exogenous!$I$42*Popn!AF$212+Exogenous!$I$43*Popn!AF$215+Exogenous!$I$44*Popn!AF$219+Exogenous!$I$45*Popn!AF$221+Exogenous!$I$46*Popn!AF$222)*(1+Y$34))</f>
        <v>4.2368538402090223</v>
      </c>
      <c r="Z168" s="7">
        <f ca="1">IF(AND(Z$6&gt;=OFFSET(Assumptions!$B$43,0,$C$1),OFFSET(Assumptions!$B$42,0,$C$1)="AllGDP"),IF(Z$6=OFFSET(Assumptions!$B$43,0,$C$1),AVERAGE(W$168/SUM(W$167:W$169),X$168/SUM(X$167:X$169),Y$168/SUM(Y$167:Y$169)),Y$168/SUM(Y$167:Y$169))*Z$14*(SUM(Y$167:Y$169)/Y$14+MIN(ABS(OFFSET(Assumptions!$B$45,0,$C$1)-SUM(Y$167:Y$169)/Y$14),OFFSET(Assumptions!$B$44,0,$C$1))*SIGN(OFFSET(Assumptions!$B$45,0,$C$1)-SUM(Y$167:Y$169)/Y$14)),Y$168*(1+Exogenous!$I$41*Popn!AG$208+Exogenous!$I$42*Popn!AG$212+Exogenous!$I$43*Popn!AG$215+Exogenous!$I$44*Popn!AG$219+Exogenous!$I$45*Popn!AG$221+Exogenous!$I$46*Popn!AG$222)*(1+Z$34))</f>
        <v>4.4054960680502013</v>
      </c>
      <c r="AA168" s="7">
        <f ca="1">IF(AND(AA$6&gt;=OFFSET(Assumptions!$B$43,0,$C$1),OFFSET(Assumptions!$B$42,0,$C$1)="AllGDP"),IF(AA$6=OFFSET(Assumptions!$B$43,0,$C$1),AVERAGE(X$168/SUM(X$167:X$169),Y$168/SUM(Y$167:Y$169),Z$168/SUM(Z$167:Z$169)),Z$168/SUM(Z$167:Z$169))*AA$14*(SUM(Z$167:Z$169)/Z$14+MIN(ABS(OFFSET(Assumptions!$B$45,0,$C$1)-SUM(Z$167:Z$169)/Z$14),OFFSET(Assumptions!$B$44,0,$C$1))*SIGN(OFFSET(Assumptions!$B$45,0,$C$1)-SUM(Z$167:Z$169)/Z$14)),Z$168*(1+Exogenous!$I$41*Popn!AH$208+Exogenous!$I$42*Popn!AH$212+Exogenous!$I$43*Popn!AH$215+Exogenous!$I$44*Popn!AH$219+Exogenous!$I$45*Popn!AH$221+Exogenous!$I$46*Popn!AH$222)*(1+AA$34))</f>
        <v>4.5810151954428076</v>
      </c>
      <c r="AB168" s="7">
        <f ca="1">IF(AND(AB$6&gt;=OFFSET(Assumptions!$B$43,0,$C$1),OFFSET(Assumptions!$B$42,0,$C$1)="AllGDP"),IF(AB$6=OFFSET(Assumptions!$B$43,0,$C$1),AVERAGE(Y$168/SUM(Y$167:Y$169),Z$168/SUM(Z$167:Z$169),AA$168/SUM(AA$167:AA$169)),AA$168/SUM(AA$167:AA$169))*AB$14*(SUM(AA$167:AA$169)/AA$14+MIN(ABS(OFFSET(Assumptions!$B$45,0,$C$1)-SUM(AA$167:AA$169)/AA$14),OFFSET(Assumptions!$B$44,0,$C$1))*SIGN(OFFSET(Assumptions!$B$45,0,$C$1)-SUM(AA$167:AA$169)/AA$14)),AA$168*(1+Exogenous!$I$41*Popn!AI$208+Exogenous!$I$42*Popn!AI$212+Exogenous!$I$43*Popn!AI$215+Exogenous!$I$44*Popn!AI$219+Exogenous!$I$45*Popn!AI$221+Exogenous!$I$46*Popn!AI$222)*(1+AB$34))</f>
        <v>4.7639383225358154</v>
      </c>
      <c r="AC168" s="7">
        <f ca="1">IF(AND(AC$6&gt;=OFFSET(Assumptions!$B$43,0,$C$1),OFFSET(Assumptions!$B$42,0,$C$1)="AllGDP"),IF(AC$6=OFFSET(Assumptions!$B$43,0,$C$1),AVERAGE(Z$168/SUM(Z$167:Z$169),AA$168/SUM(AA$167:AA$169),AB$168/SUM(AB$167:AB$169)),AB$168/SUM(AB$167:AB$169))*AC$14*(SUM(AB$167:AB$169)/AB$14+MIN(ABS(OFFSET(Assumptions!$B$45,0,$C$1)-SUM(AB$167:AB$169)/AB$14),OFFSET(Assumptions!$B$44,0,$C$1))*SIGN(OFFSET(Assumptions!$B$45,0,$C$1)-SUM(AB$167:AB$169)/AB$14)),AB$168*(1+Exogenous!$I$41*Popn!AJ$208+Exogenous!$I$42*Popn!AJ$212+Exogenous!$I$43*Popn!AJ$215+Exogenous!$I$44*Popn!AJ$219+Exogenous!$I$45*Popn!AJ$221+Exogenous!$I$46*Popn!AJ$222)*(1+AC$34))</f>
        <v>4.9549560089571054</v>
      </c>
      <c r="AD168" s="7">
        <f ca="1">IF(AND(AD$6&gt;=OFFSET(Assumptions!$B$43,0,$C$1),OFFSET(Assumptions!$B$42,0,$C$1)="AllGDP"),IF(AD$6=OFFSET(Assumptions!$B$43,0,$C$1),AVERAGE(AA$168/SUM(AA$167:AA$169),AB$168/SUM(AB$167:AB$169),AC$168/SUM(AC$167:AC$169)),AC$168/SUM(AC$167:AC$169))*AD$14*(SUM(AC$167:AC$169)/AC$14+MIN(ABS(OFFSET(Assumptions!$B$45,0,$C$1)-SUM(AC$167:AC$169)/AC$14),OFFSET(Assumptions!$B$44,0,$C$1))*SIGN(OFFSET(Assumptions!$B$45,0,$C$1)-SUM(AC$167:AC$169)/AC$14)),AC$168*(1+Exogenous!$I$41*Popn!AK$208+Exogenous!$I$42*Popn!AK$212+Exogenous!$I$43*Popn!AK$215+Exogenous!$I$44*Popn!AK$219+Exogenous!$I$45*Popn!AK$221+Exogenous!$I$46*Popn!AK$222)*(1+AD$34))</f>
        <v>5.1542695897045014</v>
      </c>
      <c r="AE168" s="7">
        <f ca="1">IF(AND(AE$6&gt;=OFFSET(Assumptions!$B$43,0,$C$1),OFFSET(Assumptions!$B$42,0,$C$1)="AllGDP"),IF(AE$6=OFFSET(Assumptions!$B$43,0,$C$1),AVERAGE(AB$168/SUM(AB$167:AB$169),AC$168/SUM(AC$167:AC$169),AD$168/SUM(AD$167:AD$169)),AD$168/SUM(AD$167:AD$169))*AE$14*(SUM(AD$167:AD$169)/AD$14+MIN(ABS(OFFSET(Assumptions!$B$45,0,$C$1)-SUM(AD$167:AD$169)/AD$14),OFFSET(Assumptions!$B$44,0,$C$1))*SIGN(OFFSET(Assumptions!$B$45,0,$C$1)-SUM(AD$167:AD$169)/AD$14)),AD$168*(1+Exogenous!$I$41*Popn!AL$208+Exogenous!$I$42*Popn!AL$212+Exogenous!$I$43*Popn!AL$215+Exogenous!$I$44*Popn!AL$219+Exogenous!$I$45*Popn!AL$221+Exogenous!$I$46*Popn!AL$222)*(1+AE$34))</f>
        <v>5.361696021819875</v>
      </c>
      <c r="AF168" s="7">
        <f ca="1">IF(AND(AF$6&gt;=OFFSET(Assumptions!$B$43,0,$C$1),OFFSET(Assumptions!$B$42,0,$C$1)="AllGDP"),IF(AF$6=OFFSET(Assumptions!$B$43,0,$C$1),AVERAGE(AC$168/SUM(AC$167:AC$169),AD$168/SUM(AD$167:AD$169),AE$168/SUM(AE$167:AE$169)),AE$168/SUM(AE$167:AE$169))*AF$14*(SUM(AE$167:AE$169)/AE$14+MIN(ABS(OFFSET(Assumptions!$B$45,0,$C$1)-SUM(AE$167:AE$169)/AE$14),OFFSET(Assumptions!$B$44,0,$C$1))*SIGN(OFFSET(Assumptions!$B$45,0,$C$1)-SUM(AE$167:AE$169)/AE$14)),AE$168*(1+Exogenous!$I$41*Popn!AM$208+Exogenous!$I$42*Popn!AM$212+Exogenous!$I$43*Popn!AM$215+Exogenous!$I$44*Popn!AM$219+Exogenous!$I$45*Popn!AM$221+Exogenous!$I$46*Popn!AM$222)*(1+AF$34))</f>
        <v>5.5778091711871403</v>
      </c>
      <c r="AG168" s="7">
        <f ca="1">IF(AND(AG$6&gt;=OFFSET(Assumptions!$B$43,0,$C$1),OFFSET(Assumptions!$B$42,0,$C$1)="AllGDP"),IF(AG$6=OFFSET(Assumptions!$B$43,0,$C$1),AVERAGE(AD$168/SUM(AD$167:AD$169),AE$168/SUM(AE$167:AE$169),AF$168/SUM(AF$167:AF$169)),AF$168/SUM(AF$167:AF$169))*AG$14*(SUM(AF$167:AF$169)/AF$14+MIN(ABS(OFFSET(Assumptions!$B$45,0,$C$1)-SUM(AF$167:AF$169)/AF$14),OFFSET(Assumptions!$B$44,0,$C$1))*SIGN(OFFSET(Assumptions!$B$45,0,$C$1)-SUM(AF$167:AF$169)/AF$14)),AF$168*(1+Exogenous!$I$41*Popn!AN$208+Exogenous!$I$42*Popn!AN$212+Exogenous!$I$43*Popn!AN$215+Exogenous!$I$44*Popn!AN$219+Exogenous!$I$45*Popn!AN$221+Exogenous!$I$46*Popn!AN$222)*(1+AG$34))</f>
        <v>5.8027298792425634</v>
      </c>
      <c r="AH168" s="7">
        <f ca="1">IF(AND(AH$6&gt;=OFFSET(Assumptions!$B$43,0,$C$1),OFFSET(Assumptions!$B$42,0,$C$1)="AllGDP"),IF(AH$6=OFFSET(Assumptions!$B$43,0,$C$1),AVERAGE(AE$168/SUM(AE$167:AE$169),AF$168/SUM(AF$167:AF$169),AG$168/SUM(AG$167:AG$169)),AG$168/SUM(AG$167:AG$169))*AH$14*(SUM(AG$167:AG$169)/AG$14+MIN(ABS(OFFSET(Assumptions!$B$45,0,$C$1)-SUM(AG$167:AG$169)/AG$14),OFFSET(Assumptions!$B$44,0,$C$1))*SIGN(OFFSET(Assumptions!$B$45,0,$C$1)-SUM(AG$167:AG$169)/AG$14)),AG$168*(1+Exogenous!$I$41*Popn!AO$208+Exogenous!$I$42*Popn!AO$212+Exogenous!$I$43*Popn!AO$215+Exogenous!$I$44*Popn!AO$219+Exogenous!$I$45*Popn!AO$221+Exogenous!$I$46*Popn!AO$222)*(1+AH$34))</f>
        <v>6.0368188219479277</v>
      </c>
      <c r="AI168" s="7">
        <f ca="1">IF(AND(AI$6&gt;=OFFSET(Assumptions!$B$43,0,$C$1),OFFSET(Assumptions!$B$42,0,$C$1)="AllGDP"),IF(AI$6=OFFSET(Assumptions!$B$43,0,$C$1),AVERAGE(AF$168/SUM(AF$167:AF$169),AG$168/SUM(AG$167:AG$169),AH$168/SUM(AH$167:AH$169)),AH$168/SUM(AH$167:AH$169))*AI$14*(SUM(AH$167:AH$169)/AH$14+MIN(ABS(OFFSET(Assumptions!$B$45,0,$C$1)-SUM(AH$167:AH$169)/AH$14),OFFSET(Assumptions!$B$44,0,$C$1))*SIGN(OFFSET(Assumptions!$B$45,0,$C$1)-SUM(AH$167:AH$169)/AH$14)),AH$168*(1+Exogenous!$I$41*Popn!AP$208+Exogenous!$I$42*Popn!AP$212+Exogenous!$I$43*Popn!AP$215+Exogenous!$I$44*Popn!AP$219+Exogenous!$I$45*Popn!AP$221+Exogenous!$I$46*Popn!AP$222)*(1+AI$34))</f>
        <v>6.2796669684290256</v>
      </c>
      <c r="AJ168" s="7">
        <f ca="1">IF(AND(AJ$6&gt;=OFFSET(Assumptions!$B$43,0,$C$1),OFFSET(Assumptions!$B$42,0,$C$1)="AllGDP"),IF(AJ$6=OFFSET(Assumptions!$B$43,0,$C$1),AVERAGE(AG$168/SUM(AG$167:AG$169),AH$168/SUM(AH$167:AH$169),AI$168/SUM(AI$167:AI$169)),AI$168/SUM(AI$167:AI$169))*AJ$14*(SUM(AI$167:AI$169)/AI$14+MIN(ABS(OFFSET(Assumptions!$B$45,0,$C$1)-SUM(AI$167:AI$169)/AI$14),OFFSET(Assumptions!$B$44,0,$C$1))*SIGN(OFFSET(Assumptions!$B$45,0,$C$1)-SUM(AI$167:AI$169)/AI$14)),AI$168*(1+Exogenous!$I$41*Popn!AQ$208+Exogenous!$I$42*Popn!AQ$212+Exogenous!$I$43*Popn!AQ$215+Exogenous!$I$44*Popn!AQ$219+Exogenous!$I$45*Popn!AQ$221+Exogenous!$I$46*Popn!AQ$222)*(1+AJ$34))</f>
        <v>6.5320522822941172</v>
      </c>
      <c r="AK168" s="7">
        <f ca="1">IF(AND(AK$6&gt;=OFFSET(Assumptions!$B$43,0,$C$1),OFFSET(Assumptions!$B$42,0,$C$1)="AllGDP"),IF(AK$6=OFFSET(Assumptions!$B$43,0,$C$1),AVERAGE(AH$168/SUM(AH$167:AH$169),AI$168/SUM(AI$167:AI$169),AJ$168/SUM(AJ$167:AJ$169)),AJ$168/SUM(AJ$167:AJ$169))*AK$14*(SUM(AJ$167:AJ$169)/AJ$14+MIN(ABS(OFFSET(Assumptions!$B$45,0,$C$1)-SUM(AJ$167:AJ$169)/AJ$14),OFFSET(Assumptions!$B$44,0,$C$1))*SIGN(OFFSET(Assumptions!$B$45,0,$C$1)-SUM(AJ$167:AJ$169)/AJ$14)),AJ$168*(1+Exogenous!$I$41*Popn!AR$208+Exogenous!$I$42*Popn!AR$212+Exogenous!$I$43*Popn!AR$215+Exogenous!$I$44*Popn!AR$219+Exogenous!$I$45*Popn!AR$221+Exogenous!$I$46*Popn!AR$222)*(1+AK$34))</f>
        <v>6.7937671436096467</v>
      </c>
      <c r="AL168" s="7">
        <f ca="1">IF(AND(AL$6&gt;=OFFSET(Assumptions!$B$43,0,$C$1),OFFSET(Assumptions!$B$42,0,$C$1)="AllGDP"),IF(AL$6=OFFSET(Assumptions!$B$43,0,$C$1),AVERAGE(AI$168/SUM(AI$167:AI$169),AJ$168/SUM(AJ$167:AJ$169),AK$168/SUM(AK$167:AK$169)),AK$168/SUM(AK$167:AK$169))*AL$14*(SUM(AK$167:AK$169)/AK$14+MIN(ABS(OFFSET(Assumptions!$B$45,0,$C$1)-SUM(AK$167:AK$169)/AK$14),OFFSET(Assumptions!$B$44,0,$C$1))*SIGN(OFFSET(Assumptions!$B$45,0,$C$1)-SUM(AK$167:AK$169)/AK$14)),AK$168*(1+Exogenous!$I$41*Popn!AS$208+Exogenous!$I$42*Popn!AS$212+Exogenous!$I$43*Popn!AS$215+Exogenous!$I$44*Popn!AS$219+Exogenous!$I$45*Popn!AS$221+Exogenous!$I$46*Popn!AS$222)*(1+AL$34))</f>
        <v>7.0646053923591197</v>
      </c>
      <c r="AM168" s="7">
        <f ca="1">IF(AND(AM$6&gt;=OFFSET(Assumptions!$B$43,0,$C$1),OFFSET(Assumptions!$B$42,0,$C$1)="AllGDP"),IF(AM$6=OFFSET(Assumptions!$B$43,0,$C$1),AVERAGE(AJ$168/SUM(AJ$167:AJ$169),AK$168/SUM(AK$167:AK$169),AL$168/SUM(AL$167:AL$169)),AL$168/SUM(AL$167:AL$169))*AM$14*(SUM(AL$167:AL$169)/AL$14+MIN(ABS(OFFSET(Assumptions!$B$45,0,$C$1)-SUM(AL$167:AL$169)/AL$14),OFFSET(Assumptions!$B$44,0,$C$1))*SIGN(OFFSET(Assumptions!$B$45,0,$C$1)-SUM(AL$167:AL$169)/AL$14)),AL$168*(1+Exogenous!$I$41*Popn!AT$208+Exogenous!$I$42*Popn!AT$212+Exogenous!$I$43*Popn!AT$215+Exogenous!$I$44*Popn!AT$219+Exogenous!$I$45*Popn!AT$221+Exogenous!$I$46*Popn!AT$222)*(1+AM$34))</f>
        <v>7.3449370288589622</v>
      </c>
      <c r="AN168" s="7">
        <f ca="1">IF(AND(AN$6&gt;=OFFSET(Assumptions!$B$43,0,$C$1),OFFSET(Assumptions!$B$42,0,$C$1)="AllGDP"),IF(AN$6=OFFSET(Assumptions!$B$43,0,$C$1),AVERAGE(AK$168/SUM(AK$167:AK$169),AL$168/SUM(AL$167:AL$169),AM$168/SUM(AM$167:AM$169)),AM$168/SUM(AM$167:AM$169))*AN$14*(SUM(AM$167:AM$169)/AM$14+MIN(ABS(OFFSET(Assumptions!$B$45,0,$C$1)-SUM(AM$167:AM$169)/AM$14),OFFSET(Assumptions!$B$44,0,$C$1))*SIGN(OFFSET(Assumptions!$B$45,0,$C$1)-SUM(AM$167:AM$169)/AM$14)),AM$168*(1+Exogenous!$I$41*Popn!AU$208+Exogenous!$I$42*Popn!AU$212+Exogenous!$I$43*Popn!AU$215+Exogenous!$I$44*Popn!AU$219+Exogenous!$I$45*Popn!AU$221+Exogenous!$I$46*Popn!AU$222)*(1+AN$34))</f>
        <v>7.6351519917007895</v>
      </c>
      <c r="AO168" s="7">
        <f ca="1">IF(AND(AO$6&gt;=OFFSET(Assumptions!$B$43,0,$C$1),OFFSET(Assumptions!$B$42,0,$C$1)="AllGDP"),IF(AO$6=OFFSET(Assumptions!$B$43,0,$C$1),AVERAGE(AL$168/SUM(AL$167:AL$169),AM$168/SUM(AM$167:AM$169),AN$168/SUM(AN$167:AN$169)),AN$168/SUM(AN$167:AN$169))*AO$14*(SUM(AN$167:AN$169)/AN$14+MIN(ABS(OFFSET(Assumptions!$B$45,0,$C$1)-SUM(AN$167:AN$169)/AN$14),OFFSET(Assumptions!$B$44,0,$C$1))*SIGN(OFFSET(Assumptions!$B$45,0,$C$1)-SUM(AN$167:AN$169)/AN$14)),AN$168*(1+Exogenous!$I$41*Popn!AV$208+Exogenous!$I$42*Popn!AV$212+Exogenous!$I$43*Popn!AV$215+Exogenous!$I$44*Popn!AV$219+Exogenous!$I$45*Popn!AV$221+Exogenous!$I$46*Popn!AV$222)*(1+AO$34))</f>
        <v>7.9341107070865053</v>
      </c>
      <c r="AP168" s="7">
        <f ca="1">IF(AND(AP$6&gt;=OFFSET(Assumptions!$B$43,0,$C$1),OFFSET(Assumptions!$B$42,0,$C$1)="AllGDP"),IF(AP$6=OFFSET(Assumptions!$B$43,0,$C$1),AVERAGE(AM$168/SUM(AM$167:AM$169),AN$168/SUM(AN$167:AN$169),AO$168/SUM(AO$167:AO$169)),AO$168/SUM(AO$167:AO$169))*AP$14*(SUM(AO$167:AO$169)/AO$14+MIN(ABS(OFFSET(Assumptions!$B$45,0,$C$1)-SUM(AO$167:AO$169)/AO$14),OFFSET(Assumptions!$B$44,0,$C$1))*SIGN(OFFSET(Assumptions!$B$45,0,$C$1)-SUM(AO$167:AO$169)/AO$14)),AO$168*(1+Exogenous!$I$41*Popn!AW$208+Exogenous!$I$42*Popn!AW$212+Exogenous!$I$43*Popn!AW$215+Exogenous!$I$44*Popn!AW$219+Exogenous!$I$45*Popn!AW$221+Exogenous!$I$46*Popn!AW$222)*(1+AP$34))</f>
        <v>8.2430827017415886</v>
      </c>
      <c r="AQ168" s="7">
        <f ca="1">IF(AND(AQ$6&gt;=OFFSET(Assumptions!$B$43,0,$C$1),OFFSET(Assumptions!$B$42,0,$C$1)="AllGDP"),IF(AQ$6=OFFSET(Assumptions!$B$43,0,$C$1),AVERAGE(AN$168/SUM(AN$167:AN$169),AO$168/SUM(AO$167:AO$169),AP$168/SUM(AP$167:AP$169)),AP$168/SUM(AP$167:AP$169))*AQ$14*(SUM(AP$167:AP$169)/AP$14+MIN(ABS(OFFSET(Assumptions!$B$45,0,$C$1)-SUM(AP$167:AP$169)/AP$14),OFFSET(Assumptions!$B$44,0,$C$1))*SIGN(OFFSET(Assumptions!$B$45,0,$C$1)-SUM(AP$167:AP$169)/AP$14)),AP$168*(1+Exogenous!$I$41*Popn!AX$208+Exogenous!$I$42*Popn!AX$212+Exogenous!$I$43*Popn!AX$215+Exogenous!$I$44*Popn!AX$219+Exogenous!$I$45*Popn!AX$221+Exogenous!$I$46*Popn!AX$222)*(1+AQ$34))</f>
        <v>8.5612022371120435</v>
      </c>
      <c r="AR168" s="7">
        <f ca="1">IF(AND(AR$6&gt;=OFFSET(Assumptions!$B$43,0,$C$1),OFFSET(Assumptions!$B$42,0,$C$1)="AllGDP"),IF(AR$6=OFFSET(Assumptions!$B$43,0,$C$1),AVERAGE(AO$168/SUM(AO$167:AO$169),AP$168/SUM(AP$167:AP$169),AQ$168/SUM(AQ$167:AQ$169)),AQ$168/SUM(AQ$167:AQ$169))*AR$14*(SUM(AQ$167:AQ$169)/AQ$14+MIN(ABS(OFFSET(Assumptions!$B$45,0,$C$1)-SUM(AQ$167:AQ$169)/AQ$14),OFFSET(Assumptions!$B$44,0,$C$1))*SIGN(OFFSET(Assumptions!$B$45,0,$C$1)-SUM(AQ$167:AQ$169)/AQ$14)),AQ$168*(1+Exogenous!$I$41*Popn!AY$208+Exogenous!$I$42*Popn!AY$212+Exogenous!$I$43*Popn!AY$215+Exogenous!$I$44*Popn!AY$219+Exogenous!$I$45*Popn!AY$221+Exogenous!$I$46*Popn!AY$222)*(1+AR$34))</f>
        <v>8.8888294814225031</v>
      </c>
      <c r="AS168" s="7">
        <f ca="1">IF(AND(AS$6&gt;=OFFSET(Assumptions!$B$43,0,$C$1),OFFSET(Assumptions!$B$42,0,$C$1)="AllGDP"),IF(AS$6=OFFSET(Assumptions!$B$43,0,$C$1),AVERAGE(AP$168/SUM(AP$167:AP$169),AQ$168/SUM(AQ$167:AQ$169),AR$168/SUM(AR$167:AR$169)),AR$168/SUM(AR$167:AR$169))*AS$14*(SUM(AR$167:AR$169)/AR$14+MIN(ABS(OFFSET(Assumptions!$B$45,0,$C$1)-SUM(AR$167:AR$169)/AR$14),OFFSET(Assumptions!$B$44,0,$C$1))*SIGN(OFFSET(Assumptions!$B$45,0,$C$1)-SUM(AR$167:AR$169)/AR$14)),AR$168*(1+Exogenous!$I$41*Popn!AZ$208+Exogenous!$I$42*Popn!AZ$212+Exogenous!$I$43*Popn!AZ$215+Exogenous!$I$44*Popn!AZ$219+Exogenous!$I$45*Popn!AZ$221+Exogenous!$I$46*Popn!AZ$222)*(1+AS$34))</f>
        <v>9.2267287795838993</v>
      </c>
      <c r="AT168" s="7">
        <f ca="1">IF(AND(AT$6&gt;=OFFSET(Assumptions!$B$43,0,$C$1),OFFSET(Assumptions!$B$42,0,$C$1)="AllGDP"),IF(AT$6=OFFSET(Assumptions!$B$43,0,$C$1),AVERAGE(AQ$168/SUM(AQ$167:AQ$169),AR$168/SUM(AR$167:AR$169),AS$168/SUM(AS$167:AS$169)),AS$168/SUM(AS$167:AS$169))*AT$14*(SUM(AS$167:AS$169)/AS$14+MIN(ABS(OFFSET(Assumptions!$B$45,0,$C$1)-SUM(AS$167:AS$169)/AS$14),OFFSET(Assumptions!$B$44,0,$C$1))*SIGN(OFFSET(Assumptions!$B$45,0,$C$1)-SUM(AS$167:AS$169)/AS$14)),AS$168*(1+Exogenous!$I$41*Popn!BA$208+Exogenous!$I$42*Popn!BA$212+Exogenous!$I$43*Popn!BA$215+Exogenous!$I$44*Popn!BA$219+Exogenous!$I$45*Popn!BA$221+Exogenous!$I$46*Popn!BA$222)*(1+AT$34))</f>
        <v>9.5751700007031548</v>
      </c>
      <c r="AU168" s="7">
        <f ca="1">IF(AND(AU$6&gt;=OFFSET(Assumptions!$B$43,0,$C$1),OFFSET(Assumptions!$B$42,0,$C$1)="AllGDP"),IF(AU$6=OFFSET(Assumptions!$B$43,0,$C$1),AVERAGE(AR$168/SUM(AR$167:AR$169),AS$168/SUM(AS$167:AS$169),AT$168/SUM(AT$167:AT$169)),AT$168/SUM(AT$167:AT$169))*AU$14*(SUM(AT$167:AT$169)/AT$14+MIN(ABS(OFFSET(Assumptions!$B$45,0,$C$1)-SUM(AT$167:AT$169)/AT$14),OFFSET(Assumptions!$B$44,0,$C$1))*SIGN(OFFSET(Assumptions!$B$45,0,$C$1)-SUM(AT$167:AT$169)/AT$14)),AT$168*(1+Exogenous!$I$41*Popn!BB$208+Exogenous!$I$42*Popn!BB$212+Exogenous!$I$43*Popn!BB$215+Exogenous!$I$44*Popn!BB$219+Exogenous!$I$45*Popn!BB$221+Exogenous!$I$46*Popn!BB$222)*(1+AU$34))</f>
        <v>9.9346164938167334</v>
      </c>
      <c r="AV168" s="7">
        <f ca="1">IF(AND(AV$6&gt;=OFFSET(Assumptions!$B$43,0,$C$1),OFFSET(Assumptions!$B$42,0,$C$1)="AllGDP"),IF(AV$6=OFFSET(Assumptions!$B$43,0,$C$1),AVERAGE(AS$168/SUM(AS$167:AS$169),AT$168/SUM(AT$167:AT$169),AU$168/SUM(AU$167:AU$169)),AU$168/SUM(AU$167:AU$169))*AV$14*(SUM(AU$167:AU$169)/AU$14+MIN(ABS(OFFSET(Assumptions!$B$45,0,$C$1)-SUM(AU$167:AU$169)/AU$14),OFFSET(Assumptions!$B$44,0,$C$1))*SIGN(OFFSET(Assumptions!$B$45,0,$C$1)-SUM(AU$167:AU$169)/AU$14)),AU$168*(1+Exogenous!$I$41*Popn!BC$208+Exogenous!$I$42*Popn!BC$212+Exogenous!$I$43*Popn!BC$215+Exogenous!$I$44*Popn!BC$219+Exogenous!$I$45*Popn!BC$221+Exogenous!$I$46*Popn!BC$222)*(1+AV$34))</f>
        <v>10.30617963084104</v>
      </c>
      <c r="AW168" s="7">
        <f ca="1">IF(AND(AW$6&gt;=OFFSET(Assumptions!$B$43,0,$C$1),OFFSET(Assumptions!$B$42,0,$C$1)="AllGDP"),IF(AW$6=OFFSET(Assumptions!$B$43,0,$C$1),AVERAGE(AT$168/SUM(AT$167:AT$169),AU$168/SUM(AU$167:AU$169),AV$168/SUM(AV$167:AV$169)),AV$168/SUM(AV$167:AV$169))*AW$14*(SUM(AV$167:AV$169)/AV$14+MIN(ABS(OFFSET(Assumptions!$B$45,0,$C$1)-SUM(AV$167:AV$169)/AV$14),OFFSET(Assumptions!$B$44,0,$C$1))*SIGN(OFFSET(Assumptions!$B$45,0,$C$1)-SUM(AV$167:AV$169)/AV$14)),AV$168*(1+Exogenous!$I$41*Popn!BD$208+Exogenous!$I$42*Popn!BD$212+Exogenous!$I$43*Popn!BD$215+Exogenous!$I$44*Popn!BD$219+Exogenous!$I$45*Popn!BD$221+Exogenous!$I$46*Popn!BD$222)*(1+AW$34))</f>
        <v>10.689649643511547</v>
      </c>
    </row>
    <row r="169" spans="1:49" x14ac:dyDescent="0.2">
      <c r="A169" s="1" t="s">
        <v>317</v>
      </c>
      <c r="B169" s="4" t="str">
        <f t="shared" si="145"/>
        <v>From Fiscal</v>
      </c>
      <c r="D169" s="18">
        <f>Fiscal!D$227</f>
        <v>1.1859999999999999</v>
      </c>
      <c r="E169" s="19">
        <f>Fiscal!E$227</f>
        <v>1.151</v>
      </c>
      <c r="F169" s="19">
        <f>Fiscal!F$227</f>
        <v>1.1990000000000001</v>
      </c>
      <c r="G169" s="19">
        <f>Fiscal!G$227</f>
        <v>1.1890000000000001</v>
      </c>
      <c r="H169" s="19">
        <f>Fiscal!H$227</f>
        <v>1.19</v>
      </c>
      <c r="I169" s="19">
        <f>Fiscal!I$227</f>
        <v>1.1950000000000001</v>
      </c>
      <c r="J169" s="7">
        <f ca="1">IF(AND(J$6&gt;=OFFSET(Assumptions!$B$43,0,$C$1),OFFSET(Assumptions!$B$42,0,$C$1)="AllGDP"),IF(J$6=OFFSET(Assumptions!$B$43,0,$C$1),AVERAGE(G$169/SUM(G$167:G$169),H$169/SUM(H$167:H$169),I$169/SUM(I$167:I$169)),I$169/SUM(I$167:I$169))*J$14*(SUM(I$167:I$169)/I$14+MIN(ABS(OFFSET(Assumptions!$B$45,0,$C$1)-SUM(I$167:I$169)/I$14),OFFSET(Assumptions!$B$44,0,$C$1))*SIGN(OFFSET(Assumptions!$B$45,0,$C$1)-SUM(I$167:I$169)/I$14)),I$169*(1+Exogenous!$P$41*Popn!Q$209+Exogenous!$P$42*Popn!Q$211+Exogenous!$P$43*Popn!Q$214+Exogenous!$P$44*Popn!Q$217+Exogenous!$P$45*Popn!Q$218)*(1+J$34))</f>
        <v>1.286576647911964</v>
      </c>
      <c r="K169" s="7">
        <f ca="1">IF(AND(K$6&gt;=OFFSET(Assumptions!$B$43,0,$C$1),OFFSET(Assumptions!$B$42,0,$C$1)="AllGDP"),IF(K$6=OFFSET(Assumptions!$B$43,0,$C$1),AVERAGE(H$169/SUM(H$167:H$169),I$169/SUM(I$167:I$169),J$169/SUM(J$167:J$169)),J$169/SUM(J$167:J$169))*K$14*(SUM(J$167:J$169)/J$14+MIN(ABS(OFFSET(Assumptions!$B$45,0,$C$1)-SUM(J$167:J$169)/J$14),OFFSET(Assumptions!$B$44,0,$C$1))*SIGN(OFFSET(Assumptions!$B$45,0,$C$1)-SUM(J$167:J$169)/J$14)),J$169*(1+Exogenous!$P$41*Popn!R$209+Exogenous!$P$42*Popn!R$211+Exogenous!$P$43*Popn!R$214+Exogenous!$P$44*Popn!R$217+Exogenous!$P$45*Popn!R$218)*(1+K$34))</f>
        <v>1.3854558471952561</v>
      </c>
      <c r="L169" s="7">
        <f ca="1">IF(AND(L$6&gt;=OFFSET(Assumptions!$B$43,0,$C$1),OFFSET(Assumptions!$B$42,0,$C$1)="AllGDP"),IF(L$6=OFFSET(Assumptions!$B$43,0,$C$1),AVERAGE(I$169/SUM(I$167:I$169),J$169/SUM(J$167:J$169),K$169/SUM(K$167:K$169)),K$169/SUM(K$167:K$169))*L$14*(SUM(K$167:K$169)/K$14+MIN(ABS(OFFSET(Assumptions!$B$45,0,$C$1)-SUM(K$167:K$169)/K$14),OFFSET(Assumptions!$B$44,0,$C$1))*SIGN(OFFSET(Assumptions!$B$45,0,$C$1)-SUM(K$167:K$169)/K$14)),K$169*(1+Exogenous!$P$41*Popn!S$209+Exogenous!$P$42*Popn!S$211+Exogenous!$P$43*Popn!S$214+Exogenous!$P$44*Popn!S$217+Exogenous!$P$45*Popn!S$218)*(1+L$34))</f>
        <v>1.49257717245012</v>
      </c>
      <c r="M169" s="7">
        <f ca="1">IF(AND(M$6&gt;=OFFSET(Assumptions!$B$43,0,$C$1),OFFSET(Assumptions!$B$42,0,$C$1)="AllGDP"),IF(M$6=OFFSET(Assumptions!$B$43,0,$C$1),AVERAGE(J$169/SUM(J$167:J$169),K$169/SUM(K$167:K$169),L$169/SUM(L$167:L$169)),L$169/SUM(L$167:L$169))*M$14*(SUM(L$167:L$169)/L$14+MIN(ABS(OFFSET(Assumptions!$B$45,0,$C$1)-SUM(L$167:L$169)/L$14),OFFSET(Assumptions!$B$44,0,$C$1))*SIGN(OFFSET(Assumptions!$B$45,0,$C$1)-SUM(L$167:L$169)/L$14)),L$169*(1+Exogenous!$P$41*Popn!T$209+Exogenous!$P$42*Popn!T$211+Exogenous!$P$43*Popn!T$214+Exogenous!$P$44*Popn!T$217+Exogenous!$P$45*Popn!T$218)*(1+M$34))</f>
        <v>1.6061681342964644</v>
      </c>
      <c r="N169" s="7">
        <f ca="1">IF(AND(N$6&gt;=OFFSET(Assumptions!$B$43,0,$C$1),OFFSET(Assumptions!$B$42,0,$C$1)="AllGDP"),IF(N$6=OFFSET(Assumptions!$B$43,0,$C$1),AVERAGE(K$169/SUM(K$167:K$169),L$169/SUM(L$167:L$169),M$169/SUM(M$167:M$169)),M$169/SUM(M$167:M$169))*N$14*(SUM(M$167:M$169)/M$14+MIN(ABS(OFFSET(Assumptions!$B$45,0,$C$1)-SUM(M$167:M$169)/M$14),OFFSET(Assumptions!$B$44,0,$C$1))*SIGN(OFFSET(Assumptions!$B$45,0,$C$1)-SUM(M$167:M$169)/M$14)),M$169*(1+Exogenous!$P$41*Popn!U$209+Exogenous!$P$42*Popn!U$211+Exogenous!$P$43*Popn!U$214+Exogenous!$P$44*Popn!U$217+Exogenous!$P$45*Popn!U$218)*(1+N$34))</f>
        <v>1.7266577532995384</v>
      </c>
      <c r="O169" s="7">
        <f ca="1">IF(AND(O$6&gt;=OFFSET(Assumptions!$B$43,0,$C$1),OFFSET(Assumptions!$B$42,0,$C$1)="AllGDP"),IF(O$6=OFFSET(Assumptions!$B$43,0,$C$1),AVERAGE(L$169/SUM(L$167:L$169),M$169/SUM(M$167:M$169),N$169/SUM(N$167:N$169)),N$169/SUM(N$167:N$169))*O$14*(SUM(N$167:N$169)/N$14+MIN(ABS(OFFSET(Assumptions!$B$45,0,$C$1)-SUM(N$167:N$169)/N$14),OFFSET(Assumptions!$B$44,0,$C$1))*SIGN(OFFSET(Assumptions!$B$45,0,$C$1)-SUM(N$167:N$169)/N$14)),N$169*(1+Exogenous!$P$41*Popn!V$209+Exogenous!$P$42*Popn!V$211+Exogenous!$P$43*Popn!V$214+Exogenous!$P$44*Popn!V$217+Exogenous!$P$45*Popn!V$218)*(1+O$34))</f>
        <v>1.8537691715749958</v>
      </c>
      <c r="P169" s="7">
        <f ca="1">IF(AND(P$6&gt;=OFFSET(Assumptions!$B$43,0,$C$1),OFFSET(Assumptions!$B$42,0,$C$1)="AllGDP"),IF(P$6=OFFSET(Assumptions!$B$43,0,$C$1),AVERAGE(M$169/SUM(M$167:M$169),N$169/SUM(N$167:N$169),O$169/SUM(O$167:O$169)),O$169/SUM(O$167:O$169))*P$14*(SUM(O$167:O$169)/O$14+MIN(ABS(OFFSET(Assumptions!$B$45,0,$C$1)-SUM(O$167:O$169)/O$14),OFFSET(Assumptions!$B$44,0,$C$1))*SIGN(OFFSET(Assumptions!$B$45,0,$C$1)-SUM(O$167:O$169)/O$14)),O$169*(1+Exogenous!$P$41*Popn!W$209+Exogenous!$P$42*Popn!W$211+Exogenous!$P$43*Popn!W$214+Exogenous!$P$44*Popn!W$217+Exogenous!$P$45*Popn!W$218)*(1+P$34))</f>
        <v>1.9878275553288878</v>
      </c>
      <c r="Q169" s="7">
        <f ca="1">IF(AND(Q$6&gt;=OFFSET(Assumptions!$B$43,0,$C$1),OFFSET(Assumptions!$B$42,0,$C$1)="AllGDP"),IF(Q$6=OFFSET(Assumptions!$B$43,0,$C$1),AVERAGE(N$169/SUM(N$167:N$169),O$169/SUM(O$167:O$169),P$169/SUM(P$167:P$169)),P$169/SUM(P$167:P$169))*Q$14*(SUM(P$167:P$169)/P$14+MIN(ABS(OFFSET(Assumptions!$B$45,0,$C$1)-SUM(P$167:P$169)/P$14),OFFSET(Assumptions!$B$44,0,$C$1))*SIGN(OFFSET(Assumptions!$B$45,0,$C$1)-SUM(P$167:P$169)/P$14)),P$169*(1+Exogenous!$P$41*Popn!X$209+Exogenous!$P$42*Popn!X$211+Exogenous!$P$43*Popn!X$214+Exogenous!$P$44*Popn!X$217+Exogenous!$P$45*Popn!X$218)*(1+Q$34))</f>
        <v>2.1289595964791062</v>
      </c>
      <c r="R169" s="7">
        <f ca="1">IF(AND(R$6&gt;=OFFSET(Assumptions!$B$43,0,$C$1),OFFSET(Assumptions!$B$42,0,$C$1)="AllGDP"),IF(R$6=OFFSET(Assumptions!$B$43,0,$C$1),AVERAGE(O$169/SUM(O$167:O$169),P$169/SUM(P$167:P$169),Q$169/SUM(Q$167:Q$169)),Q$169/SUM(Q$167:Q$169))*R$14*(SUM(Q$167:Q$169)/Q$14+MIN(ABS(OFFSET(Assumptions!$B$45,0,$C$1)-SUM(Q$167:Q$169)/Q$14),OFFSET(Assumptions!$B$44,0,$C$1))*SIGN(OFFSET(Assumptions!$B$45,0,$C$1)-SUM(Q$167:Q$169)/Q$14)),Q$169*(1+Exogenous!$P$41*Popn!Y$209+Exogenous!$P$42*Popn!Y$211+Exogenous!$P$43*Popn!Y$214+Exogenous!$P$44*Popn!Y$217+Exogenous!$P$45*Popn!Y$218)*(1+R$34))</f>
        <v>2.2773090636672455</v>
      </c>
      <c r="S169" s="7">
        <f ca="1">IF(AND(S$6&gt;=OFFSET(Assumptions!$B$43,0,$C$1),OFFSET(Assumptions!$B$42,0,$C$1)="AllGDP"),IF(S$6=OFFSET(Assumptions!$B$43,0,$C$1),AVERAGE(P$169/SUM(P$167:P$169),Q$169/SUM(Q$167:Q$169),R$169/SUM(R$167:R$169)),R$169/SUM(R$167:R$169))*S$14*(SUM(R$167:R$169)/R$14+MIN(ABS(OFFSET(Assumptions!$B$45,0,$C$1)-SUM(R$167:R$169)/R$14),OFFSET(Assumptions!$B$44,0,$C$1))*SIGN(OFFSET(Assumptions!$B$45,0,$C$1)-SUM(R$167:R$169)/R$14)),R$169*(1+Exogenous!$P$41*Popn!Z$209+Exogenous!$P$42*Popn!Z$211+Exogenous!$P$43*Popn!Z$214+Exogenous!$P$44*Popn!Z$217+Exogenous!$P$45*Popn!Z$218)*(1+S$34))</f>
        <v>2.4333744698803605</v>
      </c>
      <c r="T169" s="7">
        <f ca="1">IF(AND(T$6&gt;=OFFSET(Assumptions!$B$43,0,$C$1),OFFSET(Assumptions!$B$42,0,$C$1)="AllGDP"),IF(T$6=OFFSET(Assumptions!$B$43,0,$C$1),AVERAGE(Q$169/SUM(Q$167:Q$169),R$169/SUM(R$167:R$169),S$169/SUM(S$167:S$169)),S$169/SUM(S$167:S$169))*T$14*(SUM(S$167:S$169)/S$14+MIN(ABS(OFFSET(Assumptions!$B$45,0,$C$1)-SUM(S$167:S$169)/S$14),OFFSET(Assumptions!$B$44,0,$C$1))*SIGN(OFFSET(Assumptions!$B$45,0,$C$1)-SUM(S$167:S$169)/S$14)),S$169*(1+Exogenous!$P$41*Popn!AA$209+Exogenous!$P$42*Popn!AA$211+Exogenous!$P$43*Popn!AA$214+Exogenous!$P$44*Popn!AA$217+Exogenous!$P$45*Popn!AA$218)*(1+T$34))</f>
        <v>2.5974181982325848</v>
      </c>
      <c r="U169" s="7">
        <f ca="1">IF(AND(U$6&gt;=OFFSET(Assumptions!$B$43,0,$C$1),OFFSET(Assumptions!$B$42,0,$C$1)="AllGDP"),IF(U$6=OFFSET(Assumptions!$B$43,0,$C$1),AVERAGE(R$169/SUM(R$167:R$169),S$169/SUM(S$167:S$169),T$169/SUM(T$167:T$169)),T$169/SUM(T$167:T$169))*U$14*(SUM(T$167:T$169)/T$14+MIN(ABS(OFFSET(Assumptions!$B$45,0,$C$1)-SUM(T$167:T$169)/T$14),OFFSET(Assumptions!$B$44,0,$C$1))*SIGN(OFFSET(Assumptions!$B$45,0,$C$1)-SUM(T$167:T$169)/T$14)),T$169*(1+Exogenous!$P$41*Popn!AB$209+Exogenous!$P$42*Popn!AB$211+Exogenous!$P$43*Popn!AB$214+Exogenous!$P$44*Popn!AB$217+Exogenous!$P$45*Popn!AB$218)*(1+U$34))</f>
        <v>2.7700418338832447</v>
      </c>
      <c r="V169" s="7">
        <f ca="1">IF(AND(V$6&gt;=OFFSET(Assumptions!$B$43,0,$C$1),OFFSET(Assumptions!$B$42,0,$C$1)="AllGDP"),IF(V$6=OFFSET(Assumptions!$B$43,0,$C$1),AVERAGE(S$169/SUM(S$167:S$169),T$169/SUM(T$167:T$169),U$169/SUM(U$167:U$169)),U$169/SUM(U$167:U$169))*V$14*(SUM(U$167:U$169)/U$14+MIN(ABS(OFFSET(Assumptions!$B$45,0,$C$1)-SUM(U$167:U$169)/U$14),OFFSET(Assumptions!$B$44,0,$C$1))*SIGN(OFFSET(Assumptions!$B$45,0,$C$1)-SUM(U$167:U$169)/U$14)),U$169*(1+Exogenous!$P$41*Popn!AC$209+Exogenous!$P$42*Popn!AC$211+Exogenous!$P$43*Popn!AC$214+Exogenous!$P$44*Popn!AC$217+Exogenous!$P$45*Popn!AC$218)*(1+V$34))</f>
        <v>2.9517732694107415</v>
      </c>
      <c r="W169" s="7">
        <f ca="1">IF(AND(W$6&gt;=OFFSET(Assumptions!$B$43,0,$C$1),OFFSET(Assumptions!$B$42,0,$C$1)="AllGDP"),IF(W$6=OFFSET(Assumptions!$B$43,0,$C$1),AVERAGE(T$169/SUM(T$167:T$169),U$169/SUM(U$167:U$169),V$169/SUM(V$167:V$169)),V$169/SUM(V$167:V$169))*W$14*(SUM(V$167:V$169)/V$14+MIN(ABS(OFFSET(Assumptions!$B$45,0,$C$1)-SUM(V$167:V$169)/V$14),OFFSET(Assumptions!$B$44,0,$C$1))*SIGN(OFFSET(Assumptions!$B$45,0,$C$1)-SUM(V$167:V$169)/V$14)),V$169*(1+Exogenous!$P$41*Popn!AD$209+Exogenous!$P$42*Popn!AD$211+Exogenous!$P$43*Popn!AD$214+Exogenous!$P$44*Popn!AD$217+Exogenous!$P$45*Popn!AD$218)*(1+W$34))</f>
        <v>3.0909121400765418</v>
      </c>
      <c r="X169" s="7">
        <f ca="1">IF(AND(X$6&gt;=OFFSET(Assumptions!$B$43,0,$C$1),OFFSET(Assumptions!$B$42,0,$C$1)="AllGDP"),IF(X$6=OFFSET(Assumptions!$B$43,0,$C$1),AVERAGE(U$169/SUM(U$167:U$169),V$169/SUM(V$167:V$169),W$169/SUM(W$167:W$169)),W$169/SUM(W$167:W$169))*X$14*(SUM(W$167:W$169)/W$14+MIN(ABS(OFFSET(Assumptions!$B$45,0,$C$1)-SUM(W$167:W$169)/W$14),OFFSET(Assumptions!$B$44,0,$C$1))*SIGN(OFFSET(Assumptions!$B$45,0,$C$1)-SUM(W$167:W$169)/W$14)),W$169*(1+Exogenous!$P$41*Popn!AE$209+Exogenous!$P$42*Popn!AE$211+Exogenous!$P$43*Popn!AE$214+Exogenous!$P$44*Popn!AE$217+Exogenous!$P$45*Popn!AE$218)*(1+X$34))</f>
        <v>3.2141636051167137</v>
      </c>
      <c r="Y169" s="7">
        <f ca="1">IF(AND(Y$6&gt;=OFFSET(Assumptions!$B$43,0,$C$1),OFFSET(Assumptions!$B$42,0,$C$1)="AllGDP"),IF(Y$6=OFFSET(Assumptions!$B$43,0,$C$1),AVERAGE(V$169/SUM(V$167:V$169),W$169/SUM(W$167:W$169),X$169/SUM(X$167:X$169)),X$169/SUM(X$167:X$169))*Y$14*(SUM(X$167:X$169)/X$14+MIN(ABS(OFFSET(Assumptions!$B$45,0,$C$1)-SUM(X$167:X$169)/X$14),OFFSET(Assumptions!$B$44,0,$C$1))*SIGN(OFFSET(Assumptions!$B$45,0,$C$1)-SUM(X$167:X$169)/X$14)),X$169*(1+Exogenous!$P$41*Popn!AF$209+Exogenous!$P$42*Popn!AF$211+Exogenous!$P$43*Popn!AF$214+Exogenous!$P$44*Popn!AF$217+Exogenous!$P$45*Popn!AF$218)*(1+Y$34))</f>
        <v>3.341977303775872</v>
      </c>
      <c r="Z169" s="7">
        <f ca="1">IF(AND(Z$6&gt;=OFFSET(Assumptions!$B$43,0,$C$1),OFFSET(Assumptions!$B$42,0,$C$1)="AllGDP"),IF(Z$6=OFFSET(Assumptions!$B$43,0,$C$1),AVERAGE(W$169/SUM(W$167:W$169),X$169/SUM(X$167:X$169),Y$169/SUM(Y$167:Y$169)),Y$169/SUM(Y$167:Y$169))*Z$14*(SUM(Y$167:Y$169)/Y$14+MIN(ABS(OFFSET(Assumptions!$B$45,0,$C$1)-SUM(Y$167:Y$169)/Y$14),OFFSET(Assumptions!$B$44,0,$C$1))*SIGN(OFFSET(Assumptions!$B$45,0,$C$1)-SUM(Y$167:Y$169)/Y$14)),Y$169*(1+Exogenous!$P$41*Popn!AG$209+Exogenous!$P$42*Popn!AG$211+Exogenous!$P$43*Popn!AG$214+Exogenous!$P$44*Popn!AG$217+Exogenous!$P$45*Popn!AG$218)*(1+Z$34))</f>
        <v>3.4750001832896036</v>
      </c>
      <c r="AA169" s="7">
        <f ca="1">IF(AND(AA$6&gt;=OFFSET(Assumptions!$B$43,0,$C$1),OFFSET(Assumptions!$B$42,0,$C$1)="AllGDP"),IF(AA$6=OFFSET(Assumptions!$B$43,0,$C$1),AVERAGE(X$169/SUM(X$167:X$169),Y$169/SUM(Y$167:Y$169),Z$169/SUM(Z$167:Z$169)),Z$169/SUM(Z$167:Z$169))*AA$14*(SUM(Z$167:Z$169)/Z$14+MIN(ABS(OFFSET(Assumptions!$B$45,0,$C$1)-SUM(Z$167:Z$169)/Z$14),OFFSET(Assumptions!$B$44,0,$C$1))*SIGN(OFFSET(Assumptions!$B$45,0,$C$1)-SUM(Z$167:Z$169)/Z$14)),Z$169*(1+Exogenous!$P$41*Popn!AH$209+Exogenous!$P$42*Popn!AH$211+Exogenous!$P$43*Popn!AH$214+Exogenous!$P$44*Popn!AH$217+Exogenous!$P$45*Popn!AH$218)*(1+AA$34))</f>
        <v>3.6134474751356915</v>
      </c>
      <c r="AB169" s="7">
        <f ca="1">IF(AND(AB$6&gt;=OFFSET(Assumptions!$B$43,0,$C$1),OFFSET(Assumptions!$B$42,0,$C$1)="AllGDP"),IF(AB$6=OFFSET(Assumptions!$B$43,0,$C$1),AVERAGE(Y$169/SUM(Y$167:Y$169),Z$169/SUM(Z$167:Z$169),AA$169/SUM(AA$167:AA$169)),AA$169/SUM(AA$167:AA$169))*AB$14*(SUM(AA$167:AA$169)/AA$14+MIN(ABS(OFFSET(Assumptions!$B$45,0,$C$1)-SUM(AA$167:AA$169)/AA$14),OFFSET(Assumptions!$B$44,0,$C$1))*SIGN(OFFSET(Assumptions!$B$45,0,$C$1)-SUM(AA$167:AA$169)/AA$14)),AA$169*(1+Exogenous!$P$41*Popn!AI$209+Exogenous!$P$42*Popn!AI$211+Exogenous!$P$43*Popn!AI$214+Exogenous!$P$44*Popn!AI$217+Exogenous!$P$45*Popn!AI$218)*(1+AB$34))</f>
        <v>3.7577349493173307</v>
      </c>
      <c r="AC169" s="7">
        <f ca="1">IF(AND(AC$6&gt;=OFFSET(Assumptions!$B$43,0,$C$1),OFFSET(Assumptions!$B$42,0,$C$1)="AllGDP"),IF(AC$6=OFFSET(Assumptions!$B$43,0,$C$1),AVERAGE(Z$169/SUM(Z$167:Z$169),AA$169/SUM(AA$167:AA$169),AB$169/SUM(AB$167:AB$169)),AB$169/SUM(AB$167:AB$169))*AC$14*(SUM(AB$167:AB$169)/AB$14+MIN(ABS(OFFSET(Assumptions!$B$45,0,$C$1)-SUM(AB$167:AB$169)/AB$14),OFFSET(Assumptions!$B$44,0,$C$1))*SIGN(OFFSET(Assumptions!$B$45,0,$C$1)-SUM(AB$167:AB$169)/AB$14)),AB$169*(1+Exogenous!$P$41*Popn!AJ$209+Exogenous!$P$42*Popn!AJ$211+Exogenous!$P$43*Popn!AJ$214+Exogenous!$P$44*Popn!AJ$217+Exogenous!$P$45*Popn!AJ$218)*(1+AC$34))</f>
        <v>3.908407310629713</v>
      </c>
      <c r="AD169" s="7">
        <f ca="1">IF(AND(AD$6&gt;=OFFSET(Assumptions!$B$43,0,$C$1),OFFSET(Assumptions!$B$42,0,$C$1)="AllGDP"),IF(AD$6=OFFSET(Assumptions!$B$43,0,$C$1),AVERAGE(AA$169/SUM(AA$167:AA$169),AB$169/SUM(AB$167:AB$169),AC$169/SUM(AC$167:AC$169)),AC$169/SUM(AC$167:AC$169))*AD$14*(SUM(AC$167:AC$169)/AC$14+MIN(ABS(OFFSET(Assumptions!$B$45,0,$C$1)-SUM(AC$167:AC$169)/AC$14),OFFSET(Assumptions!$B$44,0,$C$1))*SIGN(OFFSET(Assumptions!$B$45,0,$C$1)-SUM(AC$167:AC$169)/AC$14)),AC$169*(1+Exogenous!$P$41*Popn!AK$209+Exogenous!$P$42*Popn!AK$211+Exogenous!$P$43*Popn!AK$214+Exogenous!$P$44*Popn!AK$217+Exogenous!$P$45*Popn!AK$218)*(1+AD$34))</f>
        <v>4.065623369600309</v>
      </c>
      <c r="AE169" s="7">
        <f ca="1">IF(AND(AE$6&gt;=OFFSET(Assumptions!$B$43,0,$C$1),OFFSET(Assumptions!$B$42,0,$C$1)="AllGDP"),IF(AE$6=OFFSET(Assumptions!$B$43,0,$C$1),AVERAGE(AB$169/SUM(AB$167:AB$169),AC$169/SUM(AC$167:AC$169),AD$169/SUM(AD$167:AD$169)),AD$169/SUM(AD$167:AD$169))*AE$14*(SUM(AD$167:AD$169)/AD$14+MIN(ABS(OFFSET(Assumptions!$B$45,0,$C$1)-SUM(AD$167:AD$169)/AD$14),OFFSET(Assumptions!$B$44,0,$C$1))*SIGN(OFFSET(Assumptions!$B$45,0,$C$1)-SUM(AD$167:AD$169)/AD$14)),AD$169*(1+Exogenous!$P$41*Popn!AL$209+Exogenous!$P$42*Popn!AL$211+Exogenous!$P$43*Popn!AL$214+Exogenous!$P$44*Popn!AL$217+Exogenous!$P$45*Popn!AL$218)*(1+AE$34))</f>
        <v>4.2292387442337152</v>
      </c>
      <c r="AF169" s="7">
        <f ca="1">IF(AND(AF$6&gt;=OFFSET(Assumptions!$B$43,0,$C$1),OFFSET(Assumptions!$B$42,0,$C$1)="AllGDP"),IF(AF$6=OFFSET(Assumptions!$B$43,0,$C$1),AVERAGE(AC$169/SUM(AC$167:AC$169),AD$169/SUM(AD$167:AD$169),AE$169/SUM(AE$167:AE$169)),AE$169/SUM(AE$167:AE$169))*AF$14*(SUM(AE$167:AE$169)/AE$14+MIN(ABS(OFFSET(Assumptions!$B$45,0,$C$1)-SUM(AE$167:AE$169)/AE$14),OFFSET(Assumptions!$B$44,0,$C$1))*SIGN(OFFSET(Assumptions!$B$45,0,$C$1)-SUM(AE$167:AE$169)/AE$14)),AE$169*(1+Exogenous!$P$41*Popn!AM$209+Exogenous!$P$42*Popn!AM$211+Exogenous!$P$43*Popn!AM$214+Exogenous!$P$44*Popn!AM$217+Exogenous!$P$45*Popn!AM$218)*(1+AF$34))</f>
        <v>4.3997060927597849</v>
      </c>
      <c r="AG169" s="7">
        <f ca="1">IF(AND(AG$6&gt;=OFFSET(Assumptions!$B$43,0,$C$1),OFFSET(Assumptions!$B$42,0,$C$1)="AllGDP"),IF(AG$6=OFFSET(Assumptions!$B$43,0,$C$1),AVERAGE(AD$169/SUM(AD$167:AD$169),AE$169/SUM(AE$167:AE$169),AF$169/SUM(AF$167:AF$169)),AF$169/SUM(AF$167:AF$169))*AG$14*(SUM(AF$167:AF$169)/AF$14+MIN(ABS(OFFSET(Assumptions!$B$45,0,$C$1)-SUM(AF$167:AF$169)/AF$14),OFFSET(Assumptions!$B$44,0,$C$1))*SIGN(OFFSET(Assumptions!$B$45,0,$C$1)-SUM(AF$167:AF$169)/AF$14)),AF$169*(1+Exogenous!$P$41*Popn!AN$209+Exogenous!$P$42*Popn!AN$211+Exogenous!$P$43*Popn!AN$214+Exogenous!$P$44*Popn!AN$217+Exogenous!$P$45*Popn!AN$218)*(1+AG$34))</f>
        <v>4.5771207333916504</v>
      </c>
      <c r="AH169" s="7">
        <f ca="1">IF(AND(AH$6&gt;=OFFSET(Assumptions!$B$43,0,$C$1),OFFSET(Assumptions!$B$42,0,$C$1)="AllGDP"),IF(AH$6=OFFSET(Assumptions!$B$43,0,$C$1),AVERAGE(AE$169/SUM(AE$167:AE$169),AF$169/SUM(AF$167:AF$169),AG$169/SUM(AG$167:AG$169)),AG$169/SUM(AG$167:AG$169))*AH$14*(SUM(AG$167:AG$169)/AG$14+MIN(ABS(OFFSET(Assumptions!$B$45,0,$C$1)-SUM(AG$167:AG$169)/AG$14),OFFSET(Assumptions!$B$44,0,$C$1))*SIGN(OFFSET(Assumptions!$B$45,0,$C$1)-SUM(AG$167:AG$169)/AG$14)),AG$169*(1+Exogenous!$P$41*Popn!AO$209+Exogenous!$P$42*Popn!AO$211+Exogenous!$P$43*Popn!AO$214+Exogenous!$P$44*Popn!AO$217+Exogenous!$P$45*Popn!AO$218)*(1+AH$34))</f>
        <v>4.7617671628157128</v>
      </c>
      <c r="AI169" s="7">
        <f ca="1">IF(AND(AI$6&gt;=OFFSET(Assumptions!$B$43,0,$C$1),OFFSET(Assumptions!$B$42,0,$C$1)="AllGDP"),IF(AI$6=OFFSET(Assumptions!$B$43,0,$C$1),AVERAGE(AF$169/SUM(AF$167:AF$169),AG$169/SUM(AG$167:AG$169),AH$169/SUM(AH$167:AH$169)),AH$169/SUM(AH$167:AH$169))*AI$14*(SUM(AH$167:AH$169)/AH$14+MIN(ABS(OFFSET(Assumptions!$B$45,0,$C$1)-SUM(AH$167:AH$169)/AH$14),OFFSET(Assumptions!$B$44,0,$C$1))*SIGN(OFFSET(Assumptions!$B$45,0,$C$1)-SUM(AH$167:AH$169)/AH$14)),AH$169*(1+Exogenous!$P$41*Popn!AP$209+Exogenous!$P$42*Popn!AP$211+Exogenous!$P$43*Popn!AP$214+Exogenous!$P$44*Popn!AP$217+Exogenous!$P$45*Popn!AP$218)*(1+AI$34))</f>
        <v>4.9533227425955966</v>
      </c>
      <c r="AJ169" s="7">
        <f ca="1">IF(AND(AJ$6&gt;=OFFSET(Assumptions!$B$43,0,$C$1),OFFSET(Assumptions!$B$42,0,$C$1)="AllGDP"),IF(AJ$6=OFFSET(Assumptions!$B$43,0,$C$1),AVERAGE(AG$169/SUM(AG$167:AG$169),AH$169/SUM(AH$167:AH$169),AI$169/SUM(AI$167:AI$169)),AI$169/SUM(AI$167:AI$169))*AJ$14*(SUM(AI$167:AI$169)/AI$14+MIN(ABS(OFFSET(Assumptions!$B$45,0,$C$1)-SUM(AI$167:AI$169)/AI$14),OFFSET(Assumptions!$B$44,0,$C$1))*SIGN(OFFSET(Assumptions!$B$45,0,$C$1)-SUM(AI$167:AI$169)/AI$14)),AI$169*(1+Exogenous!$P$41*Popn!AQ$209+Exogenous!$P$42*Popn!AQ$211+Exogenous!$P$43*Popn!AQ$214+Exogenous!$P$44*Popn!AQ$217+Exogenous!$P$45*Popn!AQ$218)*(1+AJ$34))</f>
        <v>5.1524011206927449</v>
      </c>
      <c r="AK169" s="7">
        <f ca="1">IF(AND(AK$6&gt;=OFFSET(Assumptions!$B$43,0,$C$1),OFFSET(Assumptions!$B$42,0,$C$1)="AllGDP"),IF(AK$6=OFFSET(Assumptions!$B$43,0,$C$1),AVERAGE(AH$169/SUM(AH$167:AH$169),AI$169/SUM(AI$167:AI$169),AJ$169/SUM(AJ$167:AJ$169)),AJ$169/SUM(AJ$167:AJ$169))*AK$14*(SUM(AJ$167:AJ$169)/AJ$14+MIN(ABS(OFFSET(Assumptions!$B$45,0,$C$1)-SUM(AJ$167:AJ$169)/AJ$14),OFFSET(Assumptions!$B$44,0,$C$1))*SIGN(OFFSET(Assumptions!$B$45,0,$C$1)-SUM(AJ$167:AJ$169)/AJ$14)),AJ$169*(1+Exogenous!$P$41*Popn!AR$209+Exogenous!$P$42*Popn!AR$211+Exogenous!$P$43*Popn!AR$214+Exogenous!$P$44*Popn!AR$217+Exogenous!$P$45*Popn!AR$218)*(1+AK$34))</f>
        <v>5.3588385291010079</v>
      </c>
      <c r="AL169" s="7">
        <f ca="1">IF(AND(AL$6&gt;=OFFSET(Assumptions!$B$43,0,$C$1),OFFSET(Assumptions!$B$42,0,$C$1)="AllGDP"),IF(AL$6=OFFSET(Assumptions!$B$43,0,$C$1),AVERAGE(AI$169/SUM(AI$167:AI$169),AJ$169/SUM(AJ$167:AJ$169),AK$169/SUM(AK$167:AK$169)),AK$169/SUM(AK$167:AK$169))*AL$14*(SUM(AK$167:AK$169)/AK$14+MIN(ABS(OFFSET(Assumptions!$B$45,0,$C$1)-SUM(AK$167:AK$169)/AK$14),OFFSET(Assumptions!$B$44,0,$C$1))*SIGN(OFFSET(Assumptions!$B$45,0,$C$1)-SUM(AK$167:AK$169)/AK$14)),AK$169*(1+Exogenous!$P$41*Popn!AS$209+Exogenous!$P$42*Popn!AS$211+Exogenous!$P$43*Popn!AS$214+Exogenous!$P$44*Popn!AS$217+Exogenous!$P$45*Popn!AS$218)*(1+AL$34))</f>
        <v>5.5724723513785515</v>
      </c>
      <c r="AM169" s="7">
        <f ca="1">IF(AND(AM$6&gt;=OFFSET(Assumptions!$B$43,0,$C$1),OFFSET(Assumptions!$B$42,0,$C$1)="AllGDP"),IF(AM$6=OFFSET(Assumptions!$B$43,0,$C$1),AVERAGE(AJ$169/SUM(AJ$167:AJ$169),AK$169/SUM(AK$167:AK$169),AL$169/SUM(AL$167:AL$169)),AL$169/SUM(AL$167:AL$169))*AM$14*(SUM(AL$167:AL$169)/AL$14+MIN(ABS(OFFSET(Assumptions!$B$45,0,$C$1)-SUM(AL$167:AL$169)/AL$14),OFFSET(Assumptions!$B$44,0,$C$1))*SIGN(OFFSET(Assumptions!$B$45,0,$C$1)-SUM(AL$167:AL$169)/AL$14)),AL$169*(1+Exogenous!$P$41*Popn!AT$209+Exogenous!$P$42*Popn!AT$211+Exogenous!$P$43*Popn!AT$214+Exogenous!$P$44*Popn!AT$217+Exogenous!$P$45*Popn!AT$218)*(1+AM$34))</f>
        <v>5.7935944391460632</v>
      </c>
      <c r="AN169" s="7">
        <f ca="1">IF(AND(AN$6&gt;=OFFSET(Assumptions!$B$43,0,$C$1),OFFSET(Assumptions!$B$42,0,$C$1)="AllGDP"),IF(AN$6=OFFSET(Assumptions!$B$43,0,$C$1),AVERAGE(AK$169/SUM(AK$167:AK$169),AL$169/SUM(AL$167:AL$169),AM$169/SUM(AM$167:AM$169)),AM$169/SUM(AM$167:AM$169))*AN$14*(SUM(AM$167:AM$169)/AM$14+MIN(ABS(OFFSET(Assumptions!$B$45,0,$C$1)-SUM(AM$167:AM$169)/AM$14),OFFSET(Assumptions!$B$44,0,$C$1))*SIGN(OFFSET(Assumptions!$B$45,0,$C$1)-SUM(AM$167:AM$169)/AM$14)),AM$169*(1+Exogenous!$P$41*Popn!AU$209+Exogenous!$P$42*Popn!AU$211+Exogenous!$P$43*Popn!AU$214+Exogenous!$P$44*Popn!AU$217+Exogenous!$P$45*Popn!AU$218)*(1+AN$34))</f>
        <v>6.0225123710862629</v>
      </c>
      <c r="AO169" s="7">
        <f ca="1">IF(AND(AO$6&gt;=OFFSET(Assumptions!$B$43,0,$C$1),OFFSET(Assumptions!$B$42,0,$C$1)="AllGDP"),IF(AO$6=OFFSET(Assumptions!$B$43,0,$C$1),AVERAGE(AL$169/SUM(AL$167:AL$169),AM$169/SUM(AM$167:AM$169),AN$169/SUM(AN$167:AN$169)),AN$169/SUM(AN$167:AN$169))*AO$14*(SUM(AN$167:AN$169)/AN$14+MIN(ABS(OFFSET(Assumptions!$B$45,0,$C$1)-SUM(AN$167:AN$169)/AN$14),OFFSET(Assumptions!$B$44,0,$C$1))*SIGN(OFFSET(Assumptions!$B$45,0,$C$1)-SUM(AN$167:AN$169)/AN$14)),AN$169*(1+Exogenous!$P$41*Popn!AV$209+Exogenous!$P$42*Popn!AV$211+Exogenous!$P$43*Popn!AV$214+Exogenous!$P$44*Popn!AV$217+Exogenous!$P$45*Popn!AV$218)*(1+AO$34))</f>
        <v>6.25832726564391</v>
      </c>
      <c r="AP169" s="7">
        <f ca="1">IF(AND(AP$6&gt;=OFFSET(Assumptions!$B$43,0,$C$1),OFFSET(Assumptions!$B$42,0,$C$1)="AllGDP"),IF(AP$6=OFFSET(Assumptions!$B$43,0,$C$1),AVERAGE(AM$169/SUM(AM$167:AM$169),AN$169/SUM(AN$167:AN$169),AO$169/SUM(AO$167:AO$169)),AO$169/SUM(AO$167:AO$169))*AP$14*(SUM(AO$167:AO$169)/AO$14+MIN(ABS(OFFSET(Assumptions!$B$45,0,$C$1)-SUM(AO$167:AO$169)/AO$14),OFFSET(Assumptions!$B$44,0,$C$1))*SIGN(OFFSET(Assumptions!$B$45,0,$C$1)-SUM(AO$167:AO$169)/AO$14)),AO$169*(1+Exogenous!$P$41*Popn!AW$209+Exogenous!$P$42*Popn!AW$211+Exogenous!$P$43*Popn!AW$214+Exogenous!$P$44*Popn!AW$217+Exogenous!$P$45*Popn!AW$218)*(1+AP$34))</f>
        <v>6.5020405096175811</v>
      </c>
      <c r="AQ169" s="7">
        <f ca="1">IF(AND(AQ$6&gt;=OFFSET(Assumptions!$B$43,0,$C$1),OFFSET(Assumptions!$B$42,0,$C$1)="AllGDP"),IF(AQ$6=OFFSET(Assumptions!$B$43,0,$C$1),AVERAGE(AN$169/SUM(AN$167:AN$169),AO$169/SUM(AO$167:AO$169),AP$169/SUM(AP$167:AP$169)),AP$169/SUM(AP$167:AP$169))*AQ$14*(SUM(AP$167:AP$169)/AP$14+MIN(ABS(OFFSET(Assumptions!$B$45,0,$C$1)-SUM(AP$167:AP$169)/AP$14),OFFSET(Assumptions!$B$44,0,$C$1))*SIGN(OFFSET(Assumptions!$B$45,0,$C$1)-SUM(AP$167:AP$169)/AP$14)),AP$169*(1+Exogenous!$P$41*Popn!AX$209+Exogenous!$P$42*Popn!AX$211+Exogenous!$P$43*Popn!AX$214+Exogenous!$P$44*Popn!AX$217+Exogenous!$P$45*Popn!AX$218)*(1+AQ$34))</f>
        <v>6.7529692192667525</v>
      </c>
      <c r="AR169" s="7">
        <f ca="1">IF(AND(AR$6&gt;=OFFSET(Assumptions!$B$43,0,$C$1),OFFSET(Assumptions!$B$42,0,$C$1)="AllGDP"),IF(AR$6=OFFSET(Assumptions!$B$43,0,$C$1),AVERAGE(AO$169/SUM(AO$167:AO$169),AP$169/SUM(AP$167:AP$169),AQ$169/SUM(AQ$167:AQ$169)),AQ$169/SUM(AQ$167:AQ$169))*AR$14*(SUM(AQ$167:AQ$169)/AQ$14+MIN(ABS(OFFSET(Assumptions!$B$45,0,$C$1)-SUM(AQ$167:AQ$169)/AQ$14),OFFSET(Assumptions!$B$44,0,$C$1))*SIGN(OFFSET(Assumptions!$B$45,0,$C$1)-SUM(AQ$167:AQ$169)/AQ$14)),AQ$169*(1+Exogenous!$P$41*Popn!AY$209+Exogenous!$P$42*Popn!AY$211+Exogenous!$P$43*Popn!AY$214+Exogenous!$P$44*Popn!AY$217+Exogenous!$P$45*Popn!AY$218)*(1+AR$34))</f>
        <v>7.0113974907811096</v>
      </c>
      <c r="AS169" s="7">
        <f ca="1">IF(AND(AS$6&gt;=OFFSET(Assumptions!$B$43,0,$C$1),OFFSET(Assumptions!$B$42,0,$C$1)="AllGDP"),IF(AS$6=OFFSET(Assumptions!$B$43,0,$C$1),AVERAGE(AP$169/SUM(AP$167:AP$169),AQ$169/SUM(AQ$167:AQ$169),AR$169/SUM(AR$167:AR$169)),AR$169/SUM(AR$167:AR$169))*AS$14*(SUM(AR$167:AR$169)/AR$14+MIN(ABS(OFFSET(Assumptions!$B$45,0,$C$1)-SUM(AR$167:AR$169)/AR$14),OFFSET(Assumptions!$B$44,0,$C$1))*SIGN(OFFSET(Assumptions!$B$45,0,$C$1)-SUM(AR$167:AR$169)/AR$14)),AR$169*(1+Exogenous!$P$41*Popn!AZ$209+Exogenous!$P$42*Popn!AZ$211+Exogenous!$P$43*Popn!AZ$214+Exogenous!$P$44*Popn!AZ$217+Exogenous!$P$45*Popn!AZ$218)*(1+AS$34))</f>
        <v>7.2779282298640204</v>
      </c>
      <c r="AT169" s="7">
        <f ca="1">IF(AND(AT$6&gt;=OFFSET(Assumptions!$B$43,0,$C$1),OFFSET(Assumptions!$B$42,0,$C$1)="AllGDP"),IF(AT$6=OFFSET(Assumptions!$B$43,0,$C$1),AVERAGE(AQ$169/SUM(AQ$167:AQ$169),AR$169/SUM(AR$167:AR$169),AS$169/SUM(AS$167:AS$169)),AS$169/SUM(AS$167:AS$169))*AT$14*(SUM(AS$167:AS$169)/AS$14+MIN(ABS(OFFSET(Assumptions!$B$45,0,$C$1)-SUM(AS$167:AS$169)/AS$14),OFFSET(Assumptions!$B$44,0,$C$1))*SIGN(OFFSET(Assumptions!$B$45,0,$C$1)-SUM(AS$167:AS$169)/AS$14)),AS$169*(1+Exogenous!$P$41*Popn!BA$209+Exogenous!$P$42*Popn!BA$211+Exogenous!$P$43*Popn!BA$214+Exogenous!$P$44*Popn!BA$217+Exogenous!$P$45*Popn!BA$218)*(1+AT$34))</f>
        <v>7.5527743058908126</v>
      </c>
      <c r="AU169" s="7">
        <f ca="1">IF(AND(AU$6&gt;=OFFSET(Assumptions!$B$43,0,$C$1),OFFSET(Assumptions!$B$42,0,$C$1)="AllGDP"),IF(AU$6=OFFSET(Assumptions!$B$43,0,$C$1),AVERAGE(AR$169/SUM(AR$167:AR$169),AS$169/SUM(AS$167:AS$169),AT$169/SUM(AT$167:AT$169)),AT$169/SUM(AT$167:AT$169))*AU$14*(SUM(AT$167:AT$169)/AT$14+MIN(ABS(OFFSET(Assumptions!$B$45,0,$C$1)-SUM(AT$167:AT$169)/AT$14),OFFSET(Assumptions!$B$44,0,$C$1))*SIGN(OFFSET(Assumptions!$B$45,0,$C$1)-SUM(AT$167:AT$169)/AT$14)),AT$169*(1+Exogenous!$P$41*Popn!BB$209+Exogenous!$P$42*Popn!BB$211+Exogenous!$P$43*Popn!BB$214+Exogenous!$P$44*Popn!BB$217+Exogenous!$P$45*Popn!BB$218)*(1+AU$34))</f>
        <v>7.8363012027846972</v>
      </c>
      <c r="AV169" s="7">
        <f ca="1">IF(AND(AV$6&gt;=OFFSET(Assumptions!$B$43,0,$C$1),OFFSET(Assumptions!$B$42,0,$C$1)="AllGDP"),IF(AV$6=OFFSET(Assumptions!$B$43,0,$C$1),AVERAGE(AS$169/SUM(AS$167:AS$169),AT$169/SUM(AT$167:AT$169),AU$169/SUM(AU$167:AU$169)),AU$169/SUM(AU$167:AU$169))*AV$14*(SUM(AU$167:AU$169)/AU$14+MIN(ABS(OFFSET(Assumptions!$B$45,0,$C$1)-SUM(AU$167:AU$169)/AU$14),OFFSET(Assumptions!$B$44,0,$C$1))*SIGN(OFFSET(Assumptions!$B$45,0,$C$1)-SUM(AU$167:AU$169)/AU$14)),AU$169*(1+Exogenous!$P$41*Popn!BC$209+Exogenous!$P$42*Popn!BC$211+Exogenous!$P$43*Popn!BC$214+Exogenous!$P$44*Popn!BC$217+Exogenous!$P$45*Popn!BC$218)*(1+AV$34))</f>
        <v>8.1293855568094582</v>
      </c>
      <c r="AW169" s="7">
        <f ca="1">IF(AND(AW$6&gt;=OFFSET(Assumptions!$B$43,0,$C$1),OFFSET(Assumptions!$B$42,0,$C$1)="AllGDP"),IF(AW$6=OFFSET(Assumptions!$B$43,0,$C$1),AVERAGE(AT$169/SUM(AT$167:AT$169),AU$169/SUM(AU$167:AU$169),AV$169/SUM(AV$167:AV$169)),AV$169/SUM(AV$167:AV$169))*AW$14*(SUM(AV$167:AV$169)/AV$14+MIN(ABS(OFFSET(Assumptions!$B$45,0,$C$1)-SUM(AV$167:AV$169)/AV$14),OFFSET(Assumptions!$B$44,0,$C$1))*SIGN(OFFSET(Assumptions!$B$45,0,$C$1)-SUM(AV$167:AV$169)/AV$14)),AV$169*(1+Exogenous!$P$41*Popn!BD$209+Exogenous!$P$42*Popn!BD$211+Exogenous!$P$43*Popn!BD$214+Exogenous!$P$44*Popn!BD$217+Exogenous!$P$45*Popn!BD$218)*(1+AW$34))</f>
        <v>8.4318619053823554</v>
      </c>
    </row>
    <row r="170" spans="1:49" x14ac:dyDescent="0.2">
      <c r="A170" s="1" t="s">
        <v>512</v>
      </c>
      <c r="B170" s="4" t="str">
        <f t="shared" si="145"/>
        <v>From Fiscal</v>
      </c>
      <c r="D170" s="18">
        <f>Fiscal!D$228</f>
        <v>2.403</v>
      </c>
      <c r="E170" s="19">
        <f>Fiscal!E$228</f>
        <v>2.3919999999999999</v>
      </c>
      <c r="F170" s="19">
        <f>Fiscal!F$228</f>
        <v>2.4420000000000002</v>
      </c>
      <c r="G170" s="19">
        <f>Fiscal!G$228</f>
        <v>2.4289999999999998</v>
      </c>
      <c r="H170" s="19">
        <f>Fiscal!H$228</f>
        <v>2.4049999999999998</v>
      </c>
      <c r="I170" s="19">
        <f>Fiscal!I$228</f>
        <v>2.4700000000000002</v>
      </c>
      <c r="J170" s="7">
        <f ca="1">IF(AND(J$6&gt;=OFFSET(Assumptions!$B$43,0,$C$1),OR(OFFSET(Assumptions!$B$42,0,$C$1)="PartGDP",OFFSET(Assumptions!$B$42,0,$C$1)="AllGDP")),J$14*(I$170/I$14+MIN(ABS(OFFSET(Assumptions!$B$47,0,$C$1)-I$170/I$14),OFFSET(Assumptions!$B$44,0,$C$1))*SIGN(OFFSET(Assumptions!$B$47,0,$C$1)-I$170/I$14)),I$170*(1+J$22)*(1+J$34))</f>
        <v>2.7299772494268915</v>
      </c>
      <c r="K170" s="7">
        <f ca="1">IF(AND(K$6&gt;=OFFSET(Assumptions!$B$43,0,$C$1),OR(OFFSET(Assumptions!$B$42,0,$C$1)="PartGDP",OFFSET(Assumptions!$B$42,0,$C$1)="AllGDP")),K$14*(J$170/J$14+MIN(ABS(OFFSET(Assumptions!$B$47,0,$C$1)-J$170/J$14),OFFSET(Assumptions!$B$44,0,$C$1))*SIGN(OFFSET(Assumptions!$B$47,0,$C$1)-J$170/J$14)),J$170*(1+K$22)*(1+K$34))</f>
        <v>3.0064770726704588</v>
      </c>
      <c r="L170" s="7">
        <f ca="1">IF(AND(L$6&gt;=OFFSET(Assumptions!$B$43,0,$C$1),OR(OFFSET(Assumptions!$B$42,0,$C$1)="PartGDP",OFFSET(Assumptions!$B$42,0,$C$1)="AllGDP")),L$14*(K$170/K$14+MIN(ABS(OFFSET(Assumptions!$B$47,0,$C$1)-K$170/K$14),OFFSET(Assumptions!$B$44,0,$C$1))*SIGN(OFFSET(Assumptions!$B$47,0,$C$1)-K$170/K$14)),K$170*(1+L$22)*(1+L$34))</f>
        <v>3.3062470913102233</v>
      </c>
      <c r="M170" s="7">
        <f ca="1">IF(AND(M$6&gt;=OFFSET(Assumptions!$B$43,0,$C$1),OR(OFFSET(Assumptions!$B$42,0,$C$1)="PartGDP",OFFSET(Assumptions!$B$42,0,$C$1)="AllGDP")),M$14*(L$170/L$14+MIN(ABS(OFFSET(Assumptions!$B$47,0,$C$1)-L$170/L$14),OFFSET(Assumptions!$B$44,0,$C$1))*SIGN(OFFSET(Assumptions!$B$47,0,$C$1)-L$170/L$14)),L$170*(1+M$22)*(1+M$34))</f>
        <v>3.6258731806087932</v>
      </c>
      <c r="N170" s="7">
        <f ca="1">IF(AND(N$6&gt;=OFFSET(Assumptions!$B$43,0,$C$1),OR(OFFSET(Assumptions!$B$42,0,$C$1)="PartGDP",OFFSET(Assumptions!$B$42,0,$C$1)="AllGDP")),N$14*(M$170/M$14+MIN(ABS(OFFSET(Assumptions!$B$47,0,$C$1)-M$170/M$14),OFFSET(Assumptions!$B$44,0,$C$1))*SIGN(OFFSET(Assumptions!$B$47,0,$C$1)-M$170/M$14)),M$170*(1+N$22)*(1+N$34))</f>
        <v>3.9666466728748402</v>
      </c>
      <c r="O170" s="7">
        <f ca="1">IF(AND(O$6&gt;=OFFSET(Assumptions!$B$43,0,$C$1),OR(OFFSET(Assumptions!$B$42,0,$C$1)="PartGDP",OFFSET(Assumptions!$B$42,0,$C$1)="AllGDP")),O$14*(N$170/N$14+MIN(ABS(OFFSET(Assumptions!$B$47,0,$C$1)-N$170/N$14),OFFSET(Assumptions!$B$44,0,$C$1))*SIGN(OFFSET(Assumptions!$B$47,0,$C$1)-N$170/N$14)),N$170*(1+O$22)*(1+O$34))</f>
        <v>4.2299424478565504</v>
      </c>
      <c r="P170" s="7">
        <f ca="1">IF(AND(P$6&gt;=OFFSET(Assumptions!$B$43,0,$C$1),OR(OFFSET(Assumptions!$B$42,0,$C$1)="PartGDP",OFFSET(Assumptions!$B$42,0,$C$1)="AllGDP")),P$14*(O$170/O$14+MIN(ABS(OFFSET(Assumptions!$B$47,0,$C$1)-O$170/O$14),OFFSET(Assumptions!$B$44,0,$C$1))*SIGN(OFFSET(Assumptions!$B$47,0,$C$1)-O$170/O$14)),O$170*(1+P$22)*(1+P$34))</f>
        <v>4.4088220662090105</v>
      </c>
      <c r="Q170" s="7">
        <f ca="1">IF(AND(Q$6&gt;=OFFSET(Assumptions!$B$43,0,$C$1),OR(OFFSET(Assumptions!$B$42,0,$C$1)="PartGDP",OFFSET(Assumptions!$B$42,0,$C$1)="AllGDP")),Q$14*(P$170/P$14+MIN(ABS(OFFSET(Assumptions!$B$47,0,$C$1)-P$170/P$14),OFFSET(Assumptions!$B$44,0,$C$1))*SIGN(OFFSET(Assumptions!$B$47,0,$C$1)-P$170/P$14)),P$170*(1+Q$22)*(1+Q$34))</f>
        <v>4.5932177322655958</v>
      </c>
      <c r="R170" s="7">
        <f ca="1">IF(AND(R$6&gt;=OFFSET(Assumptions!$B$43,0,$C$1),OR(OFFSET(Assumptions!$B$42,0,$C$1)="PartGDP",OFFSET(Assumptions!$B$42,0,$C$1)="AllGDP")),R$14*(Q$170/Q$14+MIN(ABS(OFFSET(Assumptions!$B$47,0,$C$1)-Q$170/Q$14),OFFSET(Assumptions!$B$44,0,$C$1))*SIGN(OFFSET(Assumptions!$B$47,0,$C$1)-Q$170/Q$14)),Q$170*(1+R$22)*(1+R$34))</f>
        <v>4.7829925843348358</v>
      </c>
      <c r="S170" s="7">
        <f ca="1">IF(AND(S$6&gt;=OFFSET(Assumptions!$B$43,0,$C$1),OR(OFFSET(Assumptions!$B$42,0,$C$1)="PartGDP",OFFSET(Assumptions!$B$42,0,$C$1)="AllGDP")),S$14*(R$170/R$14+MIN(ABS(OFFSET(Assumptions!$B$47,0,$C$1)-R$170/R$14),OFFSET(Assumptions!$B$44,0,$C$1))*SIGN(OFFSET(Assumptions!$B$47,0,$C$1)-R$170/R$14)),R$170*(1+S$22)*(1+S$34))</f>
        <v>4.9787497191581283</v>
      </c>
      <c r="T170" s="7">
        <f ca="1">IF(AND(T$6&gt;=OFFSET(Assumptions!$B$43,0,$C$1),OR(OFFSET(Assumptions!$B$42,0,$C$1)="PartGDP",OFFSET(Assumptions!$B$42,0,$C$1)="AllGDP")),T$14*(S$170/S$14+MIN(ABS(OFFSET(Assumptions!$B$47,0,$C$1)-S$170/S$14),OFFSET(Assumptions!$B$44,0,$C$1))*SIGN(OFFSET(Assumptions!$B$47,0,$C$1)-S$170/S$14)),S$170*(1+T$22)*(1+T$34))</f>
        <v>5.1805605227348481</v>
      </c>
      <c r="U170" s="7">
        <f ca="1">IF(AND(U$6&gt;=OFFSET(Assumptions!$B$43,0,$C$1),OR(OFFSET(Assumptions!$B$42,0,$C$1)="PartGDP",OFFSET(Assumptions!$B$42,0,$C$1)="AllGDP")),U$14*(T$170/T$14+MIN(ABS(OFFSET(Assumptions!$B$47,0,$C$1)-T$170/T$14),OFFSET(Assumptions!$B$44,0,$C$1))*SIGN(OFFSET(Assumptions!$B$47,0,$C$1)-T$170/T$14)),T$170*(1+U$22)*(1+U$34))</f>
        <v>5.3891492887193655</v>
      </c>
      <c r="V170" s="7">
        <f ca="1">IF(AND(V$6&gt;=OFFSET(Assumptions!$B$43,0,$C$1),OR(OFFSET(Assumptions!$B$42,0,$C$1)="PartGDP",OFFSET(Assumptions!$B$42,0,$C$1)="AllGDP")),V$14*(U$170/U$14+MIN(ABS(OFFSET(Assumptions!$B$47,0,$C$1)-U$170/U$14),OFFSET(Assumptions!$B$44,0,$C$1))*SIGN(OFFSET(Assumptions!$B$47,0,$C$1)-U$170/U$14)),U$170*(1+V$22)*(1+V$34))</f>
        <v>5.6050309196719237</v>
      </c>
      <c r="W170" s="7">
        <f ca="1">IF(AND(W$6&gt;=OFFSET(Assumptions!$B$43,0,$C$1),OR(OFFSET(Assumptions!$B$42,0,$C$1)="PartGDP",OFFSET(Assumptions!$B$42,0,$C$1)="AllGDP")),W$14*(V$170/V$14+MIN(ABS(OFFSET(Assumptions!$B$47,0,$C$1)-V$170/V$14),OFFSET(Assumptions!$B$44,0,$C$1))*SIGN(OFFSET(Assumptions!$B$47,0,$C$1)-V$170/V$14)),V$170*(1+W$22)*(1+W$34))</f>
        <v>5.8288308791308037</v>
      </c>
      <c r="X170" s="7">
        <f ca="1">IF(AND(X$6&gt;=OFFSET(Assumptions!$B$43,0,$C$1),OR(OFFSET(Assumptions!$B$42,0,$C$1)="PartGDP",OFFSET(Assumptions!$B$42,0,$C$1)="AllGDP")),X$14*(W$170/W$14+MIN(ABS(OFFSET(Assumptions!$B$47,0,$C$1)-W$170/W$14),OFFSET(Assumptions!$B$44,0,$C$1))*SIGN(OFFSET(Assumptions!$B$47,0,$C$1)-W$170/W$14)),W$170*(1+X$22)*(1+X$34))</f>
        <v>6.0612580439179835</v>
      </c>
      <c r="Y170" s="7">
        <f ca="1">IF(AND(Y$6&gt;=OFFSET(Assumptions!$B$43,0,$C$1),OR(OFFSET(Assumptions!$B$42,0,$C$1)="PartGDP",OFFSET(Assumptions!$B$42,0,$C$1)="AllGDP")),Y$14*(X$170/X$14+MIN(ABS(OFFSET(Assumptions!$B$47,0,$C$1)-X$170/X$14),OFFSET(Assumptions!$B$44,0,$C$1))*SIGN(OFFSET(Assumptions!$B$47,0,$C$1)-X$170/X$14)),X$170*(1+Y$22)*(1+Y$34))</f>
        <v>6.3022886522813684</v>
      </c>
      <c r="Z170" s="7">
        <f ca="1">IF(AND(Z$6&gt;=OFFSET(Assumptions!$B$43,0,$C$1),OR(OFFSET(Assumptions!$B$42,0,$C$1)="PartGDP",OFFSET(Assumptions!$B$42,0,$C$1)="AllGDP")),Z$14*(Y$170/Y$14+MIN(ABS(OFFSET(Assumptions!$B$47,0,$C$1)-Y$170/Y$14),OFFSET(Assumptions!$B$44,0,$C$1))*SIGN(OFFSET(Assumptions!$B$47,0,$C$1)-Y$170/Y$14)),Y$170*(1+Z$22)*(1+Z$34))</f>
        <v>6.5531427149663521</v>
      </c>
      <c r="AA170" s="7">
        <f ca="1">IF(AND(AA$6&gt;=OFFSET(Assumptions!$B$43,0,$C$1),OR(OFFSET(Assumptions!$B$42,0,$C$1)="PartGDP",OFFSET(Assumptions!$B$42,0,$C$1)="AllGDP")),AA$14*(Z$170/Z$14+MIN(ABS(OFFSET(Assumptions!$B$47,0,$C$1)-Z$170/Z$14),OFFSET(Assumptions!$B$44,0,$C$1))*SIGN(OFFSET(Assumptions!$B$47,0,$C$1)-Z$170/Z$14)),Z$170*(1+AA$22)*(1+AA$34))</f>
        <v>6.8142261147114285</v>
      </c>
      <c r="AB170" s="7">
        <f ca="1">IF(AND(AB$6&gt;=OFFSET(Assumptions!$B$43,0,$C$1),OR(OFFSET(Assumptions!$B$42,0,$C$1)="PartGDP",OFFSET(Assumptions!$B$42,0,$C$1)="AllGDP")),AB$14*(AA$170/AA$14+MIN(ABS(OFFSET(Assumptions!$B$47,0,$C$1)-AA$170/AA$14),OFFSET(Assumptions!$B$44,0,$C$1))*SIGN(OFFSET(Assumptions!$B$47,0,$C$1)-AA$170/AA$14)),AA$170*(1+AB$22)*(1+AB$34))</f>
        <v>7.0863229090774116</v>
      </c>
      <c r="AC170" s="7">
        <f ca="1">IF(AND(AC$6&gt;=OFFSET(Assumptions!$B$43,0,$C$1),OR(OFFSET(Assumptions!$B$42,0,$C$1)="PartGDP",OFFSET(Assumptions!$B$42,0,$C$1)="AllGDP")),AC$14*(AB$170/AB$14+MIN(ABS(OFFSET(Assumptions!$B$47,0,$C$1)-AB$170/AB$14),OFFSET(Assumptions!$B$44,0,$C$1))*SIGN(OFFSET(Assumptions!$B$47,0,$C$1)-AB$170/AB$14)),AB$170*(1+AC$22)*(1+AC$34))</f>
        <v>7.3704603003872196</v>
      </c>
      <c r="AD170" s="7">
        <f ca="1">IF(AND(AD$6&gt;=OFFSET(Assumptions!$B$43,0,$C$1),OR(OFFSET(Assumptions!$B$42,0,$C$1)="PartGDP",OFFSET(Assumptions!$B$42,0,$C$1)="AllGDP")),AD$14*(AC$170/AC$14+MIN(ABS(OFFSET(Assumptions!$B$47,0,$C$1)-AC$170/AC$14),OFFSET(Assumptions!$B$44,0,$C$1))*SIGN(OFFSET(Assumptions!$B$47,0,$C$1)-AC$170/AC$14)),AC$170*(1+AD$22)*(1+AD$34))</f>
        <v>7.6669377729563264</v>
      </c>
      <c r="AE170" s="7">
        <f ca="1">IF(AND(AE$6&gt;=OFFSET(Assumptions!$B$43,0,$C$1),OR(OFFSET(Assumptions!$B$42,0,$C$1)="PartGDP",OFFSET(Assumptions!$B$42,0,$C$1)="AllGDP")),AE$14*(AD$170/AD$14+MIN(ABS(OFFSET(Assumptions!$B$47,0,$C$1)-AD$170/AD$14),OFFSET(Assumptions!$B$44,0,$C$1))*SIGN(OFFSET(Assumptions!$B$47,0,$C$1)-AD$170/AD$14)),AD$170*(1+AE$22)*(1+AE$34))</f>
        <v>7.9754830517425868</v>
      </c>
      <c r="AF170" s="7">
        <f ca="1">IF(AND(AF$6&gt;=OFFSET(Assumptions!$B$43,0,$C$1),OR(OFFSET(Assumptions!$B$42,0,$C$1)="PartGDP",OFFSET(Assumptions!$B$42,0,$C$1)="AllGDP")),AF$14*(AE$170/AE$14+MIN(ABS(OFFSET(Assumptions!$B$47,0,$C$1)-AE$170/AE$14),OFFSET(Assumptions!$B$44,0,$C$1))*SIGN(OFFSET(Assumptions!$B$47,0,$C$1)-AE$170/AE$14)),AE$170*(1+AF$22)*(1+AF$34))</f>
        <v>8.2969497579905678</v>
      </c>
      <c r="AG170" s="7">
        <f ca="1">IF(AND(AG$6&gt;=OFFSET(Assumptions!$B$43,0,$C$1),OR(OFFSET(Assumptions!$B$42,0,$C$1)="PartGDP",OFFSET(Assumptions!$B$42,0,$C$1)="AllGDP")),AG$14*(AF$170/AF$14+MIN(ABS(OFFSET(Assumptions!$B$47,0,$C$1)-AF$170/AF$14),OFFSET(Assumptions!$B$44,0,$C$1))*SIGN(OFFSET(Assumptions!$B$47,0,$C$1)-AF$170/AF$14)),AF$170*(1+AG$22)*(1+AG$34))</f>
        <v>8.6315176424401425</v>
      </c>
      <c r="AH170" s="7">
        <f ca="1">IF(AND(AH$6&gt;=OFFSET(Assumptions!$B$43,0,$C$1),OR(OFFSET(Assumptions!$B$42,0,$C$1)="PartGDP",OFFSET(Assumptions!$B$42,0,$C$1)="AllGDP")),AH$14*(AG$170/AG$14+MIN(ABS(OFFSET(Assumptions!$B$47,0,$C$1)-AG$170/AG$14),OFFSET(Assumptions!$B$44,0,$C$1))*SIGN(OFFSET(Assumptions!$B$47,0,$C$1)-AG$170/AG$14)),AG$170*(1+AH$22)*(1+AH$34))</f>
        <v>8.9797232079084512</v>
      </c>
      <c r="AI170" s="7">
        <f ca="1">IF(AND(AI$6&gt;=OFFSET(Assumptions!$B$43,0,$C$1),OR(OFFSET(Assumptions!$B$42,0,$C$1)="PartGDP",OFFSET(Assumptions!$B$42,0,$C$1)="AllGDP")),AI$14*(AH$170/AH$14+MIN(ABS(OFFSET(Assumptions!$B$47,0,$C$1)-AH$170/AH$14),OFFSET(Assumptions!$B$44,0,$C$1))*SIGN(OFFSET(Assumptions!$B$47,0,$C$1)-AH$170/AH$14)),AH$170*(1+AI$22)*(1+AI$34))</f>
        <v>9.3409580240048875</v>
      </c>
      <c r="AJ170" s="7">
        <f ca="1">IF(AND(AJ$6&gt;=OFFSET(Assumptions!$B$43,0,$C$1),OR(OFFSET(Assumptions!$B$42,0,$C$1)="PartGDP",OFFSET(Assumptions!$B$42,0,$C$1)="AllGDP")),AJ$14*(AI$170/AI$14+MIN(ABS(OFFSET(Assumptions!$B$47,0,$C$1)-AI$170/AI$14),OFFSET(Assumptions!$B$44,0,$C$1))*SIGN(OFFSET(Assumptions!$B$47,0,$C$1)-AI$170/AI$14)),AI$170*(1+AJ$22)*(1+AJ$34))</f>
        <v>9.7163793058246934</v>
      </c>
      <c r="AK170" s="7">
        <f ca="1">IF(AND(AK$6&gt;=OFFSET(Assumptions!$B$43,0,$C$1),OR(OFFSET(Assumptions!$B$42,0,$C$1)="PartGDP",OFFSET(Assumptions!$B$42,0,$C$1)="AllGDP")),AK$14*(AJ$170/AJ$14+MIN(ABS(OFFSET(Assumptions!$B$47,0,$C$1)-AJ$170/AJ$14),OFFSET(Assumptions!$B$44,0,$C$1))*SIGN(OFFSET(Assumptions!$B$47,0,$C$1)-AJ$170/AJ$14)),AJ$170*(1+AK$22)*(1+AK$34))</f>
        <v>10.105678220257126</v>
      </c>
      <c r="AL170" s="7">
        <f ca="1">IF(AND(AL$6&gt;=OFFSET(Assumptions!$B$43,0,$C$1),OR(OFFSET(Assumptions!$B$42,0,$C$1)="PartGDP",OFFSET(Assumptions!$B$42,0,$C$1)="AllGDP")),AL$14*(AK$170/AK$14+MIN(ABS(OFFSET(Assumptions!$B$47,0,$C$1)-AK$170/AK$14),OFFSET(Assumptions!$B$44,0,$C$1))*SIGN(OFFSET(Assumptions!$B$47,0,$C$1)-AK$170/AK$14)),AK$170*(1+AL$22)*(1+AL$34))</f>
        <v>10.508548105807238</v>
      </c>
      <c r="AM170" s="7">
        <f ca="1">IF(AND(AM$6&gt;=OFFSET(Assumptions!$B$43,0,$C$1),OR(OFFSET(Assumptions!$B$42,0,$C$1)="PartGDP",OFFSET(Assumptions!$B$42,0,$C$1)="AllGDP")),AM$14*(AL$170/AL$14+MIN(ABS(OFFSET(Assumptions!$B$47,0,$C$1)-AL$170/AL$14),OFFSET(Assumptions!$B$44,0,$C$1))*SIGN(OFFSET(Assumptions!$B$47,0,$C$1)-AL$170/AL$14)),AL$170*(1+AM$22)*(1+AM$34))</f>
        <v>10.925539335200522</v>
      </c>
      <c r="AN170" s="7">
        <f ca="1">IF(AND(AN$6&gt;=OFFSET(Assumptions!$B$43,0,$C$1),OR(OFFSET(Assumptions!$B$42,0,$C$1)="PartGDP",OFFSET(Assumptions!$B$42,0,$C$1)="AllGDP")),AN$14*(AM$170/AM$14+MIN(ABS(OFFSET(Assumptions!$B$47,0,$C$1)-AM$170/AM$14),OFFSET(Assumptions!$B$44,0,$C$1))*SIGN(OFFSET(Assumptions!$B$47,0,$C$1)-AM$170/AM$14)),AM$170*(1+AN$22)*(1+AN$34))</f>
        <v>11.357231939198888</v>
      </c>
      <c r="AO170" s="7">
        <f ca="1">IF(AND(AO$6&gt;=OFFSET(Assumptions!$B$43,0,$C$1),OR(OFFSET(Assumptions!$B$42,0,$C$1)="PartGDP",OFFSET(Assumptions!$B$42,0,$C$1)="AllGDP")),AO$14*(AN$170/AN$14+MIN(ABS(OFFSET(Assumptions!$B$47,0,$C$1)-AN$170/AN$14),OFFSET(Assumptions!$B$44,0,$C$1))*SIGN(OFFSET(Assumptions!$B$47,0,$C$1)-AN$170/AN$14)),AN$170*(1+AO$22)*(1+AO$34))</f>
        <v>11.801930810232651</v>
      </c>
      <c r="AP170" s="7">
        <f ca="1">IF(AND(AP$6&gt;=OFFSET(Assumptions!$B$43,0,$C$1),OR(OFFSET(Assumptions!$B$42,0,$C$1)="PartGDP",OFFSET(Assumptions!$B$42,0,$C$1)="AllGDP")),AP$14*(AO$170/AO$14+MIN(ABS(OFFSET(Assumptions!$B$47,0,$C$1)-AO$170/AO$14),OFFSET(Assumptions!$B$44,0,$C$1))*SIGN(OFFSET(Assumptions!$B$47,0,$C$1)-AO$170/AO$14)),AO$170*(1+AP$22)*(1+AP$34))</f>
        <v>12.261524359886797</v>
      </c>
      <c r="AQ170" s="7">
        <f ca="1">IF(AND(AQ$6&gt;=OFFSET(Assumptions!$B$43,0,$C$1),OR(OFFSET(Assumptions!$B$42,0,$C$1)="PartGDP",OFFSET(Assumptions!$B$42,0,$C$1)="AllGDP")),AQ$14*(AP$170/AP$14+MIN(ABS(OFFSET(Assumptions!$B$47,0,$C$1)-AP$170/AP$14),OFFSET(Assumptions!$B$44,0,$C$1))*SIGN(OFFSET(Assumptions!$B$47,0,$C$1)-AP$170/AP$14)),AP$170*(1+AQ$22)*(1+AQ$34))</f>
        <v>12.734724808485549</v>
      </c>
      <c r="AR170" s="7">
        <f ca="1">IF(AND(AR$6&gt;=OFFSET(Assumptions!$B$43,0,$C$1),OR(OFFSET(Assumptions!$B$42,0,$C$1)="PartGDP",OFFSET(Assumptions!$B$42,0,$C$1)="AllGDP")),AR$14*(AQ$170/AQ$14+MIN(ABS(OFFSET(Assumptions!$B$47,0,$C$1)-AQ$170/AQ$14),OFFSET(Assumptions!$B$44,0,$C$1))*SIGN(OFFSET(Assumptions!$B$47,0,$C$1)-AQ$170/AQ$14)),AQ$170*(1+AR$22)*(1+AR$34))</f>
        <v>13.222067903590796</v>
      </c>
      <c r="AS170" s="7">
        <f ca="1">IF(AND(AS$6&gt;=OFFSET(Assumptions!$B$43,0,$C$1),OR(OFFSET(Assumptions!$B$42,0,$C$1)="PartGDP",OFFSET(Assumptions!$B$42,0,$C$1)="AllGDP")),AS$14*(AR$170/AR$14+MIN(ABS(OFFSET(Assumptions!$B$47,0,$C$1)-AR$170/AR$14),OFFSET(Assumptions!$B$44,0,$C$1))*SIGN(OFFSET(Assumptions!$B$47,0,$C$1)-AR$170/AR$14)),AR$170*(1+AS$22)*(1+AS$34))</f>
        <v>13.724690602586556</v>
      </c>
      <c r="AT170" s="7">
        <f ca="1">IF(AND(AT$6&gt;=OFFSET(Assumptions!$B$43,0,$C$1),OR(OFFSET(Assumptions!$B$42,0,$C$1)="PartGDP",OFFSET(Assumptions!$B$42,0,$C$1)="AllGDP")),AT$14*(AS$170/AS$14+MIN(ABS(OFFSET(Assumptions!$B$47,0,$C$1)-AS$170/AS$14),OFFSET(Assumptions!$B$44,0,$C$1))*SIGN(OFFSET(Assumptions!$B$47,0,$C$1)-AS$170/AS$14)),AS$170*(1+AT$22)*(1+AT$34))</f>
        <v>14.242994333767097</v>
      </c>
      <c r="AU170" s="7">
        <f ca="1">IF(AND(AU$6&gt;=OFFSET(Assumptions!$B$43,0,$C$1),OR(OFFSET(Assumptions!$B$42,0,$C$1)="PartGDP",OFFSET(Assumptions!$B$42,0,$C$1)="AllGDP")),AU$14*(AT$170/AT$14+MIN(ABS(OFFSET(Assumptions!$B$47,0,$C$1)-AT$170/AT$14),OFFSET(Assumptions!$B$44,0,$C$1))*SIGN(OFFSET(Assumptions!$B$47,0,$C$1)-AT$170/AT$14)),AT$170*(1+AU$22)*(1+AU$34))</f>
        <v>14.777668325386379</v>
      </c>
      <c r="AV170" s="7">
        <f ca="1">IF(AND(AV$6&gt;=OFFSET(Assumptions!$B$43,0,$C$1),OR(OFFSET(Assumptions!$B$42,0,$C$1)="PartGDP",OFFSET(Assumptions!$B$42,0,$C$1)="AllGDP")),AV$14*(AU$170/AU$14+MIN(ABS(OFFSET(Assumptions!$B$47,0,$C$1)-AU$170/AU$14),OFFSET(Assumptions!$B$44,0,$C$1))*SIGN(OFFSET(Assumptions!$B$47,0,$C$1)-AU$170/AU$14)),AU$170*(1+AV$22)*(1+AV$34))</f>
        <v>15.330365734924303</v>
      </c>
      <c r="AW170" s="7">
        <f ca="1">IF(AND(AW$6&gt;=OFFSET(Assumptions!$B$43,0,$C$1),OR(OFFSET(Assumptions!$B$42,0,$C$1)="PartGDP",OFFSET(Assumptions!$B$42,0,$C$1)="AllGDP")),AW$14*(AV$170/AV$14+MIN(ABS(OFFSET(Assumptions!$B$47,0,$C$1)-AV$170/AV$14),OFFSET(Assumptions!$B$44,0,$C$1))*SIGN(OFFSET(Assumptions!$B$47,0,$C$1)-AV$170/AV$14)),AV$170*(1+AW$22)*(1+AW$34))</f>
        <v>15.900774533643757</v>
      </c>
    </row>
    <row r="171" spans="1:49" x14ac:dyDescent="0.2">
      <c r="A171" s="1" t="s">
        <v>514</v>
      </c>
      <c r="B171" s="4" t="str">
        <f t="shared" si="145"/>
        <v>From Fiscal</v>
      </c>
      <c r="D171" s="18">
        <f>Fiscal!D$229</f>
        <v>3.464</v>
      </c>
      <c r="E171" s="19">
        <f>Fiscal!E$229</f>
        <v>3.6920000000000002</v>
      </c>
      <c r="F171" s="19">
        <f>Fiscal!F$229</f>
        <v>3.81</v>
      </c>
      <c r="G171" s="19">
        <f>Fiscal!G$229</f>
        <v>3.9369999999999998</v>
      </c>
      <c r="H171" s="19">
        <f>Fiscal!H$229</f>
        <v>4.0449999999999999</v>
      </c>
      <c r="I171" s="19">
        <f>Fiscal!I$229</f>
        <v>4.1349999999999998</v>
      </c>
      <c r="J171" s="7">
        <f ca="1">IF(AND(J$6&gt;=OFFSET(Assumptions!$B$43,0,$C$1),OR(OFFSET(Assumptions!$B$42,0,$C$1)="PartGDP",OFFSET(Assumptions!$B$42,0,$C$1)="AllGDP")),J$14*(I$171/I$14+MIN(ABS(OFFSET(Assumptions!$B$48,0,$C$1)-I$171/I$14),OFFSET(Assumptions!$B$44,0,$C$1))*SIGN(OFFSET(Assumptions!$B$48,0,$C$1)-I$171/I$14)),I$171*(1+J$22)*(1+J$34))</f>
        <v>4.4651355927188021</v>
      </c>
      <c r="K171" s="7">
        <f ca="1">IF(AND(K$6&gt;=OFFSET(Assumptions!$B$43,0,$C$1),OR(OFFSET(Assumptions!$B$42,0,$C$1)="PartGDP",OFFSET(Assumptions!$B$42,0,$C$1)="AllGDP")),K$14*(J$171/J$14+MIN(ABS(OFFSET(Assumptions!$B$48,0,$C$1)-J$171/J$14),OFFSET(Assumptions!$B$44,0,$C$1))*SIGN(OFFSET(Assumptions!$B$48,0,$C$1)-J$171/J$14)),J$171*(1+K$22)*(1+K$34))</f>
        <v>4.8141480255470448</v>
      </c>
      <c r="L171" s="7">
        <f ca="1">IF(AND(L$6&gt;=OFFSET(Assumptions!$B$43,0,$C$1),OR(OFFSET(Assumptions!$B$42,0,$C$1)="PartGDP",OFFSET(Assumptions!$B$42,0,$C$1)="AllGDP")),L$14*(K$171/K$14+MIN(ABS(OFFSET(Assumptions!$B$48,0,$C$1)-K$171/K$14),OFFSET(Assumptions!$B$44,0,$C$1))*SIGN(OFFSET(Assumptions!$B$48,0,$C$1)-K$171/K$14)),K$171*(1+L$22)*(1+L$34))</f>
        <v>5.0836019126919538</v>
      </c>
      <c r="M171" s="7">
        <f ca="1">IF(AND(M$6&gt;=OFFSET(Assumptions!$B$43,0,$C$1),OR(OFFSET(Assumptions!$B$42,0,$C$1)="PartGDP",OFFSET(Assumptions!$B$42,0,$C$1)="AllGDP")),M$14*(L$171/L$14+MIN(ABS(OFFSET(Assumptions!$B$48,0,$C$1)-L$171/L$14),OFFSET(Assumptions!$B$44,0,$C$1))*SIGN(OFFSET(Assumptions!$B$48,0,$C$1)-L$171/L$14)),L$171*(1+M$22)*(1+M$34))</f>
        <v>5.3032463233351699</v>
      </c>
      <c r="N171" s="7">
        <f ca="1">IF(AND(N$6&gt;=OFFSET(Assumptions!$B$43,0,$C$1),OR(OFFSET(Assumptions!$B$42,0,$C$1)="PartGDP",OFFSET(Assumptions!$B$42,0,$C$1)="AllGDP")),N$14*(M$171/M$14+MIN(ABS(OFFSET(Assumptions!$B$48,0,$C$1)-M$171/M$14),OFFSET(Assumptions!$B$44,0,$C$1))*SIGN(OFFSET(Assumptions!$B$48,0,$C$1)-M$171/M$14)),M$171*(1+N$22)*(1+N$34))</f>
        <v>5.5319619546023038</v>
      </c>
      <c r="O171" s="7">
        <f ca="1">IF(AND(O$6&gt;=OFFSET(Assumptions!$B$43,0,$C$1),OR(OFFSET(Assumptions!$B$42,0,$C$1)="PartGDP",OFFSET(Assumptions!$B$42,0,$C$1)="AllGDP")),O$14*(N$171/N$14+MIN(ABS(OFFSET(Assumptions!$B$48,0,$C$1)-N$171/N$14),OFFSET(Assumptions!$B$44,0,$C$1))*SIGN(OFFSET(Assumptions!$B$48,0,$C$1)-N$171/N$14)),N$171*(1+O$22)*(1+O$34))</f>
        <v>5.7681033379862052</v>
      </c>
      <c r="P171" s="7">
        <f ca="1">IF(AND(P$6&gt;=OFFSET(Assumptions!$B$43,0,$C$1),OR(OFFSET(Assumptions!$B$42,0,$C$1)="PartGDP",OFFSET(Assumptions!$B$42,0,$C$1)="AllGDP")),P$14*(O$171/O$14+MIN(ABS(OFFSET(Assumptions!$B$48,0,$C$1)-O$171/O$14),OFFSET(Assumptions!$B$44,0,$C$1))*SIGN(OFFSET(Assumptions!$B$48,0,$C$1)-O$171/O$14)),O$171*(1+P$22)*(1+P$34))</f>
        <v>6.0120300902850143</v>
      </c>
      <c r="Q171" s="7">
        <f ca="1">IF(AND(Q$6&gt;=OFFSET(Assumptions!$B$43,0,$C$1),OR(OFFSET(Assumptions!$B$42,0,$C$1)="PartGDP",OFFSET(Assumptions!$B$42,0,$C$1)="AllGDP")),Q$14*(P$171/P$14+MIN(ABS(OFFSET(Assumptions!$B$48,0,$C$1)-P$171/P$14),OFFSET(Assumptions!$B$44,0,$C$1))*SIGN(OFFSET(Assumptions!$B$48,0,$C$1)-P$171/P$14)),P$171*(1+Q$22)*(1+Q$34))</f>
        <v>6.2634787258167224</v>
      </c>
      <c r="R171" s="7">
        <f ca="1">IF(AND(R$6&gt;=OFFSET(Assumptions!$B$43,0,$C$1),OR(OFFSET(Assumptions!$B$42,0,$C$1)="PartGDP",OFFSET(Assumptions!$B$42,0,$C$1)="AllGDP")),R$14*(Q$171/Q$14+MIN(ABS(OFFSET(Assumptions!$B$48,0,$C$1)-Q$171/Q$14),OFFSET(Assumptions!$B$44,0,$C$1))*SIGN(OFFSET(Assumptions!$B$48,0,$C$1)-Q$171/Q$14)),Q$171*(1+R$22)*(1+R$34))</f>
        <v>6.522262615002048</v>
      </c>
      <c r="S171" s="7">
        <f ca="1">IF(AND(S$6&gt;=OFFSET(Assumptions!$B$43,0,$C$1),OR(OFFSET(Assumptions!$B$42,0,$C$1)="PartGDP",OFFSET(Assumptions!$B$42,0,$C$1)="AllGDP")),S$14*(R$171/R$14+MIN(ABS(OFFSET(Assumptions!$B$48,0,$C$1)-R$171/R$14),OFFSET(Assumptions!$B$44,0,$C$1))*SIGN(OFFSET(Assumptions!$B$48,0,$C$1)-R$171/R$14)),R$171*(1+S$22)*(1+S$34))</f>
        <v>6.7892041624883568</v>
      </c>
      <c r="T171" s="7">
        <f ca="1">IF(AND(T$6&gt;=OFFSET(Assumptions!$B$43,0,$C$1),OR(OFFSET(Assumptions!$B$42,0,$C$1)="PartGDP",OFFSET(Assumptions!$B$42,0,$C$1)="AllGDP")),T$14*(S$171/S$14+MIN(ABS(OFFSET(Assumptions!$B$48,0,$C$1)-S$171/S$14),OFFSET(Assumptions!$B$44,0,$C$1))*SIGN(OFFSET(Assumptions!$B$48,0,$C$1)-S$171/S$14)),S$171*(1+T$22)*(1+T$34))</f>
        <v>7.0644007128202473</v>
      </c>
      <c r="U171" s="7">
        <f ca="1">IF(AND(U$6&gt;=OFFSET(Assumptions!$B$43,0,$C$1),OR(OFFSET(Assumptions!$B$42,0,$C$1)="PartGDP",OFFSET(Assumptions!$B$42,0,$C$1)="AllGDP")),U$14*(T$171/T$14+MIN(ABS(OFFSET(Assumptions!$B$48,0,$C$1)-T$171/T$14),OFFSET(Assumptions!$B$44,0,$C$1))*SIGN(OFFSET(Assumptions!$B$48,0,$C$1)-T$171/T$14)),T$171*(1+U$22)*(1+U$34))</f>
        <v>7.3488399391627715</v>
      </c>
      <c r="V171" s="7">
        <f ca="1">IF(AND(V$6&gt;=OFFSET(Assumptions!$B$43,0,$C$1),OR(OFFSET(Assumptions!$B$42,0,$C$1)="PartGDP",OFFSET(Assumptions!$B$42,0,$C$1)="AllGDP")),V$14*(U$171/U$14+MIN(ABS(OFFSET(Assumptions!$B$48,0,$C$1)-U$171/U$14),OFFSET(Assumptions!$B$44,0,$C$1))*SIGN(OFFSET(Assumptions!$B$48,0,$C$1)-U$171/U$14)),U$171*(1+V$22)*(1+V$34))</f>
        <v>7.6432239813708049</v>
      </c>
      <c r="W171" s="7">
        <f ca="1">IF(AND(W$6&gt;=OFFSET(Assumptions!$B$43,0,$C$1),OR(OFFSET(Assumptions!$B$42,0,$C$1)="PartGDP",OFFSET(Assumptions!$B$42,0,$C$1)="AllGDP")),W$14*(V$171/V$14+MIN(ABS(OFFSET(Assumptions!$B$48,0,$C$1)-V$171/V$14),OFFSET(Assumptions!$B$44,0,$C$1))*SIGN(OFFSET(Assumptions!$B$48,0,$C$1)-V$171/V$14)),V$171*(1+W$22)*(1+W$34))</f>
        <v>7.9484057442692784</v>
      </c>
      <c r="X171" s="7">
        <f ca="1">IF(AND(X$6&gt;=OFFSET(Assumptions!$B$43,0,$C$1),OR(OFFSET(Assumptions!$B$42,0,$C$1)="PartGDP",OFFSET(Assumptions!$B$42,0,$C$1)="AllGDP")),X$14*(W$171/W$14+MIN(ABS(OFFSET(Assumptions!$B$48,0,$C$1)-W$171/W$14),OFFSET(Assumptions!$B$44,0,$C$1))*SIGN(OFFSET(Assumptions!$B$48,0,$C$1)-W$171/W$14)),W$171*(1+X$22)*(1+X$34))</f>
        <v>8.2653518780699784</v>
      </c>
      <c r="Y171" s="7">
        <f ca="1">IF(AND(Y$6&gt;=OFFSET(Assumptions!$B$43,0,$C$1),OR(OFFSET(Assumptions!$B$42,0,$C$1)="PartGDP",OFFSET(Assumptions!$B$42,0,$C$1)="AllGDP")),Y$14*(X$171/X$14+MIN(ABS(OFFSET(Assumptions!$B$48,0,$C$1)-X$171/X$14),OFFSET(Assumptions!$B$44,0,$C$1))*SIGN(OFFSET(Assumptions!$B$48,0,$C$1)-X$171/X$14)),X$171*(1+Y$22)*(1+Y$34))</f>
        <v>8.5940299803836844</v>
      </c>
      <c r="Z171" s="7">
        <f ca="1">IF(AND(Z$6&gt;=OFFSET(Assumptions!$B$43,0,$C$1),OR(OFFSET(Assumptions!$B$42,0,$C$1)="PartGDP",OFFSET(Assumptions!$B$42,0,$C$1)="AllGDP")),Z$14*(Y$171/Y$14+MIN(ABS(OFFSET(Assumptions!$B$48,0,$C$1)-Y$171/Y$14),OFFSET(Assumptions!$B$44,0,$C$1))*SIGN(OFFSET(Assumptions!$B$48,0,$C$1)-Y$171/Y$14)),Y$171*(1+Z$22)*(1+Z$34))</f>
        <v>8.9361037022268448</v>
      </c>
      <c r="AA171" s="7">
        <f ca="1">IF(AND(AA$6&gt;=OFFSET(Assumptions!$B$43,0,$C$1),OR(OFFSET(Assumptions!$B$42,0,$C$1)="PartGDP",OFFSET(Assumptions!$B$42,0,$C$1)="AllGDP")),AA$14*(Z$171/Z$14+MIN(ABS(OFFSET(Assumptions!$B$48,0,$C$1)-Z$171/Z$14),OFFSET(Assumptions!$B$44,0,$C$1))*SIGN(OFFSET(Assumptions!$B$48,0,$C$1)-Z$171/Z$14)),Z$171*(1+AA$22)*(1+AA$34))</f>
        <v>9.2921265200610392</v>
      </c>
      <c r="AB171" s="7">
        <f ca="1">IF(AND(AB$6&gt;=OFFSET(Assumptions!$B$43,0,$C$1),OR(OFFSET(Assumptions!$B$42,0,$C$1)="PartGDP",OFFSET(Assumptions!$B$42,0,$C$1)="AllGDP")),AB$14*(AA$171/AA$14+MIN(ABS(OFFSET(Assumptions!$B$48,0,$C$1)-AA$171/AA$14),OFFSET(Assumptions!$B$44,0,$C$1))*SIGN(OFFSET(Assumptions!$B$48,0,$C$1)-AA$171/AA$14)),AA$171*(1+AB$22)*(1+AB$34))</f>
        <v>9.6631676032873806</v>
      </c>
      <c r="AC171" s="7">
        <f ca="1">IF(AND(AC$6&gt;=OFFSET(Assumptions!$B$43,0,$C$1),OR(OFFSET(Assumptions!$B$42,0,$C$1)="PartGDP",OFFSET(Assumptions!$B$42,0,$C$1)="AllGDP")),AC$14*(AB$171/AB$14+MIN(ABS(OFFSET(Assumptions!$B$48,0,$C$1)-AB$171/AB$14),OFFSET(Assumptions!$B$44,0,$C$1))*SIGN(OFFSET(Assumptions!$B$48,0,$C$1)-AB$171/AB$14)),AB$171*(1+AC$22)*(1+AC$34))</f>
        <v>10.050627682346208</v>
      </c>
      <c r="AD171" s="7">
        <f ca="1">IF(AND(AD$6&gt;=OFFSET(Assumptions!$B$43,0,$C$1),OR(OFFSET(Assumptions!$B$42,0,$C$1)="PartGDP",OFFSET(Assumptions!$B$42,0,$C$1)="AllGDP")),AD$14*(AC$171/AC$14+MIN(ABS(OFFSET(Assumptions!$B$48,0,$C$1)-AC$171/AC$14),OFFSET(Assumptions!$B$44,0,$C$1))*SIGN(OFFSET(Assumptions!$B$48,0,$C$1)-AC$171/AC$14)),AC$171*(1+AD$22)*(1+AD$34))</f>
        <v>10.454915144940445</v>
      </c>
      <c r="AE171" s="7">
        <f ca="1">IF(AND(AE$6&gt;=OFFSET(Assumptions!$B$43,0,$C$1),OR(OFFSET(Assumptions!$B$42,0,$C$1)="PartGDP",OFFSET(Assumptions!$B$42,0,$C$1)="AllGDP")),AE$14*(AD$171/AD$14+MIN(ABS(OFFSET(Assumptions!$B$48,0,$C$1)-AD$171/AD$14),OFFSET(Assumptions!$B$44,0,$C$1))*SIGN(OFFSET(Assumptions!$B$48,0,$C$1)-AD$171/AD$14)),AD$171*(1+AE$22)*(1+AE$34))</f>
        <v>10.87565870692171</v>
      </c>
      <c r="AF171" s="7">
        <f ca="1">IF(AND(AF$6&gt;=OFFSET(Assumptions!$B$43,0,$C$1),OR(OFFSET(Assumptions!$B$42,0,$C$1)="PartGDP",OFFSET(Assumptions!$B$42,0,$C$1)="AllGDP")),AF$14*(AE$171/AE$14+MIN(ABS(OFFSET(Assumptions!$B$48,0,$C$1)-AE$171/AE$14),OFFSET(Assumptions!$B$44,0,$C$1))*SIGN(OFFSET(Assumptions!$B$48,0,$C$1)-AE$171/AE$14)),AE$171*(1+AF$22)*(1+AF$34))</f>
        <v>11.314022397259865</v>
      </c>
      <c r="AG171" s="7">
        <f ca="1">IF(AND(AG$6&gt;=OFFSET(Assumptions!$B$43,0,$C$1),OR(OFFSET(Assumptions!$B$42,0,$C$1)="PartGDP",OFFSET(Assumptions!$B$42,0,$C$1)="AllGDP")),AG$14*(AF$171/AF$14+MIN(ABS(OFFSET(Assumptions!$B$48,0,$C$1)-AF$171/AF$14),OFFSET(Assumptions!$B$44,0,$C$1))*SIGN(OFFSET(Assumptions!$B$48,0,$C$1)-AF$171/AF$14)),AF$171*(1+AG$22)*(1+AG$34))</f>
        <v>11.770251330600194</v>
      </c>
      <c r="AH171" s="7">
        <f ca="1">IF(AND(AH$6&gt;=OFFSET(Assumptions!$B$43,0,$C$1),OR(OFFSET(Assumptions!$B$42,0,$C$1)="PartGDP",OFFSET(Assumptions!$B$42,0,$C$1)="AllGDP")),AH$14*(AG$171/AG$14+MIN(ABS(OFFSET(Assumptions!$B$48,0,$C$1)-AG$171/AG$14),OFFSET(Assumptions!$B$44,0,$C$1))*SIGN(OFFSET(Assumptions!$B$48,0,$C$1)-AG$171/AG$14)),AG$171*(1+AH$22)*(1+AH$34))</f>
        <v>12.245077101693344</v>
      </c>
      <c r="AI171" s="7">
        <f ca="1">IF(AND(AI$6&gt;=OFFSET(Assumptions!$B$43,0,$C$1),OR(OFFSET(Assumptions!$B$42,0,$C$1)="PartGDP",OFFSET(Assumptions!$B$42,0,$C$1)="AllGDP")),AI$14*(AH$171/AH$14+MIN(ABS(OFFSET(Assumptions!$B$48,0,$C$1)-AH$171/AH$14),OFFSET(Assumptions!$B$44,0,$C$1))*SIGN(OFFSET(Assumptions!$B$48,0,$C$1)-AH$171/AH$14)),AH$171*(1+AI$22)*(1+AI$34))</f>
        <v>12.73767003273394</v>
      </c>
      <c r="AJ171" s="7">
        <f ca="1">IF(AND(AJ$6&gt;=OFFSET(Assumptions!$B$43,0,$C$1),OR(OFFSET(Assumptions!$B$42,0,$C$1)="PartGDP",OFFSET(Assumptions!$B$42,0,$C$1)="AllGDP")),AJ$14*(AI$171/AI$14+MIN(ABS(OFFSET(Assumptions!$B$48,0,$C$1)-AI$171/AI$14),OFFSET(Assumptions!$B$44,0,$C$1))*SIGN(OFFSET(Assumptions!$B$48,0,$C$1)-AI$171/AI$14)),AI$171*(1+AJ$22)*(1+AJ$34))</f>
        <v>13.249608144306402</v>
      </c>
      <c r="AK171" s="7">
        <f ca="1">IF(AND(AK$6&gt;=OFFSET(Assumptions!$B$43,0,$C$1),OR(OFFSET(Assumptions!$B$42,0,$C$1)="PartGDP",OFFSET(Assumptions!$B$42,0,$C$1)="AllGDP")),AK$14*(AJ$171/AJ$14+MIN(ABS(OFFSET(Assumptions!$B$48,0,$C$1)-AJ$171/AJ$14),OFFSET(Assumptions!$B$44,0,$C$1))*SIGN(OFFSET(Assumptions!$B$48,0,$C$1)-AJ$171/AJ$14)),AJ$171*(1+AK$22)*(1+AK$34))</f>
        <v>13.780470300350625</v>
      </c>
      <c r="AL171" s="7">
        <f ca="1">IF(AND(AL$6&gt;=OFFSET(Assumptions!$B$43,0,$C$1),OR(OFFSET(Assumptions!$B$42,0,$C$1)="PartGDP",OFFSET(Assumptions!$B$42,0,$C$1)="AllGDP")),AL$14*(AK$171/AK$14+MIN(ABS(OFFSET(Assumptions!$B$48,0,$C$1)-AK$171/AK$14),OFFSET(Assumptions!$B$44,0,$C$1))*SIGN(OFFSET(Assumptions!$B$48,0,$C$1)-AK$171/AK$14)),AK$171*(1+AL$22)*(1+AL$34))</f>
        <v>14.329838326100779</v>
      </c>
      <c r="AM171" s="7">
        <f ca="1">IF(AND(AM$6&gt;=OFFSET(Assumptions!$B$43,0,$C$1),OR(OFFSET(Assumptions!$B$42,0,$C$1)="PartGDP",OFFSET(Assumptions!$B$42,0,$C$1)="AllGDP")),AM$14*(AL$171/AL$14+MIN(ABS(OFFSET(Assumptions!$B$48,0,$C$1)-AL$171/AL$14),OFFSET(Assumptions!$B$44,0,$C$1))*SIGN(OFFSET(Assumptions!$B$48,0,$C$1)-AL$171/AL$14)),AL$171*(1+AM$22)*(1+AM$34))</f>
        <v>14.898462729818895</v>
      </c>
      <c r="AN171" s="7">
        <f ca="1">IF(AND(AN$6&gt;=OFFSET(Assumptions!$B$43,0,$C$1),OR(OFFSET(Assumptions!$B$42,0,$C$1)="PartGDP",OFFSET(Assumptions!$B$42,0,$C$1)="AllGDP")),AN$14*(AM$171/AM$14+MIN(ABS(OFFSET(Assumptions!$B$48,0,$C$1)-AM$171/AM$14),OFFSET(Assumptions!$B$44,0,$C$1))*SIGN(OFFSET(Assumptions!$B$48,0,$C$1)-AM$171/AM$14)),AM$171*(1+AN$22)*(1+AN$34))</f>
        <v>15.487134462543938</v>
      </c>
      <c r="AO171" s="7">
        <f ca="1">IF(AND(AO$6&gt;=OFFSET(Assumptions!$B$43,0,$C$1),OR(OFFSET(Assumptions!$B$42,0,$C$1)="PartGDP",OFFSET(Assumptions!$B$42,0,$C$1)="AllGDP")),AO$14*(AN$171/AN$14+MIN(ABS(OFFSET(Assumptions!$B$48,0,$C$1)-AN$171/AN$14),OFFSET(Assumptions!$B$44,0,$C$1))*SIGN(OFFSET(Assumptions!$B$48,0,$C$1)-AN$171/AN$14)),AN$171*(1+AO$22)*(1+AO$34))</f>
        <v>16.093542013953616</v>
      </c>
      <c r="AP171" s="7">
        <f ca="1">IF(AND(AP$6&gt;=OFFSET(Assumptions!$B$43,0,$C$1),OR(OFFSET(Assumptions!$B$42,0,$C$1)="PartGDP",OFFSET(Assumptions!$B$42,0,$C$1)="AllGDP")),AP$14*(AO$171/AO$14+MIN(ABS(OFFSET(Assumptions!$B$48,0,$C$1)-AO$171/AO$14),OFFSET(Assumptions!$B$44,0,$C$1))*SIGN(OFFSET(Assumptions!$B$48,0,$C$1)-AO$171/AO$14)),AO$171*(1+AP$22)*(1+AP$34))</f>
        <v>16.720260490754725</v>
      </c>
      <c r="AQ171" s="7">
        <f ca="1">IF(AND(AQ$6&gt;=OFFSET(Assumptions!$B$43,0,$C$1),OR(OFFSET(Assumptions!$B$42,0,$C$1)="PartGDP",OFFSET(Assumptions!$B$42,0,$C$1)="AllGDP")),AQ$14*(AP$171/AP$14+MIN(ABS(OFFSET(Assumptions!$B$48,0,$C$1)-AP$171/AP$14),OFFSET(Assumptions!$B$44,0,$C$1))*SIGN(OFFSET(Assumptions!$B$48,0,$C$1)-AP$171/AP$14)),AP$171*(1+AQ$22)*(1+AQ$34))</f>
        <v>17.365533829753019</v>
      </c>
      <c r="AR171" s="7">
        <f ca="1">IF(AND(AR$6&gt;=OFFSET(Assumptions!$B$43,0,$C$1),OR(OFFSET(Assumptions!$B$42,0,$C$1)="PartGDP",OFFSET(Assumptions!$B$42,0,$C$1)="AllGDP")),AR$14*(AQ$171/AQ$14+MIN(ABS(OFFSET(Assumptions!$B$48,0,$C$1)-AQ$171/AQ$14),OFFSET(Assumptions!$B$44,0,$C$1))*SIGN(OFFSET(Assumptions!$B$48,0,$C$1)-AQ$171/AQ$14)),AQ$171*(1+AR$22)*(1+AR$34))</f>
        <v>18.03009259580563</v>
      </c>
      <c r="AS171" s="7">
        <f ca="1">IF(AND(AS$6&gt;=OFFSET(Assumptions!$B$43,0,$C$1),OR(OFFSET(Assumptions!$B$42,0,$C$1)="PartGDP",OFFSET(Assumptions!$B$42,0,$C$1)="AllGDP")),AS$14*(AR$171/AR$14+MIN(ABS(OFFSET(Assumptions!$B$48,0,$C$1)-AR$171/AR$14),OFFSET(Assumptions!$B$44,0,$C$1))*SIGN(OFFSET(Assumptions!$B$48,0,$C$1)-AR$171/AR$14)),AR$171*(1+AS$22)*(1+AS$34))</f>
        <v>18.715487185345303</v>
      </c>
      <c r="AT171" s="7">
        <f ca="1">IF(AND(AT$6&gt;=OFFSET(Assumptions!$B$43,0,$C$1),OR(OFFSET(Assumptions!$B$42,0,$C$1)="PartGDP",OFFSET(Assumptions!$B$42,0,$C$1)="AllGDP")),AT$14*(AS$171/AS$14+MIN(ABS(OFFSET(Assumptions!$B$48,0,$C$1)-AS$171/AS$14),OFFSET(Assumptions!$B$44,0,$C$1))*SIGN(OFFSET(Assumptions!$B$48,0,$C$1)-AS$171/AS$14)),AS$171*(1+AT$22)*(1+AT$34))</f>
        <v>19.422265000591494</v>
      </c>
      <c r="AU171" s="7">
        <f ca="1">IF(AND(AU$6&gt;=OFFSET(Assumptions!$B$43,0,$C$1),OR(OFFSET(Assumptions!$B$42,0,$C$1)="PartGDP",OFFSET(Assumptions!$B$42,0,$C$1)="AllGDP")),AU$14*(AT$171/AT$14+MIN(ABS(OFFSET(Assumptions!$B$48,0,$C$1)-AT$171/AT$14),OFFSET(Assumptions!$B$44,0,$C$1))*SIGN(OFFSET(Assumptions!$B$48,0,$C$1)-AT$171/AT$14)),AT$171*(1+AU$22)*(1+AU$34))</f>
        <v>20.151365898254152</v>
      </c>
      <c r="AV171" s="7">
        <f ca="1">IF(AND(AV$6&gt;=OFFSET(Assumptions!$B$43,0,$C$1),OR(OFFSET(Assumptions!$B$42,0,$C$1)="PartGDP",OFFSET(Assumptions!$B$42,0,$C$1)="AllGDP")),AV$14*(AU$171/AU$14+MIN(ABS(OFFSET(Assumptions!$B$48,0,$C$1)-AU$171/AU$14),OFFSET(Assumptions!$B$44,0,$C$1))*SIGN(OFFSET(Assumptions!$B$48,0,$C$1)-AU$171/AU$14)),AU$171*(1+AV$22)*(1+AV$34))</f>
        <v>20.905044183987687</v>
      </c>
      <c r="AW171" s="7">
        <f ca="1">IF(AND(AW$6&gt;=OFFSET(Assumptions!$B$43,0,$C$1),OR(OFFSET(Assumptions!$B$42,0,$C$1)="PartGDP",OFFSET(Assumptions!$B$42,0,$C$1)="AllGDP")),AW$14*(AV$171/AV$14+MIN(ABS(OFFSET(Assumptions!$B$48,0,$C$1)-AV$171/AV$14),OFFSET(Assumptions!$B$44,0,$C$1))*SIGN(OFFSET(Assumptions!$B$48,0,$C$1)-AV$171/AV$14)),AV$171*(1+AW$22)*(1+AW$34))</f>
        <v>21.682874364059668</v>
      </c>
    </row>
    <row r="172" spans="1:49" ht="15" x14ac:dyDescent="0.25">
      <c r="A172" s="2" t="s">
        <v>518</v>
      </c>
      <c r="B172" s="4"/>
      <c r="D172" s="40">
        <f t="shared" ref="D172:I172" si="146">SUM(D$166:D$171)</f>
        <v>21.842999999999996</v>
      </c>
      <c r="E172" s="39">
        <f t="shared" si="146"/>
        <v>22.693999999999999</v>
      </c>
      <c r="F172" s="39">
        <f t="shared" si="146"/>
        <v>23.555</v>
      </c>
      <c r="G172" s="39">
        <f t="shared" si="146"/>
        <v>24.135000000000002</v>
      </c>
      <c r="H172" s="39">
        <f t="shared" si="146"/>
        <v>24.887</v>
      </c>
      <c r="I172" s="39">
        <f t="shared" si="146"/>
        <v>25.816000000000003</v>
      </c>
      <c r="J172" s="43">
        <f t="shared" ref="J172:AW172" ca="1" si="147">SUM(J$166:J$171)</f>
        <v>27.563148061887301</v>
      </c>
      <c r="K172" s="43">
        <f t="shared" ca="1" si="147"/>
        <v>29.565077559816579</v>
      </c>
      <c r="L172" s="43">
        <f t="shared" ca="1" si="147"/>
        <v>31.680966094668946</v>
      </c>
      <c r="M172" s="43">
        <f t="shared" ca="1" si="147"/>
        <v>33.891285376190311</v>
      </c>
      <c r="N172" s="43">
        <f t="shared" ca="1" si="147"/>
        <v>36.227773996198422</v>
      </c>
      <c r="O172" s="43">
        <f t="shared" ca="1" si="147"/>
        <v>38.62217522321189</v>
      </c>
      <c r="P172" s="43">
        <f t="shared" ca="1" si="147"/>
        <v>41.060627411191582</v>
      </c>
      <c r="Q172" s="43">
        <f t="shared" ca="1" si="147"/>
        <v>43.593196526169422</v>
      </c>
      <c r="R172" s="43">
        <f t="shared" ca="1" si="147"/>
        <v>46.20550596112556</v>
      </c>
      <c r="S172" s="43">
        <f t="shared" ca="1" si="147"/>
        <v>48.863850120780043</v>
      </c>
      <c r="T172" s="43">
        <f t="shared" ca="1" si="147"/>
        <v>51.607245502153347</v>
      </c>
      <c r="U172" s="43">
        <f t="shared" ca="1" si="147"/>
        <v>54.466731531344323</v>
      </c>
      <c r="V172" s="43">
        <f t="shared" ca="1" si="147"/>
        <v>57.455747581479059</v>
      </c>
      <c r="W172" s="43">
        <f t="shared" ca="1" si="147"/>
        <v>60.392266209048501</v>
      </c>
      <c r="X172" s="43">
        <f t="shared" ca="1" si="147"/>
        <v>63.34946327510621</v>
      </c>
      <c r="Y172" s="43">
        <f t="shared" ca="1" si="147"/>
        <v>66.459779895142191</v>
      </c>
      <c r="Z172" s="43">
        <f t="shared" ca="1" si="147"/>
        <v>69.64980819100262</v>
      </c>
      <c r="AA172" s="43">
        <f t="shared" ca="1" si="147"/>
        <v>72.88680937632742</v>
      </c>
      <c r="AB172" s="43">
        <f t="shared" ca="1" si="147"/>
        <v>76.161251175675602</v>
      </c>
      <c r="AC172" s="43">
        <f t="shared" ca="1" si="147"/>
        <v>79.467121731134895</v>
      </c>
      <c r="AD172" s="43">
        <f t="shared" ca="1" si="147"/>
        <v>82.79685602550812</v>
      </c>
      <c r="AE172" s="43">
        <f t="shared" ca="1" si="147"/>
        <v>86.235467350589758</v>
      </c>
      <c r="AF172" s="43">
        <f t="shared" ca="1" si="147"/>
        <v>89.745771704384424</v>
      </c>
      <c r="AG172" s="43">
        <f t="shared" ca="1" si="147"/>
        <v>93.425581724626412</v>
      </c>
      <c r="AH172" s="43">
        <f t="shared" ca="1" si="147"/>
        <v>97.237950426316402</v>
      </c>
      <c r="AI172" s="43">
        <f t="shared" ca="1" si="147"/>
        <v>101.20054287690157</v>
      </c>
      <c r="AJ172" s="43">
        <f t="shared" ca="1" si="147"/>
        <v>105.32816123253843</v>
      </c>
      <c r="AK172" s="43">
        <f t="shared" ca="1" si="147"/>
        <v>109.66695028463459</v>
      </c>
      <c r="AL172" s="43">
        <f t="shared" ca="1" si="147"/>
        <v>114.16760828243123</v>
      </c>
      <c r="AM172" s="43">
        <f t="shared" ca="1" si="147"/>
        <v>118.85384390462539</v>
      </c>
      <c r="AN172" s="43">
        <f t="shared" ca="1" si="147"/>
        <v>123.7734793942512</v>
      </c>
      <c r="AO172" s="43">
        <f t="shared" ca="1" si="147"/>
        <v>128.94999688294286</v>
      </c>
      <c r="AP172" s="43">
        <f t="shared" ca="1" si="147"/>
        <v>134.4754901063244</v>
      </c>
      <c r="AQ172" s="43">
        <f t="shared" ca="1" si="147"/>
        <v>140.32896803039029</v>
      </c>
      <c r="AR172" s="43">
        <f t="shared" ca="1" si="147"/>
        <v>146.5842357482245</v>
      </c>
      <c r="AS172" s="43">
        <f t="shared" ca="1" si="147"/>
        <v>153.23980707639672</v>
      </c>
      <c r="AT172" s="43">
        <f t="shared" ca="1" si="147"/>
        <v>160.08875798767349</v>
      </c>
      <c r="AU172" s="43">
        <f t="shared" ca="1" si="147"/>
        <v>167.21287648780839</v>
      </c>
      <c r="AV172" s="43">
        <f t="shared" ca="1" si="147"/>
        <v>174.57560005838789</v>
      </c>
      <c r="AW172" s="43">
        <f t="shared" ca="1" si="147"/>
        <v>182.25419677431825</v>
      </c>
    </row>
    <row r="173" spans="1:49" x14ac:dyDescent="0.2">
      <c r="A173" s="1" t="s">
        <v>318</v>
      </c>
      <c r="B173" s="4" t="str">
        <f t="shared" si="145"/>
        <v>From Fiscal</v>
      </c>
      <c r="D173" s="18">
        <f>Fiscal!D$230</f>
        <v>0.51100000000000001</v>
      </c>
      <c r="E173" s="19">
        <f>Fiscal!E$230</f>
        <v>0.496</v>
      </c>
      <c r="F173" s="19">
        <f>Fiscal!F$230</f>
        <v>0.51</v>
      </c>
      <c r="G173" s="19">
        <f>Fiscal!G$230</f>
        <v>0.54</v>
      </c>
      <c r="H173" s="19">
        <f>Fiscal!H$230</f>
        <v>0.54200000000000004</v>
      </c>
      <c r="I173" s="19">
        <f>Fiscal!I$230</f>
        <v>0.54700000000000004</v>
      </c>
      <c r="J173" s="7">
        <f ca="1">IF(AND(J$6&gt;=OFFSET(Assumptions!$B$43,0,$C$1),OFFSET(Assumptions!$B$42,0,$C$1)="AllGDP"),J$14*(I$173/I$14+MIN(ABS(OFFSET(Assumptions!$B$46,0,$C$1)-I$173/I$14),OFFSET(Assumptions!$B$44,0,$C$1))*SIGN(OFFSET(Assumptions!$B$46,0,$C$1)-I$173/I$14)),I$173*(1+J$22)*(1+J$34))</f>
        <v>0.62359402369910744</v>
      </c>
      <c r="K173" s="7">
        <f ca="1">IF(AND(K$6&gt;=OFFSET(Assumptions!$B$43,0,$C$1),OFFSET(Assumptions!$B$42,0,$C$1)="AllGDP"),K$14*(J$173/J$14+MIN(ABS(OFFSET(Assumptions!$B$46,0,$C$1)-J$173/J$14),OFFSET(Assumptions!$B$44,0,$C$1))*SIGN(OFFSET(Assumptions!$B$46,0,$C$1)-J$173/J$14)),J$173*(1+K$22)*(1+K$34))</f>
        <v>0.64965414101038543</v>
      </c>
      <c r="L173" s="7">
        <f ca="1">IF(AND(L$6&gt;=OFFSET(Assumptions!$B$43,0,$C$1),OFFSET(Assumptions!$B$42,0,$C$1)="AllGDP"),L$14*(K$173/K$14+MIN(ABS(OFFSET(Assumptions!$B$46,0,$C$1)-K$173/K$14),OFFSET(Assumptions!$B$44,0,$C$1))*SIGN(OFFSET(Assumptions!$B$46,0,$C$1)-K$173/K$14)),K$173*(1+L$22)*(1+L$34))</f>
        <v>0.67781358835892724</v>
      </c>
      <c r="M173" s="7">
        <f ca="1">IF(AND(M$6&gt;=OFFSET(Assumptions!$B$43,0,$C$1),OFFSET(Assumptions!$B$42,0,$C$1)="AllGDP"),M$14*(L$173/L$14+MIN(ABS(OFFSET(Assumptions!$B$46,0,$C$1)-L$173/L$14),OFFSET(Assumptions!$B$44,0,$C$1))*SIGN(OFFSET(Assumptions!$B$46,0,$C$1)-L$173/L$14)),L$173*(1+M$22)*(1+M$34))</f>
        <v>0.70709950977802272</v>
      </c>
      <c r="N173" s="7">
        <f ca="1">IF(AND(N$6&gt;=OFFSET(Assumptions!$B$43,0,$C$1),OFFSET(Assumptions!$B$42,0,$C$1)="AllGDP"),N$14*(M$173/M$14+MIN(ABS(OFFSET(Assumptions!$B$46,0,$C$1)-M$173/M$14),OFFSET(Assumptions!$B$44,0,$C$1))*SIGN(OFFSET(Assumptions!$B$46,0,$C$1)-M$173/M$14)),M$173*(1+N$22)*(1+N$34))</f>
        <v>0.73759492728030718</v>
      </c>
      <c r="O173" s="7">
        <f ca="1">IF(AND(O$6&gt;=OFFSET(Assumptions!$B$43,0,$C$1),OFFSET(Assumptions!$B$42,0,$C$1)="AllGDP"),O$14*(N$173/N$14+MIN(ABS(OFFSET(Assumptions!$B$46,0,$C$1)-N$173/N$14),OFFSET(Assumptions!$B$44,0,$C$1))*SIGN(OFFSET(Assumptions!$B$46,0,$C$1)-N$173/N$14)),N$173*(1+O$22)*(1+O$34))</f>
        <v>0.76908044506482742</v>
      </c>
      <c r="P173" s="7">
        <f ca="1">IF(AND(P$6&gt;=OFFSET(Assumptions!$B$43,0,$C$1),OFFSET(Assumptions!$B$42,0,$C$1)="AllGDP"),P$14*(O$173/O$14+MIN(ABS(OFFSET(Assumptions!$B$46,0,$C$1)-O$173/O$14),OFFSET(Assumptions!$B$44,0,$C$1))*SIGN(OFFSET(Assumptions!$B$46,0,$C$1)-O$173/O$14)),O$173*(1+P$22)*(1+P$34))</f>
        <v>0.80160401203800202</v>
      </c>
      <c r="Q173" s="7">
        <f ca="1">IF(AND(Q$6&gt;=OFFSET(Assumptions!$B$43,0,$C$1),OFFSET(Assumptions!$B$42,0,$C$1)="AllGDP"),Q$14*(P$173/P$14+MIN(ABS(OFFSET(Assumptions!$B$46,0,$C$1)-P$173/P$14),OFFSET(Assumptions!$B$44,0,$C$1))*SIGN(OFFSET(Assumptions!$B$46,0,$C$1)-P$173/P$14)),P$173*(1+Q$22)*(1+Q$34))</f>
        <v>0.83513049677556295</v>
      </c>
      <c r="R173" s="7">
        <f ca="1">IF(AND(R$6&gt;=OFFSET(Assumptions!$B$43,0,$C$1),OFFSET(Assumptions!$B$42,0,$C$1)="AllGDP"),R$14*(Q$173/Q$14+MIN(ABS(OFFSET(Assumptions!$B$46,0,$C$1)-Q$173/Q$14),OFFSET(Assumptions!$B$44,0,$C$1))*SIGN(OFFSET(Assumptions!$B$46,0,$C$1)-Q$173/Q$14)),Q$173*(1+R$22)*(1+R$34))</f>
        <v>0.86963501533360654</v>
      </c>
      <c r="S173" s="7">
        <f ca="1">IF(AND(S$6&gt;=OFFSET(Assumptions!$B$43,0,$C$1),OFFSET(Assumptions!$B$42,0,$C$1)="AllGDP"),S$14*(R$173/R$14+MIN(ABS(OFFSET(Assumptions!$B$46,0,$C$1)-R$173/R$14),OFFSET(Assumptions!$B$44,0,$C$1))*SIGN(OFFSET(Assumptions!$B$46,0,$C$1)-R$173/R$14)),R$173*(1+S$22)*(1+S$34))</f>
        <v>0.90522722166511427</v>
      </c>
      <c r="T173" s="7">
        <f ca="1">IF(AND(T$6&gt;=OFFSET(Assumptions!$B$43,0,$C$1),OFFSET(Assumptions!$B$42,0,$C$1)="AllGDP"),T$14*(S$173/S$14+MIN(ABS(OFFSET(Assumptions!$B$46,0,$C$1)-S$173/S$14),OFFSET(Assumptions!$B$44,0,$C$1))*SIGN(OFFSET(Assumptions!$B$46,0,$C$1)-S$173/S$14)),S$173*(1+T$22)*(1+T$34))</f>
        <v>0.94192009504269969</v>
      </c>
      <c r="U173" s="7">
        <f ca="1">IF(AND(U$6&gt;=OFFSET(Assumptions!$B$43,0,$C$1),OFFSET(Assumptions!$B$42,0,$C$1)="AllGDP"),U$14*(T$173/T$14+MIN(ABS(OFFSET(Assumptions!$B$46,0,$C$1)-T$173/T$14),OFFSET(Assumptions!$B$44,0,$C$1))*SIGN(OFFSET(Assumptions!$B$46,0,$C$1)-T$173/T$14)),T$173*(1+U$22)*(1+U$34))</f>
        <v>0.97984532522170287</v>
      </c>
      <c r="V173" s="7">
        <f ca="1">IF(AND(V$6&gt;=OFFSET(Assumptions!$B$43,0,$C$1),OFFSET(Assumptions!$B$42,0,$C$1)="AllGDP"),V$14*(U$173/U$14+MIN(ABS(OFFSET(Assumptions!$B$46,0,$C$1)-U$173/U$14),OFFSET(Assumptions!$B$44,0,$C$1))*SIGN(OFFSET(Assumptions!$B$46,0,$C$1)-U$173/U$14)),U$173*(1+V$22)*(1+V$34))</f>
        <v>1.0190965308494406</v>
      </c>
      <c r="W173" s="7">
        <f ca="1">IF(AND(W$6&gt;=OFFSET(Assumptions!$B$43,0,$C$1),OFFSET(Assumptions!$B$42,0,$C$1)="AllGDP"),W$14*(V$173/V$14+MIN(ABS(OFFSET(Assumptions!$B$46,0,$C$1)-V$173/V$14),OFFSET(Assumptions!$B$44,0,$C$1))*SIGN(OFFSET(Assumptions!$B$46,0,$C$1)-V$173/V$14)),V$173*(1+W$22)*(1+W$34))</f>
        <v>1.0597874325692371</v>
      </c>
      <c r="X173" s="7">
        <f ca="1">IF(AND(X$6&gt;=OFFSET(Assumptions!$B$43,0,$C$1),OFFSET(Assumptions!$B$42,0,$C$1)="AllGDP"),X$14*(W$173/W$14+MIN(ABS(OFFSET(Assumptions!$B$46,0,$C$1)-W$173/W$14),OFFSET(Assumptions!$B$44,0,$C$1))*SIGN(OFFSET(Assumptions!$B$46,0,$C$1)-W$173/W$14)),W$173*(1+X$22)*(1+X$34))</f>
        <v>1.102046917075997</v>
      </c>
      <c r="Y173" s="7">
        <f ca="1">IF(AND(Y$6&gt;=OFFSET(Assumptions!$B$43,0,$C$1),OFFSET(Assumptions!$B$42,0,$C$1)="AllGDP"),Y$14*(X$173/X$14+MIN(ABS(OFFSET(Assumptions!$B$46,0,$C$1)-X$173/X$14),OFFSET(Assumptions!$B$44,0,$C$1))*SIGN(OFFSET(Assumptions!$B$46,0,$C$1)-X$173/X$14)),X$173*(1+Y$22)*(1+Y$34))</f>
        <v>1.145870664051158</v>
      </c>
      <c r="Z173" s="7">
        <f ca="1">IF(AND(Z$6&gt;=OFFSET(Assumptions!$B$43,0,$C$1),OFFSET(Assumptions!$B$42,0,$C$1)="AllGDP"),Z$14*(Y$173/Y$14+MIN(ABS(OFFSET(Assumptions!$B$46,0,$C$1)-Y$173/Y$14),OFFSET(Assumptions!$B$44,0,$C$1))*SIGN(OFFSET(Assumptions!$B$46,0,$C$1)-Y$173/Y$14)),Y$173*(1+Z$22)*(1+Z$34))</f>
        <v>1.1914804936302461</v>
      </c>
      <c r="AA173" s="7">
        <f ca="1">IF(AND(AA$6&gt;=OFFSET(Assumptions!$B$43,0,$C$1),OFFSET(Assumptions!$B$42,0,$C$1)="AllGDP"),AA$14*(Z$173/Z$14+MIN(ABS(OFFSET(Assumptions!$B$46,0,$C$1)-Z$173/Z$14),OFFSET(Assumptions!$B$44,0,$C$1))*SIGN(OFFSET(Assumptions!$B$46,0,$C$1)-Z$173/Z$14)),Z$173*(1+AA$22)*(1+AA$34))</f>
        <v>1.2389502026748054</v>
      </c>
      <c r="AB173" s="7">
        <f ca="1">IF(AND(AB$6&gt;=OFFSET(Assumptions!$B$43,0,$C$1),OFFSET(Assumptions!$B$42,0,$C$1)="AllGDP"),AB$14*(AA$173/AA$14+MIN(ABS(OFFSET(Assumptions!$B$46,0,$C$1)-AA$173/AA$14),OFFSET(Assumptions!$B$44,0,$C$1))*SIGN(OFFSET(Assumptions!$B$46,0,$C$1)-AA$173/AA$14)),AA$173*(1+AB$22)*(1+AB$34))</f>
        <v>1.288422347104984</v>
      </c>
      <c r="AC173" s="7">
        <f ca="1">IF(AND(AC$6&gt;=OFFSET(Assumptions!$B$43,0,$C$1),OFFSET(Assumptions!$B$42,0,$C$1)="AllGDP"),AC$14*(AB$173/AB$14+MIN(ABS(OFFSET(Assumptions!$B$46,0,$C$1)-AB$173/AB$14),OFFSET(Assumptions!$B$44,0,$C$1))*SIGN(OFFSET(Assumptions!$B$46,0,$C$1)-AB$173/AB$14)),AB$173*(1+AC$22)*(1+AC$34))</f>
        <v>1.3400836909794946</v>
      </c>
      <c r="AD173" s="7">
        <f ca="1">IF(AND(AD$6&gt;=OFFSET(Assumptions!$B$43,0,$C$1),OFFSET(Assumptions!$B$42,0,$C$1)="AllGDP"),AD$14*(AC$173/AC$14+MIN(ABS(OFFSET(Assumptions!$B$46,0,$C$1)-AC$173/AC$14),OFFSET(Assumptions!$B$44,0,$C$1))*SIGN(OFFSET(Assumptions!$B$46,0,$C$1)-AC$173/AC$14)),AC$173*(1+AD$22)*(1+AD$34))</f>
        <v>1.3939886859920594</v>
      </c>
      <c r="AE173" s="7">
        <f ca="1">IF(AND(AE$6&gt;=OFFSET(Assumptions!$B$43,0,$C$1),OFFSET(Assumptions!$B$42,0,$C$1)="AllGDP"),AE$14*(AD$173/AD$14+MIN(ABS(OFFSET(Assumptions!$B$46,0,$C$1)-AD$173/AD$14),OFFSET(Assumptions!$B$44,0,$C$1))*SIGN(OFFSET(Assumptions!$B$46,0,$C$1)-AD$173/AD$14)),AD$173*(1+AE$22)*(1+AE$34))</f>
        <v>1.4500878275895615</v>
      </c>
      <c r="AF173" s="7">
        <f ca="1">IF(AND(AF$6&gt;=OFFSET(Assumptions!$B$43,0,$C$1),OFFSET(Assumptions!$B$42,0,$C$1)="AllGDP"),AF$14*(AE$173/AE$14+MIN(ABS(OFFSET(Assumptions!$B$46,0,$C$1)-AE$173/AE$14),OFFSET(Assumptions!$B$44,0,$C$1))*SIGN(OFFSET(Assumptions!$B$46,0,$C$1)-AE$173/AE$14)),AE$173*(1+AF$22)*(1+AF$34))</f>
        <v>1.5085363196346488</v>
      </c>
      <c r="AG173" s="7">
        <f ca="1">IF(AND(AG$6&gt;=OFFSET(Assumptions!$B$43,0,$C$1),OFFSET(Assumptions!$B$42,0,$C$1)="AllGDP"),AG$14*(AF$173/AF$14+MIN(ABS(OFFSET(Assumptions!$B$46,0,$C$1)-AF$173/AF$14),OFFSET(Assumptions!$B$44,0,$C$1))*SIGN(OFFSET(Assumptions!$B$46,0,$C$1)-AF$173/AF$14)),AF$173*(1+AG$22)*(1+AG$34))</f>
        <v>1.5693668440800259</v>
      </c>
      <c r="AH173" s="7">
        <f ca="1">IF(AND(AH$6&gt;=OFFSET(Assumptions!$B$43,0,$C$1),OFFSET(Assumptions!$B$42,0,$C$1)="AllGDP"),AH$14*(AG$173/AG$14+MIN(ABS(OFFSET(Assumptions!$B$46,0,$C$1)-AG$173/AG$14),OFFSET(Assumptions!$B$44,0,$C$1))*SIGN(OFFSET(Assumptions!$B$46,0,$C$1)-AG$173/AG$14)),AG$173*(1+AH$22)*(1+AH$34))</f>
        <v>1.6326769468924458</v>
      </c>
      <c r="AI173" s="7">
        <f ca="1">IF(AND(AI$6&gt;=OFFSET(Assumptions!$B$43,0,$C$1),OFFSET(Assumptions!$B$42,0,$C$1)="AllGDP"),AI$14*(AH$173/AH$14+MIN(ABS(OFFSET(Assumptions!$B$46,0,$C$1)-AH$173/AH$14),OFFSET(Assumptions!$B$44,0,$C$1))*SIGN(OFFSET(Assumptions!$B$46,0,$C$1)-AH$173/AH$14)),AH$173*(1+AI$22)*(1+AI$34))</f>
        <v>1.6983560043645252</v>
      </c>
      <c r="AJ173" s="7">
        <f ca="1">IF(AND(AJ$6&gt;=OFFSET(Assumptions!$B$43,0,$C$1),OFFSET(Assumptions!$B$42,0,$C$1)="AllGDP"),AJ$14*(AI$173/AI$14+MIN(ABS(OFFSET(Assumptions!$B$46,0,$C$1)-AI$173/AI$14),OFFSET(Assumptions!$B$44,0,$C$1))*SIGN(OFFSET(Assumptions!$B$46,0,$C$1)-AI$173/AI$14)),AI$173*(1+AJ$22)*(1+AJ$34))</f>
        <v>1.7666144192408535</v>
      </c>
      <c r="AK173" s="7">
        <f ca="1">IF(AND(AK$6&gt;=OFFSET(Assumptions!$B$43,0,$C$1),OFFSET(Assumptions!$B$42,0,$C$1)="AllGDP"),AK$14*(AJ$173/AJ$14+MIN(ABS(OFFSET(Assumptions!$B$46,0,$C$1)-AJ$173/AJ$14),OFFSET(Assumptions!$B$44,0,$C$1))*SIGN(OFFSET(Assumptions!$B$46,0,$C$1)-AJ$173/AJ$14)),AJ$173*(1+AK$22)*(1+AK$34))</f>
        <v>1.8373960400467502</v>
      </c>
      <c r="AL173" s="7">
        <f ca="1">IF(AND(AL$6&gt;=OFFSET(Assumptions!$B$43,0,$C$1),OFFSET(Assumptions!$B$42,0,$C$1)="AllGDP"),AL$14*(AK$173/AK$14+MIN(ABS(OFFSET(Assumptions!$B$46,0,$C$1)-AK$173/AK$14),OFFSET(Assumptions!$B$44,0,$C$1))*SIGN(OFFSET(Assumptions!$B$46,0,$C$1)-AK$173/AK$14)),AK$173*(1+AL$22)*(1+AL$34))</f>
        <v>1.9106451101467705</v>
      </c>
      <c r="AM173" s="7">
        <f ca="1">IF(AND(AM$6&gt;=OFFSET(Assumptions!$B$43,0,$C$1),OFFSET(Assumptions!$B$42,0,$C$1)="AllGDP"),AM$14*(AL$173/AL$14+MIN(ABS(OFFSET(Assumptions!$B$46,0,$C$1)-AL$173/AL$14),OFFSET(Assumptions!$B$44,0,$C$1))*SIGN(OFFSET(Assumptions!$B$46,0,$C$1)-AL$173/AL$14)),AL$173*(1+AM$22)*(1+AM$34))</f>
        <v>1.9864616973091862</v>
      </c>
      <c r="AN173" s="7">
        <f ca="1">IF(AND(AN$6&gt;=OFFSET(Assumptions!$B$43,0,$C$1),OFFSET(Assumptions!$B$42,0,$C$1)="AllGDP"),AN$14*(AM$173/AM$14+MIN(ABS(OFFSET(Assumptions!$B$46,0,$C$1)-AM$173/AM$14),OFFSET(Assumptions!$B$44,0,$C$1))*SIGN(OFFSET(Assumptions!$B$46,0,$C$1)-AM$173/AM$14)),AM$173*(1+AN$22)*(1+AN$34))</f>
        <v>2.0649512616725252</v>
      </c>
      <c r="AO173" s="7">
        <f ca="1">IF(AND(AO$6&gt;=OFFSET(Assumptions!$B$43,0,$C$1),OFFSET(Assumptions!$B$42,0,$C$1)="AllGDP"),AO$14*(AN$173/AN$14+MIN(ABS(OFFSET(Assumptions!$B$46,0,$C$1)-AN$173/AN$14),OFFSET(Assumptions!$B$44,0,$C$1))*SIGN(OFFSET(Assumptions!$B$46,0,$C$1)-AN$173/AN$14)),AN$173*(1+AO$22)*(1+AO$34))</f>
        <v>2.1458056018604821</v>
      </c>
      <c r="AP173" s="7">
        <f ca="1">IF(AND(AP$6&gt;=OFFSET(Assumptions!$B$43,0,$C$1),OFFSET(Assumptions!$B$42,0,$C$1)="AllGDP"),AP$14*(AO$173/AO$14+MIN(ABS(OFFSET(Assumptions!$B$46,0,$C$1)-AO$173/AO$14),OFFSET(Assumptions!$B$44,0,$C$1))*SIGN(OFFSET(Assumptions!$B$46,0,$C$1)-AO$173/AO$14)),AO$173*(1+AP$22)*(1+AP$34))</f>
        <v>2.2293680654339632</v>
      </c>
      <c r="AQ173" s="7">
        <f ca="1">IF(AND(AQ$6&gt;=OFFSET(Assumptions!$B$43,0,$C$1),OFFSET(Assumptions!$B$42,0,$C$1)="AllGDP"),AQ$14*(AP$173/AP$14+MIN(ABS(OFFSET(Assumptions!$B$46,0,$C$1)-AP$173/AP$14),OFFSET(Assumptions!$B$44,0,$C$1))*SIGN(OFFSET(Assumptions!$B$46,0,$C$1)-AP$173/AP$14)),AP$173*(1+AQ$22)*(1+AQ$34))</f>
        <v>2.3154045106337362</v>
      </c>
      <c r="AR173" s="7">
        <f ca="1">IF(AND(AR$6&gt;=OFFSET(Assumptions!$B$43,0,$C$1),OFFSET(Assumptions!$B$42,0,$C$1)="AllGDP"),AR$14*(AQ$173/AQ$14+MIN(ABS(OFFSET(Assumptions!$B$46,0,$C$1)-AQ$173/AQ$14),OFFSET(Assumptions!$B$44,0,$C$1))*SIGN(OFFSET(Assumptions!$B$46,0,$C$1)-AQ$173/AQ$14)),AQ$173*(1+AR$22)*(1+AR$34))</f>
        <v>2.4040123461074177</v>
      </c>
      <c r="AS173" s="7">
        <f ca="1">IF(AND(AS$6&gt;=OFFSET(Assumptions!$B$43,0,$C$1),OFFSET(Assumptions!$B$42,0,$C$1)="AllGDP"),AS$14*(AR$173/AR$14+MIN(ABS(OFFSET(Assumptions!$B$46,0,$C$1)-AR$173/AR$14),OFFSET(Assumptions!$B$44,0,$C$1))*SIGN(OFFSET(Assumptions!$B$46,0,$C$1)-AR$173/AR$14)),AR$173*(1+AS$22)*(1+AS$34))</f>
        <v>2.4953982913793737</v>
      </c>
      <c r="AT173" s="7">
        <f ca="1">IF(AND(AT$6&gt;=OFFSET(Assumptions!$B$43,0,$C$1),OFFSET(Assumptions!$B$42,0,$C$1)="AllGDP"),AT$14*(AS$173/AS$14+MIN(ABS(OFFSET(Assumptions!$B$46,0,$C$1)-AS$173/AS$14),OFFSET(Assumptions!$B$44,0,$C$1))*SIGN(OFFSET(Assumptions!$B$46,0,$C$1)-AS$173/AS$14)),AS$173*(1+AT$22)*(1+AT$34))</f>
        <v>2.5896353334121995</v>
      </c>
      <c r="AU173" s="7">
        <f ca="1">IF(AND(AU$6&gt;=OFFSET(Assumptions!$B$43,0,$C$1),OFFSET(Assumptions!$B$42,0,$C$1)="AllGDP"),AU$14*(AT$173/AT$14+MIN(ABS(OFFSET(Assumptions!$B$46,0,$C$1)-AT$173/AT$14),OFFSET(Assumptions!$B$44,0,$C$1))*SIGN(OFFSET(Assumptions!$B$46,0,$C$1)-AT$173/AT$14)),AT$173*(1+AU$22)*(1+AU$34))</f>
        <v>2.6868487864338872</v>
      </c>
      <c r="AV173" s="7">
        <f ca="1">IF(AND(AV$6&gt;=OFFSET(Assumptions!$B$43,0,$C$1),OFFSET(Assumptions!$B$42,0,$C$1)="AllGDP"),AV$14*(AU$173/AU$14+MIN(ABS(OFFSET(Assumptions!$B$46,0,$C$1)-AU$173/AU$14),OFFSET(Assumptions!$B$44,0,$C$1))*SIGN(OFFSET(Assumptions!$B$46,0,$C$1)-AU$173/AU$14)),AU$173*(1+AV$22)*(1+AV$34))</f>
        <v>2.7873392245316917</v>
      </c>
      <c r="AW173" s="7">
        <f ca="1">IF(AND(AW$6&gt;=OFFSET(Assumptions!$B$43,0,$C$1),OFFSET(Assumptions!$B$42,0,$C$1)="AllGDP"),AW$14*(AV$173/AV$14+MIN(ABS(OFFSET(Assumptions!$B$46,0,$C$1)-AV$173/AV$14),OFFSET(Assumptions!$B$44,0,$C$1))*SIGN(OFFSET(Assumptions!$B$46,0,$C$1)-AV$173/AV$14)),AV$173*(1+AW$22)*(1+AW$34))</f>
        <v>2.8910499152079563</v>
      </c>
    </row>
    <row r="174" spans="1:49" ht="15" x14ac:dyDescent="0.25">
      <c r="A174" s="2" t="s">
        <v>519</v>
      </c>
      <c r="D174" s="40">
        <f t="shared" ref="D174:I174" si="148">SUM(D$172:D$173)</f>
        <v>22.353999999999996</v>
      </c>
      <c r="E174" s="39">
        <f t="shared" si="148"/>
        <v>23.189999999999998</v>
      </c>
      <c r="F174" s="39">
        <f t="shared" si="148"/>
        <v>24.065000000000001</v>
      </c>
      <c r="G174" s="39">
        <f t="shared" si="148"/>
        <v>24.675000000000001</v>
      </c>
      <c r="H174" s="39">
        <f t="shared" si="148"/>
        <v>25.429000000000002</v>
      </c>
      <c r="I174" s="39">
        <f t="shared" si="148"/>
        <v>26.363000000000003</v>
      </c>
      <c r="J174" s="43">
        <f t="shared" ref="J174:AW174" ca="1" si="149">SUM(J$172:J$173)</f>
        <v>28.18674208558641</v>
      </c>
      <c r="K174" s="43">
        <f t="shared" ca="1" si="149"/>
        <v>30.214731700826963</v>
      </c>
      <c r="L174" s="43">
        <f t="shared" ca="1" si="149"/>
        <v>32.358779683027876</v>
      </c>
      <c r="M174" s="43">
        <f t="shared" ca="1" si="149"/>
        <v>34.598384885968336</v>
      </c>
      <c r="N174" s="43">
        <f t="shared" ca="1" si="149"/>
        <v>36.965368923478728</v>
      </c>
      <c r="O174" s="43">
        <f t="shared" ca="1" si="149"/>
        <v>39.39125566827672</v>
      </c>
      <c r="P174" s="43">
        <f t="shared" ca="1" si="149"/>
        <v>41.862231423229588</v>
      </c>
      <c r="Q174" s="43">
        <f t="shared" ca="1" si="149"/>
        <v>44.428327022944984</v>
      </c>
      <c r="R174" s="43">
        <f t="shared" ca="1" si="149"/>
        <v>47.075140976459167</v>
      </c>
      <c r="S174" s="43">
        <f t="shared" ca="1" si="149"/>
        <v>49.769077342445158</v>
      </c>
      <c r="T174" s="43">
        <f t="shared" ca="1" si="149"/>
        <v>52.549165597196044</v>
      </c>
      <c r="U174" s="43">
        <f t="shared" ca="1" si="149"/>
        <v>55.446576856566026</v>
      </c>
      <c r="V174" s="43">
        <f t="shared" ca="1" si="149"/>
        <v>58.474844112328498</v>
      </c>
      <c r="W174" s="43">
        <f t="shared" ca="1" si="149"/>
        <v>61.452053641617738</v>
      </c>
      <c r="X174" s="43">
        <f t="shared" ca="1" si="149"/>
        <v>64.451510192182212</v>
      </c>
      <c r="Y174" s="43">
        <f t="shared" ca="1" si="149"/>
        <v>67.60565055919335</v>
      </c>
      <c r="Z174" s="43">
        <f t="shared" ca="1" si="149"/>
        <v>70.841288684632872</v>
      </c>
      <c r="AA174" s="43">
        <f t="shared" ca="1" si="149"/>
        <v>74.125759579002221</v>
      </c>
      <c r="AB174" s="43">
        <f t="shared" ca="1" si="149"/>
        <v>77.449673522780586</v>
      </c>
      <c r="AC174" s="43">
        <f t="shared" ca="1" si="149"/>
        <v>80.807205422114393</v>
      </c>
      <c r="AD174" s="43">
        <f t="shared" ca="1" si="149"/>
        <v>84.190844711500176</v>
      </c>
      <c r="AE174" s="43">
        <f t="shared" ca="1" si="149"/>
        <v>87.685555178179314</v>
      </c>
      <c r="AF174" s="43">
        <f t="shared" ca="1" si="149"/>
        <v>91.254308024019068</v>
      </c>
      <c r="AG174" s="43">
        <f t="shared" ca="1" si="149"/>
        <v>94.994948568706434</v>
      </c>
      <c r="AH174" s="43">
        <f t="shared" ca="1" si="149"/>
        <v>98.870627373208848</v>
      </c>
      <c r="AI174" s="43">
        <f t="shared" ca="1" si="149"/>
        <v>102.89889888126609</v>
      </c>
      <c r="AJ174" s="43">
        <f t="shared" ca="1" si="149"/>
        <v>107.09477565177929</v>
      </c>
      <c r="AK174" s="43">
        <f t="shared" ca="1" si="149"/>
        <v>111.50434632468135</v>
      </c>
      <c r="AL174" s="43">
        <f t="shared" ca="1" si="149"/>
        <v>116.07825339257801</v>
      </c>
      <c r="AM174" s="43">
        <f t="shared" ca="1" si="149"/>
        <v>120.84030560193457</v>
      </c>
      <c r="AN174" s="43">
        <f t="shared" ca="1" si="149"/>
        <v>125.83843065592372</v>
      </c>
      <c r="AO174" s="43">
        <f t="shared" ca="1" si="149"/>
        <v>131.09580248480333</v>
      </c>
      <c r="AP174" s="43">
        <f t="shared" ca="1" si="149"/>
        <v>136.70485817175836</v>
      </c>
      <c r="AQ174" s="43">
        <f t="shared" ca="1" si="149"/>
        <v>142.64437254102401</v>
      </c>
      <c r="AR174" s="43">
        <f t="shared" ca="1" si="149"/>
        <v>148.98824809433191</v>
      </c>
      <c r="AS174" s="43">
        <f t="shared" ca="1" si="149"/>
        <v>155.73520536777608</v>
      </c>
      <c r="AT174" s="43">
        <f t="shared" ca="1" si="149"/>
        <v>162.67839332108568</v>
      </c>
      <c r="AU174" s="43">
        <f t="shared" ca="1" si="149"/>
        <v>169.89972527424229</v>
      </c>
      <c r="AV174" s="43">
        <f t="shared" ca="1" si="149"/>
        <v>177.36293928291957</v>
      </c>
      <c r="AW174" s="43">
        <f t="shared" ca="1" si="149"/>
        <v>185.1452466895262</v>
      </c>
    </row>
    <row r="175" spans="1:49" x14ac:dyDescent="0.2">
      <c r="A175" s="1" t="s">
        <v>520</v>
      </c>
      <c r="B175" s="4" t="str">
        <f t="shared" si="145"/>
        <v>From Fiscal</v>
      </c>
      <c r="D175" s="18">
        <f>Fiscal!D$233</f>
        <v>0.85599999999999998</v>
      </c>
      <c r="E175" s="19">
        <f>Fiscal!E$233</f>
        <v>0.70099999999999996</v>
      </c>
      <c r="F175" s="19">
        <f>Fiscal!F$233</f>
        <v>0.73799999999999999</v>
      </c>
      <c r="G175" s="19">
        <f>Fiscal!G$233</f>
        <v>0.76900000000000002</v>
      </c>
      <c r="H175" s="19">
        <f>Fiscal!H$233</f>
        <v>0.80100000000000005</v>
      </c>
      <c r="I175" s="19">
        <f>Fiscal!I$233</f>
        <v>0.84</v>
      </c>
      <c r="J175" s="7">
        <f ca="1">IF(J$6&lt;=OFFSET(Assumptions!$B$49,0,$C$1),Exogenous!Q$36,I$175*(1+J$15))</f>
        <v>0.873</v>
      </c>
      <c r="K175" s="7">
        <f ca="1">IF(K$6&lt;=OFFSET(Assumptions!$B$49,0,$C$1),Exogenous!R$36,J$175*(1+K$15))</f>
        <v>0.90800000000000003</v>
      </c>
      <c r="L175" s="7">
        <f ca="1">IF(L$6&lt;=OFFSET(Assumptions!$B$49,0,$C$1),Exogenous!S$36,K$175*(1+L$15))</f>
        <v>0.94735752360896164</v>
      </c>
      <c r="M175" s="7">
        <f ca="1">IF(M$6&lt;=OFFSET(Assumptions!$B$49,0,$C$1),Exogenous!T$36,L$175*(1+M$15))</f>
        <v>0.98828948258513583</v>
      </c>
      <c r="N175" s="7">
        <f ca="1">IF(N$6&lt;=OFFSET(Assumptions!$B$49,0,$C$1),Exogenous!U$36,M$175*(1+N$15))</f>
        <v>1.0309119140361371</v>
      </c>
      <c r="O175" s="7">
        <f ca="1">IF(O$6&lt;=OFFSET(Assumptions!$B$49,0,$C$1),Exogenous!V$36,N$175*(1+O$15))</f>
        <v>1.0749181757431447</v>
      </c>
      <c r="P175" s="7">
        <f ca="1">IF(P$6&lt;=OFFSET(Assumptions!$B$49,0,$C$1),Exogenous!W$36,O$175*(1+P$15))</f>
        <v>1.1203752842989578</v>
      </c>
      <c r="Q175" s="7">
        <f ca="1">IF(Q$6&lt;=OFFSET(Assumptions!$B$49,0,$C$1),Exogenous!X$36,P$175*(1+Q$15))</f>
        <v>1.1672341376795579</v>
      </c>
      <c r="R175" s="7">
        <f ca="1">IF(R$6&lt;=OFFSET(Assumptions!$B$49,0,$C$1),Exogenous!Y$36,Q$175*(1+R$15))</f>
        <v>1.215459956423631</v>
      </c>
      <c r="S175" s="7">
        <f ca="1">IF(S$6&lt;=OFFSET(Assumptions!$B$49,0,$C$1),Exogenous!Z$36,R$175*(1+S$15))</f>
        <v>1.2652060002166352</v>
      </c>
      <c r="T175" s="7">
        <f ca="1">IF(T$6&lt;=OFFSET(Assumptions!$B$49,0,$C$1),Exogenous!AA$36,S$175*(1+T$15))</f>
        <v>1.3164904097565029</v>
      </c>
      <c r="U175" s="7">
        <f ca="1">IF(U$6&lt;=OFFSET(Assumptions!$B$49,0,$C$1),Exogenous!AB$36,T$175*(1+U$15))</f>
        <v>1.3694972434372328</v>
      </c>
      <c r="V175" s="7">
        <f ca="1">IF(V$6&lt;=OFFSET(Assumptions!$B$49,0,$C$1),Exogenous!AC$36,U$175*(1+V$15))</f>
        <v>1.4243573489305281</v>
      </c>
      <c r="W175" s="7">
        <f ca="1">IF(W$6&lt;=OFFSET(Assumptions!$B$49,0,$C$1),Exogenous!AD$36,V$175*(1+W$15))</f>
        <v>1.4812296697997711</v>
      </c>
      <c r="X175" s="7">
        <f ca="1">IF(X$6&lt;=OFFSET(Assumptions!$B$49,0,$C$1),Exogenous!AE$36,W$175*(1+X$15))</f>
        <v>1.5402943466945569</v>
      </c>
      <c r="Y175" s="7">
        <f ca="1">IF(Y$6&lt;=OFFSET(Assumptions!$B$49,0,$C$1),Exogenous!AF$36,X$175*(1+Y$15))</f>
        <v>1.6015453412492273</v>
      </c>
      <c r="Z175" s="7">
        <f ca="1">IF(Z$6&lt;=OFFSET(Assumptions!$B$49,0,$C$1),Exogenous!AG$36,Y$175*(1+Z$15))</f>
        <v>1.6652926840944566</v>
      </c>
      <c r="AA175" s="7">
        <f ca="1">IF(AA$6&lt;=OFFSET(Assumptions!$B$49,0,$C$1),Exogenous!AH$36,Z$175*(1+AA$15))</f>
        <v>1.7316395186508007</v>
      </c>
      <c r="AB175" s="7">
        <f ca="1">IF(AB$6&lt;=OFFSET(Assumptions!$B$49,0,$C$1),Exogenous!AI$36,AA$175*(1+AB$15))</f>
        <v>1.8007850905896459</v>
      </c>
      <c r="AC175" s="7">
        <f ca="1">IF(AC$6&lt;=OFFSET(Assumptions!$B$49,0,$C$1),Exogenous!AJ$36,AB$175*(1+AC$15))</f>
        <v>1.8729904338282812</v>
      </c>
      <c r="AD175" s="7">
        <f ca="1">IF(AD$6&lt;=OFFSET(Assumptions!$B$49,0,$C$1),Exogenous!AK$36,AC$175*(1+AD$15))</f>
        <v>1.948331653689183</v>
      </c>
      <c r="AE175" s="7">
        <f ca="1">IF(AE$6&lt;=OFFSET(Assumptions!$B$49,0,$C$1),Exogenous!AL$36,AD$175*(1+AE$15))</f>
        <v>2.0267395593038686</v>
      </c>
      <c r="AF175" s="7">
        <f ca="1">IF(AF$6&lt;=OFFSET(Assumptions!$B$49,0,$C$1),Exogenous!AM$36,AE$175*(1+AF$15))</f>
        <v>2.1084310739525702</v>
      </c>
      <c r="AG175" s="7">
        <f ca="1">IF(AG$6&lt;=OFFSET(Assumptions!$B$49,0,$C$1),Exogenous!AN$36,AF$175*(1+AG$15))</f>
        <v>2.1934518761143154</v>
      </c>
      <c r="AH175" s="7">
        <f ca="1">IF(AH$6&lt;=OFFSET(Assumptions!$B$49,0,$C$1),Exogenous!AO$36,AG$175*(1+AH$15))</f>
        <v>2.2819383025446496</v>
      </c>
      <c r="AI175" s="7">
        <f ca="1">IF(AI$6&lt;=OFFSET(Assumptions!$B$49,0,$C$1),Exogenous!AP$36,AH$175*(1+AI$15))</f>
        <v>2.37373573816462</v>
      </c>
      <c r="AJ175" s="7">
        <f ca="1">IF(AJ$6&lt;=OFFSET(Assumptions!$B$49,0,$C$1),Exogenous!AQ$36,AI$175*(1+AJ$15))</f>
        <v>2.4691382558970747</v>
      </c>
      <c r="AK175" s="7">
        <f ca="1">IF(AK$6&lt;=OFFSET(Assumptions!$B$49,0,$C$1),Exogenous!AR$36,AJ$175*(1+AK$15))</f>
        <v>2.5680673746921889</v>
      </c>
      <c r="AL175" s="7">
        <f ca="1">IF(AL$6&lt;=OFFSET(Assumptions!$B$49,0,$C$1),Exogenous!AS$36,AK$175*(1+AL$15))</f>
        <v>2.6704451653538133</v>
      </c>
      <c r="AM175" s="7">
        <f ca="1">IF(AM$6&lt;=OFFSET(Assumptions!$B$49,0,$C$1),Exogenous!AT$36,AL$175*(1+AM$15))</f>
        <v>2.7764114892756564</v>
      </c>
      <c r="AN175" s="7">
        <f ca="1">IF(AN$6&lt;=OFFSET(Assumptions!$B$49,0,$C$1),Exogenous!AU$36,AM$175*(1+AN$15))</f>
        <v>2.8861137445881071</v>
      </c>
      <c r="AO175" s="7">
        <f ca="1">IF(AO$6&lt;=OFFSET(Assumptions!$B$49,0,$C$1),Exogenous!AV$36,AN$175*(1+AO$15))</f>
        <v>2.9991211684713504</v>
      </c>
      <c r="AP175" s="7">
        <f ca="1">IF(AP$6&lt;=OFFSET(Assumptions!$B$49,0,$C$1),Exogenous!AW$36,AO$175*(1+AP$15))</f>
        <v>3.1159136463992452</v>
      </c>
      <c r="AQ175" s="7">
        <f ca="1">IF(AQ$6&lt;=OFFSET(Assumptions!$B$49,0,$C$1),Exogenous!AX$36,AP$175*(1+AQ$15))</f>
        <v>3.2361639262172028</v>
      </c>
      <c r="AR175" s="7">
        <f ca="1">IF(AR$6&lt;=OFFSET(Assumptions!$B$49,0,$C$1),Exogenous!AY$36,AQ$175*(1+AR$15))</f>
        <v>3.3600081527543759</v>
      </c>
      <c r="AS175" s="7">
        <f ca="1">IF(AS$6&lt;=OFFSET(Assumptions!$B$49,0,$C$1),Exogenous!AZ$36,AR$175*(1+AS$15))</f>
        <v>3.4877352510191271</v>
      </c>
      <c r="AT175" s="7">
        <f ca="1">IF(AT$6&lt;=OFFSET(Assumptions!$B$49,0,$C$1),Exogenous!BA$36,AS$175*(1+AT$15))</f>
        <v>3.6194472324631701</v>
      </c>
      <c r="AU175" s="7">
        <f ca="1">IF(AU$6&lt;=OFFSET(Assumptions!$B$49,0,$C$1),Exogenous!BB$36,AT$175*(1+AU$15))</f>
        <v>3.7553192446178367</v>
      </c>
      <c r="AV175" s="7">
        <f ca="1">IF(AV$6&lt;=OFFSET(Assumptions!$B$49,0,$C$1),Exogenous!BC$36,AU$175*(1+AV$15))</f>
        <v>3.8957713898945463</v>
      </c>
      <c r="AW175" s="7">
        <f ca="1">IF(AW$6&lt;=OFFSET(Assumptions!$B$49,0,$C$1),Exogenous!BD$36,AV$175*(1+AW$15))</f>
        <v>4.0407243751669704</v>
      </c>
    </row>
    <row r="176" spans="1:49" x14ac:dyDescent="0.2">
      <c r="A176" s="1" t="s">
        <v>321</v>
      </c>
      <c r="B176" s="4" t="str">
        <f t="shared" si="145"/>
        <v>From Fiscal</v>
      </c>
      <c r="D176" s="18">
        <f>Fiscal!D$234</f>
        <v>0.51300000000000001</v>
      </c>
      <c r="E176" s="19">
        <f>Fiscal!E$234</f>
        <v>0.53</v>
      </c>
      <c r="F176" s="19">
        <f>Fiscal!F$234</f>
        <v>0.59199999999999997</v>
      </c>
      <c r="G176" s="19">
        <f>Fiscal!G$234</f>
        <v>0.59499999999999997</v>
      </c>
      <c r="H176" s="19">
        <f>Fiscal!H$234</f>
        <v>0.58599999999999997</v>
      </c>
      <c r="I176" s="19">
        <f>Fiscal!I$234</f>
        <v>0.58599999999999997</v>
      </c>
      <c r="J176" s="7">
        <f ca="1">(I$176/I$14+MIN(ABS(OFFSET(Assumptions!$B$50,0,$C$1)-I$176/I$14),OFFSET(Assumptions!$B$44,0,$C$1))*SIGN(OFFSET(Assumptions!$B$50,0,$C$1)-I$176/I$14))*J$14</f>
        <v>0.62359402369910744</v>
      </c>
      <c r="K176" s="7">
        <f ca="1">(J$176/J$14+MIN(ABS(OFFSET(Assumptions!$B$50,0,$C$1)-J$176/J$14),OFFSET(Assumptions!$B$44,0,$C$1))*SIGN(OFFSET(Assumptions!$B$50,0,$C$1)-J$176/J$14))*K$14</f>
        <v>0.64965414101038543</v>
      </c>
      <c r="L176" s="7">
        <f ca="1">(K$176/K$14+MIN(ABS(OFFSET(Assumptions!$B$50,0,$C$1)-K$176/K$14),OFFSET(Assumptions!$B$44,0,$C$1))*SIGN(OFFSET(Assumptions!$B$50,0,$C$1)-K$176/K$14))*L$14</f>
        <v>0.67781358835892724</v>
      </c>
      <c r="M176" s="7">
        <f ca="1">(L$176/L$14+MIN(ABS(OFFSET(Assumptions!$B$50,0,$C$1)-L$176/L$14),OFFSET(Assumptions!$B$44,0,$C$1))*SIGN(OFFSET(Assumptions!$B$50,0,$C$1)-L$176/L$14))*M$14</f>
        <v>0.70709950977802272</v>
      </c>
      <c r="N176" s="7">
        <f ca="1">(M$176/M$14+MIN(ABS(OFFSET(Assumptions!$B$50,0,$C$1)-M$176/M$14),OFFSET(Assumptions!$B$44,0,$C$1))*SIGN(OFFSET(Assumptions!$B$50,0,$C$1)-M$176/M$14))*N$14</f>
        <v>0.73759492728030718</v>
      </c>
      <c r="O176" s="7">
        <f ca="1">(N$176/N$14+MIN(ABS(OFFSET(Assumptions!$B$50,0,$C$1)-N$176/N$14),OFFSET(Assumptions!$B$44,0,$C$1))*SIGN(OFFSET(Assumptions!$B$50,0,$C$1)-N$176/N$14))*O$14</f>
        <v>0.76908044506482742</v>
      </c>
      <c r="P176" s="7">
        <f ca="1">(O$176/O$14+MIN(ABS(OFFSET(Assumptions!$B$50,0,$C$1)-O$176/O$14),OFFSET(Assumptions!$B$44,0,$C$1))*SIGN(OFFSET(Assumptions!$B$50,0,$C$1)-O$176/O$14))*P$14</f>
        <v>0.80160401203800202</v>
      </c>
      <c r="Q176" s="7">
        <f ca="1">(P$176/P$14+MIN(ABS(OFFSET(Assumptions!$B$50,0,$C$1)-P$176/P$14),OFFSET(Assumptions!$B$44,0,$C$1))*SIGN(OFFSET(Assumptions!$B$50,0,$C$1)-P$176/P$14))*Q$14</f>
        <v>0.83513049677556295</v>
      </c>
      <c r="R176" s="7">
        <f ca="1">(Q$176/Q$14+MIN(ABS(OFFSET(Assumptions!$B$50,0,$C$1)-Q$176/Q$14),OFFSET(Assumptions!$B$44,0,$C$1))*SIGN(OFFSET(Assumptions!$B$50,0,$C$1)-Q$176/Q$14))*R$14</f>
        <v>0.86963501533360654</v>
      </c>
      <c r="S176" s="7">
        <f ca="1">(R$176/R$14+MIN(ABS(OFFSET(Assumptions!$B$50,0,$C$1)-R$176/R$14),OFFSET(Assumptions!$B$44,0,$C$1))*SIGN(OFFSET(Assumptions!$B$50,0,$C$1)-R$176/R$14))*S$14</f>
        <v>0.90522722166511427</v>
      </c>
      <c r="T176" s="7">
        <f ca="1">(S$176/S$14+MIN(ABS(OFFSET(Assumptions!$B$50,0,$C$1)-S$176/S$14),OFFSET(Assumptions!$B$44,0,$C$1))*SIGN(OFFSET(Assumptions!$B$50,0,$C$1)-S$176/S$14))*T$14</f>
        <v>0.94192009504269969</v>
      </c>
      <c r="U176" s="7">
        <f ca="1">(T$176/T$14+MIN(ABS(OFFSET(Assumptions!$B$50,0,$C$1)-T$176/T$14),OFFSET(Assumptions!$B$44,0,$C$1))*SIGN(OFFSET(Assumptions!$B$50,0,$C$1)-T$176/T$14))*U$14</f>
        <v>0.97984532522170287</v>
      </c>
      <c r="V176" s="7">
        <f ca="1">(U$176/U$14+MIN(ABS(OFFSET(Assumptions!$B$50,0,$C$1)-U$176/U$14),OFFSET(Assumptions!$B$44,0,$C$1))*SIGN(OFFSET(Assumptions!$B$50,0,$C$1)-U$176/U$14))*V$14</f>
        <v>1.0190965308494406</v>
      </c>
      <c r="W176" s="7">
        <f ca="1">(V$176/V$14+MIN(ABS(OFFSET(Assumptions!$B$50,0,$C$1)-V$176/V$14),OFFSET(Assumptions!$B$44,0,$C$1))*SIGN(OFFSET(Assumptions!$B$50,0,$C$1)-V$176/V$14))*W$14</f>
        <v>1.0597874325692371</v>
      </c>
      <c r="X176" s="7">
        <f ca="1">(W$176/W$14+MIN(ABS(OFFSET(Assumptions!$B$50,0,$C$1)-W$176/W$14),OFFSET(Assumptions!$B$44,0,$C$1))*SIGN(OFFSET(Assumptions!$B$50,0,$C$1)-W$176/W$14))*X$14</f>
        <v>1.102046917075997</v>
      </c>
      <c r="Y176" s="7">
        <f ca="1">(X$176/X$14+MIN(ABS(OFFSET(Assumptions!$B$50,0,$C$1)-X$176/X$14),OFFSET(Assumptions!$B$44,0,$C$1))*SIGN(OFFSET(Assumptions!$B$50,0,$C$1)-X$176/X$14))*Y$14</f>
        <v>1.145870664051158</v>
      </c>
      <c r="Z176" s="7">
        <f ca="1">(Y$176/Y$14+MIN(ABS(OFFSET(Assumptions!$B$50,0,$C$1)-Y$176/Y$14),OFFSET(Assumptions!$B$44,0,$C$1))*SIGN(OFFSET(Assumptions!$B$50,0,$C$1)-Y$176/Y$14))*Z$14</f>
        <v>1.1914804936302461</v>
      </c>
      <c r="AA176" s="7">
        <f ca="1">(Z$176/Z$14+MIN(ABS(OFFSET(Assumptions!$B$50,0,$C$1)-Z$176/Z$14),OFFSET(Assumptions!$B$44,0,$C$1))*SIGN(OFFSET(Assumptions!$B$50,0,$C$1)-Z$176/Z$14))*AA$14</f>
        <v>1.2389502026748054</v>
      </c>
      <c r="AB176" s="7">
        <f ca="1">(AA$176/AA$14+MIN(ABS(OFFSET(Assumptions!$B$50,0,$C$1)-AA$176/AA$14),OFFSET(Assumptions!$B$44,0,$C$1))*SIGN(OFFSET(Assumptions!$B$50,0,$C$1)-AA$176/AA$14))*AB$14</f>
        <v>1.288422347104984</v>
      </c>
      <c r="AC176" s="7">
        <f ca="1">(AB$176/AB$14+MIN(ABS(OFFSET(Assumptions!$B$50,0,$C$1)-AB$176/AB$14),OFFSET(Assumptions!$B$44,0,$C$1))*SIGN(OFFSET(Assumptions!$B$50,0,$C$1)-AB$176/AB$14))*AC$14</f>
        <v>1.3400836909794946</v>
      </c>
      <c r="AD176" s="7">
        <f ca="1">(AC$176/AC$14+MIN(ABS(OFFSET(Assumptions!$B$50,0,$C$1)-AC$176/AC$14),OFFSET(Assumptions!$B$44,0,$C$1))*SIGN(OFFSET(Assumptions!$B$50,0,$C$1)-AC$176/AC$14))*AD$14</f>
        <v>1.3939886859920594</v>
      </c>
      <c r="AE176" s="7">
        <f ca="1">(AD$176/AD$14+MIN(ABS(OFFSET(Assumptions!$B$50,0,$C$1)-AD$176/AD$14),OFFSET(Assumptions!$B$44,0,$C$1))*SIGN(OFFSET(Assumptions!$B$50,0,$C$1)-AD$176/AD$14))*AE$14</f>
        <v>1.4500878275895615</v>
      </c>
      <c r="AF176" s="7">
        <f ca="1">(AE$176/AE$14+MIN(ABS(OFFSET(Assumptions!$B$50,0,$C$1)-AE$176/AE$14),OFFSET(Assumptions!$B$44,0,$C$1))*SIGN(OFFSET(Assumptions!$B$50,0,$C$1)-AE$176/AE$14))*AF$14</f>
        <v>1.5085363196346488</v>
      </c>
      <c r="AG176" s="7">
        <f ca="1">(AF$176/AF$14+MIN(ABS(OFFSET(Assumptions!$B$50,0,$C$1)-AF$176/AF$14),OFFSET(Assumptions!$B$44,0,$C$1))*SIGN(OFFSET(Assumptions!$B$50,0,$C$1)-AF$176/AF$14))*AG$14</f>
        <v>1.5693668440800259</v>
      </c>
      <c r="AH176" s="7">
        <f ca="1">(AG$176/AG$14+MIN(ABS(OFFSET(Assumptions!$B$50,0,$C$1)-AG$176/AG$14),OFFSET(Assumptions!$B$44,0,$C$1))*SIGN(OFFSET(Assumptions!$B$50,0,$C$1)-AG$176/AG$14))*AH$14</f>
        <v>1.6326769468924458</v>
      </c>
      <c r="AI176" s="7">
        <f ca="1">(AH$176/AH$14+MIN(ABS(OFFSET(Assumptions!$B$50,0,$C$1)-AH$176/AH$14),OFFSET(Assumptions!$B$44,0,$C$1))*SIGN(OFFSET(Assumptions!$B$50,0,$C$1)-AH$176/AH$14))*AI$14</f>
        <v>1.6983560043645252</v>
      </c>
      <c r="AJ176" s="7">
        <f ca="1">(AI$176/AI$14+MIN(ABS(OFFSET(Assumptions!$B$50,0,$C$1)-AI$176/AI$14),OFFSET(Assumptions!$B$44,0,$C$1))*SIGN(OFFSET(Assumptions!$B$50,0,$C$1)-AI$176/AI$14))*AJ$14</f>
        <v>1.7666144192408535</v>
      </c>
      <c r="AK176" s="7">
        <f ca="1">(AJ$176/AJ$14+MIN(ABS(OFFSET(Assumptions!$B$50,0,$C$1)-AJ$176/AJ$14),OFFSET(Assumptions!$B$44,0,$C$1))*SIGN(OFFSET(Assumptions!$B$50,0,$C$1)-AJ$176/AJ$14))*AK$14</f>
        <v>1.8373960400467502</v>
      </c>
      <c r="AL176" s="7">
        <f ca="1">(AK$176/AK$14+MIN(ABS(OFFSET(Assumptions!$B$50,0,$C$1)-AK$176/AK$14),OFFSET(Assumptions!$B$44,0,$C$1))*SIGN(OFFSET(Assumptions!$B$50,0,$C$1)-AK$176/AK$14))*AL$14</f>
        <v>1.9106451101467705</v>
      </c>
      <c r="AM176" s="7">
        <f ca="1">(AL$176/AL$14+MIN(ABS(OFFSET(Assumptions!$B$50,0,$C$1)-AL$176/AL$14),OFFSET(Assumptions!$B$44,0,$C$1))*SIGN(OFFSET(Assumptions!$B$50,0,$C$1)-AL$176/AL$14))*AM$14</f>
        <v>1.9864616973091862</v>
      </c>
      <c r="AN176" s="7">
        <f ca="1">(AM$176/AM$14+MIN(ABS(OFFSET(Assumptions!$B$50,0,$C$1)-AM$176/AM$14),OFFSET(Assumptions!$B$44,0,$C$1))*SIGN(OFFSET(Assumptions!$B$50,0,$C$1)-AM$176/AM$14))*AN$14</f>
        <v>2.0649512616725252</v>
      </c>
      <c r="AO176" s="7">
        <f ca="1">(AN$176/AN$14+MIN(ABS(OFFSET(Assumptions!$B$50,0,$C$1)-AN$176/AN$14),OFFSET(Assumptions!$B$44,0,$C$1))*SIGN(OFFSET(Assumptions!$B$50,0,$C$1)-AN$176/AN$14))*AO$14</f>
        <v>2.1458056018604821</v>
      </c>
      <c r="AP176" s="7">
        <f ca="1">(AO$176/AO$14+MIN(ABS(OFFSET(Assumptions!$B$50,0,$C$1)-AO$176/AO$14),OFFSET(Assumptions!$B$44,0,$C$1))*SIGN(OFFSET(Assumptions!$B$50,0,$C$1)-AO$176/AO$14))*AP$14</f>
        <v>2.2293680654339632</v>
      </c>
      <c r="AQ176" s="7">
        <f ca="1">(AP$176/AP$14+MIN(ABS(OFFSET(Assumptions!$B$50,0,$C$1)-AP$176/AP$14),OFFSET(Assumptions!$B$44,0,$C$1))*SIGN(OFFSET(Assumptions!$B$50,0,$C$1)-AP$176/AP$14))*AQ$14</f>
        <v>2.3154045106337362</v>
      </c>
      <c r="AR176" s="7">
        <f ca="1">(AQ$176/AQ$14+MIN(ABS(OFFSET(Assumptions!$B$50,0,$C$1)-AQ$176/AQ$14),OFFSET(Assumptions!$B$44,0,$C$1))*SIGN(OFFSET(Assumptions!$B$50,0,$C$1)-AQ$176/AQ$14))*AR$14</f>
        <v>2.4040123461074177</v>
      </c>
      <c r="AS176" s="7">
        <f ca="1">(AR$176/AR$14+MIN(ABS(OFFSET(Assumptions!$B$50,0,$C$1)-AR$176/AR$14),OFFSET(Assumptions!$B$44,0,$C$1))*SIGN(OFFSET(Assumptions!$B$50,0,$C$1)-AR$176/AR$14))*AS$14</f>
        <v>2.4953982913793737</v>
      </c>
      <c r="AT176" s="7">
        <f ca="1">(AS$176/AS$14+MIN(ABS(OFFSET(Assumptions!$B$50,0,$C$1)-AS$176/AS$14),OFFSET(Assumptions!$B$44,0,$C$1))*SIGN(OFFSET(Assumptions!$B$50,0,$C$1)-AS$176/AS$14))*AT$14</f>
        <v>2.5896353334121995</v>
      </c>
      <c r="AU176" s="7">
        <f ca="1">(AT$176/AT$14+MIN(ABS(OFFSET(Assumptions!$B$50,0,$C$1)-AT$176/AT$14),OFFSET(Assumptions!$B$44,0,$C$1))*SIGN(OFFSET(Assumptions!$B$50,0,$C$1)-AT$176/AT$14))*AU$14</f>
        <v>2.6868487864338872</v>
      </c>
      <c r="AV176" s="7">
        <f ca="1">(AU$176/AU$14+MIN(ABS(OFFSET(Assumptions!$B$50,0,$C$1)-AU$176/AU$14),OFFSET(Assumptions!$B$44,0,$C$1))*SIGN(OFFSET(Assumptions!$B$50,0,$C$1)-AU$176/AU$14))*AV$14</f>
        <v>2.7873392245316917</v>
      </c>
      <c r="AW176" s="7">
        <f ca="1">(AV$176/AV$14+MIN(ABS(OFFSET(Assumptions!$B$50,0,$C$1)-AV$176/AV$14),OFFSET(Assumptions!$B$44,0,$C$1))*SIGN(OFFSET(Assumptions!$B$50,0,$C$1)-AV$176/AV$14))*AW$14</f>
        <v>2.8910499152079563</v>
      </c>
    </row>
    <row r="177" spans="1:49" ht="15" x14ac:dyDescent="0.25">
      <c r="A177" s="2" t="s">
        <v>521</v>
      </c>
      <c r="D177" s="40">
        <f t="shared" ref="D177:I177" si="150">SUM(D$174:D$176)</f>
        <v>23.722999999999999</v>
      </c>
      <c r="E177" s="39">
        <f t="shared" si="150"/>
        <v>24.420999999999999</v>
      </c>
      <c r="F177" s="39">
        <f t="shared" si="150"/>
        <v>25.395</v>
      </c>
      <c r="G177" s="39">
        <f t="shared" si="150"/>
        <v>26.038999999999998</v>
      </c>
      <c r="H177" s="39">
        <f t="shared" si="150"/>
        <v>26.815999999999999</v>
      </c>
      <c r="I177" s="39">
        <f t="shared" si="150"/>
        <v>27.789000000000001</v>
      </c>
      <c r="J177" s="43">
        <f t="shared" ref="J177:AW177" ca="1" si="151">SUM(J$174:J$176)</f>
        <v>29.68333610928552</v>
      </c>
      <c r="K177" s="43">
        <f t="shared" ca="1" si="151"/>
        <v>31.772385841837348</v>
      </c>
      <c r="L177" s="43">
        <f t="shared" ca="1" si="151"/>
        <v>33.983950794995771</v>
      </c>
      <c r="M177" s="43">
        <f t="shared" ca="1" si="151"/>
        <v>36.2937738783315</v>
      </c>
      <c r="N177" s="43">
        <f t="shared" ca="1" si="151"/>
        <v>38.733875764795172</v>
      </c>
      <c r="O177" s="43">
        <f t="shared" ca="1" si="151"/>
        <v>41.235254289084693</v>
      </c>
      <c r="P177" s="43">
        <f t="shared" ca="1" si="151"/>
        <v>43.784210719566552</v>
      </c>
      <c r="Q177" s="43">
        <f t="shared" ca="1" si="151"/>
        <v>46.430691657400104</v>
      </c>
      <c r="R177" s="43">
        <f t="shared" ca="1" si="151"/>
        <v>49.160235948216403</v>
      </c>
      <c r="S177" s="43">
        <f t="shared" ca="1" si="151"/>
        <v>51.939510564326909</v>
      </c>
      <c r="T177" s="43">
        <f t="shared" ca="1" si="151"/>
        <v>54.807576101995245</v>
      </c>
      <c r="U177" s="43">
        <f t="shared" ca="1" si="151"/>
        <v>57.795919425224959</v>
      </c>
      <c r="V177" s="43">
        <f t="shared" ca="1" si="151"/>
        <v>60.918297992108464</v>
      </c>
      <c r="W177" s="43">
        <f t="shared" ca="1" si="151"/>
        <v>63.993070743986749</v>
      </c>
      <c r="X177" s="43">
        <f t="shared" ca="1" si="151"/>
        <v>67.093851455952759</v>
      </c>
      <c r="Y177" s="43">
        <f t="shared" ca="1" si="151"/>
        <v>70.35306656449373</v>
      </c>
      <c r="Z177" s="43">
        <f t="shared" ca="1" si="151"/>
        <v>73.698061862357577</v>
      </c>
      <c r="AA177" s="43">
        <f t="shared" ca="1" si="151"/>
        <v>77.096349300327816</v>
      </c>
      <c r="AB177" s="43">
        <f t="shared" ca="1" si="151"/>
        <v>80.538880960475211</v>
      </c>
      <c r="AC177" s="43">
        <f t="shared" ca="1" si="151"/>
        <v>84.020279546922168</v>
      </c>
      <c r="AD177" s="43">
        <f t="shared" ca="1" si="151"/>
        <v>87.533165051181413</v>
      </c>
      <c r="AE177" s="43">
        <f t="shared" ca="1" si="151"/>
        <v>91.162382565072733</v>
      </c>
      <c r="AF177" s="43">
        <f t="shared" ca="1" si="151"/>
        <v>94.871275417606284</v>
      </c>
      <c r="AG177" s="43">
        <f t="shared" ca="1" si="151"/>
        <v>98.757767288900766</v>
      </c>
      <c r="AH177" s="43">
        <f t="shared" ca="1" si="151"/>
        <v>102.78524262264594</v>
      </c>
      <c r="AI177" s="43">
        <f t="shared" ca="1" si="151"/>
        <v>106.97099062379525</v>
      </c>
      <c r="AJ177" s="43">
        <f t="shared" ca="1" si="151"/>
        <v>111.33052832691722</v>
      </c>
      <c r="AK177" s="43">
        <f t="shared" ca="1" si="151"/>
        <v>115.9098097394203</v>
      </c>
      <c r="AL177" s="43">
        <f t="shared" ca="1" si="151"/>
        <v>120.65934366807859</v>
      </c>
      <c r="AM177" s="43">
        <f t="shared" ca="1" si="151"/>
        <v>125.60317878851941</v>
      </c>
      <c r="AN177" s="43">
        <f t="shared" ca="1" si="151"/>
        <v>130.78949566218435</v>
      </c>
      <c r="AO177" s="43">
        <f t="shared" ca="1" si="151"/>
        <v>136.24072925513516</v>
      </c>
      <c r="AP177" s="43">
        <f t="shared" ca="1" si="151"/>
        <v>142.05013988359156</v>
      </c>
      <c r="AQ177" s="43">
        <f t="shared" ca="1" si="151"/>
        <v>148.19594097787495</v>
      </c>
      <c r="AR177" s="43">
        <f t="shared" ca="1" si="151"/>
        <v>154.75226859319369</v>
      </c>
      <c r="AS177" s="43">
        <f t="shared" ca="1" si="151"/>
        <v>161.71833891017457</v>
      </c>
      <c r="AT177" s="43">
        <f t="shared" ca="1" si="151"/>
        <v>168.88747588696103</v>
      </c>
      <c r="AU177" s="43">
        <f t="shared" ca="1" si="151"/>
        <v>176.34189330529401</v>
      </c>
      <c r="AV177" s="43">
        <f t="shared" ca="1" si="151"/>
        <v>184.0460498973458</v>
      </c>
      <c r="AW177" s="43">
        <f t="shared" ca="1" si="151"/>
        <v>192.07702097990114</v>
      </c>
    </row>
    <row r="178" spans="1:49" ht="15" x14ac:dyDescent="0.25">
      <c r="A178" s="2" t="s">
        <v>523</v>
      </c>
      <c r="B178" s="4" t="str">
        <f t="shared" si="145"/>
        <v>From Fiscal</v>
      </c>
      <c r="D178" s="47">
        <f>Fiscal!D$156</f>
        <v>23.722999999999999</v>
      </c>
      <c r="E178" s="44">
        <f>Fiscal!E$156</f>
        <v>24.420999999999999</v>
      </c>
      <c r="F178" s="44">
        <f>Fiscal!F$156</f>
        <v>25.395</v>
      </c>
      <c r="G178" s="44">
        <f>Fiscal!G$156</f>
        <v>26.039000000000001</v>
      </c>
      <c r="H178" s="44">
        <f>Fiscal!H$156</f>
        <v>26.815999999999999</v>
      </c>
      <c r="I178" s="44">
        <f>Fiscal!I$156</f>
        <v>27.789000000000001</v>
      </c>
      <c r="J178" s="8">
        <f t="shared" ref="J178:AW178" ca="1" si="152">J$177</f>
        <v>29.68333610928552</v>
      </c>
      <c r="K178" s="8">
        <f t="shared" ca="1" si="152"/>
        <v>31.772385841837348</v>
      </c>
      <c r="L178" s="8">
        <f t="shared" ca="1" si="152"/>
        <v>33.983950794995771</v>
      </c>
      <c r="M178" s="8">
        <f t="shared" ca="1" si="152"/>
        <v>36.2937738783315</v>
      </c>
      <c r="N178" s="8">
        <f t="shared" ca="1" si="152"/>
        <v>38.733875764795172</v>
      </c>
      <c r="O178" s="8">
        <f t="shared" ca="1" si="152"/>
        <v>41.235254289084693</v>
      </c>
      <c r="P178" s="8">
        <f t="shared" ca="1" si="152"/>
        <v>43.784210719566552</v>
      </c>
      <c r="Q178" s="8">
        <f t="shared" ca="1" si="152"/>
        <v>46.430691657400104</v>
      </c>
      <c r="R178" s="8">
        <f t="shared" ca="1" si="152"/>
        <v>49.160235948216403</v>
      </c>
      <c r="S178" s="8">
        <f t="shared" ca="1" si="152"/>
        <v>51.939510564326909</v>
      </c>
      <c r="T178" s="8">
        <f t="shared" ca="1" si="152"/>
        <v>54.807576101995245</v>
      </c>
      <c r="U178" s="8">
        <f t="shared" ca="1" si="152"/>
        <v>57.795919425224959</v>
      </c>
      <c r="V178" s="8">
        <f t="shared" ca="1" si="152"/>
        <v>60.918297992108464</v>
      </c>
      <c r="W178" s="8">
        <f t="shared" ca="1" si="152"/>
        <v>63.993070743986749</v>
      </c>
      <c r="X178" s="8">
        <f t="shared" ca="1" si="152"/>
        <v>67.093851455952759</v>
      </c>
      <c r="Y178" s="8">
        <f t="shared" ca="1" si="152"/>
        <v>70.35306656449373</v>
      </c>
      <c r="Z178" s="8">
        <f t="shared" ca="1" si="152"/>
        <v>73.698061862357577</v>
      </c>
      <c r="AA178" s="8">
        <f t="shared" ca="1" si="152"/>
        <v>77.096349300327816</v>
      </c>
      <c r="AB178" s="8">
        <f t="shared" ca="1" si="152"/>
        <v>80.538880960475211</v>
      </c>
      <c r="AC178" s="8">
        <f t="shared" ca="1" si="152"/>
        <v>84.020279546922168</v>
      </c>
      <c r="AD178" s="8">
        <f t="shared" ca="1" si="152"/>
        <v>87.533165051181413</v>
      </c>
      <c r="AE178" s="8">
        <f t="shared" ca="1" si="152"/>
        <v>91.162382565072733</v>
      </c>
      <c r="AF178" s="8">
        <f t="shared" ca="1" si="152"/>
        <v>94.871275417606284</v>
      </c>
      <c r="AG178" s="8">
        <f t="shared" ca="1" si="152"/>
        <v>98.757767288900766</v>
      </c>
      <c r="AH178" s="8">
        <f t="shared" ca="1" si="152"/>
        <v>102.78524262264594</v>
      </c>
      <c r="AI178" s="8">
        <f t="shared" ca="1" si="152"/>
        <v>106.97099062379525</v>
      </c>
      <c r="AJ178" s="8">
        <f t="shared" ca="1" si="152"/>
        <v>111.33052832691722</v>
      </c>
      <c r="AK178" s="8">
        <f t="shared" ca="1" si="152"/>
        <v>115.9098097394203</v>
      </c>
      <c r="AL178" s="8">
        <f t="shared" ca="1" si="152"/>
        <v>120.65934366807859</v>
      </c>
      <c r="AM178" s="8">
        <f t="shared" ca="1" si="152"/>
        <v>125.60317878851941</v>
      </c>
      <c r="AN178" s="8">
        <f t="shared" ca="1" si="152"/>
        <v>130.78949566218435</v>
      </c>
      <c r="AO178" s="8">
        <f t="shared" ca="1" si="152"/>
        <v>136.24072925513516</v>
      </c>
      <c r="AP178" s="8">
        <f t="shared" ca="1" si="152"/>
        <v>142.05013988359156</v>
      </c>
      <c r="AQ178" s="8">
        <f t="shared" ca="1" si="152"/>
        <v>148.19594097787495</v>
      </c>
      <c r="AR178" s="8">
        <f t="shared" ca="1" si="152"/>
        <v>154.75226859319369</v>
      </c>
      <c r="AS178" s="8">
        <f t="shared" ca="1" si="152"/>
        <v>161.71833891017457</v>
      </c>
      <c r="AT178" s="8">
        <f t="shared" ca="1" si="152"/>
        <v>168.88747588696103</v>
      </c>
      <c r="AU178" s="8">
        <f t="shared" ca="1" si="152"/>
        <v>176.34189330529401</v>
      </c>
      <c r="AV178" s="8">
        <f t="shared" ca="1" si="152"/>
        <v>184.0460498973458</v>
      </c>
      <c r="AW178" s="8">
        <f t="shared" ca="1" si="152"/>
        <v>192.07702097990114</v>
      </c>
    </row>
    <row r="179" spans="1:49" x14ac:dyDescent="0.2">
      <c r="A179" s="1" t="s">
        <v>524</v>
      </c>
      <c r="B179" s="4" t="str">
        <f t="shared" si="145"/>
        <v>From Fiscal</v>
      </c>
      <c r="D179" s="18">
        <f>Fiscal!D$53-D$172</f>
        <v>1.6800000000000033</v>
      </c>
      <c r="E179" s="19">
        <f ca="1">Fiscal!E$53-E$172  +IF(OR(OFFSET(Assumptions!$B$72,0,$C$1)="BU",OFFSET(Assumptions!$B$113,0,$C$1)="SND"),Allocate!C$14,0)</f>
        <v>1.5870000000000004</v>
      </c>
      <c r="F179" s="19">
        <f ca="1">Fiscal!F$53-F$172  +IF(OR(OFFSET(Assumptions!$B$72,0,$C$1)="BU",OFFSET(Assumptions!$B$113,0,$C$1)="SND"),Allocate!D$14,0)</f>
        <v>1.6570000000000005</v>
      </c>
      <c r="G179" s="19">
        <f ca="1">Fiscal!G$53-G$172  +IF(OR(OFFSET(Assumptions!$B$72,0,$C$1)="BU",OFFSET(Assumptions!$B$113,0,$C$1)="SND"),Allocate!E$14,0)</f>
        <v>1.5969999999999978</v>
      </c>
      <c r="H179" s="19">
        <f ca="1">Fiscal!H$53-H$172  +IF(OR(OFFSET(Assumptions!$B$72,0,$C$1)="BU",OFFSET(Assumptions!$B$113,0,$C$1)="SND"),Allocate!F$14,0)</f>
        <v>1.6179999999999994</v>
      </c>
      <c r="I179" s="19">
        <f ca="1">Fiscal!I$53-I$172  +IF(OR(OFFSET(Assumptions!$B$72,0,$C$1)="BU",OFFSET(Assumptions!$B$113,0,$C$1)="SND"),Allocate!G$14,0)</f>
        <v>1.6609999999999985</v>
      </c>
      <c r="J179" s="7">
        <f ca="1">IF(OFFSET(Assumptions!$B$72,0,$C$1)="BU",J$14*(I$179/I$14+MIN(ABS(OFFSET(Assumptions!$B$76,0,$C$1)-I$179/I$14),OFFSET(Assumptions!$B$75,0,$C$1))*SIGN(OFFSET(Assumptions!$B$76,0,$C$1)-I$179/I$14)),I$179+IF(OFFSET(Assumptions!$B$113,0,$C$1)="SND",Allocate!$B$14*J$232*J$14,0))</f>
        <v>1.6999746264811928</v>
      </c>
      <c r="K179" s="7">
        <f ca="1">IF(OFFSET(Assumptions!$B$72,0,$C$1)="BU",K$14*(J$179/J$14+MIN(ABS(OFFSET(Assumptions!$B$76,0,$C$1)-J$179/J$14),OFFSET(Assumptions!$B$75,0,$C$1))*SIGN(OFFSET(Assumptions!$B$76,0,$C$1)-J$179/J$14)),J$179+IF(OFFSET(Assumptions!$B$113,0,$C$1)="SND",Allocate!$B$14*K$232*K$14,0))</f>
        <v>1.7405780102943418</v>
      </c>
      <c r="L179" s="7">
        <f ca="1">IF(OFFSET(Assumptions!$B$72,0,$C$1)="BU",L$14*(K$179/K$14+MIN(ABS(OFFSET(Assumptions!$B$76,0,$C$1)-K$179/K$14),OFFSET(Assumptions!$B$75,0,$C$1))*SIGN(OFFSET(Assumptions!$B$76,0,$C$1)-K$179/K$14)),K$179+IF(OFFSET(Assumptions!$B$113,0,$C$1)="SND",Allocate!$B$14*L$232*L$14,0))</f>
        <v>1.7829413595667747</v>
      </c>
      <c r="M179" s="7">
        <f ca="1">IF(OFFSET(Assumptions!$B$72,0,$C$1)="BU",M$14*(L$179/L$14+MIN(ABS(OFFSET(Assumptions!$B$76,0,$C$1)-L$179/L$14),OFFSET(Assumptions!$B$75,0,$C$1))*SIGN(OFFSET(Assumptions!$B$76,0,$C$1)-L$179/L$14)),L$179+IF(OFFSET(Assumptions!$B$113,0,$C$1)="SND",Allocate!$B$14*M$232*M$14,0))</f>
        <v>1.8271350789279011</v>
      </c>
      <c r="N179" s="7">
        <f ca="1">IF(OFFSET(Assumptions!$B$72,0,$C$1)="BU",N$14*(M$179/M$14+MIN(ABS(OFFSET(Assumptions!$B$76,0,$C$1)-M$179/M$14),OFFSET(Assumptions!$B$75,0,$C$1))*SIGN(OFFSET(Assumptions!$B$76,0,$C$1)-M$179/M$14)),M$179+IF(OFFSET(Assumptions!$B$113,0,$C$1)="SND",Allocate!$B$14*N$232*N$14,0))</f>
        <v>1.8732347618829202</v>
      </c>
      <c r="O179" s="7">
        <f ca="1">IF(OFFSET(Assumptions!$B$72,0,$C$1)="BU",O$14*(N$179/N$14+MIN(ABS(OFFSET(Assumptions!$B$76,0,$C$1)-N$179/N$14),OFFSET(Assumptions!$B$75,0,$C$1))*SIGN(OFFSET(Assumptions!$B$76,0,$C$1)-N$179/N$14)),N$179+IF(OFFSET(Assumptions!$B$113,0,$C$1)="SND",Allocate!$B$14*O$232*O$14,0))</f>
        <v>1.9213022896994718</v>
      </c>
      <c r="P179" s="7">
        <f ca="1">IF(OFFSET(Assumptions!$B$72,0,$C$1)="BU",P$14*(O$179/O$14+MIN(ABS(OFFSET(Assumptions!$B$76,0,$C$1)-O$179/O$14),OFFSET(Assumptions!$B$75,0,$C$1))*SIGN(OFFSET(Assumptions!$B$76,0,$C$1)-O$179/O$14)),O$179+IF(OFFSET(Assumptions!$B$113,0,$C$1)="SND",Allocate!$B$14*P$232*P$14,0))</f>
        <v>1.9964526658280346</v>
      </c>
      <c r="Q179" s="7">
        <f ca="1">IF(OFFSET(Assumptions!$B$72,0,$C$1)="BU",Q$14*(P$179/P$14+MIN(ABS(OFFSET(Assumptions!$B$76,0,$C$1)-P$179/P$14),OFFSET(Assumptions!$B$75,0,$C$1))*SIGN(OFFSET(Assumptions!$B$76,0,$C$1)-P$179/P$14)),P$179+IF(OFFSET(Assumptions!$B$113,0,$C$1)="SND",Allocate!$B$14*Q$232*Q$14,0))</f>
        <v>2.0747461499007436</v>
      </c>
      <c r="R179" s="7">
        <f ca="1">IF(OFFSET(Assumptions!$B$72,0,$C$1)="BU",R$14*(Q$179/Q$14+MIN(ABS(OFFSET(Assumptions!$B$76,0,$C$1)-Q$179/Q$14),OFFSET(Assumptions!$B$75,0,$C$1))*SIGN(OFFSET(Assumptions!$B$76,0,$C$1)-Q$179/Q$14)),Q$179+IF(OFFSET(Assumptions!$B$113,0,$C$1)="SND",Allocate!$B$14*R$232*R$14,0))</f>
        <v>2.156274432588269</v>
      </c>
      <c r="S179" s="7">
        <f ca="1">IF(OFFSET(Assumptions!$B$72,0,$C$1)="BU",S$14*(R$179/R$14+MIN(ABS(OFFSET(Assumptions!$B$76,0,$C$1)-R$179/R$14),OFFSET(Assumptions!$B$75,0,$C$1))*SIGN(OFFSET(Assumptions!$B$76,0,$C$1)-R$179/R$14)),R$179+IF(OFFSET(Assumptions!$B$113,0,$C$1)="SND",Allocate!$B$14*S$232*S$14,0))</f>
        <v>2.2411394846193735</v>
      </c>
      <c r="T179" s="7">
        <f ca="1">IF(OFFSET(Assumptions!$B$72,0,$C$1)="BU",T$14*(S$179/S$14+MIN(ABS(OFFSET(Assumptions!$B$76,0,$C$1)-S$179/S$14),OFFSET(Assumptions!$B$75,0,$C$1))*SIGN(OFFSET(Assumptions!$B$76,0,$C$1)-S$179/S$14)),S$179+IF(OFFSET(Assumptions!$B$113,0,$C$1)="SND",Allocate!$B$14*T$232*T$14,0))</f>
        <v>2.3294444935296266</v>
      </c>
      <c r="U179" s="7">
        <f ca="1">IF(OFFSET(Assumptions!$B$72,0,$C$1)="BU",U$14*(T$179/T$14+MIN(ABS(OFFSET(Assumptions!$B$76,0,$C$1)-T$179/T$14),OFFSET(Assumptions!$B$75,0,$C$1))*SIGN(OFFSET(Assumptions!$B$76,0,$C$1)-T$179/T$14)),T$179+IF(OFFSET(Assumptions!$B$113,0,$C$1)="SND",Allocate!$B$14*U$232*U$14,0))</f>
        <v>2.4213049927691612</v>
      </c>
      <c r="V179" s="7">
        <f ca="1">IF(OFFSET(Assumptions!$B$72,0,$C$1)="BU",V$14*(U$179/U$14+MIN(ABS(OFFSET(Assumptions!$B$76,0,$C$1)-U$179/U$14),OFFSET(Assumptions!$B$75,0,$C$1))*SIGN(OFFSET(Assumptions!$B$76,0,$C$1)-U$179/U$14)),U$179+IF(OFFSET(Assumptions!$B$113,0,$C$1)="SND",Allocate!$B$14*V$232*V$14,0))</f>
        <v>2.5168452925362965</v>
      </c>
      <c r="W179" s="7">
        <f ca="1">IF(OFFSET(Assumptions!$B$72,0,$C$1)="BU",W$14*(V$179/V$14+MIN(ABS(OFFSET(Assumptions!$B$76,0,$C$1)-V$179/V$14),OFFSET(Assumptions!$B$75,0,$C$1))*SIGN(OFFSET(Assumptions!$B$76,0,$C$1)-V$179/V$14)),V$179+IF(OFFSET(Assumptions!$B$113,0,$C$1)="SND",Allocate!$B$14*W$232*W$14,0))</f>
        <v>2.6162003643396625</v>
      </c>
      <c r="X179" s="7">
        <f ca="1">IF(OFFSET(Assumptions!$B$72,0,$C$1)="BU",X$14*(W$179/W$14+MIN(ABS(OFFSET(Assumptions!$B$76,0,$C$1)-W$179/W$14),OFFSET(Assumptions!$B$75,0,$C$1))*SIGN(OFFSET(Assumptions!$B$76,0,$C$1)-W$179/W$14)),W$179+IF(OFFSET(Assumptions!$B$113,0,$C$1)="SND",Allocate!$B$14*X$232*X$14,0))</f>
        <v>2.7195172628155371</v>
      </c>
      <c r="Y179" s="7">
        <f ca="1">IF(OFFSET(Assumptions!$B$72,0,$C$1)="BU",Y$14*(X$179/X$14+MIN(ABS(OFFSET(Assumptions!$B$76,0,$C$1)-X$179/X$14),OFFSET(Assumptions!$B$75,0,$C$1))*SIGN(OFFSET(Assumptions!$B$76,0,$C$1)-X$179/X$14)),X$179+IF(OFFSET(Assumptions!$B$113,0,$C$1)="SND",Allocate!$B$14*Y$232*Y$14,0))</f>
        <v>2.8269426375703333</v>
      </c>
      <c r="Z179" s="7">
        <f ca="1">IF(OFFSET(Assumptions!$B$72,0,$C$1)="BU",Z$14*(Y$179/Y$14+MIN(ABS(OFFSET(Assumptions!$B$76,0,$C$1)-Y$179/Y$14),OFFSET(Assumptions!$B$75,0,$C$1))*SIGN(OFFSET(Assumptions!$B$76,0,$C$1)-Y$179/Y$14)),Y$179+IF(OFFSET(Assumptions!$B$113,0,$C$1)="SND",Allocate!$B$14*Z$232*Z$14,0))</f>
        <v>2.9386439338481689</v>
      </c>
      <c r="AA179" s="7">
        <f ca="1">IF(OFFSET(Assumptions!$B$72,0,$C$1)="BU",AA$14*(Z$179/Z$14+MIN(ABS(OFFSET(Assumptions!$B$76,0,$C$1)-Z$179/Z$14),OFFSET(Assumptions!$B$75,0,$C$1))*SIGN(OFFSET(Assumptions!$B$76,0,$C$1)-Z$179/Z$14)),Z$179+IF(OFFSET(Assumptions!$B$113,0,$C$1)="SND",Allocate!$B$14*AA$232*AA$14,0))</f>
        <v>3.0160783215153444</v>
      </c>
      <c r="AB179" s="7">
        <f ca="1">IF(OFFSET(Assumptions!$B$72,0,$C$1)="BU",AB$14*(AA$179/AA$14+MIN(ABS(OFFSET(Assumptions!$B$76,0,$C$1)-AA$179/AA$14),OFFSET(Assumptions!$B$75,0,$C$1))*SIGN(OFFSET(Assumptions!$B$76,0,$C$1)-AA$179/AA$14)),AA$179+IF(OFFSET(Assumptions!$B$113,0,$C$1)="SND",Allocate!$B$14*AB$232*AB$14,0))</f>
        <v>3.0966047182094059</v>
      </c>
      <c r="AC179" s="7">
        <f ca="1">IF(OFFSET(Assumptions!$B$72,0,$C$1)="BU",AC$14*(AB$179/AB$14+MIN(ABS(OFFSET(Assumptions!$B$76,0,$C$1)-AB$179/AB$14),OFFSET(Assumptions!$B$75,0,$C$1))*SIGN(OFFSET(Assumptions!$B$76,0,$C$1)-AB$179/AB$14)),AB$179+IF(OFFSET(Assumptions!$B$113,0,$C$1)="SND",Allocate!$B$14*AC$232*AC$14,0))</f>
        <v>3.1803599488956245</v>
      </c>
      <c r="AD179" s="7">
        <f ca="1">IF(OFFSET(Assumptions!$B$72,0,$C$1)="BU",AD$14*(AC$179/AC$14+MIN(ABS(OFFSET(Assumptions!$B$76,0,$C$1)-AC$179/AC$14),OFFSET(Assumptions!$B$75,0,$C$1))*SIGN(OFFSET(Assumptions!$B$76,0,$C$1)-AC$179/AC$14)),AC$179+IF(OFFSET(Assumptions!$B$113,0,$C$1)="SND",Allocate!$B$14*AD$232*AD$14,0))</f>
        <v>3.267484241770128</v>
      </c>
      <c r="AE179" s="7">
        <f ca="1">IF(OFFSET(Assumptions!$B$72,0,$C$1)="BU",AE$14*(AD$179/AD$14+MIN(ABS(OFFSET(Assumptions!$B$76,0,$C$1)-AD$179/AD$14),OFFSET(Assumptions!$B$75,0,$C$1))*SIGN(OFFSET(Assumptions!$B$76,0,$C$1)-AD$179/AD$14)),AD$179+IF(OFFSET(Assumptions!$B$113,0,$C$1)="SND",Allocate!$B$14*AE$232*AE$14,0))</f>
        <v>3.3581147309944757</v>
      </c>
      <c r="AF179" s="7">
        <f ca="1">IF(OFFSET(Assumptions!$B$72,0,$C$1)="BU",AF$14*(AE$179/AE$14+MIN(ABS(OFFSET(Assumptions!$B$76,0,$C$1)-AE$179/AE$14),OFFSET(Assumptions!$B$75,0,$C$1))*SIGN(OFFSET(Assumptions!$B$76,0,$C$1)-AE$179/AE$14)),AE$179+IF(OFFSET(Assumptions!$B$113,0,$C$1)="SND",Allocate!$B$14*AF$232*AF$14,0))</f>
        <v>3.4523982509716413</v>
      </c>
      <c r="AG179" s="7">
        <f ca="1">IF(OFFSET(Assumptions!$B$72,0,$C$1)="BU",AG$14*(AF$179/AF$14+MIN(ABS(OFFSET(Assumptions!$B$76,0,$C$1)-AF$179/AF$14),OFFSET(Assumptions!$B$75,0,$C$1))*SIGN(OFFSET(Assumptions!$B$76,0,$C$1)-AF$179/AF$14)),AF$179+IF(OFFSET(Assumptions!$B$113,0,$C$1)="SND",Allocate!$B$14*AG$232*AG$14,0))</f>
        <v>3.5504836787266427</v>
      </c>
      <c r="AH179" s="7">
        <f ca="1">IF(OFFSET(Assumptions!$B$72,0,$C$1)="BU",AH$14*(AG$179/AG$14+MIN(ABS(OFFSET(Assumptions!$B$76,0,$C$1)-AG$179/AG$14),OFFSET(Assumptions!$B$75,0,$C$1))*SIGN(OFFSET(Assumptions!$B$76,0,$C$1)-AG$179/AG$14)),AG$179+IF(OFFSET(Assumptions!$B$113,0,$C$1)="SND",Allocate!$B$14*AH$232*AH$14,0))</f>
        <v>3.6525259879074206</v>
      </c>
      <c r="AI179" s="7">
        <f ca="1">IF(OFFSET(Assumptions!$B$72,0,$C$1)="BU",AI$14*(AH$179/AH$14+MIN(ABS(OFFSET(Assumptions!$B$76,0,$C$1)-AH$179/AH$14),OFFSET(Assumptions!$B$75,0,$C$1))*SIGN(OFFSET(Assumptions!$B$76,0,$C$1)-AH$179/AH$14)),AH$179+IF(OFFSET(Assumptions!$B$113,0,$C$1)="SND",Allocate!$B$14*AI$232*AI$14,0))</f>
        <v>3.7586732381802035</v>
      </c>
      <c r="AJ179" s="7">
        <f ca="1">IF(OFFSET(Assumptions!$B$72,0,$C$1)="BU",AJ$14*(AI$179/AI$14+MIN(ABS(OFFSET(Assumptions!$B$76,0,$C$1)-AI$179/AI$14),OFFSET(Assumptions!$B$75,0,$C$1))*SIGN(OFFSET(Assumptions!$B$76,0,$C$1)-AI$179/AI$14)),AI$179+IF(OFFSET(Assumptions!$B$113,0,$C$1)="SND",Allocate!$B$14*AJ$232*AJ$14,0))</f>
        <v>3.8690866393827568</v>
      </c>
      <c r="AK179" s="7">
        <f ca="1">IF(OFFSET(Assumptions!$B$72,0,$C$1)="BU",AK$14*(AJ$179/AJ$14+MIN(ABS(OFFSET(Assumptions!$B$76,0,$C$1)-AJ$179/AJ$14),OFFSET(Assumptions!$B$75,0,$C$1))*SIGN(OFFSET(Assumptions!$B$76,0,$C$1)-AJ$179/AJ$14)),AJ$179+IF(OFFSET(Assumptions!$B$113,0,$C$1)="SND",Allocate!$B$14*AK$232*AK$14,0))</f>
        <v>3.9839238918856785</v>
      </c>
      <c r="AL179" s="7">
        <f ca="1">IF(OFFSET(Assumptions!$B$72,0,$C$1)="BU",AL$14*(AK$179/AK$14+MIN(ABS(OFFSET(Assumptions!$B$76,0,$C$1)-AK$179/AK$14),OFFSET(Assumptions!$B$75,0,$C$1))*SIGN(OFFSET(Assumptions!$B$76,0,$C$1)-AK$179/AK$14)),AK$179+IF(OFFSET(Assumptions!$B$113,0,$C$1)="SND",Allocate!$B$14*AL$232*AL$14,0))</f>
        <v>4.1033392112698515</v>
      </c>
      <c r="AM179" s="7">
        <f ca="1">IF(OFFSET(Assumptions!$B$72,0,$C$1)="BU",AM$14*(AL$179/AL$14+MIN(ABS(OFFSET(Assumptions!$B$76,0,$C$1)-AL$179/AL$14),OFFSET(Assumptions!$B$75,0,$C$1))*SIGN(OFFSET(Assumptions!$B$76,0,$C$1)-AL$179/AL$14)),AL$179+IF(OFFSET(Assumptions!$B$113,0,$C$1)="SND",Allocate!$B$14*AM$232*AM$14,0))</f>
        <v>4.2274930673516753</v>
      </c>
      <c r="AN179" s="7">
        <f ca="1">IF(OFFSET(Assumptions!$B$72,0,$C$1)="BU",AN$14*(AM$179/AM$14+MIN(ABS(OFFSET(Assumptions!$B$76,0,$C$1)-AM$179/AM$14),OFFSET(Assumptions!$B$75,0,$C$1))*SIGN(OFFSET(Assumptions!$B$76,0,$C$1)-AM$179/AM$14)),AM$179+IF(OFFSET(Assumptions!$B$113,0,$C$1)="SND",Allocate!$B$14*AN$232*AN$14,0))</f>
        <v>4.3565525212062077</v>
      </c>
      <c r="AO179" s="7">
        <f ca="1">IF(OFFSET(Assumptions!$B$72,0,$C$1)="BU",AO$14*(AN$179/AN$14+MIN(ABS(OFFSET(Assumptions!$B$76,0,$C$1)-AN$179/AN$14),OFFSET(Assumptions!$B$75,0,$C$1))*SIGN(OFFSET(Assumptions!$B$76,0,$C$1)-AN$179/AN$14)),AN$179+IF(OFFSET(Assumptions!$B$113,0,$C$1)="SND",Allocate!$B$14*AO$232*AO$14,0))</f>
        <v>4.4906653713224882</v>
      </c>
      <c r="AP179" s="7">
        <f ca="1">IF(OFFSET(Assumptions!$B$72,0,$C$1)="BU",AP$14*(AO$179/AO$14+MIN(ABS(OFFSET(Assumptions!$B$76,0,$C$1)-AO$179/AO$14),OFFSET(Assumptions!$B$75,0,$C$1))*SIGN(OFFSET(Assumptions!$B$76,0,$C$1)-AO$179/AO$14)),AO$179+IF(OFFSET(Assumptions!$B$113,0,$C$1)="SND",Allocate!$B$14*AP$232*AP$14,0))</f>
        <v>4.6300008754121107</v>
      </c>
      <c r="AQ179" s="7">
        <f ca="1">IF(OFFSET(Assumptions!$B$72,0,$C$1)="BU",AQ$14*(AP$179/AP$14+MIN(ABS(OFFSET(Assumptions!$B$76,0,$C$1)-AP$179/AP$14),OFFSET(Assumptions!$B$75,0,$C$1))*SIGN(OFFSET(Assumptions!$B$76,0,$C$1)-AP$179/AP$14)),AP$179+IF(OFFSET(Assumptions!$B$113,0,$C$1)="SND",Allocate!$B$14*AQ$232*AQ$14,0))</f>
        <v>4.7747136573267195</v>
      </c>
      <c r="AR179" s="7">
        <f ca="1">IF(OFFSET(Assumptions!$B$72,0,$C$1)="BU",AR$14*(AQ$179/AQ$14+MIN(ABS(OFFSET(Assumptions!$B$76,0,$C$1)-AQ$179/AQ$14),OFFSET(Assumptions!$B$75,0,$C$1))*SIGN(OFFSET(Assumptions!$B$76,0,$C$1)-AQ$179/AQ$14)),AQ$179+IF(OFFSET(Assumptions!$B$113,0,$C$1)="SND",Allocate!$B$14*AR$232*AR$14,0))</f>
        <v>4.9249644289584333</v>
      </c>
      <c r="AS179" s="7">
        <f ca="1">IF(OFFSET(Assumptions!$B$72,0,$C$1)="BU",AS$14*(AR$179/AR$14+MIN(ABS(OFFSET(Assumptions!$B$76,0,$C$1)-AR$179/AR$14),OFFSET(Assumptions!$B$75,0,$C$1))*SIGN(OFFSET(Assumptions!$B$76,0,$C$1)-AR$179/AR$14)),AR$179+IF(OFFSET(Assumptions!$B$113,0,$C$1)="SND",Allocate!$B$14*AS$232*AS$14,0))</f>
        <v>5.0809268221696442</v>
      </c>
      <c r="AT179" s="7">
        <f ca="1">IF(OFFSET(Assumptions!$B$72,0,$C$1)="BU",AT$14*(AS$179/AS$14+MIN(ABS(OFFSET(Assumptions!$B$76,0,$C$1)-AS$179/AS$14),OFFSET(Assumptions!$B$75,0,$C$1))*SIGN(OFFSET(Assumptions!$B$76,0,$C$1)-AS$179/AS$14)),AS$179+IF(OFFSET(Assumptions!$B$113,0,$C$1)="SND",Allocate!$B$14*AT$232*AT$14,0))</f>
        <v>5.2427790305079069</v>
      </c>
      <c r="AU179" s="7">
        <f ca="1">IF(OFFSET(Assumptions!$B$72,0,$C$1)="BU",AU$14*(AT$179/AT$14+MIN(ABS(OFFSET(Assumptions!$B$76,0,$C$1)-AT$179/AT$14),OFFSET(Assumptions!$B$75,0,$C$1))*SIGN(OFFSET(Assumptions!$B$76,0,$C$1)-AT$179/AT$14)),AT$179+IF(OFFSET(Assumptions!$B$113,0,$C$1)="SND",Allocate!$B$14*AU$232*AU$14,0))</f>
        <v>5.4107070796600247</v>
      </c>
      <c r="AV179" s="7">
        <f ca="1">IF(OFFSET(Assumptions!$B$72,0,$C$1)="BU",AV$14*(AU$179/AU$14+MIN(ABS(OFFSET(Assumptions!$B$76,0,$C$1)-AU$179/AU$14),OFFSET(Assumptions!$B$75,0,$C$1))*SIGN(OFFSET(Assumptions!$B$76,0,$C$1)-AU$179/AU$14)),AU$179+IF(OFFSET(Assumptions!$B$113,0,$C$1)="SND",Allocate!$B$14*AV$232*AV$14,0))</f>
        <v>5.5849157811932555</v>
      </c>
      <c r="AW179" s="7">
        <f ca="1">IF(OFFSET(Assumptions!$B$72,0,$C$1)="BU",AW$14*(AV$179/AV$14+MIN(ABS(OFFSET(Assumptions!$B$76,0,$C$1)-AV$179/AV$14),OFFSET(Assumptions!$B$75,0,$C$1))*SIGN(OFFSET(Assumptions!$B$76,0,$C$1)-AV$179/AV$14)),AV$179+IF(OFFSET(Assumptions!$B$113,0,$C$1)="SND",Allocate!$B$14*AW$232*AW$14,0))</f>
        <v>5.7656064008937529</v>
      </c>
    </row>
    <row r="180" spans="1:49" ht="15" x14ac:dyDescent="0.25">
      <c r="A180" s="2" t="s">
        <v>525</v>
      </c>
      <c r="B180" s="4"/>
      <c r="D180" s="47">
        <f t="shared" ref="D180" si="153">SUM(D$172,D$179)</f>
        <v>23.523</v>
      </c>
      <c r="E180" s="44">
        <f t="shared" ref="E180:AW180" ca="1" si="154">SUM(E$172,E$179)</f>
        <v>24.280999999999999</v>
      </c>
      <c r="F180" s="44">
        <f t="shared" ca="1" si="154"/>
        <v>25.212</v>
      </c>
      <c r="G180" s="44">
        <f t="shared" ca="1" si="154"/>
        <v>25.731999999999999</v>
      </c>
      <c r="H180" s="44">
        <f t="shared" ca="1" si="154"/>
        <v>26.504999999999999</v>
      </c>
      <c r="I180" s="44">
        <f t="shared" ca="1" si="154"/>
        <v>27.477</v>
      </c>
      <c r="J180" s="8">
        <f t="shared" ca="1" si="154"/>
        <v>29.263122688368494</v>
      </c>
      <c r="K180" s="8">
        <f t="shared" ca="1" si="154"/>
        <v>31.305655570110922</v>
      </c>
      <c r="L180" s="8">
        <f t="shared" ca="1" si="154"/>
        <v>33.463907454235724</v>
      </c>
      <c r="M180" s="8">
        <f t="shared" ca="1" si="154"/>
        <v>35.718420455118213</v>
      </c>
      <c r="N180" s="8">
        <f t="shared" ca="1" si="154"/>
        <v>38.101008758081342</v>
      </c>
      <c r="O180" s="8">
        <f t="shared" ca="1" si="154"/>
        <v>40.543477512911359</v>
      </c>
      <c r="P180" s="8">
        <f t="shared" ca="1" si="154"/>
        <v>43.05708007701962</v>
      </c>
      <c r="Q180" s="8">
        <f t="shared" ca="1" si="154"/>
        <v>45.667942676070169</v>
      </c>
      <c r="R180" s="8">
        <f t="shared" ca="1" si="154"/>
        <v>48.361780393713829</v>
      </c>
      <c r="S180" s="8">
        <f t="shared" ca="1" si="154"/>
        <v>51.104989605399417</v>
      </c>
      <c r="T180" s="8">
        <f t="shared" ca="1" si="154"/>
        <v>53.936689995682976</v>
      </c>
      <c r="U180" s="8">
        <f t="shared" ca="1" si="154"/>
        <v>56.888036524113481</v>
      </c>
      <c r="V180" s="8">
        <f t="shared" ca="1" si="154"/>
        <v>59.972592874015355</v>
      </c>
      <c r="W180" s="8">
        <f t="shared" ca="1" si="154"/>
        <v>63.008466573388162</v>
      </c>
      <c r="X180" s="8">
        <f t="shared" ca="1" si="154"/>
        <v>66.068980537921746</v>
      </c>
      <c r="Y180" s="8">
        <f t="shared" ca="1" si="154"/>
        <v>69.286722532712531</v>
      </c>
      <c r="Z180" s="8">
        <f t="shared" ca="1" si="154"/>
        <v>72.588452124850789</v>
      </c>
      <c r="AA180" s="8">
        <f t="shared" ca="1" si="154"/>
        <v>75.902887697842772</v>
      </c>
      <c r="AB180" s="8">
        <f t="shared" ca="1" si="154"/>
        <v>79.257855893885008</v>
      </c>
      <c r="AC180" s="8">
        <f t="shared" ca="1" si="154"/>
        <v>82.647481680030523</v>
      </c>
      <c r="AD180" s="8">
        <f t="shared" ca="1" si="154"/>
        <v>86.064340267278254</v>
      </c>
      <c r="AE180" s="8">
        <f t="shared" ca="1" si="154"/>
        <v>89.593582081584231</v>
      </c>
      <c r="AF180" s="8">
        <f t="shared" ca="1" si="154"/>
        <v>93.198169955356065</v>
      </c>
      <c r="AG180" s="8">
        <f t="shared" ca="1" si="154"/>
        <v>96.976065403353061</v>
      </c>
      <c r="AH180" s="8">
        <f t="shared" ca="1" si="154"/>
        <v>100.89047641422383</v>
      </c>
      <c r="AI180" s="8">
        <f t="shared" ca="1" si="154"/>
        <v>104.95921611508177</v>
      </c>
      <c r="AJ180" s="8">
        <f t="shared" ca="1" si="154"/>
        <v>109.19724787192119</v>
      </c>
      <c r="AK180" s="8">
        <f t="shared" ca="1" si="154"/>
        <v>113.65087417652028</v>
      </c>
      <c r="AL180" s="8">
        <f t="shared" ca="1" si="154"/>
        <v>118.27094749370109</v>
      </c>
      <c r="AM180" s="8">
        <f t="shared" ca="1" si="154"/>
        <v>123.08133697197707</v>
      </c>
      <c r="AN180" s="8">
        <f t="shared" ca="1" si="154"/>
        <v>128.13003191545741</v>
      </c>
      <c r="AO180" s="8">
        <f t="shared" ca="1" si="154"/>
        <v>133.44066225426533</v>
      </c>
      <c r="AP180" s="8">
        <f t="shared" ca="1" si="154"/>
        <v>139.10549098173652</v>
      </c>
      <c r="AQ180" s="8">
        <f t="shared" ca="1" si="154"/>
        <v>145.103681687717</v>
      </c>
      <c r="AR180" s="8">
        <f t="shared" ca="1" si="154"/>
        <v>151.50920017718295</v>
      </c>
      <c r="AS180" s="8">
        <f t="shared" ca="1" si="154"/>
        <v>158.32073389856635</v>
      </c>
      <c r="AT180" s="8">
        <f t="shared" ca="1" si="154"/>
        <v>165.33153701818139</v>
      </c>
      <c r="AU180" s="8">
        <f t="shared" ca="1" si="154"/>
        <v>172.62358356746842</v>
      </c>
      <c r="AV180" s="8">
        <f t="shared" ca="1" si="154"/>
        <v>180.16051583958114</v>
      </c>
      <c r="AW180" s="8">
        <f t="shared" ca="1" si="154"/>
        <v>188.01980317521199</v>
      </c>
    </row>
    <row r="181" spans="1:49" x14ac:dyDescent="0.2">
      <c r="A181" s="1" t="s">
        <v>526</v>
      </c>
      <c r="B181" s="4" t="str">
        <f t="shared" si="145"/>
        <v>From Fiscal</v>
      </c>
      <c r="D181" s="18">
        <f>Fiscal!D$193</f>
        <v>5.2460000000000004</v>
      </c>
      <c r="E181" s="19">
        <f>Fiscal!E$193</f>
        <v>5.234</v>
      </c>
      <c r="F181" s="19">
        <f>Fiscal!F$193</f>
        <v>5.4420000000000002</v>
      </c>
      <c r="G181" s="19">
        <f>Fiscal!G$193</f>
        <v>5.4930000000000003</v>
      </c>
      <c r="H181" s="19">
        <f>Fiscal!H$193</f>
        <v>5.8639999999999999</v>
      </c>
      <c r="I181" s="19">
        <f>Fiscal!I$193</f>
        <v>6.1390000000000002</v>
      </c>
      <c r="J181" s="7">
        <f>I$181*Exogenous!Q$25/Exogenous!P$25</f>
        <v>6.4134014816801432</v>
      </c>
      <c r="K181" s="7">
        <f>J$181*Exogenous!R$25/Exogenous!Q$25</f>
        <v>6.71274879118603</v>
      </c>
      <c r="L181" s="7">
        <f>K$181*Exogenous!S$25/Exogenous!R$25</f>
        <v>7.018567541074888</v>
      </c>
      <c r="M181" s="7">
        <f>L$181*Exogenous!T$25/Exogenous!S$25</f>
        <v>7.3542874529158659</v>
      </c>
      <c r="N181" s="7">
        <f>M$181*Exogenous!U$25/Exogenous!T$25</f>
        <v>7.6617469822335202</v>
      </c>
      <c r="O181" s="7">
        <f>N$181*Exogenous!V$25/Exogenous!U$25</f>
        <v>7.9834907164048809</v>
      </c>
      <c r="P181" s="7">
        <f>O$181*Exogenous!W$25/Exogenous!V$25</f>
        <v>8.2977775476766329</v>
      </c>
      <c r="Q181" s="7">
        <f>P$181*Exogenous!X$25/Exogenous!W$25</f>
        <v>8.6215791879817232</v>
      </c>
      <c r="R181" s="7">
        <f>Q$181*Exogenous!Y$25/Exogenous!X$25</f>
        <v>8.9553096524377889</v>
      </c>
      <c r="S181" s="7">
        <f>R$181*Exogenous!Z$25/Exogenous!Y$25</f>
        <v>9.2994014417259603</v>
      </c>
      <c r="T181" s="7">
        <f>S$181*Exogenous!AA$25/Exogenous!Z$25</f>
        <v>9.6543063848929904</v>
      </c>
      <c r="U181" s="7">
        <f>T$181*Exogenous!AB$25/Exogenous!AA$25</f>
        <v>10.020496521268131</v>
      </c>
      <c r="V181" s="7">
        <f>U$181*Exogenous!AC$25/Exogenous!AB$25</f>
        <v>10.398465023338829</v>
      </c>
      <c r="W181" s="7">
        <f>V$181*Exogenous!AD$25/Exogenous!AC$25</f>
        <v>10.788727162518127</v>
      </c>
      <c r="X181" s="7">
        <f>W$181*Exogenous!AE$25/Exogenous!AD$25</f>
        <v>11.191821319828581</v>
      </c>
      <c r="Y181" s="7">
        <f>X$181*Exogenous!AF$25/Exogenous!AE$25</f>
        <v>11.608310043624851</v>
      </c>
      <c r="Z181" s="7">
        <f>Y$181*Exogenous!AG$25/Exogenous!AF$25</f>
        <v>12.038781156578816</v>
      </c>
      <c r="AA181" s="7">
        <f>Z$181*Exogenous!AH$25/Exogenous!AG$25</f>
        <v>12.483848914257715</v>
      </c>
      <c r="AB181" s="7">
        <f>AA$181*Exogenous!AI$25/Exogenous!AH$25</f>
        <v>12.944155217737611</v>
      </c>
      <c r="AC181" s="7">
        <f>AB$181*Exogenous!AJ$25/Exogenous!AI$25</f>
        <v>13.420370882811971</v>
      </c>
      <c r="AD181" s="7">
        <f>AC$181*Exogenous!AK$25/Exogenous!AJ$25</f>
        <v>13.913196968477902</v>
      </c>
      <c r="AE181" s="7">
        <f>AD$181*Exogenous!AL$25/Exogenous!AK$25</f>
        <v>14.423366167512027</v>
      </c>
      <c r="AF181" s="7">
        <f>AE$181*Exogenous!AM$25/Exogenous!AL$25</f>
        <v>14.951644262082667</v>
      </c>
      <c r="AG181" s="7">
        <f>AF$181*Exogenous!AN$25/Exogenous!AM$25</f>
        <v>15.498831647487748</v>
      </c>
      <c r="AH181" s="7">
        <f>AG$181*Exogenous!AO$25/Exogenous!AN$25</f>
        <v>16.065764927255888</v>
      </c>
      <c r="AI181" s="7">
        <f>AH$181*Exogenous!AP$25/Exogenous!AO$25</f>
        <v>16.653318583004637</v>
      </c>
      <c r="AJ181" s="7">
        <f>AI$181*Exogenous!AQ$25/Exogenous!AP$25</f>
        <v>17.262406722613804</v>
      </c>
      <c r="AK181" s="7">
        <f>AJ$181*Exogenous!AR$25/Exogenous!AQ$25</f>
        <v>17.893984910443052</v>
      </c>
      <c r="AL181" s="7">
        <f>AK$181*Exogenous!AS$25/Exogenous!AR$25</f>
        <v>18.549052083503479</v>
      </c>
      <c r="AM181" s="7">
        <f>AL$181*Exogenous!AT$25/Exogenous!AS$25</f>
        <v>19.228652557681848</v>
      </c>
      <c r="AN181" s="7">
        <f>AM$181*Exogenous!AU$25/Exogenous!AT$25</f>
        <v>19.933878128314344</v>
      </c>
      <c r="AO181" s="7">
        <f>AN$181*Exogenous!AV$25/Exogenous!AU$25</f>
        <v>20.665870269614651</v>
      </c>
      <c r="AP181" s="7">
        <f>AO$181*Exogenous!AW$25/Exogenous!AV$25</f>
        <v>21.425822437679525</v>
      </c>
      <c r="AQ181" s="7">
        <f>AP$181*Exogenous!AX$25/Exogenous!AW$25</f>
        <v>22.214982482023952</v>
      </c>
      <c r="AR181" s="7">
        <f>AQ$181*Exogenous!AY$25/Exogenous!AX$25</f>
        <v>23.034655170837656</v>
      </c>
      <c r="AS181" s="7">
        <f>AR$181*Exogenous!AZ$25/Exogenous!AY$25</f>
        <v>23.886204835407561</v>
      </c>
      <c r="AT181" s="7">
        <f>AS$181*Exogenous!BA$25/Exogenous!AZ$25</f>
        <v>24.766835334924412</v>
      </c>
      <c r="AU181" s="7">
        <f>AT$181*Exogenous!BB$25/Exogenous!BA$25</f>
        <v>25.679932694791123</v>
      </c>
      <c r="AV181" s="7">
        <f>AU$181*Exogenous!BC$25/Exogenous!BB$25</f>
        <v>26.626693894923285</v>
      </c>
      <c r="AW181" s="7">
        <f>AV$181*Exogenous!BD$25/Exogenous!BC$25</f>
        <v>27.608360045186309</v>
      </c>
    </row>
    <row r="182" spans="1:49" x14ac:dyDescent="0.2">
      <c r="A182" s="1" t="s">
        <v>527</v>
      </c>
      <c r="B182" s="4" t="str">
        <f t="shared" si="145"/>
        <v>From Fiscal</v>
      </c>
      <c r="D182" s="18">
        <f>Fiscal!D$36-SUM(D$180:D$181)</f>
        <v>-0.5379999999999967</v>
      </c>
      <c r="E182" s="19">
        <f ca="1">Fiscal!E$36-SUM(E$180:E$181)  +IF(OR(OFFSET(Assumptions!$B$72,0,$C$1)="BU",OFFSET(Assumptions!$B$113,0,$C$1)="SND"),Allocate!C$14,0)</f>
        <v>-0.49399999999999922</v>
      </c>
      <c r="F182" s="19">
        <f ca="1">Fiscal!F$36-SUM(F$180:F$181)  +IF(OR(OFFSET(Assumptions!$B$72,0,$C$1)="BU",OFFSET(Assumptions!$B$113,0,$C$1)="SND"),Allocate!D$14,0)</f>
        <v>-0.54599999999999893</v>
      </c>
      <c r="G182" s="19">
        <f ca="1">Fiscal!G$36-SUM(G$180:G$181)  +IF(OR(OFFSET(Assumptions!$B$72,0,$C$1)="BU",OFFSET(Assumptions!$B$113,0,$C$1)="SND"),Allocate!E$14,0)</f>
        <v>-0.56300000000000228</v>
      </c>
      <c r="H182" s="19">
        <f ca="1">Fiscal!H$36-SUM(H$180:H$181)  +IF(OR(OFFSET(Assumptions!$B$72,0,$C$1)="BU",OFFSET(Assumptions!$B$113,0,$C$1)="SND"),Allocate!F$14,0)</f>
        <v>-0.57899999999999985</v>
      </c>
      <c r="I182" s="19">
        <f ca="1">Fiscal!I$36-SUM(I$180:I$181)  +IF(OR(OFFSET(Assumptions!$B$72,0,$C$1)="BU",OFFSET(Assumptions!$B$113,0,$C$1)="SND"),Allocate!G$14,0)</f>
        <v>-0.59499999999999831</v>
      </c>
      <c r="J182" s="7">
        <f ca="1">I$182*Exogenous!Q$26/Exogenous!P$26</f>
        <v>-0.62435130237605818</v>
      </c>
      <c r="K182" s="7">
        <f ca="1">J$182*Exogenous!R$26/Exogenous!Q$26</f>
        <v>-0.65693491261601467</v>
      </c>
      <c r="L182" s="7">
        <f ca="1">K$182*Exogenous!S$26/Exogenous!R$26</f>
        <v>-0.68887324635162961</v>
      </c>
      <c r="M182" s="7">
        <f ca="1">L$182*Exogenous!T$26/Exogenous!S$26</f>
        <v>-0.72731690298536678</v>
      </c>
      <c r="N182" s="7">
        <f ca="1">M$182*Exogenous!U$26/Exogenous!T$26</f>
        <v>-0.75993034360364231</v>
      </c>
      <c r="O182" s="7">
        <f ca="1">N$182*Exogenous!V$26/Exogenous!U$26</f>
        <v>-0.79512133878831803</v>
      </c>
      <c r="P182" s="7">
        <f ca="1">O$182*Exogenous!W$26/Exogenous!V$26</f>
        <v>-0.8247458954115382</v>
      </c>
      <c r="Q182" s="7">
        <f ca="1">P$182*Exogenous!X$26/Exogenous!W$26</f>
        <v>-0.85437045203475459</v>
      </c>
      <c r="R182" s="7">
        <f ca="1">Q$182*Exogenous!Y$26/Exogenous!X$26</f>
        <v>-0.88399500865797331</v>
      </c>
      <c r="S182" s="7">
        <f ca="1">R$182*Exogenous!Z$26/Exogenous!Y$26</f>
        <v>-0.9136195652811937</v>
      </c>
      <c r="T182" s="7">
        <f ca="1">S$182*Exogenous!AA$26/Exogenous!Z$26</f>
        <v>-0.94324412190440876</v>
      </c>
      <c r="U182" s="7">
        <f ca="1">T$182*Exogenous!AB$26/Exogenous!AA$26</f>
        <v>-0.97286867852762815</v>
      </c>
      <c r="V182" s="7">
        <f ca="1">U$182*Exogenous!AC$26/Exogenous!AB$26</f>
        <v>-1.0024932351508478</v>
      </c>
      <c r="W182" s="7">
        <f ca="1">V$182*Exogenous!AD$26/Exogenous!AC$26</f>
        <v>-1.0321177917740643</v>
      </c>
      <c r="X182" s="7">
        <f ca="1">W$182*Exogenous!AE$26/Exogenous!AD$26</f>
        <v>-1.0617423483972805</v>
      </c>
      <c r="Y182" s="7">
        <f ca="1">X$182*Exogenous!AF$26/Exogenous!AE$26</f>
        <v>-1.0913669050205002</v>
      </c>
      <c r="Z182" s="7">
        <f ca="1">Y$182*Exogenous!AG$26/Exogenous!AF$26</f>
        <v>-1.1209914616437171</v>
      </c>
      <c r="AA182" s="7">
        <f ca="1">Z$182*Exogenous!AH$26/Exogenous!AG$26</f>
        <v>-1.1506160182669356</v>
      </c>
      <c r="AB182" s="7">
        <f ca="1">AA$182*Exogenous!AI$26/Exogenous!AH$26</f>
        <v>-1.180240574890155</v>
      </c>
      <c r="AC182" s="7">
        <f ca="1">AB$182*Exogenous!AJ$26/Exogenous!AI$26</f>
        <v>-1.2098651315133753</v>
      </c>
      <c r="AD182" s="7">
        <f ca="1">AC$182*Exogenous!AK$26/Exogenous!AJ$26</f>
        <v>-1.2394896881365904</v>
      </c>
      <c r="AE182" s="7">
        <f ca="1">AD$182*Exogenous!AL$26/Exogenous!AK$26</f>
        <v>-1.2691142447598109</v>
      </c>
      <c r="AF182" s="7">
        <f ca="1">AE$182*Exogenous!AM$26/Exogenous!AL$26</f>
        <v>-1.2987388013830297</v>
      </c>
      <c r="AG182" s="7">
        <f ca="1">AF$182*Exogenous!AN$26/Exogenous!AM$26</f>
        <v>-1.3283633580062424</v>
      </c>
      <c r="AH182" s="7">
        <f ca="1">AG$182*Exogenous!AO$26/Exogenous!AN$26</f>
        <v>-1.3579879146294627</v>
      </c>
      <c r="AI182" s="7">
        <f ca="1">AH$182*Exogenous!AP$26/Exogenous!AO$26</f>
        <v>-1.3876124712526821</v>
      </c>
      <c r="AJ182" s="7">
        <f ca="1">AI$182*Exogenous!AQ$26/Exogenous!AP$26</f>
        <v>-1.4172370278758979</v>
      </c>
      <c r="AK182" s="7">
        <f ca="1">AJ$182*Exogenous!AR$26/Exogenous!AQ$26</f>
        <v>-1.4468615844991177</v>
      </c>
      <c r="AL182" s="7">
        <f ca="1">AK$182*Exogenous!AS$26/Exogenous!AR$26</f>
        <v>-1.4764861411223373</v>
      </c>
      <c r="AM182" s="7">
        <f ca="1">AL$182*Exogenous!AT$26/Exogenous!AS$26</f>
        <v>-1.5061106977455534</v>
      </c>
      <c r="AN182" s="7">
        <f ca="1">AM$182*Exogenous!AU$26/Exogenous!AT$26</f>
        <v>-1.5357352543687728</v>
      </c>
      <c r="AO182" s="7">
        <f ca="1">AN$182*Exogenous!AV$26/Exogenous!AU$26</f>
        <v>-1.5653598109919928</v>
      </c>
      <c r="AP182" s="7">
        <f ca="1">AO$182*Exogenous!AW$26/Exogenous!AV$26</f>
        <v>-1.5949843676152056</v>
      </c>
      <c r="AQ182" s="7">
        <f ca="1">AP$182*Exogenous!AX$26/Exogenous!AW$26</f>
        <v>-1.6246089242384245</v>
      </c>
      <c r="AR182" s="7">
        <f ca="1">AQ$182*Exogenous!AY$26/Exogenous!AX$26</f>
        <v>-1.6542334808616448</v>
      </c>
      <c r="AS182" s="7">
        <f ca="1">AR$182*Exogenous!AZ$26/Exogenous!AY$26</f>
        <v>-1.68385803748486</v>
      </c>
      <c r="AT182" s="7">
        <f ca="1">AS$182*Exogenous!BA$26/Exogenous!AZ$26</f>
        <v>-1.7148586482883645</v>
      </c>
      <c r="AU182" s="7">
        <f ca="1">AT$182*Exogenous!BB$26/Exogenous!BA$26</f>
        <v>-1.7464299947767052</v>
      </c>
      <c r="AV182" s="7">
        <f ca="1">AU$182*Exogenous!BC$26/Exogenous!BB$26</f>
        <v>-1.7785825844596856</v>
      </c>
      <c r="AW182" s="7">
        <f ca="1">AV$182*Exogenous!BD$26/Exogenous!BC$26</f>
        <v>-1.8113271182952595</v>
      </c>
    </row>
    <row r="183" spans="1:49" ht="15" x14ac:dyDescent="0.25">
      <c r="A183" s="2" t="s">
        <v>528</v>
      </c>
      <c r="D183" s="40">
        <f t="shared" ref="D183" si="155">SUM(D$180:D$182)</f>
        <v>28.231000000000002</v>
      </c>
      <c r="E183" s="39">
        <f t="shared" ref="E183:AW183" ca="1" si="156">SUM(E$180:E$182)</f>
        <v>29.021000000000001</v>
      </c>
      <c r="F183" s="39">
        <f t="shared" ca="1" si="156"/>
        <v>30.108000000000001</v>
      </c>
      <c r="G183" s="39">
        <f t="shared" ca="1" si="156"/>
        <v>30.661999999999999</v>
      </c>
      <c r="H183" s="39">
        <f t="shared" ca="1" si="156"/>
        <v>31.79</v>
      </c>
      <c r="I183" s="39">
        <f t="shared" ca="1" si="156"/>
        <v>33.021000000000001</v>
      </c>
      <c r="J183" s="43">
        <f t="shared" ca="1" si="156"/>
        <v>35.052172867672581</v>
      </c>
      <c r="K183" s="43">
        <f t="shared" ca="1" si="156"/>
        <v>37.361469448680936</v>
      </c>
      <c r="L183" s="43">
        <f t="shared" ca="1" si="156"/>
        <v>39.793601748958984</v>
      </c>
      <c r="M183" s="43">
        <f t="shared" ca="1" si="156"/>
        <v>42.345391005048711</v>
      </c>
      <c r="N183" s="43">
        <f t="shared" ca="1" si="156"/>
        <v>45.002825396711216</v>
      </c>
      <c r="O183" s="43">
        <f t="shared" ca="1" si="156"/>
        <v>47.731846890527919</v>
      </c>
      <c r="P183" s="43">
        <f t="shared" ca="1" si="156"/>
        <v>50.530111729284712</v>
      </c>
      <c r="Q183" s="43">
        <f t="shared" ca="1" si="156"/>
        <v>53.435151412017134</v>
      </c>
      <c r="R183" s="43">
        <f t="shared" ca="1" si="156"/>
        <v>56.433095037493644</v>
      </c>
      <c r="S183" s="43">
        <f t="shared" ca="1" si="156"/>
        <v>59.490771481844185</v>
      </c>
      <c r="T183" s="43">
        <f t="shared" ca="1" si="156"/>
        <v>62.647752258671559</v>
      </c>
      <c r="U183" s="43">
        <f t="shared" ca="1" si="156"/>
        <v>65.935664366853985</v>
      </c>
      <c r="V183" s="43">
        <f t="shared" ca="1" si="156"/>
        <v>69.368564662203326</v>
      </c>
      <c r="W183" s="43">
        <f t="shared" ca="1" si="156"/>
        <v>72.765075944132221</v>
      </c>
      <c r="X183" s="43">
        <f t="shared" ca="1" si="156"/>
        <v>76.199059509353049</v>
      </c>
      <c r="Y183" s="43">
        <f t="shared" ca="1" si="156"/>
        <v>79.803665671316878</v>
      </c>
      <c r="Z183" s="43">
        <f t="shared" ca="1" si="156"/>
        <v>83.506241819785899</v>
      </c>
      <c r="AA183" s="43">
        <f t="shared" ca="1" si="156"/>
        <v>87.236120593833562</v>
      </c>
      <c r="AB183" s="43">
        <f t="shared" ca="1" si="156"/>
        <v>91.021770536732475</v>
      </c>
      <c r="AC183" s="43">
        <f t="shared" ca="1" si="156"/>
        <v>94.857987431329107</v>
      </c>
      <c r="AD183" s="43">
        <f t="shared" ca="1" si="156"/>
        <v>98.738047547619573</v>
      </c>
      <c r="AE183" s="43">
        <f t="shared" ca="1" si="156"/>
        <v>102.74783400433645</v>
      </c>
      <c r="AF183" s="43">
        <f t="shared" ca="1" si="156"/>
        <v>106.85107541605571</v>
      </c>
      <c r="AG183" s="43">
        <f t="shared" ca="1" si="156"/>
        <v>111.14653369283457</v>
      </c>
      <c r="AH183" s="43">
        <f t="shared" ca="1" si="156"/>
        <v>115.59825342685025</v>
      </c>
      <c r="AI183" s="43">
        <f t="shared" ca="1" si="156"/>
        <v>120.22492222683373</v>
      </c>
      <c r="AJ183" s="43">
        <f t="shared" ca="1" si="156"/>
        <v>125.0424175666591</v>
      </c>
      <c r="AK183" s="43">
        <f t="shared" ca="1" si="156"/>
        <v>130.09799750246421</v>
      </c>
      <c r="AL183" s="43">
        <f t="shared" ca="1" si="156"/>
        <v>135.34351343608222</v>
      </c>
      <c r="AM183" s="43">
        <f t="shared" ca="1" si="156"/>
        <v>140.80387883191335</v>
      </c>
      <c r="AN183" s="43">
        <f t="shared" ca="1" si="156"/>
        <v>146.52817478940298</v>
      </c>
      <c r="AO183" s="43">
        <f t="shared" ca="1" si="156"/>
        <v>152.541172712888</v>
      </c>
      <c r="AP183" s="43">
        <f t="shared" ca="1" si="156"/>
        <v>158.93632905180084</v>
      </c>
      <c r="AQ183" s="43">
        <f t="shared" ca="1" si="156"/>
        <v>165.69405524550251</v>
      </c>
      <c r="AR183" s="43">
        <f t="shared" ca="1" si="156"/>
        <v>172.88962186715895</v>
      </c>
      <c r="AS183" s="43">
        <f t="shared" ca="1" si="156"/>
        <v>180.52308069648905</v>
      </c>
      <c r="AT183" s="43">
        <f t="shared" ca="1" si="156"/>
        <v>188.38351370481746</v>
      </c>
      <c r="AU183" s="43">
        <f t="shared" ca="1" si="156"/>
        <v>196.55708626748282</v>
      </c>
      <c r="AV183" s="43">
        <f t="shared" ca="1" si="156"/>
        <v>205.00862715004473</v>
      </c>
      <c r="AW183" s="43">
        <f t="shared" ca="1" si="156"/>
        <v>213.81683610210305</v>
      </c>
    </row>
    <row r="184" spans="1:49" ht="15" x14ac:dyDescent="0.25">
      <c r="A184" s="2"/>
    </row>
    <row r="185" spans="1:49" x14ac:dyDescent="0.2">
      <c r="A185" s="22" t="s">
        <v>509</v>
      </c>
    </row>
    <row r="186" spans="1:49" x14ac:dyDescent="0.2">
      <c r="A186" s="1" t="s">
        <v>1190</v>
      </c>
      <c r="B186" s="4" t="str">
        <f>$B$12</f>
        <v>From Economic</v>
      </c>
      <c r="D186" s="24">
        <f>Economic!M$19</f>
        <v>1077.5</v>
      </c>
      <c r="E186" s="25">
        <f>Economic!N$19</f>
        <v>1111.4000000000001</v>
      </c>
      <c r="F186" s="25">
        <f>Economic!O$19</f>
        <v>1122.94</v>
      </c>
      <c r="G186" s="25">
        <f>Economic!P$19</f>
        <v>1139.1300000000001</v>
      </c>
      <c r="H186" s="25">
        <f>Economic!Q$19</f>
        <v>1162.0999999999999</v>
      </c>
      <c r="I186" s="25">
        <f>Economic!R$19</f>
        <v>1191.9100000000001</v>
      </c>
      <c r="J186" s="13">
        <f t="shared" ref="J186:AW186" ca="1" si="157">I$186*(1+J$30)</f>
        <v>1230.70190286</v>
      </c>
      <c r="K186" s="13">
        <f t="shared" ca="1" si="157"/>
        <v>1273.2669588723161</v>
      </c>
      <c r="L186" s="13">
        <f t="shared" ca="1" si="157"/>
        <v>1318.2132825205088</v>
      </c>
      <c r="M186" s="13">
        <f t="shared" ca="1" si="157"/>
        <v>1364.7462113934826</v>
      </c>
      <c r="N186" s="13">
        <f t="shared" ca="1" si="157"/>
        <v>1412.9217526556724</v>
      </c>
      <c r="O186" s="13">
        <f t="shared" ca="1" si="157"/>
        <v>1462.7978905244174</v>
      </c>
      <c r="P186" s="13">
        <f t="shared" ca="1" si="157"/>
        <v>1514.4346560599292</v>
      </c>
      <c r="Q186" s="13">
        <f t="shared" ca="1" si="157"/>
        <v>1567.8941994188447</v>
      </c>
      <c r="R186" s="13">
        <f t="shared" ca="1" si="157"/>
        <v>1623.2408646583297</v>
      </c>
      <c r="S186" s="13">
        <f t="shared" ca="1" si="157"/>
        <v>1680.5412671807685</v>
      </c>
      <c r="T186" s="13">
        <f t="shared" ca="1" si="157"/>
        <v>1739.8643739122494</v>
      </c>
      <c r="U186" s="13">
        <f t="shared" ca="1" si="157"/>
        <v>1801.2815863113517</v>
      </c>
      <c r="V186" s="13">
        <f t="shared" ca="1" si="157"/>
        <v>1864.8668263081422</v>
      </c>
      <c r="W186" s="13">
        <f t="shared" ca="1" si="157"/>
        <v>1930.6966252768193</v>
      </c>
      <c r="X186" s="13">
        <f t="shared" ca="1" si="157"/>
        <v>1998.8502161490908</v>
      </c>
      <c r="Y186" s="13">
        <f t="shared" ca="1" si="157"/>
        <v>2069.4096287791535</v>
      </c>
      <c r="Z186" s="13">
        <f t="shared" ca="1" si="157"/>
        <v>2142.4597886750576</v>
      </c>
      <c r="AA186" s="13">
        <f t="shared" ca="1" si="157"/>
        <v>2218.0886192152871</v>
      </c>
      <c r="AB186" s="13">
        <f t="shared" ca="1" si="157"/>
        <v>2296.3871474735865</v>
      </c>
      <c r="AC186" s="13">
        <f t="shared" ca="1" si="157"/>
        <v>2377.449613779404</v>
      </c>
      <c r="AD186" s="13">
        <f t="shared" ca="1" si="157"/>
        <v>2461.3735851458168</v>
      </c>
      <c r="AE186" s="13">
        <f t="shared" ca="1" si="157"/>
        <v>2548.2600727014637</v>
      </c>
      <c r="AF186" s="13">
        <f t="shared" ca="1" si="157"/>
        <v>2638.2136532678251</v>
      </c>
      <c r="AG186" s="13">
        <f t="shared" ca="1" si="157"/>
        <v>2731.3425952281791</v>
      </c>
      <c r="AH186" s="13">
        <f t="shared" ca="1" si="157"/>
        <v>2827.7589888397333</v>
      </c>
      <c r="AI186" s="13">
        <f t="shared" ca="1" si="157"/>
        <v>2927.5788811457755</v>
      </c>
      <c r="AJ186" s="13">
        <f t="shared" ca="1" si="157"/>
        <v>3030.922415650221</v>
      </c>
      <c r="AK186" s="13">
        <f t="shared" ca="1" si="157"/>
        <v>3137.9139769226736</v>
      </c>
      <c r="AL186" s="13">
        <f t="shared" ca="1" si="157"/>
        <v>3248.6823403080434</v>
      </c>
      <c r="AM186" s="13">
        <f t="shared" ca="1" si="157"/>
        <v>3363.3608269209171</v>
      </c>
      <c r="AN186" s="13">
        <f t="shared" ca="1" si="157"/>
        <v>3482.087464111225</v>
      </c>
      <c r="AO186" s="13">
        <f t="shared" ca="1" si="157"/>
        <v>3605.005151594351</v>
      </c>
      <c r="AP186" s="13">
        <f t="shared" ca="1" si="157"/>
        <v>3732.2618334456311</v>
      </c>
      <c r="AQ186" s="13">
        <f t="shared" ca="1" si="157"/>
        <v>3864.0106761662614</v>
      </c>
      <c r="AR186" s="13">
        <f t="shared" ca="1" si="157"/>
        <v>4000.4102530349301</v>
      </c>
      <c r="AS186" s="13">
        <f t="shared" ca="1" si="157"/>
        <v>4141.624734967063</v>
      </c>
      <c r="AT186" s="13">
        <f t="shared" ca="1" si="157"/>
        <v>4287.8240881113998</v>
      </c>
      <c r="AU186" s="13">
        <f t="shared" ca="1" si="157"/>
        <v>4439.1842784217315</v>
      </c>
      <c r="AV186" s="13">
        <f t="shared" ca="1" si="157"/>
        <v>4595.8874834500184</v>
      </c>
      <c r="AW186" s="13">
        <f t="shared" ca="1" si="157"/>
        <v>4758.1223116158035</v>
      </c>
    </row>
    <row r="187" spans="1:49" x14ac:dyDescent="0.2">
      <c r="A187" s="1" t="s">
        <v>507</v>
      </c>
      <c r="B187" s="4" t="str">
        <f>$B$12</f>
        <v>From Economic</v>
      </c>
      <c r="D187" s="24">
        <f>Economic!M$20</f>
        <v>873.01</v>
      </c>
      <c r="E187" s="25">
        <f>Economic!N$20</f>
        <v>896.89</v>
      </c>
      <c r="F187" s="25">
        <f>Economic!O$20</f>
        <v>904.98</v>
      </c>
      <c r="G187" s="25">
        <f>Economic!P$20</f>
        <v>915.83</v>
      </c>
      <c r="H187" s="25">
        <f>Economic!Q$20</f>
        <v>931.58</v>
      </c>
      <c r="I187" s="25">
        <f>Economic!R$20</f>
        <v>952.29</v>
      </c>
      <c r="J187" s="13">
        <f ca="1">IF(OFFSET(Assumptions!$B$29,0,$C$1)="FFD",ROUND((FLOOR(52*J$186,1)-IF(FLOOR(52*J$186,1)&gt;Exogenous!$P$73,(FLOOR(52*J$186,1)-Exogenous!$P$73)*Exogenous!$N$74+Exogenous!$P$79,IF(FLOOR(52*J$186,1)&gt;Exogenous!$P$72,(FLOOR(52*J$186,1)-Exogenous!$P$72)*Exogenous!$N$73+Exogenous!$P$78,IF(FLOOR(52*J$186,1)&gt;Exogenous!$P$71,(FLOOR(52*J$186,1)-Exogenous!$P$71)*Exogenous!$N$72+Exogenous!$P$77,FLOOR(52*J$186,1)*Exogenous!$N$71)))-FLOOR(52*J$186,1)*Exogenous!$N$75)/52,2),IF(OFFSET(Assumptions!$B$29,0,$C$1)="PFD",ROUND((FLOOR(52*J$186,1)-IF(FLOOR(52*J$186,1)&gt;Exogenous!P$73,(FLOOR(52*J$186,1)-Exogenous!P$73)*Exogenous!$N$74+Exogenous!P$79,IF(FLOOR(52*J$186,1)&gt;Exogenous!P$72,(FLOOR(52*J$186,1)-Exogenous!P$72)*Exogenous!$N$73+Exogenous!P$78,IF(FLOOR(52*J$186,1)&gt;Exogenous!P$71,(FLOOR(52*J$186,1)-Exogenous!P$71)*Exogenous!$N$72+Exogenous!P$77,FLOOR(52*J$186,1)*Exogenous!$N$71)))-FLOOR(52*J$186,1)*Exogenous!$N$75)/52,2),I$187*(1+J$30)))</f>
        <v>983.28323033999993</v>
      </c>
      <c r="K187" s="13">
        <f ca="1">IF(OFFSET(Assumptions!$B$29,0,$C$1)="FFD",ROUND((FLOOR(52*K$186,1)-IF(FLOOR(52*K$186,1)&gt;Exogenous!$P$73,(FLOOR(52*K$186,1)-Exogenous!$P$73)*Exogenous!$N$74+Exogenous!$P$79,IF(FLOOR(52*K$186,1)&gt;Exogenous!$P$72,(FLOOR(52*K$186,1)-Exogenous!$P$72)*Exogenous!$N$73+Exogenous!$P$78,IF(FLOOR(52*K$186,1)&gt;Exogenous!$P$71,(FLOOR(52*K$186,1)-Exogenous!$P$71)*Exogenous!$N$72+Exogenous!$P$77,FLOOR(52*K$186,1)*Exogenous!$N$71)))-FLOOR(52*K$186,1)*Exogenous!$N$75)/52,2),IF(OFFSET(Assumptions!$B$29,0,$C$1)="PFD",ROUND((FLOOR(52*K$186,1)-IF(FLOOR(52*K$186,1)&gt;Exogenous!Q$73,(FLOOR(52*K$186,1)-Exogenous!Q$73)*Exogenous!$N$74+Exogenous!Q$79,IF(FLOOR(52*K$186,1)&gt;Exogenous!Q$72,(FLOOR(52*K$186,1)-Exogenous!Q$72)*Exogenous!$N$73+Exogenous!Q$78,IF(FLOOR(52*K$186,1)&gt;Exogenous!Q$71,(FLOOR(52*K$186,1)-Exogenous!Q$71)*Exogenous!$N$72+Exogenous!Q$77,FLOOR(52*K$186,1)*Exogenous!$N$71)))-FLOOR(52*K$186,1)*Exogenous!$N$75)/52,2),J$187*(1+K$30)))</f>
        <v>1017.2910641445392</v>
      </c>
      <c r="L187" s="13">
        <f ca="1">IF(OFFSET(Assumptions!$B$29,0,$C$1)="FFD",ROUND((FLOOR(52*L$186,1)-IF(FLOOR(52*L$186,1)&gt;Exogenous!$P$73,(FLOOR(52*L$186,1)-Exogenous!$P$73)*Exogenous!$N$74+Exogenous!$P$79,IF(FLOOR(52*L$186,1)&gt;Exogenous!$P$72,(FLOOR(52*L$186,1)-Exogenous!$P$72)*Exogenous!$N$73+Exogenous!$P$78,IF(FLOOR(52*L$186,1)&gt;Exogenous!$P$71,(FLOOR(52*L$186,1)-Exogenous!$P$71)*Exogenous!$N$72+Exogenous!$P$77,FLOOR(52*L$186,1)*Exogenous!$N$71)))-FLOOR(52*L$186,1)*Exogenous!$N$75)/52,2),IF(OFFSET(Assumptions!$B$29,0,$C$1)="PFD",ROUND((FLOOR(52*L$186,1)-IF(FLOOR(52*L$186,1)&gt;Exogenous!R$73,(FLOOR(52*L$186,1)-Exogenous!R$73)*Exogenous!$N$74+Exogenous!R$79,IF(FLOOR(52*L$186,1)&gt;Exogenous!R$72,(FLOOR(52*L$186,1)-Exogenous!R$72)*Exogenous!$N$73+Exogenous!R$78,IF(FLOOR(52*L$186,1)&gt;Exogenous!R$71,(FLOOR(52*L$186,1)-Exogenous!R$71)*Exogenous!$N$72+Exogenous!R$77,FLOOR(52*L$186,1)*Exogenous!$N$71)))-FLOOR(52*L$186,1)*Exogenous!$N$75)/52,2),K$187*(1+L$30)))</f>
        <v>1053.2014387088414</v>
      </c>
      <c r="M187" s="13">
        <f ca="1">IF(OFFSET(Assumptions!$B$29,0,$C$1)="FFD",ROUND((FLOOR(52*M$186,1)-IF(FLOOR(52*M$186,1)&gt;Exogenous!$P$73,(FLOOR(52*M$186,1)-Exogenous!$P$73)*Exogenous!$N$74+Exogenous!$P$79,IF(FLOOR(52*M$186,1)&gt;Exogenous!$P$72,(FLOOR(52*M$186,1)-Exogenous!$P$72)*Exogenous!$N$73+Exogenous!$P$78,IF(FLOOR(52*M$186,1)&gt;Exogenous!$P$71,(FLOOR(52*M$186,1)-Exogenous!$P$71)*Exogenous!$N$72+Exogenous!$P$77,FLOOR(52*M$186,1)*Exogenous!$N$71)))-FLOOR(52*M$186,1)*Exogenous!$N$75)/52,2),IF(OFFSET(Assumptions!$B$29,0,$C$1)="PFD",ROUND((FLOOR(52*M$186,1)-IF(FLOOR(52*M$186,1)&gt;Exogenous!S$73,(FLOOR(52*M$186,1)-Exogenous!S$73)*Exogenous!$N$74+Exogenous!S$79,IF(FLOOR(52*M$186,1)&gt;Exogenous!S$72,(FLOOR(52*M$186,1)-Exogenous!S$72)*Exogenous!$N$73+Exogenous!S$78,IF(FLOOR(52*M$186,1)&gt;Exogenous!S$71,(FLOOR(52*M$186,1)-Exogenous!S$71)*Exogenous!$N$72+Exogenous!S$77,FLOOR(52*M$186,1)*Exogenous!$N$71)))-FLOOR(52*M$186,1)*Exogenous!$N$75)/52,2),L$187*(1+M$30)))</f>
        <v>1090.3794494952633</v>
      </c>
      <c r="N187" s="13">
        <f ca="1">IF(OFFSET(Assumptions!$B$29,0,$C$1)="FFD",ROUND((FLOOR(52*N$186,1)-IF(FLOOR(52*N$186,1)&gt;Exogenous!$P$73,(FLOOR(52*N$186,1)-Exogenous!$P$73)*Exogenous!$N$74+Exogenous!$P$79,IF(FLOOR(52*N$186,1)&gt;Exogenous!$P$72,(FLOOR(52*N$186,1)-Exogenous!$P$72)*Exogenous!$N$73+Exogenous!$P$78,IF(FLOOR(52*N$186,1)&gt;Exogenous!$P$71,(FLOOR(52*N$186,1)-Exogenous!$P$71)*Exogenous!$N$72+Exogenous!$P$77,FLOOR(52*N$186,1)*Exogenous!$N$71)))-FLOOR(52*N$186,1)*Exogenous!$N$75)/52,2),IF(OFFSET(Assumptions!$B$29,0,$C$1)="PFD",ROUND((FLOOR(52*N$186,1)-IF(FLOOR(52*N$186,1)&gt;Exogenous!T$73,(FLOOR(52*N$186,1)-Exogenous!T$73)*Exogenous!$N$74+Exogenous!T$79,IF(FLOOR(52*N$186,1)&gt;Exogenous!T$72,(FLOOR(52*N$186,1)-Exogenous!T$72)*Exogenous!$N$73+Exogenous!T$78,IF(FLOOR(52*N$186,1)&gt;Exogenous!T$71,(FLOOR(52*N$186,1)-Exogenous!T$71)*Exogenous!$N$72+Exogenous!T$77,FLOOR(52*N$186,1)*Exogenous!$N$71)))-FLOOR(52*N$186,1)*Exogenous!$N$75)/52,2),M$187*(1+N$30)))</f>
        <v>1128.869844062446</v>
      </c>
      <c r="O187" s="13">
        <f ca="1">IF(OFFSET(Assumptions!$B$29,0,$C$1)="FFD",ROUND((FLOOR(52*O$186,1)-IF(FLOOR(52*O$186,1)&gt;Exogenous!$P$73,(FLOOR(52*O$186,1)-Exogenous!$P$73)*Exogenous!$N$74+Exogenous!$P$79,IF(FLOOR(52*O$186,1)&gt;Exogenous!$P$72,(FLOOR(52*O$186,1)-Exogenous!$P$72)*Exogenous!$N$73+Exogenous!$P$78,IF(FLOOR(52*O$186,1)&gt;Exogenous!$P$71,(FLOOR(52*O$186,1)-Exogenous!$P$71)*Exogenous!$N$72+Exogenous!$P$77,FLOOR(52*O$186,1)*Exogenous!$N$71)))-FLOOR(52*O$186,1)*Exogenous!$N$75)/52,2),IF(OFFSET(Assumptions!$B$29,0,$C$1)="PFD",ROUND((FLOOR(52*O$186,1)-IF(FLOOR(52*O$186,1)&gt;Exogenous!U$73,(FLOOR(52*O$186,1)-Exogenous!U$73)*Exogenous!$N$74+Exogenous!U$79,IF(FLOOR(52*O$186,1)&gt;Exogenous!U$72,(FLOOR(52*O$186,1)-Exogenous!U$72)*Exogenous!$N$73+Exogenous!U$78,IF(FLOOR(52*O$186,1)&gt;Exogenous!U$71,(FLOOR(52*O$186,1)-Exogenous!U$71)*Exogenous!$N$72+Exogenous!U$77,FLOOR(52*O$186,1)*Exogenous!$N$71)))-FLOOR(52*O$186,1)*Exogenous!$N$75)/52,2),N$187*(1+O$30)))</f>
        <v>1168.7189495578502</v>
      </c>
      <c r="P187" s="13">
        <f ca="1">IF(OFFSET(Assumptions!$B$29,0,$C$1)="FFD",ROUND((FLOOR(52*P$186,1)-IF(FLOOR(52*P$186,1)&gt;Exogenous!$P$73,(FLOOR(52*P$186,1)-Exogenous!$P$73)*Exogenous!$N$74+Exogenous!$P$79,IF(FLOOR(52*P$186,1)&gt;Exogenous!$P$72,(FLOOR(52*P$186,1)-Exogenous!$P$72)*Exogenous!$N$73+Exogenous!$P$78,IF(FLOOR(52*P$186,1)&gt;Exogenous!$P$71,(FLOOR(52*P$186,1)-Exogenous!$P$71)*Exogenous!$N$72+Exogenous!$P$77,FLOOR(52*P$186,1)*Exogenous!$N$71)))-FLOOR(52*P$186,1)*Exogenous!$N$75)/52,2),IF(OFFSET(Assumptions!$B$29,0,$C$1)="PFD",ROUND((FLOOR(52*P$186,1)-IF(FLOOR(52*P$186,1)&gt;Exogenous!V$73,(FLOOR(52*P$186,1)-Exogenous!V$73)*Exogenous!$N$74+Exogenous!V$79,IF(FLOOR(52*P$186,1)&gt;Exogenous!V$72,(FLOOR(52*P$186,1)-Exogenous!V$72)*Exogenous!$N$73+Exogenous!V$78,IF(FLOOR(52*P$186,1)&gt;Exogenous!V$71,(FLOOR(52*P$186,1)-Exogenous!V$71)*Exogenous!$N$72+Exogenous!V$77,FLOOR(52*P$186,1)*Exogenous!$N$71)))-FLOOR(52*P$186,1)*Exogenous!$N$75)/52,2),O$187*(1+P$30)))</f>
        <v>1209.9747284772423</v>
      </c>
      <c r="Q187" s="13">
        <f ca="1">IF(OFFSET(Assumptions!$B$29,0,$C$1)="FFD",ROUND((FLOOR(52*Q$186,1)-IF(FLOOR(52*Q$186,1)&gt;Exogenous!$P$73,(FLOOR(52*Q$186,1)-Exogenous!$P$73)*Exogenous!$N$74+Exogenous!$P$79,IF(FLOOR(52*Q$186,1)&gt;Exogenous!$P$72,(FLOOR(52*Q$186,1)-Exogenous!$P$72)*Exogenous!$N$73+Exogenous!$P$78,IF(FLOOR(52*Q$186,1)&gt;Exogenous!$P$71,(FLOOR(52*Q$186,1)-Exogenous!$P$71)*Exogenous!$N$72+Exogenous!$P$77,FLOOR(52*Q$186,1)*Exogenous!$N$71)))-FLOOR(52*Q$186,1)*Exogenous!$N$75)/52,2),IF(OFFSET(Assumptions!$B$29,0,$C$1)="PFD",ROUND((FLOOR(52*Q$186,1)-IF(FLOOR(52*Q$186,1)&gt;Exogenous!W$73,(FLOOR(52*Q$186,1)-Exogenous!W$73)*Exogenous!$N$74+Exogenous!W$79,IF(FLOOR(52*Q$186,1)&gt;Exogenous!W$72,(FLOOR(52*Q$186,1)-Exogenous!W$72)*Exogenous!$N$73+Exogenous!W$78,IF(FLOOR(52*Q$186,1)&gt;Exogenous!W$71,(FLOOR(52*Q$186,1)-Exogenous!W$71)*Exogenous!$N$72+Exogenous!W$77,FLOOR(52*Q$186,1)*Exogenous!$N$71)))-FLOOR(52*Q$186,1)*Exogenous!$N$75)/52,2),P$187*(1+Q$30)))</f>
        <v>1252.6868363924887</v>
      </c>
      <c r="R187" s="13">
        <f ca="1">IF(OFFSET(Assumptions!$B$29,0,$C$1)="FFD",ROUND((FLOOR(52*R$186,1)-IF(FLOOR(52*R$186,1)&gt;Exogenous!$P$73,(FLOOR(52*R$186,1)-Exogenous!$P$73)*Exogenous!$N$74+Exogenous!$P$79,IF(FLOOR(52*R$186,1)&gt;Exogenous!$P$72,(FLOOR(52*R$186,1)-Exogenous!$P$72)*Exogenous!$N$73+Exogenous!$P$78,IF(FLOOR(52*R$186,1)&gt;Exogenous!$P$71,(FLOOR(52*R$186,1)-Exogenous!$P$71)*Exogenous!$N$72+Exogenous!$P$77,FLOOR(52*R$186,1)*Exogenous!$N$71)))-FLOOR(52*R$186,1)*Exogenous!$N$75)/52,2),IF(OFFSET(Assumptions!$B$29,0,$C$1)="PFD",ROUND((FLOOR(52*R$186,1)-IF(FLOOR(52*R$186,1)&gt;Exogenous!X$73,(FLOOR(52*R$186,1)-Exogenous!X$73)*Exogenous!$N$74+Exogenous!X$79,IF(FLOOR(52*R$186,1)&gt;Exogenous!X$72,(FLOOR(52*R$186,1)-Exogenous!X$72)*Exogenous!$N$73+Exogenous!X$78,IF(FLOOR(52*R$186,1)&gt;Exogenous!X$71,(FLOOR(52*R$186,1)-Exogenous!X$71)*Exogenous!$N$72+Exogenous!X$77,FLOOR(52*R$186,1)*Exogenous!$N$71)))-FLOOR(52*R$186,1)*Exogenous!$N$75)/52,2),Q$187*(1+R$30)))</f>
        <v>1296.9066817171433</v>
      </c>
      <c r="S187" s="13">
        <f ca="1">IF(OFFSET(Assumptions!$B$29,0,$C$1)="FFD",ROUND((FLOOR(52*S$186,1)-IF(FLOOR(52*S$186,1)&gt;Exogenous!$P$73,(FLOOR(52*S$186,1)-Exogenous!$P$73)*Exogenous!$N$74+Exogenous!$P$79,IF(FLOOR(52*S$186,1)&gt;Exogenous!$P$72,(FLOOR(52*S$186,1)-Exogenous!$P$72)*Exogenous!$N$73+Exogenous!$P$78,IF(FLOOR(52*S$186,1)&gt;Exogenous!$P$71,(FLOOR(52*S$186,1)-Exogenous!$P$71)*Exogenous!$N$72+Exogenous!$P$77,FLOOR(52*S$186,1)*Exogenous!$N$71)))-FLOOR(52*S$186,1)*Exogenous!$N$75)/52,2),IF(OFFSET(Assumptions!$B$29,0,$C$1)="PFD",ROUND((FLOOR(52*S$186,1)-IF(FLOOR(52*S$186,1)&gt;Exogenous!Y$73,(FLOOR(52*S$186,1)-Exogenous!Y$73)*Exogenous!$N$74+Exogenous!Y$79,IF(FLOOR(52*S$186,1)&gt;Exogenous!Y$72,(FLOOR(52*S$186,1)-Exogenous!Y$72)*Exogenous!$N$73+Exogenous!Y$78,IF(FLOOR(52*S$186,1)&gt;Exogenous!Y$71,(FLOOR(52*S$186,1)-Exogenous!Y$71)*Exogenous!$N$72+Exogenous!Y$77,FLOOR(52*S$186,1)*Exogenous!$N$71)))-FLOOR(52*S$186,1)*Exogenous!$N$75)/52,2),R$187*(1+S$30)))</f>
        <v>1342.6874875817584</v>
      </c>
      <c r="T187" s="13">
        <f ca="1">IF(OFFSET(Assumptions!$B$29,0,$C$1)="FFD",ROUND((FLOOR(52*T$186,1)-IF(FLOOR(52*T$186,1)&gt;Exogenous!$P$73,(FLOOR(52*T$186,1)-Exogenous!$P$73)*Exogenous!$N$74+Exogenous!$P$79,IF(FLOOR(52*T$186,1)&gt;Exogenous!$P$72,(FLOOR(52*T$186,1)-Exogenous!$P$72)*Exogenous!$N$73+Exogenous!$P$78,IF(FLOOR(52*T$186,1)&gt;Exogenous!$P$71,(FLOOR(52*T$186,1)-Exogenous!$P$71)*Exogenous!$N$72+Exogenous!$P$77,FLOOR(52*T$186,1)*Exogenous!$N$71)))-FLOOR(52*T$186,1)*Exogenous!$N$75)/52,2),IF(OFFSET(Assumptions!$B$29,0,$C$1)="PFD",ROUND((FLOOR(52*T$186,1)-IF(FLOOR(52*T$186,1)&gt;Exogenous!Z$73,(FLOOR(52*T$186,1)-Exogenous!Z$73)*Exogenous!$N$74+Exogenous!Z$79,IF(FLOOR(52*T$186,1)&gt;Exogenous!Z$72,(FLOOR(52*T$186,1)-Exogenous!Z$72)*Exogenous!$N$73+Exogenous!Z$78,IF(FLOOR(52*T$186,1)&gt;Exogenous!Z$71,(FLOOR(52*T$186,1)-Exogenous!Z$71)*Exogenous!$N$72+Exogenous!Z$77,FLOOR(52*T$186,1)*Exogenous!$N$71)))-FLOOR(52*T$186,1)*Exogenous!$N$75)/52,2),S$187*(1+T$30)))</f>
        <v>1390.0843558933943</v>
      </c>
      <c r="U187" s="13">
        <f ca="1">IF(OFFSET(Assumptions!$B$29,0,$C$1)="FFD",ROUND((FLOOR(52*U$186,1)-IF(FLOOR(52*U$186,1)&gt;Exogenous!$P$73,(FLOOR(52*U$186,1)-Exogenous!$P$73)*Exogenous!$N$74+Exogenous!$P$79,IF(FLOOR(52*U$186,1)&gt;Exogenous!$P$72,(FLOOR(52*U$186,1)-Exogenous!$P$72)*Exogenous!$N$73+Exogenous!$P$78,IF(FLOOR(52*U$186,1)&gt;Exogenous!$P$71,(FLOOR(52*U$186,1)-Exogenous!$P$71)*Exogenous!$N$72+Exogenous!$P$77,FLOOR(52*U$186,1)*Exogenous!$N$71)))-FLOOR(52*U$186,1)*Exogenous!$N$75)/52,2),IF(OFFSET(Assumptions!$B$29,0,$C$1)="PFD",ROUND((FLOOR(52*U$186,1)-IF(FLOOR(52*U$186,1)&gt;Exogenous!AA$73,(FLOOR(52*U$186,1)-Exogenous!AA$73)*Exogenous!$N$74+Exogenous!AA$79,IF(FLOOR(52*U$186,1)&gt;Exogenous!AA$72,(FLOOR(52*U$186,1)-Exogenous!AA$72)*Exogenous!$N$73+Exogenous!AA$78,IF(FLOOR(52*U$186,1)&gt;Exogenous!AA$71,(FLOOR(52*U$186,1)-Exogenous!AA$71)*Exogenous!$N$72+Exogenous!AA$77,FLOOR(52*U$186,1)*Exogenous!$N$71)))-FLOOR(52*U$186,1)*Exogenous!$N$75)/52,2),T$187*(1+U$30)))</f>
        <v>1439.1543336564309</v>
      </c>
      <c r="V187" s="13">
        <f ca="1">IF(OFFSET(Assumptions!$B$29,0,$C$1)="FFD",ROUND((FLOOR(52*V$186,1)-IF(FLOOR(52*V$186,1)&gt;Exogenous!$P$73,(FLOOR(52*V$186,1)-Exogenous!$P$73)*Exogenous!$N$74+Exogenous!$P$79,IF(FLOOR(52*V$186,1)&gt;Exogenous!$P$72,(FLOOR(52*V$186,1)-Exogenous!$P$72)*Exogenous!$N$73+Exogenous!$P$78,IF(FLOOR(52*V$186,1)&gt;Exogenous!$P$71,(FLOOR(52*V$186,1)-Exogenous!$P$71)*Exogenous!$N$72+Exogenous!$P$77,FLOOR(52*V$186,1)*Exogenous!$N$71)))-FLOOR(52*V$186,1)*Exogenous!$N$75)/52,2),IF(OFFSET(Assumptions!$B$29,0,$C$1)="PFD",ROUND((FLOOR(52*V$186,1)-IF(FLOOR(52*V$186,1)&gt;Exogenous!AB$73,(FLOOR(52*V$186,1)-Exogenous!AB$73)*Exogenous!$N$74+Exogenous!AB$79,IF(FLOOR(52*V$186,1)&gt;Exogenous!AB$72,(FLOOR(52*V$186,1)-Exogenous!AB$72)*Exogenous!$N$73+Exogenous!AB$78,IF(FLOOR(52*V$186,1)&gt;Exogenous!AB$71,(FLOOR(52*V$186,1)-Exogenous!AB$71)*Exogenous!$N$72+Exogenous!AB$77,FLOOR(52*V$186,1)*Exogenous!$N$71)))-FLOOR(52*V$186,1)*Exogenous!$N$75)/52,2),U$187*(1+V$30)))</f>
        <v>1489.9564816345028</v>
      </c>
      <c r="W187" s="13">
        <f ca="1">IF(OFFSET(Assumptions!$B$29,0,$C$1)="FFD",ROUND((FLOOR(52*W$186,1)-IF(FLOOR(52*W$186,1)&gt;Exogenous!$P$73,(FLOOR(52*W$186,1)-Exogenous!$P$73)*Exogenous!$N$74+Exogenous!$P$79,IF(FLOOR(52*W$186,1)&gt;Exogenous!$P$72,(FLOOR(52*W$186,1)-Exogenous!$P$72)*Exogenous!$N$73+Exogenous!$P$78,IF(FLOOR(52*W$186,1)&gt;Exogenous!$P$71,(FLOOR(52*W$186,1)-Exogenous!$P$71)*Exogenous!$N$72+Exogenous!$P$77,FLOOR(52*W$186,1)*Exogenous!$N$71)))-FLOOR(52*W$186,1)*Exogenous!$N$75)/52,2),IF(OFFSET(Assumptions!$B$29,0,$C$1)="PFD",ROUND((FLOOR(52*W$186,1)-IF(FLOOR(52*W$186,1)&gt;Exogenous!AC$73,(FLOOR(52*W$186,1)-Exogenous!AC$73)*Exogenous!$N$74+Exogenous!AC$79,IF(FLOOR(52*W$186,1)&gt;Exogenous!AC$72,(FLOOR(52*W$186,1)-Exogenous!AC$72)*Exogenous!$N$73+Exogenous!AC$78,IF(FLOOR(52*W$186,1)&gt;Exogenous!AC$71,(FLOOR(52*W$186,1)-Exogenous!AC$71)*Exogenous!$N$72+Exogenous!AC$77,FLOOR(52*W$186,1)*Exogenous!$N$71)))-FLOOR(52*W$186,1)*Exogenous!$N$75)/52,2),V$187*(1+W$30)))</f>
        <v>1542.5519454362006</v>
      </c>
      <c r="X187" s="13">
        <f ca="1">IF(OFFSET(Assumptions!$B$29,0,$C$1)="FFD",ROUND((FLOOR(52*X$186,1)-IF(FLOOR(52*X$186,1)&gt;Exogenous!$P$73,(FLOOR(52*X$186,1)-Exogenous!$P$73)*Exogenous!$N$74+Exogenous!$P$79,IF(FLOOR(52*X$186,1)&gt;Exogenous!$P$72,(FLOOR(52*X$186,1)-Exogenous!$P$72)*Exogenous!$N$73+Exogenous!$P$78,IF(FLOOR(52*X$186,1)&gt;Exogenous!$P$71,(FLOOR(52*X$186,1)-Exogenous!$P$71)*Exogenous!$N$72+Exogenous!$P$77,FLOOR(52*X$186,1)*Exogenous!$N$71)))-FLOOR(52*X$186,1)*Exogenous!$N$75)/52,2),IF(OFFSET(Assumptions!$B$29,0,$C$1)="PFD",ROUND((FLOOR(52*X$186,1)-IF(FLOOR(52*X$186,1)&gt;Exogenous!AD$73,(FLOOR(52*X$186,1)-Exogenous!AD$73)*Exogenous!$N$74+Exogenous!AD$79,IF(FLOOR(52*X$186,1)&gt;Exogenous!AD$72,(FLOOR(52*X$186,1)-Exogenous!AD$72)*Exogenous!$N$73+Exogenous!AD$78,IF(FLOOR(52*X$186,1)&gt;Exogenous!AD$71,(FLOOR(52*X$186,1)-Exogenous!AD$71)*Exogenous!$N$72+Exogenous!AD$77,FLOOR(52*X$186,1)*Exogenous!$N$71)))-FLOOR(52*X$186,1)*Exogenous!$N$75)/52,2),W$187*(1+X$30)))</f>
        <v>1597.0040291100984</v>
      </c>
      <c r="Y187" s="13">
        <f ca="1">IF(OFFSET(Assumptions!$B$29,0,$C$1)="FFD",ROUND((FLOOR(52*Y$186,1)-IF(FLOOR(52*Y$186,1)&gt;Exogenous!$P$73,(FLOOR(52*Y$186,1)-Exogenous!$P$73)*Exogenous!$N$74+Exogenous!$P$79,IF(FLOOR(52*Y$186,1)&gt;Exogenous!$P$72,(FLOOR(52*Y$186,1)-Exogenous!$P$72)*Exogenous!$N$73+Exogenous!$P$78,IF(FLOOR(52*Y$186,1)&gt;Exogenous!$P$71,(FLOOR(52*Y$186,1)-Exogenous!$P$71)*Exogenous!$N$72+Exogenous!$P$77,FLOOR(52*Y$186,1)*Exogenous!$N$71)))-FLOOR(52*Y$186,1)*Exogenous!$N$75)/52,2),IF(OFFSET(Assumptions!$B$29,0,$C$1)="PFD",ROUND((FLOOR(52*Y$186,1)-IF(FLOOR(52*Y$186,1)&gt;Exogenous!AE$73,(FLOOR(52*Y$186,1)-Exogenous!AE$73)*Exogenous!$N$74+Exogenous!AE$79,IF(FLOOR(52*Y$186,1)&gt;Exogenous!AE$72,(FLOOR(52*Y$186,1)-Exogenous!AE$72)*Exogenous!$N$73+Exogenous!AE$78,IF(FLOOR(52*Y$186,1)&gt;Exogenous!AE$71,(FLOOR(52*Y$186,1)-Exogenous!AE$71)*Exogenous!$N$72+Exogenous!AE$77,FLOOR(52*Y$186,1)*Exogenous!$N$71)))-FLOOR(52*Y$186,1)*Exogenous!$N$75)/52,2),X$187*(1+Y$30)))</f>
        <v>1653.3782713376847</v>
      </c>
      <c r="Z187" s="13">
        <f ca="1">IF(OFFSET(Assumptions!$B$29,0,$C$1)="FFD",ROUND((FLOOR(52*Z$186,1)-IF(FLOOR(52*Z$186,1)&gt;Exogenous!$P$73,(FLOOR(52*Z$186,1)-Exogenous!$P$73)*Exogenous!$N$74+Exogenous!$P$79,IF(FLOOR(52*Z$186,1)&gt;Exogenous!$P$72,(FLOOR(52*Z$186,1)-Exogenous!$P$72)*Exogenous!$N$73+Exogenous!$P$78,IF(FLOOR(52*Z$186,1)&gt;Exogenous!$P$71,(FLOOR(52*Z$186,1)-Exogenous!$P$71)*Exogenous!$N$72+Exogenous!$P$77,FLOOR(52*Z$186,1)*Exogenous!$N$71)))-FLOOR(52*Z$186,1)*Exogenous!$N$75)/52,2),IF(OFFSET(Assumptions!$B$29,0,$C$1)="PFD",ROUND((FLOOR(52*Z$186,1)-IF(FLOOR(52*Z$186,1)&gt;Exogenous!AF$73,(FLOOR(52*Z$186,1)-Exogenous!AF$73)*Exogenous!$N$74+Exogenous!AF$79,IF(FLOOR(52*Z$186,1)&gt;Exogenous!AF$72,(FLOOR(52*Z$186,1)-Exogenous!AF$72)*Exogenous!$N$73+Exogenous!AF$78,IF(FLOOR(52*Z$186,1)&gt;Exogenous!AF$71,(FLOOR(52*Z$186,1)-Exogenous!AF$71)*Exogenous!$N$72+Exogenous!AF$77,FLOOR(52*Z$186,1)*Exogenous!$N$71)))-FLOOR(52*Z$186,1)*Exogenous!$N$75)/52,2),Y$187*(1+Z$30)))</f>
        <v>1711.7425243159048</v>
      </c>
      <c r="AA187" s="13">
        <f ca="1">IF(OFFSET(Assumptions!$B$29,0,$C$1)="FFD",ROUND((FLOOR(52*AA$186,1)-IF(FLOOR(52*AA$186,1)&gt;Exogenous!$P$73,(FLOOR(52*AA$186,1)-Exogenous!$P$73)*Exogenous!$N$74+Exogenous!$P$79,IF(FLOOR(52*AA$186,1)&gt;Exogenous!$P$72,(FLOOR(52*AA$186,1)-Exogenous!$P$72)*Exogenous!$N$73+Exogenous!$P$78,IF(FLOOR(52*AA$186,1)&gt;Exogenous!$P$71,(FLOOR(52*AA$186,1)-Exogenous!$P$71)*Exogenous!$N$72+Exogenous!$P$77,FLOOR(52*AA$186,1)*Exogenous!$N$71)))-FLOOR(52*AA$186,1)*Exogenous!$N$75)/52,2),IF(OFFSET(Assumptions!$B$29,0,$C$1)="PFD",ROUND((FLOOR(52*AA$186,1)-IF(FLOOR(52*AA$186,1)&gt;Exogenous!AG$73,(FLOOR(52*AA$186,1)-Exogenous!AG$73)*Exogenous!$N$74+Exogenous!AG$79,IF(FLOOR(52*AA$186,1)&gt;Exogenous!AG$72,(FLOOR(52*AA$186,1)-Exogenous!AG$72)*Exogenous!$N$73+Exogenous!AG$78,IF(FLOOR(52*AA$186,1)&gt;Exogenous!AG$71,(FLOOR(52*AA$186,1)-Exogenous!AG$71)*Exogenous!$N$72+Exogenous!AG$77,FLOOR(52*AA$186,1)*Exogenous!$N$71)))-FLOOR(52*AA$186,1)*Exogenous!$N$75)/52,2),Z$187*(1+AA$30)))</f>
        <v>1772.167035424256</v>
      </c>
      <c r="AB187" s="13">
        <f ca="1">IF(OFFSET(Assumptions!$B$29,0,$C$1)="FFD",ROUND((FLOOR(52*AB$186,1)-IF(FLOOR(52*AB$186,1)&gt;Exogenous!$P$73,(FLOOR(52*AB$186,1)-Exogenous!$P$73)*Exogenous!$N$74+Exogenous!$P$79,IF(FLOOR(52*AB$186,1)&gt;Exogenous!$P$72,(FLOOR(52*AB$186,1)-Exogenous!$P$72)*Exogenous!$N$73+Exogenous!$P$78,IF(FLOOR(52*AB$186,1)&gt;Exogenous!$P$71,(FLOOR(52*AB$186,1)-Exogenous!$P$71)*Exogenous!$N$72+Exogenous!$P$77,FLOOR(52*AB$186,1)*Exogenous!$N$71)))-FLOOR(52*AB$186,1)*Exogenous!$N$75)/52,2),IF(OFFSET(Assumptions!$B$29,0,$C$1)="PFD",ROUND((FLOOR(52*AB$186,1)-IF(FLOOR(52*AB$186,1)&gt;Exogenous!AH$73,(FLOOR(52*AB$186,1)-Exogenous!AH$73)*Exogenous!$N$74+Exogenous!AH$79,IF(FLOOR(52*AB$186,1)&gt;Exogenous!AH$72,(FLOOR(52*AB$186,1)-Exogenous!AH$72)*Exogenous!$N$73+Exogenous!AH$78,IF(FLOOR(52*AB$186,1)&gt;Exogenous!AH$71,(FLOOR(52*AB$186,1)-Exogenous!AH$71)*Exogenous!$N$72+Exogenous!AH$77,FLOOR(52*AB$186,1)*Exogenous!$N$71)))-FLOOR(52*AB$186,1)*Exogenous!$N$75)/52,2),AA$187*(1+AB$30)))</f>
        <v>1834.724531774732</v>
      </c>
      <c r="AC187" s="13">
        <f ca="1">IF(OFFSET(Assumptions!$B$29,0,$C$1)="FFD",ROUND((FLOOR(52*AC$186,1)-IF(FLOOR(52*AC$186,1)&gt;Exogenous!$P$73,(FLOOR(52*AC$186,1)-Exogenous!$P$73)*Exogenous!$N$74+Exogenous!$P$79,IF(FLOOR(52*AC$186,1)&gt;Exogenous!$P$72,(FLOOR(52*AC$186,1)-Exogenous!$P$72)*Exogenous!$N$73+Exogenous!$P$78,IF(FLOOR(52*AC$186,1)&gt;Exogenous!$P$71,(FLOOR(52*AC$186,1)-Exogenous!$P$71)*Exogenous!$N$72+Exogenous!$P$77,FLOOR(52*AC$186,1)*Exogenous!$N$71)))-FLOOR(52*AC$186,1)*Exogenous!$N$75)/52,2),IF(OFFSET(Assumptions!$B$29,0,$C$1)="PFD",ROUND((FLOOR(52*AC$186,1)-IF(FLOOR(52*AC$186,1)&gt;Exogenous!AI$73,(FLOOR(52*AC$186,1)-Exogenous!AI$73)*Exogenous!$N$74+Exogenous!AI$79,IF(FLOOR(52*AC$186,1)&gt;Exogenous!AI$72,(FLOOR(52*AC$186,1)-Exogenous!AI$72)*Exogenous!$N$73+Exogenous!AI$78,IF(FLOOR(52*AC$186,1)&gt;Exogenous!AI$71,(FLOOR(52*AC$186,1)-Exogenous!AI$71)*Exogenous!$N$72+Exogenous!AI$77,FLOOR(52*AC$186,1)*Exogenous!$N$71)))-FLOOR(52*AC$186,1)*Exogenous!$N$75)/52,2),AB$187*(1+AC$30)))</f>
        <v>1899.4903077463798</v>
      </c>
      <c r="AD187" s="13">
        <f ca="1">IF(OFFSET(Assumptions!$B$29,0,$C$1)="FFD",ROUND((FLOOR(52*AD$186,1)-IF(FLOOR(52*AD$186,1)&gt;Exogenous!$P$73,(FLOOR(52*AD$186,1)-Exogenous!$P$73)*Exogenous!$N$74+Exogenous!$P$79,IF(FLOOR(52*AD$186,1)&gt;Exogenous!$P$72,(FLOOR(52*AD$186,1)-Exogenous!$P$72)*Exogenous!$N$73+Exogenous!$P$78,IF(FLOOR(52*AD$186,1)&gt;Exogenous!$P$71,(FLOOR(52*AD$186,1)-Exogenous!$P$71)*Exogenous!$N$72+Exogenous!$P$77,FLOOR(52*AD$186,1)*Exogenous!$N$71)))-FLOOR(52*AD$186,1)*Exogenous!$N$75)/52,2),IF(OFFSET(Assumptions!$B$29,0,$C$1)="PFD",ROUND((FLOOR(52*AD$186,1)-IF(FLOOR(52*AD$186,1)&gt;Exogenous!AJ$73,(FLOOR(52*AD$186,1)-Exogenous!AJ$73)*Exogenous!$N$74+Exogenous!AJ$79,IF(FLOOR(52*AD$186,1)&gt;Exogenous!AJ$72,(FLOOR(52*AD$186,1)-Exogenous!AJ$72)*Exogenous!$N$73+Exogenous!AJ$78,IF(FLOOR(52*AD$186,1)&gt;Exogenous!AJ$71,(FLOOR(52*AD$186,1)-Exogenous!AJ$71)*Exogenous!$N$72+Exogenous!AJ$77,FLOOR(52*AD$186,1)*Exogenous!$N$71)))-FLOOR(52*AD$186,1)*Exogenous!$N$75)/52,2),AC$187*(1+AD$30)))</f>
        <v>1966.5423156098268</v>
      </c>
      <c r="AE187" s="13">
        <f ca="1">IF(OFFSET(Assumptions!$B$29,0,$C$1)="FFD",ROUND((FLOOR(52*AE$186,1)-IF(FLOOR(52*AE$186,1)&gt;Exogenous!$P$73,(FLOOR(52*AE$186,1)-Exogenous!$P$73)*Exogenous!$N$74+Exogenous!$P$79,IF(FLOOR(52*AE$186,1)&gt;Exogenous!$P$72,(FLOOR(52*AE$186,1)-Exogenous!$P$72)*Exogenous!$N$73+Exogenous!$P$78,IF(FLOOR(52*AE$186,1)&gt;Exogenous!$P$71,(FLOOR(52*AE$186,1)-Exogenous!$P$71)*Exogenous!$N$72+Exogenous!$P$77,FLOOR(52*AE$186,1)*Exogenous!$N$71)))-FLOOR(52*AE$186,1)*Exogenous!$N$75)/52,2),IF(OFFSET(Assumptions!$B$29,0,$C$1)="PFD",ROUND((FLOOR(52*AE$186,1)-IF(FLOOR(52*AE$186,1)&gt;Exogenous!AK$73,(FLOOR(52*AE$186,1)-Exogenous!AK$73)*Exogenous!$N$74+Exogenous!AK$79,IF(FLOOR(52*AE$186,1)&gt;Exogenous!AK$72,(FLOOR(52*AE$186,1)-Exogenous!AK$72)*Exogenous!$N$73+Exogenous!AK$78,IF(FLOOR(52*AE$186,1)&gt;Exogenous!AK$71,(FLOOR(52*AE$186,1)-Exogenous!AK$71)*Exogenous!$N$72+Exogenous!AK$77,FLOOR(52*AE$186,1)*Exogenous!$N$71)))-FLOOR(52*AE$186,1)*Exogenous!$N$75)/52,2),AD$187*(1+AE$30)))</f>
        <v>2035.9612593508534</v>
      </c>
      <c r="AF187" s="13">
        <f ca="1">IF(OFFSET(Assumptions!$B$29,0,$C$1)="FFD",ROUND((FLOOR(52*AF$186,1)-IF(FLOOR(52*AF$186,1)&gt;Exogenous!$P$73,(FLOOR(52*AF$186,1)-Exogenous!$P$73)*Exogenous!$N$74+Exogenous!$P$79,IF(FLOOR(52*AF$186,1)&gt;Exogenous!$P$72,(FLOOR(52*AF$186,1)-Exogenous!$P$72)*Exogenous!$N$73+Exogenous!$P$78,IF(FLOOR(52*AF$186,1)&gt;Exogenous!$P$71,(FLOOR(52*AF$186,1)-Exogenous!$P$71)*Exogenous!$N$72+Exogenous!$P$77,FLOOR(52*AF$186,1)*Exogenous!$N$71)))-FLOOR(52*AF$186,1)*Exogenous!$N$75)/52,2),IF(OFFSET(Assumptions!$B$29,0,$C$1)="PFD",ROUND((FLOOR(52*AF$186,1)-IF(FLOOR(52*AF$186,1)&gt;Exogenous!AL$73,(FLOOR(52*AF$186,1)-Exogenous!AL$73)*Exogenous!$N$74+Exogenous!AL$79,IF(FLOOR(52*AF$186,1)&gt;Exogenous!AL$72,(FLOOR(52*AF$186,1)-Exogenous!AL$72)*Exogenous!$N$73+Exogenous!AL$78,IF(FLOOR(52*AF$186,1)&gt;Exogenous!AL$71,(FLOOR(52*AF$186,1)-Exogenous!AL$71)*Exogenous!$N$72+Exogenous!AL$77,FLOOR(52*AF$186,1)*Exogenous!$N$71)))-FLOOR(52*AF$186,1)*Exogenous!$N$75)/52,2),AE$187*(1+AF$30)))</f>
        <v>2107.8306918059384</v>
      </c>
      <c r="AG187" s="13">
        <f ca="1">IF(OFFSET(Assumptions!$B$29,0,$C$1)="FFD",ROUND((FLOOR(52*AG$186,1)-IF(FLOOR(52*AG$186,1)&gt;Exogenous!$P$73,(FLOOR(52*AG$186,1)-Exogenous!$P$73)*Exogenous!$N$74+Exogenous!$P$79,IF(FLOOR(52*AG$186,1)&gt;Exogenous!$P$72,(FLOOR(52*AG$186,1)-Exogenous!$P$72)*Exogenous!$N$73+Exogenous!$P$78,IF(FLOOR(52*AG$186,1)&gt;Exogenous!$P$71,(FLOOR(52*AG$186,1)-Exogenous!$P$71)*Exogenous!$N$72+Exogenous!$P$77,FLOOR(52*AG$186,1)*Exogenous!$N$71)))-FLOOR(52*AG$186,1)*Exogenous!$N$75)/52,2),IF(OFFSET(Assumptions!$B$29,0,$C$1)="PFD",ROUND((FLOOR(52*AG$186,1)-IF(FLOOR(52*AG$186,1)&gt;Exogenous!AM$73,(FLOOR(52*AG$186,1)-Exogenous!AM$73)*Exogenous!$N$74+Exogenous!AM$79,IF(FLOOR(52*AG$186,1)&gt;Exogenous!AM$72,(FLOOR(52*AG$186,1)-Exogenous!AM$72)*Exogenous!$N$73+Exogenous!AM$78,IF(FLOOR(52*AG$186,1)&gt;Exogenous!AM$71,(FLOOR(52*AG$186,1)-Exogenous!AM$71)*Exogenous!$N$72+Exogenous!AM$77,FLOOR(52*AG$186,1)*Exogenous!$N$71)))-FLOOR(52*AG$186,1)*Exogenous!$N$75)/52,2),AF$187*(1+AG$30)))</f>
        <v>2182.2371152266878</v>
      </c>
      <c r="AH187" s="13">
        <f ca="1">IF(OFFSET(Assumptions!$B$29,0,$C$1)="FFD",ROUND((FLOOR(52*AH$186,1)-IF(FLOOR(52*AH$186,1)&gt;Exogenous!$P$73,(FLOOR(52*AH$186,1)-Exogenous!$P$73)*Exogenous!$N$74+Exogenous!$P$79,IF(FLOOR(52*AH$186,1)&gt;Exogenous!$P$72,(FLOOR(52*AH$186,1)-Exogenous!$P$72)*Exogenous!$N$73+Exogenous!$P$78,IF(FLOOR(52*AH$186,1)&gt;Exogenous!$P$71,(FLOOR(52*AH$186,1)-Exogenous!$P$71)*Exogenous!$N$72+Exogenous!$P$77,FLOOR(52*AH$186,1)*Exogenous!$N$71)))-FLOOR(52*AH$186,1)*Exogenous!$N$75)/52,2),IF(OFFSET(Assumptions!$B$29,0,$C$1)="PFD",ROUND((FLOOR(52*AH$186,1)-IF(FLOOR(52*AH$186,1)&gt;Exogenous!AN$73,(FLOOR(52*AH$186,1)-Exogenous!AN$73)*Exogenous!$N$74+Exogenous!AN$79,IF(FLOOR(52*AH$186,1)&gt;Exogenous!AN$72,(FLOOR(52*AH$186,1)-Exogenous!AN$72)*Exogenous!$N$73+Exogenous!AN$78,IF(FLOOR(52*AH$186,1)&gt;Exogenous!AN$71,(FLOOR(52*AH$186,1)-Exogenous!AN$71)*Exogenous!$N$72+Exogenous!AN$77,FLOOR(52*AH$186,1)*Exogenous!$N$71)))-FLOOR(52*AH$186,1)*Exogenous!$N$75)/52,2),AG$187*(1+AH$30)))</f>
        <v>2259.2700853941897</v>
      </c>
      <c r="AI187" s="13">
        <f ca="1">IF(OFFSET(Assumptions!$B$29,0,$C$1)="FFD",ROUND((FLOOR(52*AI$186,1)-IF(FLOOR(52*AI$186,1)&gt;Exogenous!$P$73,(FLOOR(52*AI$186,1)-Exogenous!$P$73)*Exogenous!$N$74+Exogenous!$P$79,IF(FLOOR(52*AI$186,1)&gt;Exogenous!$P$72,(FLOOR(52*AI$186,1)-Exogenous!$P$72)*Exogenous!$N$73+Exogenous!$P$78,IF(FLOOR(52*AI$186,1)&gt;Exogenous!$P$71,(FLOOR(52*AI$186,1)-Exogenous!$P$71)*Exogenous!$N$72+Exogenous!$P$77,FLOOR(52*AI$186,1)*Exogenous!$N$71)))-FLOOR(52*AI$186,1)*Exogenous!$N$75)/52,2),IF(OFFSET(Assumptions!$B$29,0,$C$1)="PFD",ROUND((FLOOR(52*AI$186,1)-IF(FLOOR(52*AI$186,1)&gt;Exogenous!AO$73,(FLOOR(52*AI$186,1)-Exogenous!AO$73)*Exogenous!$N$74+Exogenous!AO$79,IF(FLOOR(52*AI$186,1)&gt;Exogenous!AO$72,(FLOOR(52*AI$186,1)-Exogenous!AO$72)*Exogenous!$N$73+Exogenous!AO$78,IF(FLOOR(52*AI$186,1)&gt;Exogenous!AO$71,(FLOOR(52*AI$186,1)-Exogenous!AO$71)*Exogenous!$N$72+Exogenous!AO$77,FLOOR(52*AI$186,1)*Exogenous!$N$71)))-FLOOR(52*AI$186,1)*Exogenous!$N$75)/52,2),AH$187*(1+AI$30)))</f>
        <v>2339.0223194086043</v>
      </c>
      <c r="AJ187" s="13">
        <f ca="1">IF(OFFSET(Assumptions!$B$29,0,$C$1)="FFD",ROUND((FLOOR(52*AJ$186,1)-IF(FLOOR(52*AJ$186,1)&gt;Exogenous!$P$73,(FLOOR(52*AJ$186,1)-Exogenous!$P$73)*Exogenous!$N$74+Exogenous!$P$79,IF(FLOOR(52*AJ$186,1)&gt;Exogenous!$P$72,(FLOOR(52*AJ$186,1)-Exogenous!$P$72)*Exogenous!$N$73+Exogenous!$P$78,IF(FLOOR(52*AJ$186,1)&gt;Exogenous!$P$71,(FLOOR(52*AJ$186,1)-Exogenous!$P$71)*Exogenous!$N$72+Exogenous!$P$77,FLOOR(52*AJ$186,1)*Exogenous!$N$71)))-FLOOR(52*AJ$186,1)*Exogenous!$N$75)/52,2),IF(OFFSET(Assumptions!$B$29,0,$C$1)="PFD",ROUND((FLOOR(52*AJ$186,1)-IF(FLOOR(52*AJ$186,1)&gt;Exogenous!AP$73,(FLOOR(52*AJ$186,1)-Exogenous!AP$73)*Exogenous!$N$74+Exogenous!AP$79,IF(FLOOR(52*AJ$186,1)&gt;Exogenous!AP$72,(FLOOR(52*AJ$186,1)-Exogenous!AP$72)*Exogenous!$N$73+Exogenous!AP$78,IF(FLOOR(52*AJ$186,1)&gt;Exogenous!AP$71,(FLOOR(52*AJ$186,1)-Exogenous!AP$71)*Exogenous!$N$72+Exogenous!AP$77,FLOOR(52*AJ$186,1)*Exogenous!$N$71)))-FLOOR(52*AJ$186,1)*Exogenous!$N$75)/52,2),AI$187*(1+AJ$30)))</f>
        <v>2421.5898072837276</v>
      </c>
      <c r="AK187" s="13">
        <f ca="1">IF(OFFSET(Assumptions!$B$29,0,$C$1)="FFD",ROUND((FLOOR(52*AK$186,1)-IF(FLOOR(52*AK$186,1)&gt;Exogenous!$P$73,(FLOOR(52*AK$186,1)-Exogenous!$P$73)*Exogenous!$N$74+Exogenous!$P$79,IF(FLOOR(52*AK$186,1)&gt;Exogenous!$P$72,(FLOOR(52*AK$186,1)-Exogenous!$P$72)*Exogenous!$N$73+Exogenous!$P$78,IF(FLOOR(52*AK$186,1)&gt;Exogenous!$P$71,(FLOOR(52*AK$186,1)-Exogenous!$P$71)*Exogenous!$N$72+Exogenous!$P$77,FLOOR(52*AK$186,1)*Exogenous!$N$71)))-FLOOR(52*AK$186,1)*Exogenous!$N$75)/52,2),IF(OFFSET(Assumptions!$B$29,0,$C$1)="PFD",ROUND((FLOOR(52*AK$186,1)-IF(FLOOR(52*AK$186,1)&gt;Exogenous!AQ$73,(FLOOR(52*AK$186,1)-Exogenous!AQ$73)*Exogenous!$N$74+Exogenous!AQ$79,IF(FLOOR(52*AK$186,1)&gt;Exogenous!AQ$72,(FLOOR(52*AK$186,1)-Exogenous!AQ$72)*Exogenous!$N$73+Exogenous!AQ$78,IF(FLOOR(52*AK$186,1)&gt;Exogenous!AQ$71,(FLOOR(52*AK$186,1)-Exogenous!AQ$71)*Exogenous!$N$72+Exogenous!AQ$77,FLOOR(52*AK$186,1)*Exogenous!$N$71)))-FLOOR(52*AK$186,1)*Exogenous!$N$75)/52,2),AJ$187*(1+AK$30)))</f>
        <v>2507.071927480843</v>
      </c>
      <c r="AL187" s="13">
        <f ca="1">IF(OFFSET(Assumptions!$B$29,0,$C$1)="FFD",ROUND((FLOOR(52*AL$186,1)-IF(FLOOR(52*AL$186,1)&gt;Exogenous!$P$73,(FLOOR(52*AL$186,1)-Exogenous!$P$73)*Exogenous!$N$74+Exogenous!$P$79,IF(FLOOR(52*AL$186,1)&gt;Exogenous!$P$72,(FLOOR(52*AL$186,1)-Exogenous!$P$72)*Exogenous!$N$73+Exogenous!$P$78,IF(FLOOR(52*AL$186,1)&gt;Exogenous!$P$71,(FLOOR(52*AL$186,1)-Exogenous!$P$71)*Exogenous!$N$72+Exogenous!$P$77,FLOOR(52*AL$186,1)*Exogenous!$N$71)))-FLOOR(52*AL$186,1)*Exogenous!$N$75)/52,2),IF(OFFSET(Assumptions!$B$29,0,$C$1)="PFD",ROUND((FLOOR(52*AL$186,1)-IF(FLOOR(52*AL$186,1)&gt;Exogenous!AR$73,(FLOOR(52*AL$186,1)-Exogenous!AR$73)*Exogenous!$N$74+Exogenous!AR$79,IF(FLOOR(52*AL$186,1)&gt;Exogenous!AR$72,(FLOOR(52*AL$186,1)-Exogenous!AR$72)*Exogenous!$N$73+Exogenous!AR$78,IF(FLOOR(52*AL$186,1)&gt;Exogenous!AR$71,(FLOOR(52*AL$186,1)-Exogenous!AR$71)*Exogenous!$N$72+Exogenous!AR$77,FLOOR(52*AL$186,1)*Exogenous!$N$71)))-FLOOR(52*AL$186,1)*Exogenous!$N$75)/52,2),AK$187*(1+AL$30)))</f>
        <v>2595.5715665209163</v>
      </c>
      <c r="AM187" s="13">
        <f ca="1">IF(OFFSET(Assumptions!$B$29,0,$C$1)="FFD",ROUND((FLOOR(52*AM$186,1)-IF(FLOOR(52*AM$186,1)&gt;Exogenous!$P$73,(FLOOR(52*AM$186,1)-Exogenous!$P$73)*Exogenous!$N$74+Exogenous!$P$79,IF(FLOOR(52*AM$186,1)&gt;Exogenous!$P$72,(FLOOR(52*AM$186,1)-Exogenous!$P$72)*Exogenous!$N$73+Exogenous!$P$78,IF(FLOOR(52*AM$186,1)&gt;Exogenous!$P$71,(FLOOR(52*AM$186,1)-Exogenous!$P$71)*Exogenous!$N$72+Exogenous!$P$77,FLOOR(52*AM$186,1)*Exogenous!$N$71)))-FLOOR(52*AM$186,1)*Exogenous!$N$75)/52,2),IF(OFFSET(Assumptions!$B$29,0,$C$1)="PFD",ROUND((FLOOR(52*AM$186,1)-IF(FLOOR(52*AM$186,1)&gt;Exogenous!AS$73,(FLOOR(52*AM$186,1)-Exogenous!AS$73)*Exogenous!$N$74+Exogenous!AS$79,IF(FLOOR(52*AM$186,1)&gt;Exogenous!AS$72,(FLOOR(52*AM$186,1)-Exogenous!AS$72)*Exogenous!$N$73+Exogenous!AS$78,IF(FLOOR(52*AM$186,1)&gt;Exogenous!AS$71,(FLOOR(52*AM$186,1)-Exogenous!AS$71)*Exogenous!$N$72+Exogenous!AS$77,FLOOR(52*AM$186,1)*Exogenous!$N$71)))-FLOOR(52*AM$186,1)*Exogenous!$N$75)/52,2),AL$187*(1+AM$30)))</f>
        <v>2687.1952428191044</v>
      </c>
      <c r="AN187" s="13">
        <f ca="1">IF(OFFSET(Assumptions!$B$29,0,$C$1)="FFD",ROUND((FLOOR(52*AN$186,1)-IF(FLOOR(52*AN$186,1)&gt;Exogenous!$P$73,(FLOOR(52*AN$186,1)-Exogenous!$P$73)*Exogenous!$N$74+Exogenous!$P$79,IF(FLOOR(52*AN$186,1)&gt;Exogenous!$P$72,(FLOOR(52*AN$186,1)-Exogenous!$P$72)*Exogenous!$N$73+Exogenous!$P$78,IF(FLOOR(52*AN$186,1)&gt;Exogenous!$P$71,(FLOOR(52*AN$186,1)-Exogenous!$P$71)*Exogenous!$N$72+Exogenous!$P$77,FLOOR(52*AN$186,1)*Exogenous!$N$71)))-FLOOR(52*AN$186,1)*Exogenous!$N$75)/52,2),IF(OFFSET(Assumptions!$B$29,0,$C$1)="PFD",ROUND((FLOOR(52*AN$186,1)-IF(FLOOR(52*AN$186,1)&gt;Exogenous!AT$73,(FLOOR(52*AN$186,1)-Exogenous!AT$73)*Exogenous!$N$74+Exogenous!AT$79,IF(FLOOR(52*AN$186,1)&gt;Exogenous!AT$72,(FLOOR(52*AN$186,1)-Exogenous!AT$72)*Exogenous!$N$73+Exogenous!AT$78,IF(FLOOR(52*AN$186,1)&gt;Exogenous!AT$71,(FLOOR(52*AN$186,1)-Exogenous!AT$71)*Exogenous!$N$72+Exogenous!AT$77,FLOOR(52*AN$186,1)*Exogenous!$N$71)))-FLOOR(52*AN$186,1)*Exogenous!$N$75)/52,2),AM$187*(1+AN$30)))</f>
        <v>2782.0532348906186</v>
      </c>
      <c r="AO187" s="13">
        <f ca="1">IF(OFFSET(Assumptions!$B$29,0,$C$1)="FFD",ROUND((FLOOR(52*AO$186,1)-IF(FLOOR(52*AO$186,1)&gt;Exogenous!$P$73,(FLOOR(52*AO$186,1)-Exogenous!$P$73)*Exogenous!$N$74+Exogenous!$P$79,IF(FLOOR(52*AO$186,1)&gt;Exogenous!$P$72,(FLOOR(52*AO$186,1)-Exogenous!$P$72)*Exogenous!$N$73+Exogenous!$P$78,IF(FLOOR(52*AO$186,1)&gt;Exogenous!$P$71,(FLOOR(52*AO$186,1)-Exogenous!$P$71)*Exogenous!$N$72+Exogenous!$P$77,FLOOR(52*AO$186,1)*Exogenous!$N$71)))-FLOOR(52*AO$186,1)*Exogenous!$N$75)/52,2),IF(OFFSET(Assumptions!$B$29,0,$C$1)="PFD",ROUND((FLOOR(52*AO$186,1)-IF(FLOOR(52*AO$186,1)&gt;Exogenous!AU$73,(FLOOR(52*AO$186,1)-Exogenous!AU$73)*Exogenous!$N$74+Exogenous!AU$79,IF(FLOOR(52*AO$186,1)&gt;Exogenous!AU$72,(FLOOR(52*AO$186,1)-Exogenous!AU$72)*Exogenous!$N$73+Exogenous!AU$78,IF(FLOOR(52*AO$186,1)&gt;Exogenous!AU$71,(FLOOR(52*AO$186,1)-Exogenous!AU$71)*Exogenous!$N$72+Exogenous!AU$77,FLOOR(52*AO$186,1)*Exogenous!$N$71)))-FLOOR(52*AO$186,1)*Exogenous!$N$75)/52,2),AN$187*(1+AO$30)))</f>
        <v>2880.2597140822572</v>
      </c>
      <c r="AP187" s="13">
        <f ca="1">IF(OFFSET(Assumptions!$B$29,0,$C$1)="FFD",ROUND((FLOOR(52*AP$186,1)-IF(FLOOR(52*AP$186,1)&gt;Exogenous!$P$73,(FLOOR(52*AP$186,1)-Exogenous!$P$73)*Exogenous!$N$74+Exogenous!$P$79,IF(FLOOR(52*AP$186,1)&gt;Exogenous!$P$72,(FLOOR(52*AP$186,1)-Exogenous!$P$72)*Exogenous!$N$73+Exogenous!$P$78,IF(FLOOR(52*AP$186,1)&gt;Exogenous!$P$71,(FLOOR(52*AP$186,1)-Exogenous!$P$71)*Exogenous!$N$72+Exogenous!$P$77,FLOOR(52*AP$186,1)*Exogenous!$N$71)))-FLOOR(52*AP$186,1)*Exogenous!$N$75)/52,2),IF(OFFSET(Assumptions!$B$29,0,$C$1)="PFD",ROUND((FLOOR(52*AP$186,1)-IF(FLOOR(52*AP$186,1)&gt;Exogenous!AV$73,(FLOOR(52*AP$186,1)-Exogenous!AV$73)*Exogenous!$N$74+Exogenous!AV$79,IF(FLOOR(52*AP$186,1)&gt;Exogenous!AV$72,(FLOOR(52*AP$186,1)-Exogenous!AV$72)*Exogenous!$N$73+Exogenous!AV$78,IF(FLOOR(52*AP$186,1)&gt;Exogenous!AV$71,(FLOOR(52*AP$186,1)-Exogenous!AV$71)*Exogenous!$N$72+Exogenous!AV$77,FLOOR(52*AP$186,1)*Exogenous!$N$71)))-FLOOR(52*AP$186,1)*Exogenous!$N$75)/52,2),AO$187*(1+AP$30)))</f>
        <v>2981.9328819893608</v>
      </c>
      <c r="AQ187" s="13">
        <f ca="1">IF(OFFSET(Assumptions!$B$29,0,$C$1)="FFD",ROUND((FLOOR(52*AQ$186,1)-IF(FLOOR(52*AQ$186,1)&gt;Exogenous!$P$73,(FLOOR(52*AQ$186,1)-Exogenous!$P$73)*Exogenous!$N$74+Exogenous!$P$79,IF(FLOOR(52*AQ$186,1)&gt;Exogenous!$P$72,(FLOOR(52*AQ$186,1)-Exogenous!$P$72)*Exogenous!$N$73+Exogenous!$P$78,IF(FLOOR(52*AQ$186,1)&gt;Exogenous!$P$71,(FLOOR(52*AQ$186,1)-Exogenous!$P$71)*Exogenous!$N$72+Exogenous!$P$77,FLOOR(52*AQ$186,1)*Exogenous!$N$71)))-FLOOR(52*AQ$186,1)*Exogenous!$N$75)/52,2),IF(OFFSET(Assumptions!$B$29,0,$C$1)="PFD",ROUND((FLOOR(52*AQ$186,1)-IF(FLOOR(52*AQ$186,1)&gt;Exogenous!AW$73,(FLOOR(52*AQ$186,1)-Exogenous!AW$73)*Exogenous!$N$74+Exogenous!AW$79,IF(FLOOR(52*AQ$186,1)&gt;Exogenous!AW$72,(FLOOR(52*AQ$186,1)-Exogenous!AW$72)*Exogenous!$N$73+Exogenous!AW$78,IF(FLOOR(52*AQ$186,1)&gt;Exogenous!AW$71,(FLOOR(52*AQ$186,1)-Exogenous!AW$71)*Exogenous!$N$72+Exogenous!AW$77,FLOOR(52*AQ$186,1)*Exogenous!$N$71)))-FLOOR(52*AQ$186,1)*Exogenous!$N$75)/52,2),AP$187*(1+AQ$30)))</f>
        <v>3087.1951127235848</v>
      </c>
      <c r="AR187" s="13">
        <f ca="1">IF(OFFSET(Assumptions!$B$29,0,$C$1)="FFD",ROUND((FLOOR(52*AR$186,1)-IF(FLOOR(52*AR$186,1)&gt;Exogenous!$P$73,(FLOOR(52*AR$186,1)-Exogenous!$P$73)*Exogenous!$N$74+Exogenous!$P$79,IF(FLOOR(52*AR$186,1)&gt;Exogenous!$P$72,(FLOOR(52*AR$186,1)-Exogenous!$P$72)*Exogenous!$N$73+Exogenous!$P$78,IF(FLOOR(52*AR$186,1)&gt;Exogenous!$P$71,(FLOOR(52*AR$186,1)-Exogenous!$P$71)*Exogenous!$N$72+Exogenous!$P$77,FLOOR(52*AR$186,1)*Exogenous!$N$71)))-FLOOR(52*AR$186,1)*Exogenous!$N$75)/52,2),IF(OFFSET(Assumptions!$B$29,0,$C$1)="PFD",ROUND((FLOOR(52*AR$186,1)-IF(FLOOR(52*AR$186,1)&gt;Exogenous!AX$73,(FLOOR(52*AR$186,1)-Exogenous!AX$73)*Exogenous!$N$74+Exogenous!AX$79,IF(FLOOR(52*AR$186,1)&gt;Exogenous!AX$72,(FLOOR(52*AR$186,1)-Exogenous!AX$72)*Exogenous!$N$73+Exogenous!AX$78,IF(FLOOR(52*AR$186,1)&gt;Exogenous!AX$71,(FLOOR(52*AR$186,1)-Exogenous!AX$71)*Exogenous!$N$72+Exogenous!AX$77,FLOOR(52*AR$186,1)*Exogenous!$N$71)))-FLOOR(52*AR$186,1)*Exogenous!$N$75)/52,2),AQ$187*(1+AR$30)))</f>
        <v>3196.1731002027268</v>
      </c>
      <c r="AS187" s="13">
        <f ca="1">IF(OFFSET(Assumptions!$B$29,0,$C$1)="FFD",ROUND((FLOOR(52*AS$186,1)-IF(FLOOR(52*AS$186,1)&gt;Exogenous!$P$73,(FLOOR(52*AS$186,1)-Exogenous!$P$73)*Exogenous!$N$74+Exogenous!$P$79,IF(FLOOR(52*AS$186,1)&gt;Exogenous!$P$72,(FLOOR(52*AS$186,1)-Exogenous!$P$72)*Exogenous!$N$73+Exogenous!$P$78,IF(FLOOR(52*AS$186,1)&gt;Exogenous!$P$71,(FLOOR(52*AS$186,1)-Exogenous!$P$71)*Exogenous!$N$72+Exogenous!$P$77,FLOOR(52*AS$186,1)*Exogenous!$N$71)))-FLOOR(52*AS$186,1)*Exogenous!$N$75)/52,2),IF(OFFSET(Assumptions!$B$29,0,$C$1)="PFD",ROUND((FLOOR(52*AS$186,1)-IF(FLOOR(52*AS$186,1)&gt;Exogenous!AY$73,(FLOOR(52*AS$186,1)-Exogenous!AY$73)*Exogenous!$N$74+Exogenous!AY$79,IF(FLOOR(52*AS$186,1)&gt;Exogenous!AY$72,(FLOOR(52*AS$186,1)-Exogenous!AY$72)*Exogenous!$N$73+Exogenous!AY$78,IF(FLOOR(52*AS$186,1)&gt;Exogenous!AY$71,(FLOOR(52*AS$186,1)-Exogenous!AY$71)*Exogenous!$N$72+Exogenous!AY$77,FLOOR(52*AS$186,1)*Exogenous!$N$71)))-FLOOR(52*AS$186,1)*Exogenous!$N$75)/52,2),AR$187*(1+AS$30)))</f>
        <v>3308.9980106398825</v>
      </c>
      <c r="AT187" s="13">
        <f ca="1">IF(OFFSET(Assumptions!$B$29,0,$C$1)="FFD",ROUND((FLOOR(52*AT$186,1)-IF(FLOOR(52*AT$186,1)&gt;Exogenous!$P$73,(FLOOR(52*AT$186,1)-Exogenous!$P$73)*Exogenous!$N$74+Exogenous!$P$79,IF(FLOOR(52*AT$186,1)&gt;Exogenous!$P$72,(FLOOR(52*AT$186,1)-Exogenous!$P$72)*Exogenous!$N$73+Exogenous!$P$78,IF(FLOOR(52*AT$186,1)&gt;Exogenous!$P$71,(FLOOR(52*AT$186,1)-Exogenous!$P$71)*Exogenous!$N$72+Exogenous!$P$77,FLOOR(52*AT$186,1)*Exogenous!$N$71)))-FLOOR(52*AT$186,1)*Exogenous!$N$75)/52,2),IF(OFFSET(Assumptions!$B$29,0,$C$1)="PFD",ROUND((FLOOR(52*AT$186,1)-IF(FLOOR(52*AT$186,1)&gt;Exogenous!AZ$73,(FLOOR(52*AT$186,1)-Exogenous!AZ$73)*Exogenous!$N$74+Exogenous!AZ$79,IF(FLOOR(52*AT$186,1)&gt;Exogenous!AZ$72,(FLOOR(52*AT$186,1)-Exogenous!AZ$72)*Exogenous!$N$73+Exogenous!AZ$78,IF(FLOOR(52*AT$186,1)&gt;Exogenous!AZ$71,(FLOOR(52*AT$186,1)-Exogenous!AZ$71)*Exogenous!$N$72+Exogenous!AZ$77,FLOOR(52*AT$186,1)*Exogenous!$N$71)))-FLOOR(52*AT$186,1)*Exogenous!$N$75)/52,2),AS$187*(1+AT$30)))</f>
        <v>3425.80564041547</v>
      </c>
      <c r="AU187" s="13">
        <f ca="1">IF(OFFSET(Assumptions!$B$29,0,$C$1)="FFD",ROUND((FLOOR(52*AU$186,1)-IF(FLOOR(52*AU$186,1)&gt;Exogenous!$P$73,(FLOOR(52*AU$186,1)-Exogenous!$P$73)*Exogenous!$N$74+Exogenous!$P$79,IF(FLOOR(52*AU$186,1)&gt;Exogenous!$P$72,(FLOOR(52*AU$186,1)-Exogenous!$P$72)*Exogenous!$N$73+Exogenous!$P$78,IF(FLOOR(52*AU$186,1)&gt;Exogenous!$P$71,(FLOOR(52*AU$186,1)-Exogenous!$P$71)*Exogenous!$N$72+Exogenous!$P$77,FLOOR(52*AU$186,1)*Exogenous!$N$71)))-FLOOR(52*AU$186,1)*Exogenous!$N$75)/52,2),IF(OFFSET(Assumptions!$B$29,0,$C$1)="PFD",ROUND((FLOOR(52*AU$186,1)-IF(FLOOR(52*AU$186,1)&gt;Exogenous!BA$73,(FLOOR(52*AU$186,1)-Exogenous!BA$73)*Exogenous!$N$74+Exogenous!BA$79,IF(FLOOR(52*AU$186,1)&gt;Exogenous!BA$72,(FLOOR(52*AU$186,1)-Exogenous!BA$72)*Exogenous!$N$73+Exogenous!BA$78,IF(FLOOR(52*AU$186,1)&gt;Exogenous!BA$71,(FLOOR(52*AU$186,1)-Exogenous!BA$71)*Exogenous!$N$72+Exogenous!BA$77,FLOOR(52*AU$186,1)*Exogenous!$N$71)))-FLOOR(52*AU$186,1)*Exogenous!$N$75)/52,2),AT$187*(1+AU$30)))</f>
        <v>3546.7365795221358</v>
      </c>
      <c r="AV187" s="13">
        <f ca="1">IF(OFFSET(Assumptions!$B$29,0,$C$1)="FFD",ROUND((FLOOR(52*AV$186,1)-IF(FLOOR(52*AV$186,1)&gt;Exogenous!$P$73,(FLOOR(52*AV$186,1)-Exogenous!$P$73)*Exogenous!$N$74+Exogenous!$P$79,IF(FLOOR(52*AV$186,1)&gt;Exogenous!$P$72,(FLOOR(52*AV$186,1)-Exogenous!$P$72)*Exogenous!$N$73+Exogenous!$P$78,IF(FLOOR(52*AV$186,1)&gt;Exogenous!$P$71,(FLOOR(52*AV$186,1)-Exogenous!$P$71)*Exogenous!$N$72+Exogenous!$P$77,FLOOR(52*AV$186,1)*Exogenous!$N$71)))-FLOOR(52*AV$186,1)*Exogenous!$N$75)/52,2),IF(OFFSET(Assumptions!$B$29,0,$C$1)="PFD",ROUND((FLOOR(52*AV$186,1)-IF(FLOOR(52*AV$186,1)&gt;Exogenous!BB$73,(FLOOR(52*AV$186,1)-Exogenous!BB$73)*Exogenous!$N$74+Exogenous!BB$79,IF(FLOOR(52*AV$186,1)&gt;Exogenous!BB$72,(FLOOR(52*AV$186,1)-Exogenous!BB$72)*Exogenous!$N$73+Exogenous!BB$78,IF(FLOOR(52*AV$186,1)&gt;Exogenous!BB$71,(FLOOR(52*AV$186,1)-Exogenous!BB$71)*Exogenous!$N$72+Exogenous!BB$77,FLOOR(52*AV$186,1)*Exogenous!$N$71)))-FLOOR(52*AV$186,1)*Exogenous!$N$75)/52,2),AU$187*(1+AV$30)))</f>
        <v>3671.936380779267</v>
      </c>
      <c r="AW187" s="13">
        <f ca="1">IF(OFFSET(Assumptions!$B$29,0,$C$1)="FFD",ROUND((FLOOR(52*AW$186,1)-IF(FLOOR(52*AW$186,1)&gt;Exogenous!$P$73,(FLOOR(52*AW$186,1)-Exogenous!$P$73)*Exogenous!$N$74+Exogenous!$P$79,IF(FLOOR(52*AW$186,1)&gt;Exogenous!$P$72,(FLOOR(52*AW$186,1)-Exogenous!$P$72)*Exogenous!$N$73+Exogenous!$P$78,IF(FLOOR(52*AW$186,1)&gt;Exogenous!$P$71,(FLOOR(52*AW$186,1)-Exogenous!$P$71)*Exogenous!$N$72+Exogenous!$P$77,FLOOR(52*AW$186,1)*Exogenous!$N$71)))-FLOOR(52*AW$186,1)*Exogenous!$N$75)/52,2),IF(OFFSET(Assumptions!$B$29,0,$C$1)="PFD",ROUND((FLOOR(52*AW$186,1)-IF(FLOOR(52*AW$186,1)&gt;Exogenous!BC$73,(FLOOR(52*AW$186,1)-Exogenous!BC$73)*Exogenous!$N$74+Exogenous!BC$79,IF(FLOOR(52*AW$186,1)&gt;Exogenous!BC$72,(FLOOR(52*AW$186,1)-Exogenous!BC$72)*Exogenous!$N$73+Exogenous!BC$78,IF(FLOOR(52*AW$186,1)&gt;Exogenous!BC$71,(FLOOR(52*AW$186,1)-Exogenous!BC$71)*Exogenous!$N$72+Exogenous!BC$77,FLOOR(52*AW$186,1)*Exogenous!$N$71)))-FLOOR(52*AW$186,1)*Exogenous!$N$75)/52,2),AV$187*(1+AW$30)))</f>
        <v>3801.5557350207746</v>
      </c>
    </row>
    <row r="188" spans="1:49" x14ac:dyDescent="0.2">
      <c r="A188" s="1" t="s">
        <v>508</v>
      </c>
      <c r="B188" s="4" t="str">
        <f>$B$12</f>
        <v>From Economic</v>
      </c>
      <c r="D188" s="24">
        <f>Economic!M$21</f>
        <v>326.3</v>
      </c>
      <c r="E188" s="25">
        <f>Economic!N$21</f>
        <v>335.74</v>
      </c>
      <c r="F188" s="25">
        <f>Economic!O$21</f>
        <v>339.11</v>
      </c>
      <c r="G188" s="25">
        <f>Economic!P$21</f>
        <v>345.54</v>
      </c>
      <c r="H188" s="25">
        <f>Economic!Q$21</f>
        <v>351.76</v>
      </c>
      <c r="I188" s="25">
        <f>Economic!R$21</f>
        <v>358.56</v>
      </c>
      <c r="J188" s="13">
        <f ca="1">IF(OFFSET(Assumptions!$B$29,0,$C$1)="FFD",ROUND(IF(52*J$189&lt;=Exogenous!$P$74,52*J$189/(1-Exogenous!$N$71),IF(52*J$189&lt;=Exogenous!$P$75,(52*J$189-Exogenous!$P$80)/(1-Exogenous!$N$72),IF(52*J$189&lt;=Exogenous!$P$76,(52*J$189-Exogenous!$P$81)/(1-Exogenous!$N$73),(52*J$189-Exogenous!$P$82)/(1-Exogenous!$N$74))))/52,2),IF(OFFSET(Assumptions!$B$29,0,$C$1)="PFD",ROUND(IF(52*J$189&lt;=Exogenous!P$74,52*J$189/(1-Exogenous!$N$71),IF(52*J$189&lt;=Exogenous!P$75,(52*J$189-Exogenous!P$80)/(1-Exogenous!$N$72),IF(52*J$189&lt;=Exogenous!P$76,(52*J$189-Exogenous!P$81)/(1-Exogenous!$N$73),(52*J$189-Exogenous!P$82)/(1-Exogenous!$N$74))))/52,2),I$188*J$189/I$189))</f>
        <v>365.73120000000006</v>
      </c>
      <c r="K188" s="13">
        <f ca="1">IF(OFFSET(Assumptions!$B$29,0,$C$1)="FFD",ROUND(IF(52*K$189&lt;=Exogenous!$P$74,52*K$189/(1-Exogenous!$N$71),IF(52*K$189&lt;=Exogenous!$P$75,(52*K$189-Exogenous!$P$80)/(1-Exogenous!$N$72),IF(52*K$189&lt;=Exogenous!$P$76,(52*K$189-Exogenous!$P$81)/(1-Exogenous!$N$73),(52*K$189-Exogenous!$P$82)/(1-Exogenous!$N$74))))/52,2),IF(OFFSET(Assumptions!$B$29,0,$C$1)="PFD",ROUND(IF(52*K$189&lt;=Exogenous!Q$74,52*K$189/(1-Exogenous!$N$71),IF(52*K$189&lt;=Exogenous!Q$75,(52*K$189-Exogenous!Q$80)/(1-Exogenous!$N$72),IF(52*K$189&lt;=Exogenous!Q$76,(52*K$189-Exogenous!Q$81)/(1-Exogenous!$N$73),(52*K$189-Exogenous!Q$82)/(1-Exogenous!$N$74))))/52,2),J$188*K$189/J$189))</f>
        <v>376.62651635179645</v>
      </c>
      <c r="L188" s="13">
        <f ca="1">IF(OFFSET(Assumptions!$B$29,0,$C$1)="FFD",ROUND(IF(52*L$189&lt;=Exogenous!$P$74,52*L$189/(1-Exogenous!$N$71),IF(52*L$189&lt;=Exogenous!$P$75,(52*L$189-Exogenous!$P$80)/(1-Exogenous!$N$72),IF(52*L$189&lt;=Exogenous!$P$76,(52*L$189-Exogenous!$P$81)/(1-Exogenous!$N$73),(52*L$189-Exogenous!$P$82)/(1-Exogenous!$N$74))))/52,2),IF(OFFSET(Assumptions!$B$29,0,$C$1)="PFD",ROUND(IF(52*L$189&lt;=Exogenous!R$74,52*L$189/(1-Exogenous!$N$71),IF(52*L$189&lt;=Exogenous!R$75,(52*L$189-Exogenous!R$80)/(1-Exogenous!$N$72),IF(52*L$189&lt;=Exogenous!R$76,(52*L$189-Exogenous!R$81)/(1-Exogenous!$N$73),(52*L$189-Exogenous!R$82)/(1-Exogenous!$N$74))))/52,2),K$188*L$189/K$189))</f>
        <v>389.92143237901485</v>
      </c>
      <c r="M188" s="13">
        <f ca="1">IF(OFFSET(Assumptions!$B$29,0,$C$1)="FFD",ROUND(IF(52*M$189&lt;=Exogenous!$P$74,52*M$189/(1-Exogenous!$N$71),IF(52*M$189&lt;=Exogenous!$P$75,(52*M$189-Exogenous!$P$80)/(1-Exogenous!$N$72),IF(52*M$189&lt;=Exogenous!$P$76,(52*M$189-Exogenous!$P$81)/(1-Exogenous!$N$73),(52*M$189-Exogenous!$P$82)/(1-Exogenous!$N$74))))/52,2),IF(OFFSET(Assumptions!$B$29,0,$C$1)="PFD",ROUND(IF(52*M$189&lt;=Exogenous!S$74,52*M$189/(1-Exogenous!$N$71),IF(52*M$189&lt;=Exogenous!S$75,(52*M$189-Exogenous!S$80)/(1-Exogenous!$N$72),IF(52*M$189&lt;=Exogenous!S$76,(52*M$189-Exogenous!S$81)/(1-Exogenous!$N$73),(52*M$189-Exogenous!S$82)/(1-Exogenous!$N$74))))/52,2),L$188*M$189/L$189))</f>
        <v>403.68565894199406</v>
      </c>
      <c r="N188" s="13">
        <f ca="1">IF(OFFSET(Assumptions!$B$29,0,$C$1)="FFD",ROUND(IF(52*N$189&lt;=Exogenous!$P$74,52*N$189/(1-Exogenous!$N$71),IF(52*N$189&lt;=Exogenous!$P$75,(52*N$189-Exogenous!$P$80)/(1-Exogenous!$N$72),IF(52*N$189&lt;=Exogenous!$P$76,(52*N$189-Exogenous!$P$81)/(1-Exogenous!$N$73),(52*N$189-Exogenous!$P$82)/(1-Exogenous!$N$74))))/52,2),IF(OFFSET(Assumptions!$B$29,0,$C$1)="PFD",ROUND(IF(52*N$189&lt;=Exogenous!T$74,52*N$189/(1-Exogenous!$N$71),IF(52*N$189&lt;=Exogenous!T$75,(52*N$189-Exogenous!T$80)/(1-Exogenous!$N$72),IF(52*N$189&lt;=Exogenous!T$76,(52*N$189-Exogenous!T$81)/(1-Exogenous!$N$73),(52*N$189-Exogenous!T$82)/(1-Exogenous!$N$74))))/52,2),M$188*N$189/M$189))</f>
        <v>417.9357627026464</v>
      </c>
      <c r="O188" s="13">
        <f ca="1">IF(OFFSET(Assumptions!$B$29,0,$C$1)="FFD",ROUND(IF(52*O$189&lt;=Exogenous!$P$74,52*O$189/(1-Exogenous!$N$71),IF(52*O$189&lt;=Exogenous!$P$75,(52*O$189-Exogenous!$P$80)/(1-Exogenous!$N$72),IF(52*O$189&lt;=Exogenous!$P$76,(52*O$189-Exogenous!$P$81)/(1-Exogenous!$N$73),(52*O$189-Exogenous!$P$82)/(1-Exogenous!$N$74))))/52,2),IF(OFFSET(Assumptions!$B$29,0,$C$1)="PFD",ROUND(IF(52*O$189&lt;=Exogenous!U$74,52*O$189/(1-Exogenous!$N$71),IF(52*O$189&lt;=Exogenous!U$75,(52*O$189-Exogenous!U$80)/(1-Exogenous!$N$72),IF(52*O$189&lt;=Exogenous!U$76,(52*O$189-Exogenous!U$81)/(1-Exogenous!$N$73),(52*O$189-Exogenous!U$82)/(1-Exogenous!$N$74))))/52,2),N$188*O$189/N$189))</f>
        <v>432.68889512604983</v>
      </c>
      <c r="P188" s="13">
        <f ca="1">IF(OFFSET(Assumptions!$B$29,0,$C$1)="FFD",ROUND(IF(52*P$189&lt;=Exogenous!$P$74,52*P$189/(1-Exogenous!$N$71),IF(52*P$189&lt;=Exogenous!$P$75,(52*P$189-Exogenous!$P$80)/(1-Exogenous!$N$72),IF(52*P$189&lt;=Exogenous!$P$76,(52*P$189-Exogenous!$P$81)/(1-Exogenous!$N$73),(52*P$189-Exogenous!$P$82)/(1-Exogenous!$N$74))))/52,2),IF(OFFSET(Assumptions!$B$29,0,$C$1)="PFD",ROUND(IF(52*P$189&lt;=Exogenous!V$74,52*P$189/(1-Exogenous!$N$71),IF(52*P$189&lt;=Exogenous!V$75,(52*P$189-Exogenous!V$80)/(1-Exogenous!$N$72),IF(52*P$189&lt;=Exogenous!V$76,(52*P$189-Exogenous!V$81)/(1-Exogenous!$N$73),(52*P$189-Exogenous!V$82)/(1-Exogenous!$N$74))))/52,2),O$188*P$189/O$189))</f>
        <v>447.9628131239993</v>
      </c>
      <c r="Q188" s="13">
        <f ca="1">IF(OFFSET(Assumptions!$B$29,0,$C$1)="FFD",ROUND(IF(52*Q$189&lt;=Exogenous!$P$74,52*Q$189/(1-Exogenous!$N$71),IF(52*Q$189&lt;=Exogenous!$P$75,(52*Q$189-Exogenous!$P$80)/(1-Exogenous!$N$72),IF(52*Q$189&lt;=Exogenous!$P$76,(52*Q$189-Exogenous!$P$81)/(1-Exogenous!$N$73),(52*Q$189-Exogenous!$P$82)/(1-Exogenous!$N$74))))/52,2),IF(OFFSET(Assumptions!$B$29,0,$C$1)="PFD",ROUND(IF(52*Q$189&lt;=Exogenous!W$74,52*Q$189/(1-Exogenous!$N$71),IF(52*Q$189&lt;=Exogenous!W$75,(52*Q$189-Exogenous!W$80)/(1-Exogenous!$N$72),IF(52*Q$189&lt;=Exogenous!W$76,(52*Q$189-Exogenous!W$81)/(1-Exogenous!$N$73),(52*Q$189-Exogenous!W$82)/(1-Exogenous!$N$74))))/52,2),P$188*Q$189/P$189))</f>
        <v>463.77590042727638</v>
      </c>
      <c r="R188" s="13">
        <f ca="1">IF(OFFSET(Assumptions!$B$29,0,$C$1)="FFD",ROUND(IF(52*R$189&lt;=Exogenous!$P$74,52*R$189/(1-Exogenous!$N$71),IF(52*R$189&lt;=Exogenous!$P$75,(52*R$189-Exogenous!$P$80)/(1-Exogenous!$N$72),IF(52*R$189&lt;=Exogenous!$P$76,(52*R$189-Exogenous!$P$81)/(1-Exogenous!$N$73),(52*R$189-Exogenous!$P$82)/(1-Exogenous!$N$74))))/52,2),IF(OFFSET(Assumptions!$B$29,0,$C$1)="PFD",ROUND(IF(52*R$189&lt;=Exogenous!X$74,52*R$189/(1-Exogenous!$N$71),IF(52*R$189&lt;=Exogenous!X$75,(52*R$189-Exogenous!X$80)/(1-Exogenous!$N$72),IF(52*R$189&lt;=Exogenous!X$76,(52*R$189-Exogenous!X$81)/(1-Exogenous!$N$73),(52*R$189-Exogenous!X$82)/(1-Exogenous!$N$74))))/52,2),Q$188*R$189/Q$189))</f>
        <v>480.14718971235919</v>
      </c>
      <c r="S188" s="13">
        <f ca="1">IF(OFFSET(Assumptions!$B$29,0,$C$1)="FFD",ROUND(IF(52*S$189&lt;=Exogenous!$P$74,52*S$189/(1-Exogenous!$N$71),IF(52*S$189&lt;=Exogenous!$P$75,(52*S$189-Exogenous!$P$80)/(1-Exogenous!$N$72),IF(52*S$189&lt;=Exogenous!$P$76,(52*S$189-Exogenous!$P$81)/(1-Exogenous!$N$73),(52*S$189-Exogenous!$P$82)/(1-Exogenous!$N$74))))/52,2),IF(OFFSET(Assumptions!$B$29,0,$C$1)="PFD",ROUND(IF(52*S$189&lt;=Exogenous!Y$74,52*S$189/(1-Exogenous!$N$71),IF(52*S$189&lt;=Exogenous!Y$75,(52*S$189-Exogenous!Y$80)/(1-Exogenous!$N$72),IF(52*S$189&lt;=Exogenous!Y$76,(52*S$189-Exogenous!Y$81)/(1-Exogenous!$N$73),(52*S$189-Exogenous!Y$82)/(1-Exogenous!$N$74))))/52,2),R$188*S$189/R$189))</f>
        <v>497.09638550920545</v>
      </c>
      <c r="T188" s="13">
        <f ca="1">IF(OFFSET(Assumptions!$B$29,0,$C$1)="FFD",ROUND(IF(52*T$189&lt;=Exogenous!$P$74,52*T$189/(1-Exogenous!$N$71),IF(52*T$189&lt;=Exogenous!$P$75,(52*T$189-Exogenous!$P$80)/(1-Exogenous!$N$72),IF(52*T$189&lt;=Exogenous!$P$76,(52*T$189-Exogenous!$P$81)/(1-Exogenous!$N$73),(52*T$189-Exogenous!$P$82)/(1-Exogenous!$N$74))))/52,2),IF(OFFSET(Assumptions!$B$29,0,$C$1)="PFD",ROUND(IF(52*T$189&lt;=Exogenous!Z$74,52*T$189/(1-Exogenous!$N$71),IF(52*T$189&lt;=Exogenous!Z$75,(52*T$189-Exogenous!Z$80)/(1-Exogenous!$N$72),IF(52*T$189&lt;=Exogenous!Z$76,(52*T$189-Exogenous!Z$81)/(1-Exogenous!$N$73),(52*T$189-Exogenous!Z$82)/(1-Exogenous!$N$74))))/52,2),S$188*T$189/S$189))</f>
        <v>514.64388791768033</v>
      </c>
      <c r="U188" s="13">
        <f ca="1">IF(OFFSET(Assumptions!$B$29,0,$C$1)="FFD",ROUND(IF(52*U$189&lt;=Exogenous!$P$74,52*U$189/(1-Exogenous!$N$71),IF(52*U$189&lt;=Exogenous!$P$75,(52*U$189-Exogenous!$P$80)/(1-Exogenous!$N$72),IF(52*U$189&lt;=Exogenous!$P$76,(52*U$189-Exogenous!$P$81)/(1-Exogenous!$N$73),(52*U$189-Exogenous!$P$82)/(1-Exogenous!$N$74))))/52,2),IF(OFFSET(Assumptions!$B$29,0,$C$1)="PFD",ROUND(IF(52*U$189&lt;=Exogenous!AA$74,52*U$189/(1-Exogenous!$N$71),IF(52*U$189&lt;=Exogenous!AA$75,(52*U$189-Exogenous!AA$80)/(1-Exogenous!$N$72),IF(52*U$189&lt;=Exogenous!AA$76,(52*U$189-Exogenous!AA$81)/(1-Exogenous!$N$73),(52*U$189-Exogenous!AA$82)/(1-Exogenous!$N$74))))/52,2),T$188*U$189/T$189))</f>
        <v>532.81081716117444</v>
      </c>
      <c r="V188" s="13">
        <f ca="1">IF(OFFSET(Assumptions!$B$29,0,$C$1)="FFD",ROUND(IF(52*V$189&lt;=Exogenous!$P$74,52*V$189/(1-Exogenous!$N$71),IF(52*V$189&lt;=Exogenous!$P$75,(52*V$189-Exogenous!$P$80)/(1-Exogenous!$N$72),IF(52*V$189&lt;=Exogenous!$P$76,(52*V$189-Exogenous!$P$81)/(1-Exogenous!$N$73),(52*V$189-Exogenous!$P$82)/(1-Exogenous!$N$74))))/52,2),IF(OFFSET(Assumptions!$B$29,0,$C$1)="PFD",ROUND(IF(52*V$189&lt;=Exogenous!AB$74,52*V$189/(1-Exogenous!$N$71),IF(52*V$189&lt;=Exogenous!AB$75,(52*V$189-Exogenous!AB$80)/(1-Exogenous!$N$72),IF(52*V$189&lt;=Exogenous!AB$76,(52*V$189-Exogenous!AB$81)/(1-Exogenous!$N$73),(52*V$189-Exogenous!AB$82)/(1-Exogenous!$N$74))))/52,2),U$188*V$189/U$189))</f>
        <v>551.61903900696382</v>
      </c>
      <c r="W188" s="13">
        <f ca="1">IF(OFFSET(Assumptions!$B$29,0,$C$1)="FFD",ROUND(IF(52*W$189&lt;=Exogenous!$P$74,52*W$189/(1-Exogenous!$N$71),IF(52*W$189&lt;=Exogenous!$P$75,(52*W$189-Exogenous!$P$80)/(1-Exogenous!$N$72),IF(52*W$189&lt;=Exogenous!$P$76,(52*W$189-Exogenous!$P$81)/(1-Exogenous!$N$73),(52*W$189-Exogenous!$P$82)/(1-Exogenous!$N$74))))/52,2),IF(OFFSET(Assumptions!$B$29,0,$C$1)="PFD",ROUND(IF(52*W$189&lt;=Exogenous!AC$74,52*W$189/(1-Exogenous!$N$71),IF(52*W$189&lt;=Exogenous!AC$75,(52*W$189-Exogenous!AC$80)/(1-Exogenous!$N$72),IF(52*W$189&lt;=Exogenous!AC$76,(52*W$189-Exogenous!AC$81)/(1-Exogenous!$N$73),(52*W$189-Exogenous!AC$82)/(1-Exogenous!$N$74))))/52,2),V$188*W$189/V$189))</f>
        <v>571.09119108390951</v>
      </c>
      <c r="X188" s="13">
        <f ca="1">IF(OFFSET(Assumptions!$B$29,0,$C$1)="FFD",ROUND(IF(52*X$189&lt;=Exogenous!$P$74,52*X$189/(1-Exogenous!$N$71),IF(52*X$189&lt;=Exogenous!$P$75,(52*X$189-Exogenous!$P$80)/(1-Exogenous!$N$72),IF(52*X$189&lt;=Exogenous!$P$76,(52*X$189-Exogenous!$P$81)/(1-Exogenous!$N$73),(52*X$189-Exogenous!$P$82)/(1-Exogenous!$N$74))))/52,2),IF(OFFSET(Assumptions!$B$29,0,$C$1)="PFD",ROUND(IF(52*X$189&lt;=Exogenous!AD$74,52*X$189/(1-Exogenous!$N$71),IF(52*X$189&lt;=Exogenous!AD$75,(52*X$189-Exogenous!AD$80)/(1-Exogenous!$N$72),IF(52*X$189&lt;=Exogenous!AD$76,(52*X$189-Exogenous!AD$81)/(1-Exogenous!$N$73),(52*X$189-Exogenous!AD$82)/(1-Exogenous!$N$74))))/52,2),W$188*X$189/W$189))</f>
        <v>591.25071012917158</v>
      </c>
      <c r="Y188" s="13">
        <f ca="1">IF(OFFSET(Assumptions!$B$29,0,$C$1)="FFD",ROUND(IF(52*Y$189&lt;=Exogenous!$P$74,52*Y$189/(1-Exogenous!$N$71),IF(52*Y$189&lt;=Exogenous!$P$75,(52*Y$189-Exogenous!$P$80)/(1-Exogenous!$N$72),IF(52*Y$189&lt;=Exogenous!$P$76,(52*Y$189-Exogenous!$P$81)/(1-Exogenous!$N$73),(52*Y$189-Exogenous!$P$82)/(1-Exogenous!$N$74))))/52,2),IF(OFFSET(Assumptions!$B$29,0,$C$1)="PFD",ROUND(IF(52*Y$189&lt;=Exogenous!AE$74,52*Y$189/(1-Exogenous!$N$71),IF(52*Y$189&lt;=Exogenous!AE$75,(52*Y$189-Exogenous!AE$80)/(1-Exogenous!$N$72),IF(52*Y$189&lt;=Exogenous!AE$76,(52*Y$189-Exogenous!AE$81)/(1-Exogenous!$N$73),(52*Y$189-Exogenous!AE$82)/(1-Exogenous!$N$74))))/52,2),X$188*Y$189/X$189))</f>
        <v>612.12186019673129</v>
      </c>
      <c r="Z188" s="13">
        <f ca="1">IF(OFFSET(Assumptions!$B$29,0,$C$1)="FFD",ROUND(IF(52*Z$189&lt;=Exogenous!$P$74,52*Z$189/(1-Exogenous!$N$71),IF(52*Z$189&lt;=Exogenous!$P$75,(52*Z$189-Exogenous!$P$80)/(1-Exogenous!$N$72),IF(52*Z$189&lt;=Exogenous!$P$76,(52*Z$189-Exogenous!$P$81)/(1-Exogenous!$N$73),(52*Z$189-Exogenous!$P$82)/(1-Exogenous!$N$74))))/52,2),IF(OFFSET(Assumptions!$B$29,0,$C$1)="PFD",ROUND(IF(52*Z$189&lt;=Exogenous!AF$74,52*Z$189/(1-Exogenous!$N$71),IF(52*Z$189&lt;=Exogenous!AF$75,(52*Z$189-Exogenous!AF$80)/(1-Exogenous!$N$72),IF(52*Z$189&lt;=Exogenous!AF$76,(52*Z$189-Exogenous!AF$81)/(1-Exogenous!$N$73),(52*Z$189-Exogenous!AF$82)/(1-Exogenous!$N$74))))/52,2),Y$188*Z$189/Y$189))</f>
        <v>633.7297618616758</v>
      </c>
      <c r="AA188" s="13">
        <f ca="1">IF(OFFSET(Assumptions!$B$29,0,$C$1)="FFD",ROUND(IF(52*AA$189&lt;=Exogenous!$P$74,52*AA$189/(1-Exogenous!$N$71),IF(52*AA$189&lt;=Exogenous!$P$75,(52*AA$189-Exogenous!$P$80)/(1-Exogenous!$N$72),IF(52*AA$189&lt;=Exogenous!$P$76,(52*AA$189-Exogenous!$P$81)/(1-Exogenous!$N$73),(52*AA$189-Exogenous!$P$82)/(1-Exogenous!$N$74))))/52,2),IF(OFFSET(Assumptions!$B$29,0,$C$1)="PFD",ROUND(IF(52*AA$189&lt;=Exogenous!AG$74,52*AA$189/(1-Exogenous!$N$71),IF(52*AA$189&lt;=Exogenous!AG$75,(52*AA$189-Exogenous!AG$80)/(1-Exogenous!$N$72),IF(52*AA$189&lt;=Exogenous!AG$76,(52*AA$189-Exogenous!AG$81)/(1-Exogenous!$N$73),(52*AA$189-Exogenous!AG$82)/(1-Exogenous!$N$74))))/52,2),Z$188*AA$189/Z$189))</f>
        <v>656.10042245539273</v>
      </c>
      <c r="AB188" s="13">
        <f ca="1">IF(OFFSET(Assumptions!$B$29,0,$C$1)="FFD",ROUND(IF(52*AB$189&lt;=Exogenous!$P$74,52*AB$189/(1-Exogenous!$N$71),IF(52*AB$189&lt;=Exogenous!$P$75,(52*AB$189-Exogenous!$P$80)/(1-Exogenous!$N$72),IF(52*AB$189&lt;=Exogenous!$P$76,(52*AB$189-Exogenous!$P$81)/(1-Exogenous!$N$73),(52*AB$189-Exogenous!$P$82)/(1-Exogenous!$N$74))))/52,2),IF(OFFSET(Assumptions!$B$29,0,$C$1)="PFD",ROUND(IF(52*AB$189&lt;=Exogenous!AH$74,52*AB$189/(1-Exogenous!$N$71),IF(52*AB$189&lt;=Exogenous!AH$75,(52*AB$189-Exogenous!AH$80)/(1-Exogenous!$N$72),IF(52*AB$189&lt;=Exogenous!AH$76,(52*AB$189-Exogenous!AH$81)/(1-Exogenous!$N$73),(52*AB$189-Exogenous!AH$82)/(1-Exogenous!$N$74))))/52,2),AA$188*AB$189/AA$189))</f>
        <v>679.26076736806806</v>
      </c>
      <c r="AC188" s="13">
        <f ca="1">IF(OFFSET(Assumptions!$B$29,0,$C$1)="FFD",ROUND(IF(52*AC$189&lt;=Exogenous!$P$74,52*AC$189/(1-Exogenous!$N$71),IF(52*AC$189&lt;=Exogenous!$P$75,(52*AC$189-Exogenous!$P$80)/(1-Exogenous!$N$72),IF(52*AC$189&lt;=Exogenous!$P$76,(52*AC$189-Exogenous!$P$81)/(1-Exogenous!$N$73),(52*AC$189-Exogenous!$P$82)/(1-Exogenous!$N$74))))/52,2),IF(OFFSET(Assumptions!$B$29,0,$C$1)="PFD",ROUND(IF(52*AC$189&lt;=Exogenous!AI$74,52*AC$189/(1-Exogenous!$N$71),IF(52*AC$189&lt;=Exogenous!AI$75,(52*AC$189-Exogenous!AI$80)/(1-Exogenous!$N$72),IF(52*AC$189&lt;=Exogenous!AI$76,(52*AC$189-Exogenous!AI$81)/(1-Exogenous!$N$73),(52*AC$189-Exogenous!AI$82)/(1-Exogenous!$N$74))))/52,2),AB$188*AC$189/AB$189))</f>
        <v>703.23867245616077</v>
      </c>
      <c r="AD188" s="13">
        <f ca="1">IF(OFFSET(Assumptions!$B$29,0,$C$1)="FFD",ROUND(IF(52*AD$189&lt;=Exogenous!$P$74,52*AD$189/(1-Exogenous!$N$71),IF(52*AD$189&lt;=Exogenous!$P$75,(52*AD$189-Exogenous!$P$80)/(1-Exogenous!$N$72),IF(52*AD$189&lt;=Exogenous!$P$76,(52*AD$189-Exogenous!$P$81)/(1-Exogenous!$N$73),(52*AD$189-Exogenous!$P$82)/(1-Exogenous!$N$74))))/52,2),IF(OFFSET(Assumptions!$B$29,0,$C$1)="PFD",ROUND(IF(52*AD$189&lt;=Exogenous!AJ$74,52*AD$189/(1-Exogenous!$N$71),IF(52*AD$189&lt;=Exogenous!AJ$75,(52*AD$189-Exogenous!AJ$80)/(1-Exogenous!$N$72),IF(52*AD$189&lt;=Exogenous!AJ$76,(52*AD$189-Exogenous!AJ$81)/(1-Exogenous!$N$73),(52*AD$189-Exogenous!AJ$82)/(1-Exogenous!$N$74))))/52,2),AC$188*AD$189/AC$189))</f>
        <v>728.06299759386309</v>
      </c>
      <c r="AE188" s="13">
        <f ca="1">IF(OFFSET(Assumptions!$B$29,0,$C$1)="FFD",ROUND(IF(52*AE$189&lt;=Exogenous!$P$74,52*AE$189/(1-Exogenous!$N$71),IF(52*AE$189&lt;=Exogenous!$P$75,(52*AE$189-Exogenous!$P$80)/(1-Exogenous!$N$72),IF(52*AE$189&lt;=Exogenous!$P$76,(52*AE$189-Exogenous!$P$81)/(1-Exogenous!$N$73),(52*AE$189-Exogenous!$P$82)/(1-Exogenous!$N$74))))/52,2),IF(OFFSET(Assumptions!$B$29,0,$C$1)="PFD",ROUND(IF(52*AE$189&lt;=Exogenous!AK$74,52*AE$189/(1-Exogenous!$N$71),IF(52*AE$189&lt;=Exogenous!AK$75,(52*AE$189-Exogenous!AK$80)/(1-Exogenous!$N$72),IF(52*AE$189&lt;=Exogenous!AK$76,(52*AE$189-Exogenous!AK$81)/(1-Exogenous!$N$73),(52*AE$189-Exogenous!AK$82)/(1-Exogenous!$N$74))))/52,2),AD$188*AE$189/AD$189))</f>
        <v>753.76362140892638</v>
      </c>
      <c r="AF188" s="13">
        <f ca="1">IF(OFFSET(Assumptions!$B$29,0,$C$1)="FFD",ROUND(IF(52*AF$189&lt;=Exogenous!$P$74,52*AF$189/(1-Exogenous!$N$71),IF(52*AF$189&lt;=Exogenous!$P$75,(52*AF$189-Exogenous!$P$80)/(1-Exogenous!$N$72),IF(52*AF$189&lt;=Exogenous!$P$76,(52*AF$189-Exogenous!$P$81)/(1-Exogenous!$N$73),(52*AF$189-Exogenous!$P$82)/(1-Exogenous!$N$74))))/52,2),IF(OFFSET(Assumptions!$B$29,0,$C$1)="PFD",ROUND(IF(52*AF$189&lt;=Exogenous!AL$74,52*AF$189/(1-Exogenous!$N$71),IF(52*AF$189&lt;=Exogenous!AL$75,(52*AF$189-Exogenous!AL$80)/(1-Exogenous!$N$72),IF(52*AF$189&lt;=Exogenous!AL$76,(52*AF$189-Exogenous!AL$81)/(1-Exogenous!$N$73),(52*AF$189-Exogenous!AL$82)/(1-Exogenous!$N$74))))/52,2),AE$188*AF$189/AE$189))</f>
        <v>780.37147724466138</v>
      </c>
      <c r="AG188" s="13">
        <f ca="1">IF(OFFSET(Assumptions!$B$29,0,$C$1)="FFD",ROUND(IF(52*AG$189&lt;=Exogenous!$P$74,52*AG$189/(1-Exogenous!$N$71),IF(52*AG$189&lt;=Exogenous!$P$75,(52*AG$189-Exogenous!$P$80)/(1-Exogenous!$N$72),IF(52*AG$189&lt;=Exogenous!$P$76,(52*AG$189-Exogenous!$P$81)/(1-Exogenous!$N$73),(52*AG$189-Exogenous!$P$82)/(1-Exogenous!$N$74))))/52,2),IF(OFFSET(Assumptions!$B$29,0,$C$1)="PFD",ROUND(IF(52*AG$189&lt;=Exogenous!AM$74,52*AG$189/(1-Exogenous!$N$71),IF(52*AG$189&lt;=Exogenous!AM$75,(52*AG$189-Exogenous!AM$80)/(1-Exogenous!$N$72),IF(52*AG$189&lt;=Exogenous!AM$76,(52*AG$189-Exogenous!AM$81)/(1-Exogenous!$N$73),(52*AG$189-Exogenous!AM$82)/(1-Exogenous!$N$74))))/52,2),AF$188*AG$189/AF$189))</f>
        <v>807.91859039139786</v>
      </c>
      <c r="AH188" s="13">
        <f ca="1">IF(OFFSET(Assumptions!$B$29,0,$C$1)="FFD",ROUND(IF(52*AH$189&lt;=Exogenous!$P$74,52*AH$189/(1-Exogenous!$N$71),IF(52*AH$189&lt;=Exogenous!$P$75,(52*AH$189-Exogenous!$P$80)/(1-Exogenous!$N$72),IF(52*AH$189&lt;=Exogenous!$P$76,(52*AH$189-Exogenous!$P$81)/(1-Exogenous!$N$73),(52*AH$189-Exogenous!$P$82)/(1-Exogenous!$N$74))))/52,2),IF(OFFSET(Assumptions!$B$29,0,$C$1)="PFD",ROUND(IF(52*AH$189&lt;=Exogenous!AN$74,52*AH$189/(1-Exogenous!$N$71),IF(52*AH$189&lt;=Exogenous!AN$75,(52*AH$189-Exogenous!AN$80)/(1-Exogenous!$N$72),IF(52*AH$189&lt;=Exogenous!AN$76,(52*AH$189-Exogenous!AN$81)/(1-Exogenous!$N$73),(52*AH$189-Exogenous!AN$82)/(1-Exogenous!$N$74))))/52,2),AG$188*AH$189/AG$189))</f>
        <v>836.43811663221402</v>
      </c>
      <c r="AI188" s="13">
        <f ca="1">IF(OFFSET(Assumptions!$B$29,0,$C$1)="FFD",ROUND(IF(52*AI$189&lt;=Exogenous!$P$74,52*AI$189/(1-Exogenous!$N$71),IF(52*AI$189&lt;=Exogenous!$P$75,(52*AI$189-Exogenous!$P$80)/(1-Exogenous!$N$72),IF(52*AI$189&lt;=Exogenous!$P$76,(52*AI$189-Exogenous!$P$81)/(1-Exogenous!$N$73),(52*AI$189-Exogenous!$P$82)/(1-Exogenous!$N$74))))/52,2),IF(OFFSET(Assumptions!$B$29,0,$C$1)="PFD",ROUND(IF(52*AI$189&lt;=Exogenous!AO$74,52*AI$189/(1-Exogenous!$N$71),IF(52*AI$189&lt;=Exogenous!AO$75,(52*AI$189-Exogenous!AO$80)/(1-Exogenous!$N$72),IF(52*AI$189&lt;=Exogenous!AO$76,(52*AI$189-Exogenous!AO$81)/(1-Exogenous!$N$73),(52*AI$189-Exogenous!AO$82)/(1-Exogenous!$N$74))))/52,2),AH$188*AI$189/AH$189))</f>
        <v>865.96438214933107</v>
      </c>
      <c r="AJ188" s="13">
        <f ca="1">IF(OFFSET(Assumptions!$B$29,0,$C$1)="FFD",ROUND(IF(52*AJ$189&lt;=Exogenous!$P$74,52*AJ$189/(1-Exogenous!$N$71),IF(52*AJ$189&lt;=Exogenous!$P$75,(52*AJ$189-Exogenous!$P$80)/(1-Exogenous!$N$72),IF(52*AJ$189&lt;=Exogenous!$P$76,(52*AJ$189-Exogenous!$P$81)/(1-Exogenous!$N$73),(52*AJ$189-Exogenous!$P$82)/(1-Exogenous!$N$74))))/52,2),IF(OFFSET(Assumptions!$B$29,0,$C$1)="PFD",ROUND(IF(52*AJ$189&lt;=Exogenous!AP$74,52*AJ$189/(1-Exogenous!$N$71),IF(52*AJ$189&lt;=Exogenous!AP$75,(52*AJ$189-Exogenous!AP$80)/(1-Exogenous!$N$72),IF(52*AJ$189&lt;=Exogenous!AP$76,(52*AJ$189-Exogenous!AP$81)/(1-Exogenous!$N$73),(52*AJ$189-Exogenous!AP$82)/(1-Exogenous!$N$74))))/52,2),AI$188*AJ$189/AI$189))</f>
        <v>896.53292483920234</v>
      </c>
      <c r="AK188" s="13">
        <f ca="1">IF(OFFSET(Assumptions!$B$29,0,$C$1)="FFD",ROUND(IF(52*AK$189&lt;=Exogenous!$P$74,52*AK$189/(1-Exogenous!$N$71),IF(52*AK$189&lt;=Exogenous!$P$75,(52*AK$189-Exogenous!$P$80)/(1-Exogenous!$N$72),IF(52*AK$189&lt;=Exogenous!$P$76,(52*AK$189-Exogenous!$P$81)/(1-Exogenous!$N$73),(52*AK$189-Exogenous!$P$82)/(1-Exogenous!$N$74))))/52,2),IF(OFFSET(Assumptions!$B$29,0,$C$1)="PFD",ROUND(IF(52*AK$189&lt;=Exogenous!AQ$74,52*AK$189/(1-Exogenous!$N$71),IF(52*AK$189&lt;=Exogenous!AQ$75,(52*AK$189-Exogenous!AQ$80)/(1-Exogenous!$N$72),IF(52*AK$189&lt;=Exogenous!AQ$76,(52*AK$189-Exogenous!AQ$81)/(1-Exogenous!$N$73),(52*AK$189-Exogenous!AQ$82)/(1-Exogenous!$N$74))))/52,2),AJ$188*AK$189/AJ$189))</f>
        <v>928.18053708602622</v>
      </c>
      <c r="AL188" s="13">
        <f ca="1">IF(OFFSET(Assumptions!$B$29,0,$C$1)="FFD",ROUND(IF(52*AL$189&lt;=Exogenous!$P$74,52*AL$189/(1-Exogenous!$N$71),IF(52*AL$189&lt;=Exogenous!$P$75,(52*AL$189-Exogenous!$P$80)/(1-Exogenous!$N$72),IF(52*AL$189&lt;=Exogenous!$P$76,(52*AL$189-Exogenous!$P$81)/(1-Exogenous!$N$73),(52*AL$189-Exogenous!$P$82)/(1-Exogenous!$N$74))))/52,2),IF(OFFSET(Assumptions!$B$29,0,$C$1)="PFD",ROUND(IF(52*AL$189&lt;=Exogenous!AR$74,52*AL$189/(1-Exogenous!$N$71),IF(52*AL$189&lt;=Exogenous!AR$75,(52*AL$189-Exogenous!AR$80)/(1-Exogenous!$N$72),IF(52*AL$189&lt;=Exogenous!AR$76,(52*AL$189-Exogenous!AR$81)/(1-Exogenous!$N$73),(52*AL$189-Exogenous!AR$82)/(1-Exogenous!$N$74))))/52,2),AK$188*AL$189/AK$189))</f>
        <v>960.94531004516273</v>
      </c>
      <c r="AM188" s="13">
        <f ca="1">IF(OFFSET(Assumptions!$B$29,0,$C$1)="FFD",ROUND(IF(52*AM$189&lt;=Exogenous!$P$74,52*AM$189/(1-Exogenous!$N$71),IF(52*AM$189&lt;=Exogenous!$P$75,(52*AM$189-Exogenous!$P$80)/(1-Exogenous!$N$72),IF(52*AM$189&lt;=Exogenous!$P$76,(52*AM$189-Exogenous!$P$81)/(1-Exogenous!$N$73),(52*AM$189-Exogenous!$P$82)/(1-Exogenous!$N$74))))/52,2),IF(OFFSET(Assumptions!$B$29,0,$C$1)="PFD",ROUND(IF(52*AM$189&lt;=Exogenous!AS$74,52*AM$189/(1-Exogenous!$N$71),IF(52*AM$189&lt;=Exogenous!AS$75,(52*AM$189-Exogenous!AS$80)/(1-Exogenous!$N$72),IF(52*AM$189&lt;=Exogenous!AS$76,(52*AM$189-Exogenous!AS$81)/(1-Exogenous!$N$73),(52*AM$189-Exogenous!AS$82)/(1-Exogenous!$N$74))))/52,2),AL$188*AM$189/AL$189))</f>
        <v>994.86667948975673</v>
      </c>
      <c r="AN188" s="13">
        <f ca="1">IF(OFFSET(Assumptions!$B$29,0,$C$1)="FFD",ROUND(IF(52*AN$189&lt;=Exogenous!$P$74,52*AN$189/(1-Exogenous!$N$71),IF(52*AN$189&lt;=Exogenous!$P$75,(52*AN$189-Exogenous!$P$80)/(1-Exogenous!$N$72),IF(52*AN$189&lt;=Exogenous!$P$76,(52*AN$189-Exogenous!$P$81)/(1-Exogenous!$N$73),(52*AN$189-Exogenous!$P$82)/(1-Exogenous!$N$74))))/52,2),IF(OFFSET(Assumptions!$B$29,0,$C$1)="PFD",ROUND(IF(52*AN$189&lt;=Exogenous!AT$74,52*AN$189/(1-Exogenous!$N$71),IF(52*AN$189&lt;=Exogenous!AT$75,(52*AN$189-Exogenous!AT$80)/(1-Exogenous!$N$72),IF(52*AN$189&lt;=Exogenous!AT$76,(52*AN$189-Exogenous!AT$81)/(1-Exogenous!$N$73),(52*AN$189-Exogenous!AT$82)/(1-Exogenous!$N$74))))/52,2),AM$188*AN$189/AM$189))</f>
        <v>1029.9854732757453</v>
      </c>
      <c r="AO188" s="13">
        <f ca="1">IF(OFFSET(Assumptions!$B$29,0,$C$1)="FFD",ROUND(IF(52*AO$189&lt;=Exogenous!$P$74,52*AO$189/(1-Exogenous!$N$71),IF(52*AO$189&lt;=Exogenous!$P$75,(52*AO$189-Exogenous!$P$80)/(1-Exogenous!$N$72),IF(52*AO$189&lt;=Exogenous!$P$76,(52*AO$189-Exogenous!$P$81)/(1-Exogenous!$N$73),(52*AO$189-Exogenous!$P$82)/(1-Exogenous!$N$74))))/52,2),IF(OFFSET(Assumptions!$B$29,0,$C$1)="PFD",ROUND(IF(52*AO$189&lt;=Exogenous!AU$74,52*AO$189/(1-Exogenous!$N$71),IF(52*AO$189&lt;=Exogenous!AU$75,(52*AO$189-Exogenous!AU$80)/(1-Exogenous!$N$72),IF(52*AO$189&lt;=Exogenous!AU$76,(52*AO$189-Exogenous!AU$81)/(1-Exogenous!$N$73),(52*AO$189-Exogenous!AU$82)/(1-Exogenous!$N$74))))/52,2),AN$188*AO$189/AN$189))</f>
        <v>1066.3439604823791</v>
      </c>
      <c r="AP188" s="13">
        <f ca="1">IF(OFFSET(Assumptions!$B$29,0,$C$1)="FFD",ROUND(IF(52*AP$189&lt;=Exogenous!$P$74,52*AP$189/(1-Exogenous!$N$71),IF(52*AP$189&lt;=Exogenous!$P$75,(52*AP$189-Exogenous!$P$80)/(1-Exogenous!$N$72),IF(52*AP$189&lt;=Exogenous!$P$76,(52*AP$189-Exogenous!$P$81)/(1-Exogenous!$N$73),(52*AP$189-Exogenous!$P$82)/(1-Exogenous!$N$74))))/52,2),IF(OFFSET(Assumptions!$B$29,0,$C$1)="PFD",ROUND(IF(52*AP$189&lt;=Exogenous!AV$74,52*AP$189/(1-Exogenous!$N$71),IF(52*AP$189&lt;=Exogenous!AV$75,(52*AP$189-Exogenous!AV$80)/(1-Exogenous!$N$72),IF(52*AP$189&lt;=Exogenous!AV$76,(52*AP$189-Exogenous!AV$81)/(1-Exogenous!$N$73),(52*AP$189-Exogenous!AV$82)/(1-Exogenous!$N$74))))/52,2),AO$188*AP$189/AO$189))</f>
        <v>1103.985902287407</v>
      </c>
      <c r="AQ188" s="13">
        <f ca="1">IF(OFFSET(Assumptions!$B$29,0,$C$1)="FFD",ROUND(IF(52*AQ$189&lt;=Exogenous!$P$74,52*AQ$189/(1-Exogenous!$N$71),IF(52*AQ$189&lt;=Exogenous!$P$75,(52*AQ$189-Exogenous!$P$80)/(1-Exogenous!$N$72),IF(52*AQ$189&lt;=Exogenous!$P$76,(52*AQ$189-Exogenous!$P$81)/(1-Exogenous!$N$73),(52*AQ$189-Exogenous!$P$82)/(1-Exogenous!$N$74))))/52,2),IF(OFFSET(Assumptions!$B$29,0,$C$1)="PFD",ROUND(IF(52*AQ$189&lt;=Exogenous!AW$74,52*AQ$189/(1-Exogenous!$N$71),IF(52*AQ$189&lt;=Exogenous!AW$75,(52*AQ$189-Exogenous!AW$80)/(1-Exogenous!$N$72),IF(52*AQ$189&lt;=Exogenous!AW$76,(52*AQ$189-Exogenous!AW$81)/(1-Exogenous!$N$73),(52*AQ$189-Exogenous!AW$82)/(1-Exogenous!$N$74))))/52,2),AP$188*AQ$189/AP$189))</f>
        <v>1142.9566046381524</v>
      </c>
      <c r="AR188" s="13">
        <f ca="1">IF(OFFSET(Assumptions!$B$29,0,$C$1)="FFD",ROUND(IF(52*AR$189&lt;=Exogenous!$P$74,52*AR$189/(1-Exogenous!$N$71),IF(52*AR$189&lt;=Exogenous!$P$75,(52*AR$189-Exogenous!$P$80)/(1-Exogenous!$N$72),IF(52*AR$189&lt;=Exogenous!$P$76,(52*AR$189-Exogenous!$P$81)/(1-Exogenous!$N$73),(52*AR$189-Exogenous!$P$82)/(1-Exogenous!$N$74))))/52,2),IF(OFFSET(Assumptions!$B$29,0,$C$1)="PFD",ROUND(IF(52*AR$189&lt;=Exogenous!AX$74,52*AR$189/(1-Exogenous!$N$71),IF(52*AR$189&lt;=Exogenous!AX$75,(52*AR$189-Exogenous!AX$80)/(1-Exogenous!$N$72),IF(52*AR$189&lt;=Exogenous!AX$76,(52*AR$189-Exogenous!AX$81)/(1-Exogenous!$N$73),(52*AR$189-Exogenous!AX$82)/(1-Exogenous!$N$74))))/52,2),AQ$188*AR$189/AQ$189))</f>
        <v>1183.3029727818789</v>
      </c>
      <c r="AS188" s="13">
        <f ca="1">IF(OFFSET(Assumptions!$B$29,0,$C$1)="FFD",ROUND(IF(52*AS$189&lt;=Exogenous!$P$74,52*AS$189/(1-Exogenous!$N$71),IF(52*AS$189&lt;=Exogenous!$P$75,(52*AS$189-Exogenous!$P$80)/(1-Exogenous!$N$72),IF(52*AS$189&lt;=Exogenous!$P$76,(52*AS$189-Exogenous!$P$81)/(1-Exogenous!$N$73),(52*AS$189-Exogenous!$P$82)/(1-Exogenous!$N$74))))/52,2),IF(OFFSET(Assumptions!$B$29,0,$C$1)="PFD",ROUND(IF(52*AS$189&lt;=Exogenous!AY$74,52*AS$189/(1-Exogenous!$N$71),IF(52*AS$189&lt;=Exogenous!AY$75,(52*AS$189-Exogenous!AY$80)/(1-Exogenous!$N$72),IF(52*AS$189&lt;=Exogenous!AY$76,(52*AS$189-Exogenous!AY$81)/(1-Exogenous!$N$73),(52*AS$189-Exogenous!AY$82)/(1-Exogenous!$N$74))))/52,2),AR$188*AS$189/AR$189))</f>
        <v>1225.0735677210789</v>
      </c>
      <c r="AT188" s="13">
        <f ca="1">IF(OFFSET(Assumptions!$B$29,0,$C$1)="FFD",ROUND(IF(52*AT$189&lt;=Exogenous!$P$74,52*AT$189/(1-Exogenous!$N$71),IF(52*AT$189&lt;=Exogenous!$P$75,(52*AT$189-Exogenous!$P$80)/(1-Exogenous!$N$72),IF(52*AT$189&lt;=Exogenous!$P$76,(52*AT$189-Exogenous!$P$81)/(1-Exogenous!$N$73),(52*AT$189-Exogenous!$P$82)/(1-Exogenous!$N$74))))/52,2),IF(OFFSET(Assumptions!$B$29,0,$C$1)="PFD",ROUND(IF(52*AT$189&lt;=Exogenous!AZ$74,52*AT$189/(1-Exogenous!$N$71),IF(52*AT$189&lt;=Exogenous!AZ$75,(52*AT$189-Exogenous!AZ$80)/(1-Exogenous!$N$72),IF(52*AT$189&lt;=Exogenous!AZ$76,(52*AT$189-Exogenous!AZ$81)/(1-Exogenous!$N$73),(52*AT$189-Exogenous!AZ$82)/(1-Exogenous!$N$74))))/52,2),AS$188*AT$189/AS$189))</f>
        <v>1268.3186646616327</v>
      </c>
      <c r="AU188" s="13">
        <f ca="1">IF(OFFSET(Assumptions!$B$29,0,$C$1)="FFD",ROUND(IF(52*AU$189&lt;=Exogenous!$P$74,52*AU$189/(1-Exogenous!$N$71),IF(52*AU$189&lt;=Exogenous!$P$75,(52*AU$189-Exogenous!$P$80)/(1-Exogenous!$N$72),IF(52*AU$189&lt;=Exogenous!$P$76,(52*AU$189-Exogenous!$P$81)/(1-Exogenous!$N$73),(52*AU$189-Exogenous!$P$82)/(1-Exogenous!$N$74))))/52,2),IF(OFFSET(Assumptions!$B$29,0,$C$1)="PFD",ROUND(IF(52*AU$189&lt;=Exogenous!BA$74,52*AU$189/(1-Exogenous!$N$71),IF(52*AU$189&lt;=Exogenous!BA$75,(52*AU$189-Exogenous!BA$80)/(1-Exogenous!$N$72),IF(52*AU$189&lt;=Exogenous!BA$76,(52*AU$189-Exogenous!BA$81)/(1-Exogenous!$N$73),(52*AU$189-Exogenous!BA$82)/(1-Exogenous!$N$74))))/52,2),AT$188*AU$189/AT$189))</f>
        <v>1313.0903135241883</v>
      </c>
      <c r="AV188" s="13">
        <f ca="1">IF(OFFSET(Assumptions!$B$29,0,$C$1)="FFD",ROUND(IF(52*AV$189&lt;=Exogenous!$P$74,52*AV$189/(1-Exogenous!$N$71),IF(52*AV$189&lt;=Exogenous!$P$75,(52*AV$189-Exogenous!$P$80)/(1-Exogenous!$N$72),IF(52*AV$189&lt;=Exogenous!$P$76,(52*AV$189-Exogenous!$P$81)/(1-Exogenous!$N$73),(52*AV$189-Exogenous!$P$82)/(1-Exogenous!$N$74))))/52,2),IF(OFFSET(Assumptions!$B$29,0,$C$1)="PFD",ROUND(IF(52*AV$189&lt;=Exogenous!BB$74,52*AV$189/(1-Exogenous!$N$71),IF(52*AV$189&lt;=Exogenous!BB$75,(52*AV$189-Exogenous!BB$80)/(1-Exogenous!$N$72),IF(52*AV$189&lt;=Exogenous!BB$76,(52*AV$189-Exogenous!BB$81)/(1-Exogenous!$N$73),(52*AV$189-Exogenous!BB$82)/(1-Exogenous!$N$74))))/52,2),AU$188*AV$189/AU$189))</f>
        <v>1359.4424015915922</v>
      </c>
      <c r="AW188" s="13">
        <f ca="1">IF(OFFSET(Assumptions!$B$29,0,$C$1)="FFD",ROUND(IF(52*AW$189&lt;=Exogenous!$P$74,52*AW$189/(1-Exogenous!$N$71),IF(52*AW$189&lt;=Exogenous!$P$75,(52*AW$189-Exogenous!$P$80)/(1-Exogenous!$N$72),IF(52*AW$189&lt;=Exogenous!$P$76,(52*AW$189-Exogenous!$P$81)/(1-Exogenous!$N$73),(52*AW$189-Exogenous!$P$82)/(1-Exogenous!$N$74))))/52,2),IF(OFFSET(Assumptions!$B$29,0,$C$1)="PFD",ROUND(IF(52*AW$189&lt;=Exogenous!BC$74,52*AW$189/(1-Exogenous!$N$71),IF(52*AW$189&lt;=Exogenous!BC$75,(52*AW$189-Exogenous!BC$80)/(1-Exogenous!$N$72),IF(52*AW$189&lt;=Exogenous!BC$76,(52*AW$189-Exogenous!BC$81)/(1-Exogenous!$N$73),(52*AW$189-Exogenous!BC$82)/(1-Exogenous!$N$74))))/52,2),AV$188*AW$189/AV$189))</f>
        <v>1407.4307183677752</v>
      </c>
    </row>
    <row r="189" spans="1:49" x14ac:dyDescent="0.2">
      <c r="A189" s="1" t="s">
        <v>511</v>
      </c>
      <c r="B189" s="4" t="str">
        <f>$B$12</f>
        <v>From Economic</v>
      </c>
      <c r="D189" s="24">
        <f>Economic!M$22</f>
        <v>288.10000000000002</v>
      </c>
      <c r="E189" s="25">
        <f>Economic!N$22</f>
        <v>295.97000000000003</v>
      </c>
      <c r="F189" s="25">
        <f>Economic!O$22</f>
        <v>298.64</v>
      </c>
      <c r="G189" s="25">
        <f>Economic!P$22</f>
        <v>304.02</v>
      </c>
      <c r="H189" s="25">
        <f>Economic!Q$22</f>
        <v>309.19</v>
      </c>
      <c r="I189" s="25">
        <f>Economic!R$22</f>
        <v>314.76</v>
      </c>
      <c r="J189" s="13">
        <f ca="1">MAX(OFFSET(Assumptions!$B$39,0,$C$1)*J$187/2,I$189*(1+J$34))</f>
        <v>321.05520000000001</v>
      </c>
      <c r="K189" s="13">
        <f ca="1">MAX(OFFSET(Assumptions!$B$39,0,$C$1)*K$187/2,J$189*(1+K$34))</f>
        <v>330.61959584697524</v>
      </c>
      <c r="L189" s="13">
        <f ca="1">MAX(OFFSET(Assumptions!$B$39,0,$C$1)*L$187/2,K$189*(1+L$34))</f>
        <v>342.29046758037344</v>
      </c>
      <c r="M189" s="13">
        <f ca="1">MAX(OFFSET(Assumptions!$B$39,0,$C$1)*M$187/2,L$189*(1+M$34))</f>
        <v>354.37332108596058</v>
      </c>
      <c r="N189" s="13">
        <f ca="1">MAX(OFFSET(Assumptions!$B$39,0,$C$1)*N$187/2,M$189*(1+N$34))</f>
        <v>366.88269932029493</v>
      </c>
      <c r="O189" s="13">
        <f ca="1">MAX(OFFSET(Assumptions!$B$39,0,$C$1)*O$187/2,N$189*(1+O$34))</f>
        <v>379.83365860630136</v>
      </c>
      <c r="P189" s="13">
        <f ca="1">MAX(OFFSET(Assumptions!$B$39,0,$C$1)*P$187/2,O$189*(1+P$34))</f>
        <v>393.24178675510376</v>
      </c>
      <c r="Q189" s="13">
        <f ca="1">MAX(OFFSET(Assumptions!$B$39,0,$C$1)*Q$187/2,P$189*(1+Q$34))</f>
        <v>407.12322182755884</v>
      </c>
      <c r="R189" s="13">
        <f ca="1">MAX(OFFSET(Assumptions!$B$39,0,$C$1)*R$187/2,Q$189*(1+R$34))</f>
        <v>421.49467155807162</v>
      </c>
      <c r="S189" s="13">
        <f ca="1">MAX(OFFSET(Assumptions!$B$39,0,$C$1)*S$187/2,R$189*(1+S$34))</f>
        <v>436.37343346407152</v>
      </c>
      <c r="T189" s="13">
        <f ca="1">MAX(OFFSET(Assumptions!$B$39,0,$C$1)*T$187/2,S$189*(1+T$34))</f>
        <v>451.77741566535315</v>
      </c>
      <c r="U189" s="13">
        <f ca="1">MAX(OFFSET(Assumptions!$B$39,0,$C$1)*U$187/2,T$189*(1+U$34))</f>
        <v>467.72515843834009</v>
      </c>
      <c r="V189" s="13">
        <f ca="1">MAX(OFFSET(Assumptions!$B$39,0,$C$1)*V$187/2,U$189*(1+V$34))</f>
        <v>484.23585653121341</v>
      </c>
      <c r="W189" s="13">
        <f ca="1">MAX(OFFSET(Assumptions!$B$39,0,$C$1)*W$187/2,V$189*(1+W$34))</f>
        <v>501.32938226676521</v>
      </c>
      <c r="X189" s="13">
        <f ca="1">MAX(OFFSET(Assumptions!$B$39,0,$C$1)*X$187/2,W$189*(1+X$34))</f>
        <v>519.02630946078204</v>
      </c>
      <c r="Y189" s="13">
        <f ca="1">MAX(OFFSET(Assumptions!$B$39,0,$C$1)*Y$187/2,X$189*(1+Y$34))</f>
        <v>537.34793818474759</v>
      </c>
      <c r="Z189" s="13">
        <f ca="1">MAX(OFFSET(Assumptions!$B$39,0,$C$1)*Z$187/2,Y$189*(1+Z$34))</f>
        <v>556.31632040266913</v>
      </c>
      <c r="AA189" s="13">
        <f ca="1">MAX(OFFSET(Assumptions!$B$39,0,$C$1)*AA$187/2,Z$189*(1+AA$34))</f>
        <v>575.95428651288319</v>
      </c>
      <c r="AB189" s="13">
        <f ca="1">MAX(OFFSET(Assumptions!$B$39,0,$C$1)*AB$187/2,AA$189*(1+AB$34))</f>
        <v>596.2854728267879</v>
      </c>
      <c r="AC189" s="13">
        <f ca="1">MAX(OFFSET(Assumptions!$B$39,0,$C$1)*AC$187/2,AB$189*(1+AC$34))</f>
        <v>617.33435001757346</v>
      </c>
      <c r="AD189" s="13">
        <f ca="1">MAX(OFFSET(Assumptions!$B$39,0,$C$1)*AD$187/2,AC$189*(1+AD$34))</f>
        <v>639.12625257319371</v>
      </c>
      <c r="AE189" s="13">
        <f ca="1">MAX(OFFSET(Assumptions!$B$39,0,$C$1)*AE$187/2,AD$189*(1+AE$34))</f>
        <v>661.68740928902741</v>
      </c>
      <c r="AF189" s="13">
        <f ca="1">MAX(OFFSET(Assumptions!$B$39,0,$C$1)*AF$187/2,AE$189*(1+AF$34))</f>
        <v>685.04497483693001</v>
      </c>
      <c r="AG189" s="13">
        <f ca="1">MAX(OFFSET(Assumptions!$B$39,0,$C$1)*AG$187/2,AF$189*(1+AG$34))</f>
        <v>709.22706244867356</v>
      </c>
      <c r="AH189" s="13">
        <f ca="1">MAX(OFFSET(Assumptions!$B$39,0,$C$1)*AH$187/2,AG$189*(1+AH$34))</f>
        <v>734.26277775311166</v>
      </c>
      <c r="AI189" s="13">
        <f ca="1">MAX(OFFSET(Assumptions!$B$39,0,$C$1)*AI$187/2,AH$189*(1+AI$34))</f>
        <v>760.18225380779643</v>
      </c>
      <c r="AJ189" s="13">
        <f ca="1">MAX(OFFSET(Assumptions!$B$39,0,$C$1)*AJ$187/2,AI$189*(1+AJ$34))</f>
        <v>787.01668736721149</v>
      </c>
      <c r="AK189" s="13">
        <f ca="1">MAX(OFFSET(Assumptions!$B$39,0,$C$1)*AK$187/2,AJ$189*(1+AK$34))</f>
        <v>814.79837643127405</v>
      </c>
      <c r="AL189" s="13">
        <f ca="1">MAX(OFFSET(Assumptions!$B$39,0,$C$1)*AL$187/2,AK$189*(1+AL$34))</f>
        <v>843.56075911929781</v>
      </c>
      <c r="AM189" s="13">
        <f ca="1">MAX(OFFSET(Assumptions!$B$39,0,$C$1)*AM$187/2,AL$189*(1+AM$34))</f>
        <v>873.33845391620889</v>
      </c>
      <c r="AN189" s="13">
        <f ca="1">MAX(OFFSET(Assumptions!$B$39,0,$C$1)*AN$187/2,AM$189*(1+AN$34))</f>
        <v>904.16730133945111</v>
      </c>
      <c r="AO189" s="13">
        <f ca="1">MAX(OFFSET(Assumptions!$B$39,0,$C$1)*AO$187/2,AN$189*(1+AO$34))</f>
        <v>936.08440707673367</v>
      </c>
      <c r="AP189" s="13">
        <f ca="1">MAX(OFFSET(Assumptions!$B$39,0,$C$1)*AP$187/2,AO$189*(1+AP$34))</f>
        <v>969.1281866465423</v>
      </c>
      <c r="AQ189" s="13">
        <f ca="1">MAX(OFFSET(Assumptions!$B$39,0,$C$1)*AQ$187/2,AP$189*(1+AQ$34))</f>
        <v>1003.3384116351651</v>
      </c>
      <c r="AR189" s="13">
        <f ca="1">MAX(OFFSET(Assumptions!$B$39,0,$C$1)*AR$187/2,AQ$189*(1+AR$34))</f>
        <v>1038.7562575658862</v>
      </c>
      <c r="AS189" s="13">
        <f ca="1">MAX(OFFSET(Assumptions!$B$39,0,$C$1)*AS$187/2,AR$189*(1+AS$34))</f>
        <v>1075.4243534579618</v>
      </c>
      <c r="AT189" s="13">
        <f ca="1">MAX(OFFSET(Assumptions!$B$39,0,$C$1)*AT$187/2,AS$189*(1+AT$34))</f>
        <v>1113.3868331350277</v>
      </c>
      <c r="AU189" s="13">
        <f ca="1">MAX(OFFSET(Assumptions!$B$39,0,$C$1)*AU$187/2,AT$189*(1+AU$34))</f>
        <v>1152.6893883446942</v>
      </c>
      <c r="AV189" s="13">
        <f ca="1">MAX(OFFSET(Assumptions!$B$39,0,$C$1)*AV$187/2,AU$189*(1+AV$34))</f>
        <v>1193.3793237532618</v>
      </c>
      <c r="AW189" s="13">
        <f ca="1">MAX(OFFSET(Assumptions!$B$39,0,$C$1)*AW$187/2,AV$189*(1+AW$34))</f>
        <v>1235.5056138817517</v>
      </c>
    </row>
    <row r="190" spans="1:49" x14ac:dyDescent="0.2">
      <c r="B190" s="4"/>
      <c r="D190" s="24"/>
      <c r="E190" s="25"/>
      <c r="F190" s="25"/>
      <c r="G190" s="25"/>
      <c r="H190" s="25"/>
      <c r="I190" s="25"/>
      <c r="J190" s="13"/>
      <c r="K190" s="13"/>
      <c r="L190" s="13"/>
      <c r="M190" s="13"/>
      <c r="N190" s="13"/>
      <c r="O190" s="13"/>
      <c r="P190" s="13"/>
      <c r="Q190" s="13"/>
      <c r="R190" s="13"/>
      <c r="S190" s="13"/>
    </row>
    <row r="191" spans="1:49" x14ac:dyDescent="0.2">
      <c r="A191" s="22" t="s">
        <v>159</v>
      </c>
    </row>
    <row r="192" spans="1:49" x14ac:dyDescent="0.2">
      <c r="A192" s="1" t="s">
        <v>324</v>
      </c>
      <c r="B192" s="4" t="str">
        <f t="shared" ref="B192:B195" si="158">$B$43</f>
        <v>From Fiscal</v>
      </c>
      <c r="D192" s="18">
        <f>Fiscal!D$157</f>
        <v>6.5519999999999996</v>
      </c>
      <c r="E192" s="19">
        <f ca="1">Fiscal!E$157 +IF(OR(OFFSET(Assumptions!$B$72,0,$C$1)="BU",OFFSET(Assumptions!$B$113,0,$C$1)="SND"),ROUND(Fiscal!E$157/SUM(Fiscal!E$157,Fiscal!E$248)*SUM(Allocate!C$17:C$24),3),0)</f>
        <v>6.6529999999999996</v>
      </c>
      <c r="F192" s="19">
        <f ca="1">Fiscal!F$157 +IF(OR(OFFSET(Assumptions!$B$72,0,$C$1)="BU",OFFSET(Assumptions!$B$113,0,$C$1)="SND"),ROUND(Fiscal!F$157/SUM(Fiscal!F$157,Fiscal!F$248)*SUM(Allocate!D$17:D$24),3),0)</f>
        <v>6.875</v>
      </c>
      <c r="G192" s="19">
        <f ca="1">Fiscal!G$157 +IF(OR(OFFSET(Assumptions!$B$72,0,$C$1)="BU",OFFSET(Assumptions!$B$113,0,$C$1)="SND"),ROUND(Fiscal!G$157/SUM(Fiscal!G$157,Fiscal!G$248)*SUM(Allocate!E$17:E$24),3),0)</f>
        <v>6.992</v>
      </c>
      <c r="H192" s="19">
        <f ca="1">Fiscal!H$157 +IF(OR(OFFSET(Assumptions!$B$72,0,$C$1)="BU",OFFSET(Assumptions!$B$113,0,$C$1)="SND"),ROUND(Fiscal!H$157/SUM(Fiscal!H$157,Fiscal!H$248)*SUM(Allocate!F$17:F$24),3),0)</f>
        <v>7.0580000000000007</v>
      </c>
      <c r="I192" s="19">
        <f ca="1">Fiscal!I$157 +IF(OR(OFFSET(Assumptions!$B$72,0,$C$1)="BU",OFFSET(Assumptions!$B$113,0,$C$1)="SND"),ROUND(Fiscal!I$157/SUM(Fiscal!I$157,Fiscal!I$248)*SUM(Allocate!G$17:G$24),3),0)</f>
        <v>7.1109999999999998</v>
      </c>
      <c r="J192" s="7">
        <f ca="1">IF(J$6=OFFSET(Assumptions!$B$8,0,$C$1),AVERAGE((G$192-G$235)/(SUM(G$192,G$199,G$205)-SUM(G$235,G$239,G$257-G$254,G$269,G$283,G$312)),(H$192-H$235)/(SUM(H$192,H$199,H$205)-SUM(H$235,H$239,H$257-H$254,H$269,H$283,H$312)),(I$192-I$235)/(SUM(I$192,I$199,I$205)-SUM(I$235,I$239,I$257-I$254,I$269,I$283,I$312))),(I$192-I$235)/(SUM(I$192,I$199,I$205)-SUM(I$235,I$239,I$257-I$254,I$269,I$283,I$312)))*SUM(J$179,J$270,J$275,J$279,J$291-J$221,J$296,J$300,J$304,J$308) +J$235</f>
        <v>7.524885003110267</v>
      </c>
      <c r="K192" s="7">
        <f ca="1">IF(K$6=OFFSET(Assumptions!$B$8,0,$C$1),AVERAGE((H$192-H$235)/(SUM(H$192,H$199,H$205)-SUM(H$235,H$239,H$257-H$254,H$269,H$283,H$312)),(I$192-I$235)/(SUM(I$192,I$199,I$205)-SUM(I$235,I$239,I$257-I$254,I$269,I$283,I$312)),(J$192-J$235)/(SUM(J$192,J$199,J$205)-SUM(J$235,J$239,J$257-J$254,J$269,J$283,J$312))),(J$192-J$235)/(SUM(J$192,J$199,J$205)-SUM(J$235,J$239,J$257-J$254,J$269,J$283,J$312)))*SUM(K$179,K$270,K$275,K$279,K$291-K$221,K$296,K$300,K$304,K$308) +K$235</f>
        <v>7.7658961312047374</v>
      </c>
      <c r="L192" s="7">
        <f ca="1">IF(L$6=OFFSET(Assumptions!$B$8,0,$C$1),AVERAGE((I$192-I$235)/(SUM(I$192,I$199,I$205)-SUM(I$235,I$239,I$257-I$254,I$269,I$283,I$312)),(J$192-J$235)/(SUM(J$192,J$199,J$205)-SUM(J$235,J$239,J$257-J$254,J$269,J$283,J$312)),(K$192-K$235)/(SUM(K$192,K$199,K$205)-SUM(K$235,K$239,K$257-K$254,K$269,K$283,K$312))),(K$192-K$235)/(SUM(K$192,K$199,K$205)-SUM(K$235,K$239,K$257-K$254,K$269,K$283,K$312)))*SUM(L$179,L$270,L$275,L$279,L$291-L$221,L$296,L$300,L$304,L$308) +L$235</f>
        <v>8.0221312147600585</v>
      </c>
      <c r="M192" s="7">
        <f ca="1">IF(M$6=OFFSET(Assumptions!$B$8,0,$C$1),AVERAGE((J$192-J$235)/(SUM(J$192,J$199,J$205)-SUM(J$235,J$239,J$257-J$254,J$269,J$283,J$312)),(K$192-K$235)/(SUM(K$192,K$199,K$205)-SUM(K$235,K$239,K$257-K$254,K$269,K$283,K$312)),(L$192-L$235)/(SUM(L$192,L$199,L$205)-SUM(L$235,L$239,L$257-L$254,L$269,L$283,L$312))),(L$192-L$235)/(SUM(L$192,L$199,L$205)-SUM(L$235,L$239,L$257-L$254,L$269,L$283,L$312)))*SUM(M$179,M$270,M$275,M$279,M$291-M$221,M$296,M$300,M$304,M$308) +M$235</f>
        <v>8.2951270670828308</v>
      </c>
      <c r="N192" s="7">
        <f ca="1">IF(N$6=OFFSET(Assumptions!$B$8,0,$C$1),AVERAGE((K$192-K$235)/(SUM(K$192,K$199,K$205)-SUM(K$235,K$239,K$257-K$254,K$269,K$283,K$312)),(L$192-L$235)/(SUM(L$192,L$199,L$205)-SUM(L$235,L$239,L$257-L$254,L$269,L$283,L$312)),(M$192-M$235)/(SUM(M$192,M$199,M$205)-SUM(M$235,M$239,M$257-M$254,M$269,M$283,M$312))),(M$192-M$235)/(SUM(M$192,M$199,M$205)-SUM(M$235,M$239,M$257-M$254,M$269,M$283,M$312)))*SUM(N$179,N$270,N$275,N$279,N$291-N$221,N$296,N$300,N$304,N$308) +N$235</f>
        <v>8.5792728145010582</v>
      </c>
      <c r="O192" s="7">
        <f ca="1">IF(O$6=OFFSET(Assumptions!$B$8,0,$C$1),AVERAGE((L$192-L$235)/(SUM(L$192,L$199,L$205)-SUM(L$235,L$239,L$257-L$254,L$269,L$283,L$312)),(M$192-M$235)/(SUM(M$192,M$199,M$205)-SUM(M$235,M$239,M$257-M$254,M$269,M$283,M$312)),(N$192-N$235)/(SUM(N$192,N$199,N$205)-SUM(N$235,N$239,N$257-N$254,N$269,N$283,N$312))),(N$192-N$235)/(SUM(N$192,N$199,N$205)-SUM(N$235,N$239,N$257-N$254,N$269,N$283,N$312)))*SUM(O$179,O$270,O$275,O$279,O$291-O$221,O$296,O$300,O$304,O$308) +O$235</f>
        <v>8.8755006661591302</v>
      </c>
      <c r="P192" s="7">
        <f ca="1">IF(P$6=OFFSET(Assumptions!$B$8,0,$C$1),AVERAGE((M$192-M$235)/(SUM(M$192,M$199,M$205)-SUM(M$235,M$239,M$257-M$254,M$269,M$283,M$312)),(N$192-N$235)/(SUM(N$192,N$199,N$205)-SUM(N$235,N$239,N$257-N$254,N$269,N$283,N$312)),(O$192-O$235)/(SUM(O$192,O$199,O$205)-SUM(O$235,O$239,O$257-O$254,O$269,O$283,O$312))),(O$192-O$235)/(SUM(O$192,O$199,O$205)-SUM(O$235,O$239,O$257-O$254,O$269,O$283,O$312)))*SUM(P$179,P$270,P$275,P$279,P$291-P$221,P$296,P$300,P$304,P$308) +P$235</f>
        <v>9.337458558708251</v>
      </c>
      <c r="Q192" s="7">
        <f ca="1">IF(Q$6=OFFSET(Assumptions!$B$8,0,$C$1),AVERAGE((N$192-N$235)/(SUM(N$192,N$199,N$205)-SUM(N$235,N$239,N$257-N$254,N$269,N$283,N$312)),(O$192-O$235)/(SUM(O$192,O$199,O$205)-SUM(O$235,O$239,O$257-O$254,O$269,O$283,O$312)),(P$192-P$235)/(SUM(P$192,P$199,P$205)-SUM(P$235,P$239,P$257-P$254,P$269,P$283,P$312))),(P$192-P$235)/(SUM(P$192,P$199,P$205)-SUM(P$235,P$239,P$257-P$254,P$269,P$283,P$312)))*SUM(Q$179,Q$270,Q$275,Q$279,Q$291-Q$221,Q$296,Q$300,Q$304,Q$308) +Q$235</f>
        <v>9.8154007578162599</v>
      </c>
      <c r="R192" s="7">
        <f ca="1">IF(R$6=OFFSET(Assumptions!$B$8,0,$C$1),AVERAGE((O$192-O$235)/(SUM(O$192,O$199,O$205)-SUM(O$235,O$239,O$257-O$254,O$269,O$283,O$312)),(P$192-P$235)/(SUM(P$192,P$199,P$205)-SUM(P$235,P$239,P$257-P$254,P$269,P$283,P$312)),(Q$192-Q$235)/(SUM(Q$192,Q$199,Q$205)-SUM(Q$235,Q$239,Q$257-Q$254,Q$269,Q$283,Q$312))),(Q$192-Q$235)/(SUM(Q$192,Q$199,Q$205)-SUM(Q$235,Q$239,Q$257-Q$254,Q$269,Q$283,Q$312)))*SUM(R$179,R$270,R$275,R$279,R$291-R$221,R$296,R$300,R$304,R$308) +R$235</f>
        <v>10.307128858981708</v>
      </c>
      <c r="S192" s="7">
        <f ca="1">IF(S$6=OFFSET(Assumptions!$B$8,0,$C$1),AVERAGE((P$192-P$235)/(SUM(P$192,P$199,P$205)-SUM(P$235,P$239,P$257-P$254,P$269,P$283,P$312)),(Q$192-Q$235)/(SUM(Q$192,Q$199,Q$205)-SUM(Q$235,Q$239,Q$257-Q$254,Q$269,Q$283,Q$312)),(R$192-R$235)/(SUM(R$192,R$199,R$205)-SUM(R$235,R$239,R$257-R$254,R$269,R$283,R$312))),(R$192-R$235)/(SUM(R$192,R$199,R$205)-SUM(R$235,R$239,R$257-R$254,R$269,R$283,R$312)))*SUM(S$179,S$270,S$275,S$279,S$291-S$221,S$296,S$300,S$304,S$308) +S$235</f>
        <v>10.819896211203607</v>
      </c>
      <c r="T192" s="7">
        <f ca="1">IF(T$6=OFFSET(Assumptions!$B$8,0,$C$1),AVERAGE((Q$192-Q$235)/(SUM(Q$192,Q$199,Q$205)-SUM(Q$235,Q$239,Q$257-Q$254,Q$269,Q$283,Q$312)),(R$192-R$235)/(SUM(R$192,R$199,R$205)-SUM(R$235,R$239,R$257-R$254,R$269,R$283,R$312)),(S$192-S$235)/(SUM(S$192,S$199,S$205)-SUM(S$235,S$239,S$257-S$254,S$269,S$283,S$312))),(S$192-S$235)/(SUM(S$192,S$199,S$205)-SUM(S$235,S$239,S$257-S$254,S$269,S$283,S$312)))*SUM(T$179,T$270,T$275,T$279,T$291-T$221,T$296,T$300,T$304,T$308) +T$235</f>
        <v>11.352679543479308</v>
      </c>
      <c r="U192" s="7">
        <f ca="1">IF(U$6=OFFSET(Assumptions!$B$8,0,$C$1),AVERAGE((R$192-R$235)/(SUM(R$192,R$199,R$205)-SUM(R$235,R$239,R$257-R$254,R$269,R$283,R$312)),(S$192-S$235)/(SUM(S$192,S$199,S$205)-SUM(S$235,S$239,S$257-S$254,S$269,S$283,S$312)),(T$192-T$235)/(SUM(T$192,T$199,T$205)-SUM(T$235,T$239,T$257-T$254,T$269,T$283,T$312))),(T$192-T$235)/(SUM(T$192,T$199,T$205)-SUM(T$235,T$239,T$257-T$254,T$269,T$283,T$312)))*SUM(U$179,U$270,U$275,U$279,U$291-U$221,U$296,U$300,U$304,U$308) +U$235</f>
        <v>11.907292749451791</v>
      </c>
      <c r="V192" s="7">
        <f ca="1">IF(V$6=OFFSET(Assumptions!$B$8,0,$C$1),AVERAGE((S$192-S$235)/(SUM(S$192,S$199,S$205)-SUM(S$235,S$239,S$257-S$254,S$269,S$283,S$312)),(T$192-T$235)/(SUM(T$192,T$199,T$205)-SUM(T$235,T$239,T$257-T$254,T$269,T$283,T$312)),(U$192-U$235)/(SUM(U$192,U$199,U$205)-SUM(U$235,U$239,U$257-U$254,U$269,U$283,U$312))),(U$192-U$235)/(SUM(U$192,U$199,U$205)-SUM(U$235,U$239,U$257-U$254,U$269,U$283,U$312)))*SUM(V$179,V$270,V$275,V$279,V$291-V$221,V$296,V$300,V$304,V$308) +V$235</f>
        <v>12.484499064477438</v>
      </c>
      <c r="W192" s="7">
        <f ca="1">IF(W$6=OFFSET(Assumptions!$B$8,0,$C$1),AVERAGE((T$192-T$235)/(SUM(T$192,T$199,T$205)-SUM(T$235,T$239,T$257-T$254,T$269,T$283,T$312)),(U$192-U$235)/(SUM(U$192,U$199,U$205)-SUM(U$235,U$239,U$257-U$254,U$269,U$283,U$312)),(V$192-V$235)/(SUM(V$192,V$199,V$205)-SUM(V$235,V$239,V$257-V$254,V$269,V$283,V$312))),(V$192-V$235)/(SUM(V$192,V$199,V$205)-SUM(V$235,V$239,V$257-V$254,V$269,V$283,V$312)))*SUM(W$179,W$270,W$275,W$279,W$291-W$221,W$296,W$300,W$304,W$308) +W$235</f>
        <v>13.085127181848351</v>
      </c>
      <c r="X192" s="7">
        <f ca="1">IF(X$6=OFFSET(Assumptions!$B$8,0,$C$1),AVERAGE((U$192-U$235)/(SUM(U$192,U$199,U$205)-SUM(U$235,U$239,U$257-U$254,U$269,U$283,U$312)),(V$192-V$235)/(SUM(V$192,V$199,V$205)-SUM(V$235,V$239,V$257-V$254,V$269,V$283,V$312)),(W$192-W$235)/(SUM(W$192,W$199,W$205)-SUM(W$235,W$239,W$257-W$254,W$269,W$283,W$312))),(W$192-W$235)/(SUM(W$192,W$199,W$205)-SUM(W$235,W$239,W$257-W$254,W$269,W$283,W$312)))*SUM(X$179,X$270,X$275,X$279,X$291-X$221,X$296,X$300,X$304,X$308) +X$235</f>
        <v>13.709527709688894</v>
      </c>
      <c r="Y192" s="7">
        <f ca="1">IF(Y$6=OFFSET(Assumptions!$B$8,0,$C$1),AVERAGE((V$192-V$235)/(SUM(V$192,V$199,V$205)-SUM(V$235,V$239,V$257-V$254,V$269,V$283,V$312)),(W$192-W$235)/(SUM(W$192,W$199,W$205)-SUM(W$235,W$239,W$257-W$254,W$269,W$283,W$312)),(X$192-X$235)/(SUM(X$192,X$199,X$205)-SUM(X$235,X$239,X$257-X$254,X$269,X$283,X$312))),(X$192-X$235)/(SUM(X$192,X$199,X$205)-SUM(X$235,X$239,X$257-X$254,X$269,X$283,X$312)))*SUM(Y$179,Y$270,Y$275,Y$279,Y$291-Y$221,Y$296,Y$300,Y$304,Y$308) +Y$235</f>
        <v>14.36025786024449</v>
      </c>
      <c r="Z192" s="7">
        <f ca="1">IF(Z$6=OFFSET(Assumptions!$B$8,0,$C$1),AVERAGE((W$192-W$235)/(SUM(W$192,W$199,W$205)-SUM(W$235,W$239,W$257-W$254,W$269,W$283,W$312)),(X$192-X$235)/(SUM(X$192,X$199,X$205)-SUM(X$235,X$239,X$257-X$254,X$269,X$283,X$312)),(Y$192-Y$235)/(SUM(Y$192,Y$199,Y$205)-SUM(Y$235,Y$239,Y$257-Y$254,Y$269,Y$283,Y$312))),(Y$192-Y$235)/(SUM(Y$192,Y$199,Y$205)-SUM(Y$235,Y$239,Y$257-Y$254,Y$269,Y$283,Y$312)))*SUM(Z$179,Z$270,Z$275,Z$279,Z$291-Z$221,Z$296,Z$300,Z$304,Z$308) +Z$235</f>
        <v>15.037241162444626</v>
      </c>
      <c r="AA192" s="7">
        <f ca="1">IF(AA$6=OFFSET(Assumptions!$B$8,0,$C$1),AVERAGE((X$192-X$235)/(SUM(X$192,X$199,X$205)-SUM(X$235,X$239,X$257-X$254,X$269,X$283,X$312)),(Y$192-Y$235)/(SUM(Y$192,Y$199,Y$205)-SUM(Y$235,Y$239,Y$257-Y$254,Y$269,Y$283,Y$312)),(Z$192-Z$235)/(SUM(Z$192,Z$199,Z$205)-SUM(Z$235,Z$239,Z$257-Z$254,Z$269,Z$283,Z$312))),(Z$192-Z$235)/(SUM(Z$192,Z$199,Z$205)-SUM(Z$235,Z$239,Z$257-Z$254,Z$269,Z$283,Z$312)))*SUM(AA$179,AA$270,AA$275,AA$279,AA$291-AA$221,AA$296,AA$300,AA$304,AA$308) +AA$235</f>
        <v>15.503281439117652</v>
      </c>
      <c r="AB192" s="7">
        <f ca="1">IF(AB$6=OFFSET(Assumptions!$B$8,0,$C$1),AVERAGE((Y$192-Y$235)/(SUM(Y$192,Y$199,Y$205)-SUM(Y$235,Y$239,Y$257-Y$254,Y$269,Y$283,Y$312)),(Z$192-Z$235)/(SUM(Z$192,Z$199,Z$205)-SUM(Z$235,Z$239,Z$257-Z$254,Z$269,Z$283,Z$312)),(AA$192-AA$235)/(SUM(AA$192,AA$199,AA$205)-SUM(AA$235,AA$239,AA$257-AA$254,AA$269,AA$283,AA$312))),(AA$192-AA$235)/(SUM(AA$192,AA$199,AA$205)-SUM(AA$235,AA$239,AA$257-AA$254,AA$269,AA$283,AA$312)))*SUM(AB$179,AB$270,AB$275,AB$279,AB$291-AB$221,AB$296,AB$300,AB$304,AB$308) +AB$235</f>
        <v>15.988305923389373</v>
      </c>
      <c r="AC192" s="7">
        <f ca="1">IF(AC$6=OFFSET(Assumptions!$B$8,0,$C$1),AVERAGE((Z$192-Z$235)/(SUM(Z$192,Z$199,Z$205)-SUM(Z$235,Z$239,Z$257-Z$254,Z$269,Z$283,Z$312)),(AA$192-AA$235)/(SUM(AA$192,AA$199,AA$205)-SUM(AA$235,AA$239,AA$257-AA$254,AA$269,AA$283,AA$312)),(AB$192-AB$235)/(SUM(AB$192,AB$199,AB$205)-SUM(AB$235,AB$239,AB$257-AB$254,AB$269,AB$283,AB$312))),(AB$192-AB$235)/(SUM(AB$192,AB$199,AB$205)-SUM(AB$235,AB$239,AB$257-AB$254,AB$269,AB$283,AB$312)))*SUM(AC$179,AC$270,AC$275,AC$279,AC$291-AC$221,AC$296,AC$300,AC$304,AC$308) +AC$235</f>
        <v>16.494259233793944</v>
      </c>
      <c r="AD192" s="7">
        <f ca="1">IF(AD$6=OFFSET(Assumptions!$B$8,0,$C$1),AVERAGE((AA$192-AA$235)/(SUM(AA$192,AA$199,AA$205)-SUM(AA$235,AA$239,AA$257-AA$254,AA$269,AA$283,AA$312)),(AB$192-AB$235)/(SUM(AB$192,AB$199,AB$205)-SUM(AB$235,AB$239,AB$257-AB$254,AB$269,AB$283,AB$312)),(AC$192-AC$235)/(SUM(AC$192,AC$199,AC$205)-SUM(AC$235,AC$239,AC$257-AC$254,AC$269,AC$283,AC$312))),(AC$192-AC$235)/(SUM(AC$192,AC$199,AC$205)-SUM(AC$235,AC$239,AC$257-AC$254,AC$269,AC$283,AC$312)))*SUM(AD$179,AD$270,AD$275,AD$279,AD$291-AD$221,AD$296,AD$300,AD$304,AD$308) +AD$235</f>
        <v>17.020897792992805</v>
      </c>
      <c r="AE192" s="7">
        <f ca="1">IF(AE$6=OFFSET(Assumptions!$B$8,0,$C$1),AVERAGE((AB$192-AB$235)/(SUM(AB$192,AB$199,AB$205)-SUM(AB$235,AB$239,AB$257-AB$254,AB$269,AB$283,AB$312)),(AC$192-AC$235)/(SUM(AC$192,AC$199,AC$205)-SUM(AC$235,AC$239,AC$257-AC$254,AC$269,AC$283,AC$312)),(AD$192-AD$235)/(SUM(AD$192,AD$199,AD$205)-SUM(AD$235,AD$239,AD$257-AD$254,AD$269,AD$283,AD$312))),(AD$192-AD$235)/(SUM(AD$192,AD$199,AD$205)-SUM(AD$235,AD$239,AD$257-AD$254,AD$269,AD$283,AD$312)))*SUM(AE$179,AE$270,AE$275,AE$279,AE$291-AE$221,AE$296,AE$300,AE$304,AE$308) +AE$235</f>
        <v>17.569063572458003</v>
      </c>
      <c r="AF192" s="7">
        <f ca="1">IF(AF$6=OFFSET(Assumptions!$B$8,0,$C$1),AVERAGE((AC$192-AC$235)/(SUM(AC$192,AC$199,AC$205)-SUM(AC$235,AC$239,AC$257-AC$254,AC$269,AC$283,AC$312)),(AD$192-AD$235)/(SUM(AD$192,AD$199,AD$205)-SUM(AD$235,AD$239,AD$257-AD$254,AD$269,AD$283,AD$312)),(AE$192-AE$235)/(SUM(AE$192,AE$199,AE$205)-SUM(AE$235,AE$239,AE$257-AE$254,AE$269,AE$283,AE$312))),(AE$192-AE$235)/(SUM(AE$192,AE$199,AE$205)-SUM(AE$235,AE$239,AE$257-AE$254,AE$269,AE$283,AE$312)))*SUM(AF$179,AF$270,AF$275,AF$279,AF$291-AF$221,AF$296,AF$300,AF$304,AF$308) +AF$235</f>
        <v>18.140210373587781</v>
      </c>
      <c r="AG192" s="7">
        <f ca="1">IF(AG$6=OFFSET(Assumptions!$B$8,0,$C$1),AVERAGE((AD$192-AD$235)/(SUM(AD$192,AD$199,AD$205)-SUM(AD$235,AD$239,AD$257-AD$254,AD$269,AD$283,AD$312)),(AE$192-AE$235)/(SUM(AE$192,AE$199,AE$205)-SUM(AE$235,AE$239,AE$257-AE$254,AE$269,AE$283,AE$312)),(AF$192-AF$235)/(SUM(AF$192,AF$199,AF$205)-SUM(AF$235,AF$239,AF$257-AF$254,AF$269,AF$283,AF$312))),(AF$192-AF$235)/(SUM(AF$192,AF$199,AF$205)-SUM(AF$235,AF$239,AF$257-AF$254,AF$269,AF$283,AF$312)))*SUM(AG$179,AG$270,AG$275,AG$279,AG$291-AG$221,AG$296,AG$300,AG$304,AG$308) +AG$235</f>
        <v>18.734147720817113</v>
      </c>
      <c r="AH192" s="7">
        <f ca="1">IF(AH$6=OFFSET(Assumptions!$B$8,0,$C$1),AVERAGE((AE$192-AE$235)/(SUM(AE$192,AE$199,AE$205)-SUM(AE$235,AE$239,AE$257-AE$254,AE$269,AE$283,AE$312)),(AF$192-AF$235)/(SUM(AF$192,AF$199,AF$205)-SUM(AF$235,AF$239,AF$257-AF$254,AF$269,AF$283,AF$312)),(AG$192-AG$235)/(SUM(AG$192,AG$199,AG$205)-SUM(AG$235,AG$239,AG$257-AG$254,AG$269,AG$283,AG$312))),(AG$192-AG$235)/(SUM(AG$192,AG$199,AG$205)-SUM(AG$235,AG$239,AG$257-AG$254,AG$269,AG$283,AG$312)))*SUM(AH$179,AH$270,AH$275,AH$279,AH$291-AH$221,AH$296,AH$300,AH$304,AH$308) +AH$235</f>
        <v>19.354036206774325</v>
      </c>
      <c r="AI192" s="7">
        <f ca="1">IF(AI$6=OFFSET(Assumptions!$B$8,0,$C$1),AVERAGE((AF$192-AF$235)/(SUM(AF$192,AF$199,AF$205)-SUM(AF$235,AF$239,AF$257-AF$254,AF$269,AF$283,AF$312)),(AG$192-AG$235)/(SUM(AG$192,AG$199,AG$205)-SUM(AG$235,AG$239,AG$257-AG$254,AG$269,AG$283,AG$312)),(AH$192-AH$235)/(SUM(AH$192,AH$199,AH$205)-SUM(AH$235,AH$239,AH$257-AH$254,AH$269,AH$283,AH$312))),(AH$192-AH$235)/(SUM(AH$192,AH$199,AH$205)-SUM(AH$235,AH$239,AH$257-AH$254,AH$269,AH$283,AH$312)))*SUM(AI$179,AI$270,AI$275,AI$279,AI$291-AI$221,AI$296,AI$300,AI$304,AI$308) +AI$235</f>
        <v>19.998575792049223</v>
      </c>
      <c r="AJ192" s="7">
        <f ca="1">IF(AJ$6=OFFSET(Assumptions!$B$8,0,$C$1),AVERAGE((AG$192-AG$235)/(SUM(AG$192,AG$199,AG$205)-SUM(AG$235,AG$239,AG$257-AG$254,AG$269,AG$283,AG$312)),(AH$192-AH$235)/(SUM(AH$192,AH$199,AH$205)-SUM(AH$235,AH$239,AH$257-AH$254,AH$269,AH$283,AH$312)),(AI$192-AI$235)/(SUM(AI$192,AI$199,AI$205)-SUM(AI$235,AI$239,AI$257-AI$254,AI$269,AI$283,AI$312))),(AI$192-AI$235)/(SUM(AI$192,AI$199,AI$205)-SUM(AI$235,AI$239,AI$257-AI$254,AI$269,AI$283,AI$312)))*SUM(AJ$179,AJ$270,AJ$275,AJ$279,AJ$291-AJ$221,AJ$296,AJ$300,AJ$304,AJ$308) +AJ$235</f>
        <v>20.66986081255315</v>
      </c>
      <c r="AK192" s="7">
        <f ca="1">IF(AK$6=OFFSET(Assumptions!$B$8,0,$C$1),AVERAGE((AH$192-AH$235)/(SUM(AH$192,AH$199,AH$205)-SUM(AH$235,AH$239,AH$257-AH$254,AH$269,AH$283,AH$312)),(AI$192-AI$235)/(SUM(AI$192,AI$199,AI$205)-SUM(AI$235,AI$239,AI$257-AI$254,AI$269,AI$283,AI$312)),(AJ$192-AJ$235)/(SUM(AJ$192,AJ$199,AJ$205)-SUM(AJ$235,AJ$239,AJ$257-AJ$254,AJ$269,AJ$283,AJ$312))),(AJ$192-AJ$235)/(SUM(AJ$192,AJ$199,AJ$205)-SUM(AJ$235,AJ$239,AJ$257-AJ$254,AJ$269,AJ$283,AJ$312)))*SUM(AK$179,AK$270,AK$275,AK$279,AK$291-AK$221,AK$296,AK$300,AK$304,AK$308) +AK$235</f>
        <v>21.368859511440597</v>
      </c>
      <c r="AL192" s="7">
        <f ca="1">IF(AL$6=OFFSET(Assumptions!$B$8,0,$C$1),AVERAGE((AI$192-AI$235)/(SUM(AI$192,AI$199,AI$205)-SUM(AI$235,AI$239,AI$257-AI$254,AI$269,AI$283,AI$312)),(AJ$192-AJ$235)/(SUM(AJ$192,AJ$199,AJ$205)-SUM(AJ$235,AJ$239,AJ$257-AJ$254,AJ$269,AJ$283,AJ$312)),(AK$192-AK$235)/(SUM(AK$192,AK$199,AK$205)-SUM(AK$235,AK$239,AK$257-AK$254,AK$269,AK$283,AK$312))),(AK$192-AK$235)/(SUM(AK$192,AK$199,AK$205)-SUM(AK$235,AK$239,AK$257-AK$254,AK$269,AK$283,AK$312)))*SUM(AL$179,AL$270,AL$275,AL$279,AL$291-AL$221,AL$296,AL$300,AL$304,AL$308) +AL$235</f>
        <v>22.096518736077446</v>
      </c>
      <c r="AM192" s="7">
        <f ca="1">IF(AM$6=OFFSET(Assumptions!$B$8,0,$C$1),AVERAGE((AJ$192-AJ$235)/(SUM(AJ$192,AJ$199,AJ$205)-SUM(AJ$235,AJ$239,AJ$257-AJ$254,AJ$269,AJ$283,AJ$312)),(AK$192-AK$235)/(SUM(AK$192,AK$199,AK$205)-SUM(AK$235,AK$239,AK$257-AK$254,AK$269,AK$283,AK$312)),(AL$192-AL$235)/(SUM(AL$192,AL$199,AL$205)-SUM(AL$235,AL$239,AL$257-AL$254,AL$269,AL$283,AL$312))),(AL$192-AL$235)/(SUM(AL$192,AL$199,AL$205)-SUM(AL$235,AL$239,AL$257-AL$254,AL$269,AL$283,AL$312)))*SUM(AM$179,AM$270,AM$275,AM$279,AM$291-AM$221,AM$296,AM$300,AM$304,AM$308) +AM$235</f>
        <v>22.853271460636225</v>
      </c>
      <c r="AN192" s="7">
        <f ca="1">IF(AN$6=OFFSET(Assumptions!$B$8,0,$C$1),AVERAGE((AK$192-AK$235)/(SUM(AK$192,AK$199,AK$205)-SUM(AK$235,AK$239,AK$257-AK$254,AK$269,AK$283,AK$312)),(AL$192-AL$235)/(SUM(AL$192,AL$199,AL$205)-SUM(AL$235,AL$239,AL$257-AL$254,AL$269,AL$283,AL$312)),(AM$192-AM$235)/(SUM(AM$192,AM$199,AM$205)-SUM(AM$235,AM$239,AM$257-AM$254,AM$269,AM$283,AM$312))),(AM$192-AM$235)/(SUM(AM$192,AM$199,AM$205)-SUM(AM$235,AM$239,AM$257-AM$254,AM$269,AM$283,AM$312)))*SUM(AN$179,AN$270,AN$275,AN$279,AN$291-AN$221,AN$296,AN$300,AN$304,AN$308) +AN$235</f>
        <v>23.640695673520593</v>
      </c>
      <c r="AO192" s="7">
        <f ca="1">IF(AO$6=OFFSET(Assumptions!$B$8,0,$C$1),AVERAGE((AL$192-AL$235)/(SUM(AL$192,AL$199,AL$205)-SUM(AL$235,AL$239,AL$257-AL$254,AL$269,AL$283,AL$312)),(AM$192-AM$235)/(SUM(AM$192,AM$199,AM$205)-SUM(AM$235,AM$239,AM$257-AM$254,AM$269,AM$283,AM$312)),(AN$192-AN$235)/(SUM(AN$192,AN$199,AN$205)-SUM(AN$235,AN$239,AN$257-AN$254,AN$269,AN$283,AN$312))),(AN$192-AN$235)/(SUM(AN$192,AN$199,AN$205)-SUM(AN$235,AN$239,AN$257-AN$254,AN$269,AN$283,AN$312)))*SUM(AO$179,AO$270,AO$275,AO$279,AO$291-AO$221,AO$296,AO$300,AO$304,AO$308) +AO$235</f>
        <v>24.459698822663078</v>
      </c>
      <c r="AP192" s="7">
        <f ca="1">IF(AP$6=OFFSET(Assumptions!$B$8,0,$C$1),AVERAGE((AM$192-AM$235)/(SUM(AM$192,AM$199,AM$205)-SUM(AM$235,AM$239,AM$257-AM$254,AM$269,AM$283,AM$312)),(AN$192-AN$235)/(SUM(AN$192,AN$199,AN$205)-SUM(AN$235,AN$239,AN$257-AN$254,AN$269,AN$283,AN$312)),(AO$192-AO$235)/(SUM(AO$192,AO$199,AO$205)-SUM(AO$235,AO$239,AO$257-AO$254,AO$269,AO$283,AO$312))),(AO$192-AO$235)/(SUM(AO$192,AO$199,AO$205)-SUM(AO$235,AO$239,AO$257-AO$254,AO$269,AO$283,AO$312)))*SUM(AP$179,AP$270,AP$275,AP$279,AP$291-AP$221,AP$296,AP$300,AP$304,AP$308) +AP$235</f>
        <v>25.311320110571405</v>
      </c>
      <c r="AQ192" s="7">
        <f ca="1">IF(AQ$6=OFFSET(Assumptions!$B$8,0,$C$1),AVERAGE((AN$192-AN$235)/(SUM(AN$192,AN$199,AN$205)-SUM(AN$235,AN$239,AN$257-AN$254,AN$269,AN$283,AN$312)),(AO$192-AO$235)/(SUM(AO$192,AO$199,AO$205)-SUM(AO$235,AO$239,AO$257-AO$254,AO$269,AO$283,AO$312)),(AP$192-AP$235)/(SUM(AP$192,AP$199,AP$205)-SUM(AP$235,AP$239,AP$257-AP$254,AP$269,AP$283,AP$312))),(AP$192-AP$235)/(SUM(AP$192,AP$199,AP$205)-SUM(AP$235,AP$239,AP$257-AP$254,AP$269,AP$283,AP$312)))*SUM(AQ$179,AQ$270,AQ$275,AQ$279,AQ$291-AQ$221,AQ$296,AQ$300,AQ$304,AQ$308) +AQ$235</f>
        <v>26.195956618570523</v>
      </c>
      <c r="AR192" s="7">
        <f ca="1">IF(AR$6=OFFSET(Assumptions!$B$8,0,$C$1),AVERAGE((AO$192-AO$235)/(SUM(AO$192,AO$199,AO$205)-SUM(AO$235,AO$239,AO$257-AO$254,AO$269,AO$283,AO$312)),(AP$192-AP$235)/(SUM(AP$192,AP$199,AP$205)-SUM(AP$235,AP$239,AP$257-AP$254,AP$269,AP$283,AP$312)),(AQ$192-AQ$235)/(SUM(AQ$192,AQ$199,AQ$205)-SUM(AQ$235,AQ$239,AQ$257-AQ$254,AQ$269,AQ$283,AQ$312))),(AQ$192-AQ$235)/(SUM(AQ$192,AQ$199,AQ$205)-SUM(AQ$235,AQ$239,AQ$257-AQ$254,AQ$269,AQ$283,AQ$312)))*SUM(AR$179,AR$270,AR$275,AR$279,AR$291-AR$221,AR$296,AR$300,AR$304,AR$308) +AR$235</f>
        <v>27.114595079848204</v>
      </c>
      <c r="AS192" s="7">
        <f ca="1">IF(AS$6=OFFSET(Assumptions!$B$8,0,$C$1),AVERAGE((AP$192-AP$235)/(SUM(AP$192,AP$199,AP$205)-SUM(AP$235,AP$239,AP$257-AP$254,AP$269,AP$283,AP$312)),(AQ$192-AQ$235)/(SUM(AQ$192,AQ$199,AQ$205)-SUM(AQ$235,AQ$239,AQ$257-AQ$254,AQ$269,AQ$283,AQ$312)),(AR$192-AR$235)/(SUM(AR$192,AR$199,AR$205)-SUM(AR$235,AR$239,AR$257-AR$254,AR$269,AR$283,AR$312))),(AR$192-AR$235)/(SUM(AR$192,AR$199,AR$205)-SUM(AR$235,AR$239,AR$257-AR$254,AR$269,AR$283,AR$312)))*SUM(AS$179,AS$270,AS$275,AS$279,AS$291-AS$221,AS$296,AS$300,AS$304,AS$308) +AS$235</f>
        <v>28.068853825895648</v>
      </c>
      <c r="AT192" s="7">
        <f ca="1">IF(AT$6=OFFSET(Assumptions!$B$8,0,$C$1),AVERAGE((AQ$192-AQ$235)/(SUM(AQ$192,AQ$199,AQ$205)-SUM(AQ$235,AQ$239,AQ$257-AQ$254,AQ$269,AQ$283,AQ$312)),(AR$192-AR$235)/(SUM(AR$192,AR$199,AR$205)-SUM(AR$235,AR$239,AR$257-AR$254,AR$269,AR$283,AR$312)),(AS$192-AS$235)/(SUM(AS$192,AS$199,AS$205)-SUM(AS$235,AS$239,AS$257-AS$254,AS$269,AS$283,AS$312))),(AS$192-AS$235)/(SUM(AS$192,AS$199,AS$205)-SUM(AS$235,AS$239,AS$257-AS$254,AS$269,AS$283,AS$312)))*SUM(AT$179,AT$270,AT$275,AT$279,AT$291-AT$221,AT$296,AT$300,AT$304,AT$308) +AT$235</f>
        <v>29.059826923150002</v>
      </c>
      <c r="AU192" s="7">
        <f ca="1">IF(AU$6=OFFSET(Assumptions!$B$8,0,$C$1),AVERAGE((AR$192-AR$235)/(SUM(AR$192,AR$199,AR$205)-SUM(AR$235,AR$239,AR$257-AR$254,AR$269,AR$283,AR$312)),(AS$192-AS$235)/(SUM(AS$192,AS$199,AS$205)-SUM(AS$235,AS$239,AS$257-AS$254,AS$269,AS$283,AS$312)),(AT$192-AT$235)/(SUM(AT$192,AT$199,AT$205)-SUM(AT$235,AT$239,AT$257-AT$254,AT$269,AT$283,AT$312))),(AT$192-AT$235)/(SUM(AT$192,AT$199,AT$205)-SUM(AT$235,AT$239,AT$257-AT$254,AT$269,AT$283,AT$312)))*SUM(AU$179,AU$270,AU$275,AU$279,AU$291-AU$221,AU$296,AU$300,AU$304,AU$308) +AU$235</f>
        <v>30.088656525539704</v>
      </c>
      <c r="AV192" s="7">
        <f ca="1">IF(AV$6=OFFSET(Assumptions!$B$8,0,$C$1),AVERAGE((AS$192-AS$235)/(SUM(AS$192,AS$199,AS$205)-SUM(AS$235,AS$239,AS$257-AS$254,AS$269,AS$283,AS$312)),(AT$192-AT$235)/(SUM(AT$192,AT$199,AT$205)-SUM(AT$235,AT$239,AT$257-AT$254,AT$269,AT$283,AT$312)),(AU$192-AU$235)/(SUM(AU$192,AU$199,AU$205)-SUM(AU$235,AU$239,AU$257-AU$254,AU$269,AU$283,AU$312))),(AU$192-AU$235)/(SUM(AU$192,AU$199,AU$205)-SUM(AU$235,AU$239,AU$257-AU$254,AU$269,AU$283,AU$312)))*SUM(AV$179,AV$270,AV$275,AV$279,AV$291-AV$221,AV$296,AV$300,AV$304,AV$308) +AV$235</f>
        <v>31.155495582422716</v>
      </c>
      <c r="AW192" s="7">
        <f ca="1">IF(AW$6=OFFSET(Assumptions!$B$8,0,$C$1),AVERAGE((AT$192-AT$235)/(SUM(AT$192,AT$199,AT$205)-SUM(AT$235,AT$239,AT$257-AT$254,AT$269,AT$283,AT$312)),(AU$192-AU$235)/(SUM(AU$192,AU$199,AU$205)-SUM(AU$235,AU$239,AU$257-AU$254,AU$269,AU$283,AU$312)),(AV$192-AV$235)/(SUM(AV$192,AV$199,AV$205)-SUM(AV$235,AV$239,AV$257-AV$254,AV$269,AV$283,AV$312))),(AV$192-AV$235)/(SUM(AV$192,AV$199,AV$205)-SUM(AV$235,AV$239,AV$257-AV$254,AV$269,AV$283,AV$312)))*SUM(AW$179,AW$270,AW$275,AW$279,AW$291-AW$221,AW$296,AW$300,AW$304,AW$308) +AW$235</f>
        <v>32.263236636531957</v>
      </c>
    </row>
    <row r="193" spans="1:49" x14ac:dyDescent="0.2">
      <c r="A193" s="1" t="s">
        <v>295</v>
      </c>
      <c r="B193" s="4" t="str">
        <f t="shared" si="158"/>
        <v>From Fiscal</v>
      </c>
      <c r="D193" s="18">
        <f>Fiscal!D$237</f>
        <v>11.66</v>
      </c>
      <c r="E193" s="19">
        <f>Fiscal!E$237</f>
        <v>12.185</v>
      </c>
      <c r="F193" s="19">
        <f>Fiscal!F$237</f>
        <v>12.413</v>
      </c>
      <c r="G193" s="19">
        <f>Fiscal!G$237</f>
        <v>12.522</v>
      </c>
      <c r="H193" s="19">
        <f>Fiscal!H$237</f>
        <v>12.504</v>
      </c>
      <c r="I193" s="19">
        <f>Fiscal!I$237</f>
        <v>12.558999999999999</v>
      </c>
      <c r="J193" s="7">
        <f ca="1">IF(J$6=OFFSET(Assumptions!$B$8,0,$C$1),AVERAGE((G$193-(G$236-G$235))/SUM(G$193-(G$236-G$235),G$200,G$206),(H$193-(H$236-H$235))/SUM(H$193-(H$236-H$235),H$200,H$206),(I$193-(I$236-I$235))/SUM(I$193-(I$236-I$235),I$200,I$206)),(I$193-(I$236-I$235))/SUM(I$193-(I$236-I$235),I$200,I$206))*SUM(J$181-J$222,J$240,J$258,J$284,J$316-(J$236-J$235)) +J$236-J$235</f>
        <v>13.648450475040676</v>
      </c>
      <c r="K193" s="7">
        <f ca="1">IF(K$6=OFFSET(Assumptions!$B$8,0,$C$1),AVERAGE((H$193-(H$236-H$235))/SUM(H$193-(H$236-H$235),H$200,H$206),(I$193-(I$236-I$235))/SUM(I$193-(I$236-I$235),I$200,I$206),(J$193-(J$236-J$235))/SUM(J$193-(J$236-J$235),J$200,J$206)),(J$193-(J$236-J$235))/SUM(J$193-(J$236-J$235),J$200,J$206))*SUM(K$181-K$222,K$240,K$258,K$284,K$316-(K$236-K$235)) +K$236-K$235</f>
        <v>14.258618705360565</v>
      </c>
      <c r="L193" s="7">
        <f ca="1">IF(L$6=OFFSET(Assumptions!$B$8,0,$C$1),AVERAGE((I$193-(I$236-I$235))/SUM(I$193-(I$236-I$235),I$200,I$206),(J$193-(J$236-J$235))/SUM(J$193-(J$236-J$235),J$200,J$206),(K$193-(K$236-K$235))/SUM(K$193-(K$236-K$235),K$200,K$206)),(K$193-(K$236-K$235))/SUM(K$193-(K$236-K$235),K$200,K$206))*SUM(L$181-L$222,L$240,L$258,L$284,L$316-(L$236-L$235)) +L$236-L$235</f>
        <v>14.876529616485056</v>
      </c>
      <c r="M193" s="7">
        <f ca="1">IF(M$6=OFFSET(Assumptions!$B$8,0,$C$1),AVERAGE((J$193-(J$236-J$235))/SUM(J$193-(J$236-J$235),J$200,J$206),(K$193-(K$236-K$235))/SUM(K$193-(K$236-K$235),K$200,K$206),(L$193-(L$236-L$235))/SUM(L$193-(L$236-L$235),L$200,L$206)),(L$193-(L$236-L$235))/SUM(L$193-(L$236-L$235),L$200,L$206))*SUM(M$181-M$222,M$240,M$258,M$284,M$316-(M$236-M$235)) +M$236-M$235</f>
        <v>15.521042276973162</v>
      </c>
      <c r="N193" s="7">
        <f ca="1">IF(N$6=OFFSET(Assumptions!$B$8,0,$C$1),AVERAGE((K$193-(K$236-K$235))/SUM(K$193-(K$236-K$235),K$200,K$206),(L$193-(L$236-L$235))/SUM(L$193-(L$236-L$235),L$200,L$206),(M$193-(M$236-M$235))/SUM(M$193-(M$236-M$235),M$200,M$206)),(M$193-(M$236-M$235))/SUM(M$193-(M$236-M$235),M$200,M$206))*SUM(N$181-N$222,N$240,N$258,N$284,N$316-(N$236-N$235)) +N$236-N$235</f>
        <v>16.188879386049056</v>
      </c>
      <c r="O193" s="7">
        <f ca="1">IF(O$6=OFFSET(Assumptions!$B$8,0,$C$1),AVERAGE((L$193-(L$236-L$235))/SUM(L$193-(L$236-L$235),L$200,L$206),(M$193-(M$236-M$235))/SUM(M$193-(M$236-M$235),M$200,M$206),(N$193-(N$236-N$235))/SUM(N$193-(N$236-N$235),N$200,N$206)),(N$193-(N$236-N$235))/SUM(N$193-(N$236-N$235),N$200,N$206))*SUM(O$181-O$222,O$240,O$258,O$284,O$316-(O$236-O$235)) +O$236-O$235</f>
        <v>16.878726437897907</v>
      </c>
      <c r="P193" s="7">
        <f ca="1">IF(P$6=OFFSET(Assumptions!$B$8,0,$C$1),AVERAGE((M$193-(M$236-M$235))/SUM(M$193-(M$236-M$235),M$200,M$206),(N$193-(N$236-N$235))/SUM(N$193-(N$236-N$235),N$200,N$206),(O$193-(O$236-O$235))/SUM(O$193-(O$236-O$235),O$200,O$206)),(O$193-(O$236-O$235))/SUM(O$193-(O$236-O$235),O$200,O$206))*SUM(P$181-P$222,P$240,P$258,P$284,P$316-(P$236-P$235)) +P$236-P$235</f>
        <v>17.58987484428922</v>
      </c>
      <c r="Q193" s="7">
        <f ca="1">IF(Q$6=OFFSET(Assumptions!$B$8,0,$C$1),AVERAGE((N$193-(N$236-N$235))/SUM(N$193-(N$236-N$235),N$200,N$206),(O$193-(O$236-O$235))/SUM(O$193-(O$236-O$235),O$200,O$206),(P$193-(P$236-P$235))/SUM(P$193-(P$236-P$235),P$200,P$206)),(P$193-(P$236-P$235))/SUM(P$193-(P$236-P$235),P$200,P$206))*SUM(Q$181-Q$222,Q$240,Q$258,Q$284,Q$316-(Q$236-Q$235)) +Q$236-Q$235</f>
        <v>18.322630544051759</v>
      </c>
      <c r="R193" s="7">
        <f ca="1">IF(R$6=OFFSET(Assumptions!$B$8,0,$C$1),AVERAGE((O$193-(O$236-O$235))/SUM(O$193-(O$236-O$235),O$200,O$206),(P$193-(P$236-P$235))/SUM(P$193-(P$236-P$235),P$200,P$206),(Q$193-(Q$236-Q$235))/SUM(Q$193-(Q$236-Q$235),Q$200,Q$206)),(Q$193-(Q$236-Q$235))/SUM(Q$193-(Q$236-Q$235),Q$200,Q$206))*SUM(R$181-R$222,R$240,R$258,R$284,R$316-(R$236-R$235)) +R$236-R$235</f>
        <v>19.076243931303537</v>
      </c>
      <c r="S193" s="7">
        <f ca="1">IF(S$6=OFFSET(Assumptions!$B$8,0,$C$1),AVERAGE((P$193-(P$236-P$235))/SUM(P$193-(P$236-P$235),P$200,P$206),(Q$193-(Q$236-Q$235))/SUM(Q$193-(Q$236-Q$235),Q$200,Q$206),(R$193-(R$236-R$235))/SUM(R$193-(R$236-R$235),R$200,R$206)),(R$193-(R$236-R$235))/SUM(R$193-(R$236-R$235),R$200,R$206))*SUM(S$181-S$222,S$240,S$258,S$284,S$316-(S$236-S$235)) +S$236-S$235</f>
        <v>19.853678277628717</v>
      </c>
      <c r="T193" s="7">
        <f ca="1">IF(T$6=OFFSET(Assumptions!$B$8,0,$C$1),AVERAGE((Q$193-(Q$236-Q$235))/SUM(Q$193-(Q$236-Q$235),Q$200,Q$206),(R$193-(R$236-R$235))/SUM(R$193-(R$236-R$235),R$200,R$206),(S$193-(S$236-S$235))/SUM(S$193-(S$236-S$235),S$200,S$206)),(S$193-(S$236-S$235))/SUM(S$193-(S$236-S$235),S$200,S$206))*SUM(T$181-T$222,T$240,T$258,T$284,T$316-(T$236-T$235)) +T$236-T$235</f>
        <v>20.655088945738591</v>
      </c>
      <c r="U193" s="7">
        <f ca="1">IF(U$6=OFFSET(Assumptions!$B$8,0,$C$1),AVERAGE((R$193-(R$236-R$235))/SUM(R$193-(R$236-R$235),R$200,R$206),(S$193-(S$236-S$235))/SUM(S$193-(S$236-S$235),S$200,S$206),(T$193-(T$236-T$235))/SUM(T$193-(T$236-T$235),T$200,T$206)),(T$193-(T$236-T$235))/SUM(T$193-(T$236-T$235),T$200,T$206))*SUM(U$181-U$222,U$240,U$258,U$284,U$316-(U$236-U$235)) +U$236-U$235</f>
        <v>21.48339603869416</v>
      </c>
      <c r="V193" s="7">
        <f ca="1">IF(V$6=OFFSET(Assumptions!$B$8,0,$C$1),AVERAGE((S$193-(S$236-S$235))/SUM(S$193-(S$236-S$235),S$200,S$206),(T$193-(T$236-T$235))/SUM(T$193-(T$236-T$235),T$200,T$206),(U$193-(U$236-U$235))/SUM(U$193-(U$236-U$235),U$200,U$206)),(U$193-(U$236-U$235))/SUM(U$193-(U$236-U$235),U$200,U$206))*SUM(V$181-V$222,V$240,V$258,V$284,V$316-(V$236-V$235)) +V$236-V$235</f>
        <v>22.34061482835018</v>
      </c>
      <c r="W193" s="7">
        <f ca="1">IF(W$6=OFFSET(Assumptions!$B$8,0,$C$1),AVERAGE((T$193-(T$236-T$235))/SUM(T$193-(T$236-T$235),T$200,T$206),(U$193-(U$236-U$235))/SUM(U$193-(U$236-U$235),U$200,U$206),(V$193-(V$236-V$235))/SUM(V$193-(V$236-V$235),V$200,V$206)),(V$193-(V$236-V$235))/SUM(V$193-(V$236-V$235),V$200,V$206))*SUM(W$181-W$222,W$240,W$258,W$284,W$316-(W$236-W$235)) +W$236-W$235</f>
        <v>23.229186872687048</v>
      </c>
      <c r="X193" s="7">
        <f ca="1">IF(X$6=OFFSET(Assumptions!$B$8,0,$C$1),AVERAGE((U$193-(U$236-U$235))/SUM(U$193-(U$236-U$235),U$200,U$206),(V$193-(V$236-V$235))/SUM(V$193-(V$236-V$235),V$200,V$206),(W$193-(W$236-W$235))/SUM(W$193-(W$236-W$235),W$200,W$206)),(W$193-(W$236-W$235))/SUM(W$193-(W$236-W$235),W$200,W$206))*SUM(X$181-X$222,X$240,X$258,X$284,X$316-(X$236-X$235)) +X$236-X$235</f>
        <v>24.151824673917432</v>
      </c>
      <c r="Y193" s="7">
        <f ca="1">IF(Y$6=OFFSET(Assumptions!$B$8,0,$C$1),AVERAGE((V$193-(V$236-V$235))/SUM(V$193-(V$236-V$235),V$200,V$206),(W$193-(W$236-W$235))/SUM(W$193-(W$236-W$235),W$200,W$206),(X$193-(X$236-X$235))/SUM(X$193-(X$236-X$235),X$200,X$206)),(X$193-(X$236-X$235))/SUM(X$193-(X$236-X$235),X$200,X$206))*SUM(Y$181-Y$222,Y$240,Y$258,Y$284,Y$316-(Y$236-Y$235)) +Y$236-Y$235</f>
        <v>25.108633687320399</v>
      </c>
      <c r="Z193" s="7">
        <f ca="1">IF(Z$6=OFFSET(Assumptions!$B$8,0,$C$1),AVERAGE((W$193-(W$236-W$235))/SUM(W$193-(W$236-W$235),W$200,W$206),(X$193-(X$236-X$235))/SUM(X$193-(X$236-X$235),X$200,X$206),(Y$193-(Y$236-Y$235))/SUM(Y$193-(Y$236-Y$235),Y$200,Y$206)),(Y$193-(Y$236-Y$235))/SUM(Y$193-(Y$236-Y$235),Y$200,Y$206))*SUM(Z$181-Z$222,Z$240,Z$258,Z$284,Z$316-(Z$236-Z$235)) +Z$236-Z$235</f>
        <v>26.104241962141593</v>
      </c>
      <c r="AA193" s="7">
        <f ca="1">IF(AA$6=OFFSET(Assumptions!$B$8,0,$C$1),AVERAGE((X$193-(X$236-X$235))/SUM(X$193-(X$236-X$235),X$200,X$206),(Y$193-(Y$236-Y$235))/SUM(Y$193-(Y$236-Y$235),Y$200,Y$206),(Z$193-(Z$236-Z$235))/SUM(Z$193-(Z$236-Z$235),Z$200,Z$206)),(Z$193-(Z$236-Z$235))/SUM(Z$193-(Z$236-Z$235),Z$200,Z$206))*SUM(AA$181-AA$222,AA$240,AA$258,AA$284,AA$316-(AA$236-AA$235)) +AA$236-AA$235</f>
        <v>27.140204238132412</v>
      </c>
      <c r="AB193" s="7">
        <f ca="1">IF(AB$6=OFFSET(Assumptions!$B$8,0,$C$1),AVERAGE((Y$193-(Y$236-Y$235))/SUM(Y$193-(Y$236-Y$235),Y$200,Y$206),(Z$193-(Z$236-Z$235))/SUM(Z$193-(Z$236-Z$235),Z$200,Z$206),(AA$193-(AA$236-AA$235))/SUM(AA$193-(AA$236-AA$235),AA$200,AA$206)),(AA$193-(AA$236-AA$235))/SUM(AA$193-(AA$236-AA$235),AA$200,AA$206))*SUM(AB$181-AB$222,AB$240,AB$258,AB$284,AB$316-(AB$236-AB$235)) +AB$236-AB$235</f>
        <v>28.219632015377528</v>
      </c>
      <c r="AC193" s="7">
        <f ca="1">IF(AC$6=OFFSET(Assumptions!$B$8,0,$C$1),AVERAGE((Z$193-(Z$236-Z$235))/SUM(Z$193-(Z$236-Z$235),Z$200,Z$206),(AA$193-(AA$236-AA$235))/SUM(AA$193-(AA$236-AA$235),AA$200,AA$206),(AB$193-(AB$236-AB$235))/SUM(AB$193-(AB$236-AB$235),AB$200,AB$206)),(AB$193-(AB$236-AB$235))/SUM(AB$193-(AB$236-AB$235),AB$200,AB$206))*SUM(AC$181-AC$222,AC$240,AC$258,AC$284,AC$316-(AC$236-AC$235)) +AC$236-AC$235</f>
        <v>29.346623930512909</v>
      </c>
      <c r="AD193" s="7">
        <f ca="1">IF(AD$6=OFFSET(Assumptions!$B$8,0,$C$1),AVERAGE((AA$193-(AA$236-AA$235))/SUM(AA$193-(AA$236-AA$235),AA$200,AA$206),(AB$193-(AB$236-AB$235))/SUM(AB$193-(AB$236-AB$235),AB$200,AB$206),(AC$193-(AC$236-AC$235))/SUM(AC$193-(AC$236-AC$235),AC$200,AC$206)),(AC$193-(AC$236-AC$235))/SUM(AC$193-(AC$236-AC$235),AC$200,AC$206))*SUM(AD$181-AD$222,AD$240,AD$258,AD$284,AD$316-(AD$236-AD$235)) +AD$236-AD$235</f>
        <v>30.522281624752768</v>
      </c>
      <c r="AE193" s="7">
        <f ca="1">IF(AE$6=OFFSET(Assumptions!$B$8,0,$C$1),AVERAGE((AB$193-(AB$236-AB$235))/SUM(AB$193-(AB$236-AB$235),AB$200,AB$206),(AC$193-(AC$236-AC$235))/SUM(AC$193-(AC$236-AC$235),AC$200,AC$206),(AD$193-(AD$236-AD$235))/SUM(AD$193-(AD$236-AD$235),AD$200,AD$206)),(AD$193-(AD$236-AD$235))/SUM(AD$193-(AD$236-AD$235),AD$200,AD$206))*SUM(AE$181-AE$222,AE$240,AE$258,AE$284,AE$316-(AE$236-AE$235)) +AE$236-AE$235</f>
        <v>31.745615764119439</v>
      </c>
      <c r="AF193" s="7">
        <f ca="1">IF(AF$6=OFFSET(Assumptions!$B$8,0,$C$1),AVERAGE((AC$193-(AC$236-AC$235))/SUM(AC$193-(AC$236-AC$235),AC$200,AC$206),(AD$193-(AD$236-AD$235))/SUM(AD$193-(AD$236-AD$235),AD$200,AD$206),(AE$193-(AE$236-AE$235))/SUM(AE$193-(AE$236-AE$235),AE$200,AE$206)),(AE$193-(AE$236-AE$235))/SUM(AE$193-(AE$236-AE$235),AE$200,AE$206))*SUM(AF$181-AF$222,AF$240,AF$258,AF$284,AF$316-(AF$236-AF$235)) +AF$236-AF$235</f>
        <v>33.020014511566451</v>
      </c>
      <c r="AG193" s="7">
        <f ca="1">IF(AG$6=OFFSET(Assumptions!$B$8,0,$C$1),AVERAGE((AD$193-(AD$236-AD$235))/SUM(AD$193-(AD$236-AD$235),AD$200,AD$206),(AE$193-(AE$236-AE$235))/SUM(AE$193-(AE$236-AE$235),AE$200,AE$206),(AF$193-(AF$236-AF$235))/SUM(AF$193-(AF$236-AF$235),AF$200,AF$206)),(AF$193-(AF$236-AF$235))/SUM(AF$193-(AF$236-AF$235),AF$200,AF$206))*SUM(AG$181-AG$222,AG$240,AG$258,AG$284,AG$316-(AG$236-AG$235)) +AG$236-AG$235</f>
        <v>34.346127325412517</v>
      </c>
      <c r="AH193" s="7">
        <f ca="1">IF(AH$6=OFFSET(Assumptions!$B$8,0,$C$1),AVERAGE((AE$193-(AE$236-AE$235))/SUM(AE$193-(AE$236-AE$235),AE$200,AE$206),(AF$193-(AF$236-AF$235))/SUM(AF$193-(AF$236-AF$235),AF$200,AF$206),(AG$193-(AG$236-AG$235))/SUM(AG$193-(AG$236-AG$235),AG$200,AG$206)),(AG$193-(AG$236-AG$235))/SUM(AG$193-(AG$236-AG$235),AG$200,AG$206))*SUM(AH$181-AH$222,AH$240,AH$258,AH$284,AH$316-(AH$236-AH$235)) +AH$236-AH$235</f>
        <v>35.726283467999934</v>
      </c>
      <c r="AI193" s="7">
        <f ca="1">IF(AI$6=OFFSET(Assumptions!$B$8,0,$C$1),AVERAGE((AF$193-(AF$236-AF$235))/SUM(AF$193-(AF$236-AF$235),AF$200,AF$206),(AG$193-(AG$236-AG$235))/SUM(AG$193-(AG$236-AG$235),AG$200,AG$206),(AH$193-(AH$236-AH$235))/SUM(AH$193-(AH$236-AH$235),AH$200,AH$206)),(AH$193-(AH$236-AH$235))/SUM(AH$193-(AH$236-AH$235),AH$200,AH$206))*SUM(AI$181-AI$222,AI$240,AI$258,AI$284,AI$316-(AI$236-AI$235)) +AI$236-AI$235</f>
        <v>37.158008901114187</v>
      </c>
      <c r="AJ193" s="7">
        <f ca="1">IF(AJ$6=OFFSET(Assumptions!$B$8,0,$C$1),AVERAGE((AG$193-(AG$236-AG$235))/SUM(AG$193-(AG$236-AG$235),AG$200,AG$206),(AH$193-(AH$236-AH$235))/SUM(AH$193-(AH$236-AH$235),AH$200,AH$206),(AI$193-(AI$236-AI$235))/SUM(AI$193-(AI$236-AI$235),AI$200,AI$206)),(AI$193-(AI$236-AI$235))/SUM(AI$193-(AI$236-AI$235),AI$200,AI$206))*SUM(AJ$181-AJ$222,AJ$240,AJ$258,AJ$284,AJ$316-(AJ$236-AJ$235)) +AJ$236-AJ$235</f>
        <v>38.645920240856093</v>
      </c>
      <c r="AK193" s="7">
        <f ca="1">IF(AK$6=OFFSET(Assumptions!$B$8,0,$C$1),AVERAGE((AH$193-(AH$236-AH$235))/SUM(AH$193-(AH$236-AH$235),AH$200,AH$206),(AI$193-(AI$236-AI$235))/SUM(AI$193-(AI$236-AI$235),AI$200,AI$206),(AJ$193-(AJ$236-AJ$235))/SUM(AJ$193-(AJ$236-AJ$235),AJ$200,AJ$206)),(AJ$193-(AJ$236-AJ$235))/SUM(AJ$193-(AJ$236-AJ$235),AJ$200,AJ$206))*SUM(AK$181-AK$222,AK$240,AK$258,AK$284,AK$316-(AK$236-AK$235)) +AK$236-AK$235</f>
        <v>40.188904880279139</v>
      </c>
      <c r="AL193" s="7">
        <f ca="1">IF(AL$6=OFFSET(Assumptions!$B$8,0,$C$1),AVERAGE((AI$193-(AI$236-AI$235))/SUM(AI$193-(AI$236-AI$235),AI$200,AI$206),(AJ$193-(AJ$236-AJ$235))/SUM(AJ$193-(AJ$236-AJ$235),AJ$200,AJ$206),(AK$193-(AK$236-AK$235))/SUM(AK$193-(AK$236-AK$235),AK$200,AK$206)),(AK$193-(AK$236-AK$235))/SUM(AK$193-(AK$236-AK$235),AK$200,AK$206))*SUM(AL$181-AL$222,AL$240,AL$258,AL$284,AL$316-(AL$236-AL$235)) +AL$236-AL$235</f>
        <v>41.785861884072119</v>
      </c>
      <c r="AM193" s="7">
        <f ca="1">IF(AM$6=OFFSET(Assumptions!$B$8,0,$C$1),AVERAGE((AJ$193-(AJ$236-AJ$235))/SUM(AJ$193-(AJ$236-AJ$235),AJ$200,AJ$206),(AK$193-(AK$236-AK$235))/SUM(AK$193-(AK$236-AK$235),AK$200,AK$206),(AL$193-(AL$236-AL$235))/SUM(AL$193-(AL$236-AL$235),AL$200,AL$206)),(AL$193-(AL$236-AL$235))/SUM(AL$193-(AL$236-AL$235),AL$200,AL$206))*SUM(AM$181-AM$222,AM$240,AM$258,AM$284,AM$316-(AM$236-AM$235)) +AM$236-AM$235</f>
        <v>43.438933916283233</v>
      </c>
      <c r="AN193" s="7">
        <f ca="1">IF(AN$6=OFFSET(Assumptions!$B$8,0,$C$1),AVERAGE((AK$193-(AK$236-AK$235))/SUM(AK$193-(AK$236-AK$235),AK$200,AK$206),(AL$193-(AL$236-AL$235))/SUM(AL$193-(AL$236-AL$235),AL$200,AL$206),(AM$193-(AM$236-AM$235))/SUM(AM$193-(AM$236-AM$235),AM$200,AM$206)),(AM$193-(AM$236-AM$235))/SUM(AM$193-(AM$236-AM$235),AM$200,AM$206))*SUM(AN$181-AN$222,AN$240,AN$258,AN$284,AN$316-(AN$236-AN$235)) +AN$236-AN$235</f>
        <v>45.150483512405202</v>
      </c>
      <c r="AO193" s="7">
        <f ca="1">IF(AO$6=OFFSET(Assumptions!$B$8,0,$C$1),AVERAGE((AL$193-(AL$236-AL$235))/SUM(AL$193-(AL$236-AL$235),AL$200,AL$206),(AM$193-(AM$236-AM$235))/SUM(AM$193-(AM$236-AM$235),AM$200,AM$206),(AN$193-(AN$236-AN$235))/SUM(AN$193-(AN$236-AN$235),AN$200,AN$206)),(AN$193-(AN$236-AN$235))/SUM(AN$193-(AN$236-AN$235),AN$200,AN$206))*SUM(AO$181-AO$222,AO$240,AO$258,AO$284,AO$316-(AO$236-AO$235)) +AO$236-AO$235</f>
        <v>46.914088623456145</v>
      </c>
      <c r="AP193" s="7">
        <f ca="1">IF(AP$6=OFFSET(Assumptions!$B$8,0,$C$1),AVERAGE((AM$193-(AM$236-AM$235))/SUM(AM$193-(AM$236-AM$235),AM$200,AM$206),(AN$193-(AN$236-AN$235))/SUM(AN$193-(AN$236-AN$235),AN$200,AN$206),(AO$193-(AO$236-AO$235))/SUM(AO$193-(AO$236-AO$235),AO$200,AO$206)),(AO$193-(AO$236-AO$235))/SUM(AO$193-(AO$236-AO$235),AO$200,AO$206))*SUM(AP$181-AP$222,AP$240,AP$258,AP$284,AP$316-(AP$236-AP$235)) +AP$236-AP$235</f>
        <v>48.737093018910535</v>
      </c>
      <c r="AQ193" s="7">
        <f ca="1">IF(AQ$6=OFFSET(Assumptions!$B$8,0,$C$1),AVERAGE((AN$193-(AN$236-AN$235))/SUM(AN$193-(AN$236-AN$235),AN$200,AN$206),(AO$193-(AO$236-AO$235))/SUM(AO$193-(AO$236-AO$235),AO$200,AO$206),(AP$193-(AP$236-AP$235))/SUM(AP$193-(AP$236-AP$235),AP$200,AP$206)),(AP$193-(AP$236-AP$235))/SUM(AP$193-(AP$236-AP$235),AP$200,AP$206))*SUM(AQ$181-AQ$222,AQ$240,AQ$258,AQ$284,AQ$316-(AQ$236-AQ$235)) +AQ$236-AQ$235</f>
        <v>50.614595923201641</v>
      </c>
      <c r="AR193" s="7">
        <f ca="1">IF(AR$6=OFFSET(Assumptions!$B$8,0,$C$1),AVERAGE((AO$193-(AO$236-AO$235))/SUM(AO$193-(AO$236-AO$235),AO$200,AO$206),(AP$193-(AP$236-AP$235))/SUM(AP$193-(AP$236-AP$235),AP$200,AP$206),(AQ$193-(AQ$236-AQ$235))/SUM(AQ$193-(AQ$236-AQ$235),AQ$200,AQ$206)),(AQ$193-(AQ$236-AQ$235))/SUM(AQ$193-(AQ$236-AQ$235),AQ$200,AQ$206))*SUM(AR$181-AR$222,AR$240,AR$258,AR$284,AR$316-(AR$236-AR$235)) +AR$236-AR$235</f>
        <v>52.548755007547477</v>
      </c>
      <c r="AS193" s="7">
        <f ca="1">IF(AS$6=OFFSET(Assumptions!$B$8,0,$C$1),AVERAGE((AP$193-(AP$236-AP$235))/SUM(AP$193-(AP$236-AP$235),AP$200,AP$206),(AQ$193-(AQ$236-AQ$235))/SUM(AQ$193-(AQ$236-AQ$235),AQ$200,AQ$206),(AR$193-(AR$236-AR$235))/SUM(AR$193-(AR$236-AR$235),AR$200,AR$206)),(AR$193-(AR$236-AR$235))/SUM(AR$193-(AR$236-AR$235),AR$200,AR$206))*SUM(AS$181-AS$222,AS$240,AS$258,AS$284,AS$316-(AS$236-AS$235)) +AS$236-AS$235</f>
        <v>54.544092515073871</v>
      </c>
      <c r="AT193" s="7">
        <f ca="1">IF(AT$6=OFFSET(Assumptions!$B$8,0,$C$1),AVERAGE((AQ$193-(AQ$236-AQ$235))/SUM(AQ$193-(AQ$236-AQ$235),AQ$200,AQ$206),(AR$193-(AR$236-AR$235))/SUM(AR$193-(AR$236-AR$235),AR$200,AR$206),(AS$193-(AS$236-AS$235))/SUM(AS$193-(AS$236-AS$235),AS$200,AS$206)),(AS$193-(AS$236-AS$235))/SUM(AS$193-(AS$236-AS$235),AS$200,AS$206))*SUM(AT$181-AT$222,AT$240,AT$258,AT$284,AT$316-(AT$236-AT$235)) +AT$236-AT$235</f>
        <v>56.601935250902208</v>
      </c>
      <c r="AU193" s="7">
        <f ca="1">IF(AU$6=OFFSET(Assumptions!$B$8,0,$C$1),AVERAGE((AR$193-(AR$236-AR$235))/SUM(AR$193-(AR$236-AR$235),AR$200,AR$206),(AS$193-(AS$236-AS$235))/SUM(AS$193-(AS$236-AS$235),AS$200,AS$206),(AT$193-(AT$236-AT$235))/SUM(AT$193-(AT$236-AT$235),AT$200,AT$206)),(AT$193-(AT$236-AT$235))/SUM(AT$193-(AT$236-AT$235),AT$200,AT$206))*SUM(AU$181-AU$222,AU$240,AU$258,AU$284,AU$316-(AU$236-AU$235)) +AU$236-AU$235</f>
        <v>58.725190185252586</v>
      </c>
      <c r="AV193" s="7">
        <f ca="1">IF(AV$6=OFFSET(Assumptions!$B$8,0,$C$1),AVERAGE((AS$193-(AS$236-AS$235))/SUM(AS$193-(AS$236-AS$235),AS$200,AS$206),(AT$193-(AT$236-AT$235))/SUM(AT$193-(AT$236-AT$235),AT$200,AT$206),(AU$193-(AU$236-AU$235))/SUM(AU$193-(AU$236-AU$235),AU$200,AU$206)),(AU$193-(AU$236-AU$235))/SUM(AU$193-(AU$236-AU$235),AU$200,AU$206))*SUM(AV$181-AV$222,AV$240,AV$258,AV$284,AV$316-(AV$236-AV$235)) +AV$236-AV$235</f>
        <v>60.920195581630914</v>
      </c>
      <c r="AW193" s="7">
        <f ca="1">IF(AW$6=OFFSET(Assumptions!$B$8,0,$C$1),AVERAGE((AT$193-(AT$236-AT$235))/SUM(AT$193-(AT$236-AT$235),AT$200,AT$206),(AU$193-(AU$236-AU$235))/SUM(AU$193-(AU$236-AU$235),AU$200,AU$206),(AV$193-(AV$236-AV$235))/SUM(AV$193-(AV$236-AV$235),AV$200,AV$206)),(AV$193-(AV$236-AV$235))/SUM(AV$193-(AV$236-AV$235),AV$200,AV$206))*SUM(AW$181-AW$222,AW$240,AW$258,AW$284,AW$316-(AW$236-AW$235)) +AW$236-AW$235</f>
        <v>63.186001988866188</v>
      </c>
    </row>
    <row r="194" spans="1:49" x14ac:dyDescent="0.2">
      <c r="A194" s="1" t="s">
        <v>529</v>
      </c>
      <c r="B194" s="4" t="str">
        <f t="shared" si="158"/>
        <v>From Fiscal</v>
      </c>
      <c r="D194" s="18">
        <f>Fiscal!D$238</f>
        <v>2.9350000000000001</v>
      </c>
      <c r="E194" s="19">
        <f>Fiscal!E$238</f>
        <v>2.9369999999999998</v>
      </c>
      <c r="F194" s="19">
        <f>Fiscal!F$238</f>
        <v>2.855</v>
      </c>
      <c r="G194" s="19">
        <f>Fiscal!G$238</f>
        <v>2.89</v>
      </c>
      <c r="H194" s="19">
        <f>Fiscal!H$238</f>
        <v>2.9710000000000001</v>
      </c>
      <c r="I194" s="19">
        <f>Fiscal!I$238</f>
        <v>3.0419999999999998</v>
      </c>
      <c r="J194" s="7">
        <f ca="1">IF(J$6=OFFSET(Assumptions!$B$8,0,$C$1),AVERAGE(G$194/SUM(G$194,G$201,G$207),H$194/SUM(H$194,H$201,H$207),I$194/SUM(I$194,I$201,I$207)),I$194/SUM(I$194,I$201,I$207))*SUM(J$285,J$317-J$223)</f>
        <v>3.2291055732931868</v>
      </c>
      <c r="K194" s="7">
        <f ca="1">IF(K$6=OFFSET(Assumptions!$B$8,0,$C$1),AVERAGE(H$194/SUM(H$194,H$201,H$207),I$194/SUM(I$194,I$201,I$207),J$194/SUM(J$194,J$201,J$207)),J$194/SUM(J$194,J$201,J$207))*SUM(K$285,K$317-K$223)</f>
        <v>3.364041278973446</v>
      </c>
      <c r="L194" s="7">
        <f ca="1">IF(L$6=OFFSET(Assumptions!$B$8,0,$C$1),AVERAGE(I$194/SUM(I$194,I$201,I$207),J$194/SUM(J$194,J$201,J$207),K$194/SUM(K$194,K$201,K$207)),K$194/SUM(K$194,K$201,K$207))*SUM(L$285,L$317-L$223)</f>
        <v>3.5098522380359145</v>
      </c>
      <c r="M194" s="7">
        <f ca="1">IF(M$6=OFFSET(Assumptions!$B$8,0,$C$1),AVERAGE(J$194/SUM(J$194,J$201,J$207),K$194/SUM(K$194,K$201,K$207),L$194/SUM(L$194,L$201,L$207)),L$194/SUM(L$194,L$201,L$207))*SUM(M$285,M$317-M$223)</f>
        <v>3.6614909153267092</v>
      </c>
      <c r="N194" s="7">
        <f ca="1">IF(N$6=OFFSET(Assumptions!$B$8,0,$C$1),AVERAGE(K$194/SUM(K$194,K$201,K$207),L$194/SUM(L$194,L$201,L$207),M$194/SUM(M$194,M$201,M$207)),M$194/SUM(M$194,M$201,M$207))*SUM(N$285,N$317-N$223)</f>
        <v>3.8194046473732923</v>
      </c>
      <c r="O194" s="7">
        <f ca="1">IF(O$6=OFFSET(Assumptions!$B$8,0,$C$1),AVERAGE(L$194/SUM(L$194,L$201,L$207),M$194/SUM(M$194,M$201,M$207),N$194/SUM(N$194,N$201,N$207)),N$194/SUM(N$194,N$201,N$207))*SUM(O$285,O$317-O$223)</f>
        <v>3.9824441227858505</v>
      </c>
      <c r="P194" s="7">
        <f ca="1">IF(P$6=OFFSET(Assumptions!$B$8,0,$C$1),AVERAGE(M$194/SUM(M$194,M$201,M$207),N$194/SUM(N$194,N$201,N$207),O$194/SUM(O$194,O$201,O$207)),O$194/SUM(O$194,O$201,O$207))*SUM(P$285,P$317-P$223)</f>
        <v>4.1508641984268229</v>
      </c>
      <c r="Q194" s="7">
        <f ca="1">IF(Q$6=OFFSET(Assumptions!$B$8,0,$C$1),AVERAGE(N$194/SUM(N$194,N$201,N$207),O$194/SUM(O$194,O$201,O$207),P$194/SUM(P$194,P$201,P$207)),P$194/SUM(P$194,P$201,P$207))*SUM(Q$285,Q$317-Q$223)</f>
        <v>4.324477836744113</v>
      </c>
      <c r="R194" s="7">
        <f ca="1">IF(R$6=OFFSET(Assumptions!$B$8,0,$C$1),AVERAGE(O$194/SUM(O$194,O$201,O$207),P$194/SUM(P$194,P$201,P$207),Q$194/SUM(Q$194,Q$201,Q$207)),Q$194/SUM(Q$194,Q$201,Q$207))*SUM(R$285,R$317-R$223)</f>
        <v>4.5031559853916745</v>
      </c>
      <c r="S194" s="7">
        <f ca="1">IF(S$6=OFFSET(Assumptions!$B$8,0,$C$1),AVERAGE(P$194/SUM(P$194,P$201,P$207),Q$194/SUM(Q$194,Q$201,Q$207),R$194/SUM(R$194,R$201,R$207)),R$194/SUM(R$194,R$201,R$207))*SUM(S$285,S$317-S$223)</f>
        <v>4.6874666617466785</v>
      </c>
      <c r="T194" s="7">
        <f ca="1">IF(T$6=OFFSET(Assumptions!$B$8,0,$C$1),AVERAGE(Q$194/SUM(Q$194,Q$201,Q$207),R$194/SUM(R$194,R$201,R$207),S$194/SUM(S$194,S$201,S$207)),S$194/SUM(S$194,S$201,S$207))*SUM(T$285,T$317-T$223)</f>
        <v>4.8774769812834835</v>
      </c>
      <c r="U194" s="7">
        <f ca="1">IF(U$6=OFFSET(Assumptions!$B$8,0,$C$1),AVERAGE(R$194/SUM(R$194,R$201,R$207),S$194/SUM(S$194,S$201,S$207),T$194/SUM(T$194,T$201,T$207)),T$194/SUM(T$194,T$201,T$207))*SUM(U$285,U$317-U$223)</f>
        <v>5.0738691228177375</v>
      </c>
      <c r="V194" s="7">
        <f ca="1">IF(V$6=OFFSET(Assumptions!$B$8,0,$C$1),AVERAGE(S$194/SUM(S$194,S$201,S$207),T$194/SUM(T$194,T$201,T$207),U$194/SUM(U$194,U$201,U$207)),U$194/SUM(U$194,U$201,U$207))*SUM(V$285,V$317-V$223)</f>
        <v>5.2771280027954326</v>
      </c>
      <c r="W194" s="7">
        <f ca="1">IF(W$6=OFFSET(Assumptions!$B$8,0,$C$1),AVERAGE(T$194/SUM(T$194,T$201,T$207),U$194/SUM(U$194,U$201,U$207),V$194/SUM(V$194,V$201,V$207)),V$194/SUM(V$194,V$201,V$207))*SUM(W$285,W$317-W$223)</f>
        <v>5.4878426847076494</v>
      </c>
      <c r="X194" s="7">
        <f ca="1">IF(X$6=OFFSET(Assumptions!$B$8,0,$C$1),AVERAGE(U$194/SUM(U$194,U$201,U$207),V$194/SUM(V$194,V$201,V$207),W$194/SUM(W$194,W$201,W$207)),W$194/SUM(W$194,W$201,W$207))*SUM(X$285,X$317-X$223)</f>
        <v>5.7066808044041393</v>
      </c>
      <c r="Y194" s="7">
        <f ca="1">IF(Y$6=OFFSET(Assumptions!$B$8,0,$C$1),AVERAGE(V$194/SUM(V$194,V$201,V$207),W$194/SUM(W$194,W$201,W$207),X$194/SUM(X$194,X$201,X$207)),X$194/SUM(X$194,X$201,X$207))*SUM(Y$285,Y$317-Y$223)</f>
        <v>5.9336198110603782</v>
      </c>
      <c r="Z194" s="7">
        <f ca="1">IF(Z$6=OFFSET(Assumptions!$B$8,0,$C$1),AVERAGE(W$194/SUM(W$194,W$201,W$207),X$194/SUM(X$194,X$201,X$207),Y$194/SUM(Y$194,Y$201,Y$207)),Y$194/SUM(Y$194,Y$201,Y$207))*SUM(Z$285,Z$317-Z$223)</f>
        <v>6.1698088377993416</v>
      </c>
      <c r="AA194" s="7">
        <f ca="1">IF(AA$6=OFFSET(Assumptions!$B$8,0,$C$1),AVERAGE(X$194/SUM(X$194,X$201,X$207),Y$194/SUM(Y$194,Y$201,Y$207),Z$194/SUM(Z$194,Z$201,Z$207)),Z$194/SUM(Z$194,Z$201,Z$207))*SUM(AA$285,AA$317-AA$223)</f>
        <v>6.4156300635731851</v>
      </c>
      <c r="AB194" s="7">
        <f ca="1">IF(AB$6=OFFSET(Assumptions!$B$8,0,$C$1),AVERAGE(Y$194/SUM(Y$194,Y$201,Y$207),Z$194/SUM(Z$194,Z$201,Z$207),AA$194/SUM(AA$194,AA$201,AA$207)),AA$194/SUM(AA$194,AA$201,AA$207))*SUM(AB$285,AB$317-AB$223)</f>
        <v>6.6718219174014139</v>
      </c>
      <c r="AC194" s="7">
        <f ca="1">IF(AC$6=OFFSET(Assumptions!$B$8,0,$C$1),AVERAGE(Z$194/SUM(Z$194,Z$201,Z$207),AA$194/SUM(AA$194,AA$201,AA$207),AB$194/SUM(AB$194,AB$201,AB$207)),AB$194/SUM(AB$194,AB$201,AB$207))*SUM(AC$285,AC$317-AC$223)</f>
        <v>6.9393518734129591</v>
      </c>
      <c r="AD194" s="7">
        <f ca="1">IF(AD$6=OFFSET(Assumptions!$B$8,0,$C$1),AVERAGE(AA$194/SUM(AA$194,AA$201,AA$207),AB$194/SUM(AB$194,AB$201,AB$207),AC$194/SUM(AC$194,AC$201,AC$207)),AC$194/SUM(AC$194,AC$201,AC$207))*SUM(AD$285,AD$317-AD$223)</f>
        <v>7.2185018526700473</v>
      </c>
      <c r="AE194" s="7">
        <f ca="1">IF(AE$6=OFFSET(Assumptions!$B$8,0,$C$1),AVERAGE(AB$194/SUM(AB$194,AB$201,AB$207),AC$194/SUM(AC$194,AC$201,AC$207),AD$194/SUM(AD$194,AD$201,AD$207)),AD$194/SUM(AD$194,AD$201,AD$207))*SUM(AE$285,AE$317-AE$223)</f>
        <v>7.5090151430432028</v>
      </c>
      <c r="AF194" s="7">
        <f ca="1">IF(AF$6=OFFSET(Assumptions!$B$8,0,$C$1),AVERAGE(AC$194/SUM(AC$194,AC$201,AC$207),AD$194/SUM(AD$194,AD$201,AD$207),AE$194/SUM(AE$194,AE$201,AE$207)),AE$194/SUM(AE$194,AE$201,AE$207))*SUM(AF$285,AF$317-AF$223)</f>
        <v>7.8116956691813986</v>
      </c>
      <c r="AG194" s="7">
        <f ca="1">IF(AG$6=OFFSET(Assumptions!$B$8,0,$C$1),AVERAGE(AD$194/SUM(AD$194,AD$201,AD$207),AE$194/SUM(AE$194,AE$201,AE$207),AF$194/SUM(AF$194,AF$201,AF$207)),AF$194/SUM(AF$194,AF$201,AF$207))*SUM(AG$285,AG$317-AG$223)</f>
        <v>8.1267125282227202</v>
      </c>
      <c r="AH194" s="7">
        <f ca="1">IF(AH$6=OFFSET(Assumptions!$B$8,0,$C$1),AVERAGE(AE$194/SUM(AE$194,AE$201,AE$207),AF$194/SUM(AF$194,AF$201,AF$207),AG$194/SUM(AG$194,AG$201,AG$207)),AG$194/SUM(AG$194,AG$201,AG$207))*SUM(AH$285,AH$317-AH$223)</f>
        <v>8.4545708836235587</v>
      </c>
      <c r="AI194" s="7">
        <f ca="1">IF(AI$6=OFFSET(Assumptions!$B$8,0,$C$1),AVERAGE(AF$194/SUM(AF$194,AF$201,AF$207),AG$194/SUM(AG$194,AG$201,AG$207),AH$194/SUM(AH$194,AH$201,AH$207)),AH$194/SUM(AH$194,AH$201,AH$207))*SUM(AI$285,AI$317-AI$223)</f>
        <v>8.7946973074382147</v>
      </c>
      <c r="AJ194" s="7">
        <f ca="1">IF(AJ$6=OFFSET(Assumptions!$B$8,0,$C$1),AVERAGE(AG$194/SUM(AG$194,AG$201,AG$207),AH$194/SUM(AH$194,AH$201,AH$207),AI$194/SUM(AI$194,AI$201,AI$207)),AI$194/SUM(AI$194,AI$201,AI$207))*SUM(AJ$285,AJ$317-AJ$223)</f>
        <v>9.1481816800031748</v>
      </c>
      <c r="AK194" s="7">
        <f ca="1">IF(AK$6=OFFSET(Assumptions!$B$8,0,$C$1),AVERAGE(AH$194/SUM(AH$194,AH$201,AH$207),AI$194/SUM(AI$194,AI$201,AI$207),AJ$194/SUM(AJ$194,AJ$201,AJ$207)),AJ$194/SUM(AJ$194,AJ$201,AJ$207))*SUM(AK$285,AK$317-AK$223)</f>
        <v>9.5147327839656022</v>
      </c>
      <c r="AL194" s="7">
        <f ca="1">IF(AL$6=OFFSET(Assumptions!$B$8,0,$C$1),AVERAGE(AI$194/SUM(AI$194,AI$201,AI$207),AJ$194/SUM(AJ$194,AJ$201,AJ$207),AK$194/SUM(AK$194,AK$201,AK$207)),AK$194/SUM(AK$194,AK$201,AK$207))*SUM(AL$285,AL$317-AL$223)</f>
        <v>9.8940614349252076</v>
      </c>
      <c r="AM194" s="7">
        <f ca="1">IF(AM$6=OFFSET(Assumptions!$B$8,0,$C$1),AVERAGE(AJ$194/SUM(AJ$194,AJ$201,AJ$207),AK$194/SUM(AK$194,AK$201,AK$207),AL$194/SUM(AL$194,AL$201,AL$207)),AL$194/SUM(AL$194,AL$201,AL$207))*SUM(AM$285,AM$317-AM$223)</f>
        <v>10.286685801086879</v>
      </c>
      <c r="AN194" s="7">
        <f ca="1">IF(AN$6=OFFSET(Assumptions!$B$8,0,$C$1),AVERAGE(AK$194/SUM(AK$194,AK$201,AK$207),AL$194/SUM(AL$194,AL$201,AL$207),AM$194/SUM(AM$194,AM$201,AM$207)),AM$194/SUM(AM$194,AM$201,AM$207))*SUM(AN$285,AN$317-AN$223)</f>
        <v>10.693151975878857</v>
      </c>
      <c r="AO194" s="7">
        <f ca="1">IF(AO$6=OFFSET(Assumptions!$B$8,0,$C$1),AVERAGE(AL$194/SUM(AL$194,AL$201,AL$207),AM$194/SUM(AM$194,AM$201,AM$207),AN$194/SUM(AN$194,AN$201,AN$207)),AN$194/SUM(AN$194,AN$201,AN$207))*SUM(AO$285,AO$317-AO$223)</f>
        <v>11.111862752165788</v>
      </c>
      <c r="AP194" s="7">
        <f ca="1">IF(AP$6=OFFSET(Assumptions!$B$8,0,$C$1),AVERAGE(AM$194/SUM(AM$194,AM$201,AM$207),AN$194/SUM(AN$194,AN$201,AN$207),AO$194/SUM(AO$194,AO$201,AO$207)),AO$194/SUM(AO$194,AO$201,AO$207))*SUM(AP$285,AP$317-AP$223)</f>
        <v>11.544596748803299</v>
      </c>
      <c r="AQ194" s="7">
        <f ca="1">IF(AQ$6=OFFSET(Assumptions!$B$8,0,$C$1),AVERAGE(AN$194/SUM(AN$194,AN$201,AN$207),AO$194/SUM(AO$194,AO$201,AO$207),AP$194/SUM(AP$194,AP$201,AP$207)),AP$194/SUM(AP$194,AP$201,AP$207))*SUM(AQ$285,AQ$317-AQ$223)</f>
        <v>11.990140449016508</v>
      </c>
      <c r="AR194" s="7">
        <f ca="1">IF(AR$6=OFFSET(Assumptions!$B$8,0,$C$1),AVERAGE(AO$194/SUM(AO$194,AO$201,AO$207),AP$194/SUM(AP$194,AP$201,AP$207),AQ$194/SUM(AQ$194,AQ$201,AQ$207)),AQ$194/SUM(AQ$194,AQ$201,AQ$207))*SUM(AR$285,AR$317-AR$223)</f>
        <v>12.448998166501642</v>
      </c>
      <c r="AS194" s="7">
        <f ca="1">IF(AS$6=OFFSET(Assumptions!$B$8,0,$C$1),AVERAGE(AP$194/SUM(AP$194,AP$201,AP$207),AQ$194/SUM(AQ$194,AQ$201,AQ$207),AR$194/SUM(AR$194,AR$201,AR$207)),AR$194/SUM(AR$194,AR$201,AR$207))*SUM(AS$285,AS$317-AS$223)</f>
        <v>12.922240564915482</v>
      </c>
      <c r="AT194" s="7">
        <f ca="1">IF(AT$6=OFFSET(Assumptions!$B$8,0,$C$1),AVERAGE(AQ$194/SUM(AQ$194,AQ$201,AQ$207),AR$194/SUM(AR$194,AR$201,AR$207),AS$194/SUM(AS$194,AS$201,AS$207)),AS$194/SUM(AS$194,AS$201,AS$207))*SUM(AT$285,AT$317-AT$223)</f>
        <v>13.410246634193843</v>
      </c>
      <c r="AU194" s="7">
        <f ca="1">IF(AU$6=OFFSET(Assumptions!$B$8,0,$C$1),AVERAGE(AR$194/SUM(AR$194,AR$201,AR$207),AS$194/SUM(AS$194,AS$201,AS$207),AT$194/SUM(AT$194,AT$201,AT$207)),AT$194/SUM(AT$194,AT$201,AT$207))*SUM(AU$285,AU$317-AU$223)</f>
        <v>13.913664659258222</v>
      </c>
      <c r="AV194" s="7">
        <f ca="1">IF(AV$6=OFFSET(Assumptions!$B$8,0,$C$1),AVERAGE(AS$194/SUM(AS$194,AS$201,AS$207),AT$194/SUM(AT$194,AT$201,AT$207),AU$194/SUM(AU$194,AU$201,AU$207)),AU$194/SUM(AU$194,AU$201,AU$207))*SUM(AV$285,AV$317-AV$223)</f>
        <v>14.434051637639044</v>
      </c>
      <c r="AW194" s="7">
        <f ca="1">IF(AW$6=OFFSET(Assumptions!$B$8,0,$C$1),AVERAGE(AT$194/SUM(AT$194,AT$201,AT$207),AU$194/SUM(AU$194,AU$201,AU$207),AV$194/SUM(AV$194,AV$201,AV$207)),AV$194/SUM(AV$194,AV$201,AV$207))*SUM(AW$285,AW$317-AW$223)</f>
        <v>14.97111325721791</v>
      </c>
    </row>
    <row r="195" spans="1:49" x14ac:dyDescent="0.2">
      <c r="A195" s="1" t="s">
        <v>530</v>
      </c>
      <c r="B195" s="4" t="str">
        <f t="shared" si="158"/>
        <v>From Fiscal</v>
      </c>
      <c r="D195" s="18">
        <f>Fiscal!D$239</f>
        <v>-2.3E-2</v>
      </c>
      <c r="E195" s="19">
        <f>Fiscal!E$239</f>
        <v>-2.1999999999999999E-2</v>
      </c>
      <c r="F195" s="19">
        <f>Fiscal!F$239</f>
        <v>-2.3E-2</v>
      </c>
      <c r="G195" s="19">
        <f>Fiscal!G$239</f>
        <v>-2.3E-2</v>
      </c>
      <c r="H195" s="19">
        <f>Fiscal!H$239</f>
        <v>-2.3E-2</v>
      </c>
      <c r="I195" s="19">
        <f>Fiscal!I$239</f>
        <v>-2.3E-2</v>
      </c>
      <c r="J195" s="7">
        <f ca="1">IF(J$6=OFFSET(Assumptions!$B$8,0,$C$1),AVERAGE(G$195/SUM(G$195,G$208),H$195/SUM(H$195,H$208),I$195/SUM(I$195,I$208)),I$195/SUM(I$195,I$208))*SUM(J$182,J$241,J$259,J$286,J$318)</f>
        <v>-2.5082502508533548E-2</v>
      </c>
      <c r="K195" s="7">
        <f ca="1">IF(K$6=OFFSET(Assumptions!$B$8,0,$C$1),AVERAGE(H$195/SUM(H$195,H$208),I$195/SUM(I$195,I$208),J$195/SUM(J$195,J$208)),J$195/SUM(J$195,J$208))*SUM(K$182,K$241,K$259,K$286,K$318)</f>
        <v>-2.621475352727206E-2</v>
      </c>
      <c r="L195" s="7">
        <f ca="1">IF(L$6=OFFSET(Assumptions!$B$8,0,$C$1),AVERAGE(I$195/SUM(I$195,I$208),J$195/SUM(J$195,J$208),K$195/SUM(K$195,K$208)),K$195/SUM(K$195,K$208))*SUM(L$182,L$241,L$259,L$286,L$318)</f>
        <v>-2.735337031383353E-2</v>
      </c>
      <c r="M195" s="7">
        <f ca="1">IF(M$6=OFFSET(Assumptions!$B$8,0,$C$1),AVERAGE(J$195/SUM(J$195,J$208),K$195/SUM(K$195,K$208),L$195/SUM(L$195,L$208)),L$195/SUM(L$195,L$208))*SUM(M$182,M$241,M$259,M$286,M$318)</f>
        <v>-2.8541607555980012E-2</v>
      </c>
      <c r="N195" s="7">
        <f ca="1">IF(N$6=OFFSET(Assumptions!$B$8,0,$C$1),AVERAGE(K$195/SUM(K$195,K$208),L$195/SUM(L$195,L$208),M$195/SUM(M$195,M$208)),M$195/SUM(M$195,M$208))*SUM(N$182,N$241,N$259,N$286,N$318)</f>
        <v>-2.9773296364113432E-2</v>
      </c>
      <c r="O195" s="7">
        <f ca="1">IF(O$6=OFFSET(Assumptions!$B$8,0,$C$1),AVERAGE(L$195/SUM(L$195,L$208),M$195/SUM(M$195,M$208),N$195/SUM(N$195,N$208)),N$195/SUM(N$195,N$208))*SUM(O$182,O$241,O$259,O$286,O$318)</f>
        <v>-3.104612225439558E-2</v>
      </c>
      <c r="P195" s="7">
        <f ca="1">IF(P$6=OFFSET(Assumptions!$B$8,0,$C$1),AVERAGE(M$195/SUM(M$195,M$208),N$195/SUM(N$195,N$208),O$195/SUM(O$195,O$208)),O$195/SUM(O$195,O$208))*SUM(P$182,P$241,P$259,P$286,P$318)</f>
        <v>-3.235581332182063E-2</v>
      </c>
      <c r="Q195" s="7">
        <f ca="1">IF(Q$6=OFFSET(Assumptions!$B$8,0,$C$1),AVERAGE(N$195/SUM(N$195,N$208),O$195/SUM(O$195,O$208),P$195/SUM(P$195,P$208)),P$195/SUM(P$195,P$208))*SUM(Q$182,Q$241,Q$259,Q$286,Q$318)</f>
        <v>-3.3705130325516031E-2</v>
      </c>
      <c r="R195" s="7">
        <f ca="1">IF(R$6=OFFSET(Assumptions!$B$8,0,$C$1),AVERAGE(O$195/SUM(O$195,O$208),P$195/SUM(P$195,P$208),Q$195/SUM(Q$195,Q$208)),Q$195/SUM(Q$195,Q$208))*SUM(R$182,R$241,R$259,R$286,R$318)</f>
        <v>-3.5093030510958072E-2</v>
      </c>
      <c r="S195" s="7">
        <f ca="1">IF(S$6=OFFSET(Assumptions!$B$8,0,$C$1),AVERAGE(P$195/SUM(P$195,P$208),Q$195/SUM(Q$195,Q$208),R$195/SUM(R$195,R$208)),R$195/SUM(R$195,R$208))*SUM(S$182,S$241,S$259,S$286,S$318)</f>
        <v>-3.6523992810519393E-2</v>
      </c>
      <c r="T195" s="7">
        <f ca="1">IF(T$6=OFFSET(Assumptions!$B$8,0,$C$1),AVERAGE(Q$195/SUM(Q$195,Q$208),R$195/SUM(R$195,R$208),S$195/SUM(S$195,S$208)),S$195/SUM(S$195,S$208))*SUM(T$182,T$241,T$259,T$286,T$318)</f>
        <v>-3.7998496231449699E-2</v>
      </c>
      <c r="U195" s="7">
        <f ca="1">IF(U$6=OFFSET(Assumptions!$B$8,0,$C$1),AVERAGE(R$195/SUM(R$195,R$208),S$195/SUM(S$195,S$208),T$195/SUM(T$195,T$208)),T$195/SUM(T$195,T$208))*SUM(U$182,U$241,U$259,U$286,U$318)</f>
        <v>-3.952177617800829E-2</v>
      </c>
      <c r="V195" s="7">
        <f ca="1">IF(V$6=OFFSET(Assumptions!$B$8,0,$C$1),AVERAGE(S$195/SUM(S$195,S$208),T$195/SUM(T$195,T$208),U$195/SUM(U$195,U$208)),U$195/SUM(U$195,U$208))*SUM(V$182,V$241,V$259,V$286,V$318)</f>
        <v>-4.1097538064361644E-2</v>
      </c>
      <c r="W195" s="7">
        <f ca="1">IF(W$6=OFFSET(Assumptions!$B$8,0,$C$1),AVERAGE(T$195/SUM(T$195,T$208),U$195/SUM(U$195,U$208),V$195/SUM(V$195,V$208)),V$195/SUM(V$195,V$208))*SUM(W$182,W$241,W$259,W$286,W$318)</f>
        <v>-4.2730282939124238E-2</v>
      </c>
      <c r="X195" s="7">
        <f ca="1">IF(X$6=OFFSET(Assumptions!$B$8,0,$C$1),AVERAGE(U$195/SUM(U$195,U$208),V$195/SUM(V$195,V$208),W$195/SUM(W$195,W$208)),W$195/SUM(W$195,W$208))*SUM(X$182,X$241,X$259,X$286,X$318)</f>
        <v>-4.4425100551068145E-2</v>
      </c>
      <c r="Y195" s="7">
        <f ca="1">IF(Y$6=OFFSET(Assumptions!$B$8,0,$C$1),AVERAGE(V$195/SUM(V$195,V$208),W$195/SUM(W$195,W$208),X$195/SUM(X$195,X$208)),X$195/SUM(X$195,X$208))*SUM(Y$182,Y$241,Y$259,Y$286,Y$318)</f>
        <v>-4.6181854613244894E-2</v>
      </c>
      <c r="Z195" s="7">
        <f ca="1">IF(Z$6=OFFSET(Assumptions!$B$8,0,$C$1),AVERAGE(W$195/SUM(W$195,W$208),X$195/SUM(X$195,X$208),Y$195/SUM(Y$195,Y$208)),Y$195/SUM(Y$195,Y$208))*SUM(Z$182,Z$241,Z$259,Z$286,Z$318)</f>
        <v>-4.8009301597961948E-2</v>
      </c>
      <c r="AA195" s="7">
        <f ca="1">IF(AA$6=OFFSET(Assumptions!$B$8,0,$C$1),AVERAGE(X$195/SUM(X$195,X$208),Y$195/SUM(Y$195,Y$208),Z$195/SUM(Z$195,Z$208)),Z$195/SUM(Z$195,Z$208))*SUM(AA$182,AA$241,AA$259,AA$286,AA$318)</f>
        <v>-4.9910350805386208E-2</v>
      </c>
      <c r="AB195" s="7">
        <f ca="1">IF(AB$6=OFFSET(Assumptions!$B$8,0,$C$1),AVERAGE(Y$195/SUM(Y$195,Y$208),Z$195/SUM(Z$195,Z$208),AA$195/SUM(AA$195,AA$208)),AA$195/SUM(AA$195,AA$208))*SUM(AB$182,AB$241,AB$259,AB$286,AB$318)</f>
        <v>-5.189065615096243E-2</v>
      </c>
      <c r="AC195" s="7">
        <f ca="1">IF(AC$6=OFFSET(Assumptions!$B$8,0,$C$1),AVERAGE(Z$195/SUM(Z$195,Z$208),AA$195/SUM(AA$195,AA$208),AB$195/SUM(AB$195,AB$208)),AB$195/SUM(AB$195,AB$208))*SUM(AC$182,AC$241,AC$259,AC$286,AC$318)</f>
        <v>-5.3957632872880107E-2</v>
      </c>
      <c r="AD195" s="7">
        <f ca="1">IF(AD$6=OFFSET(Assumptions!$B$8,0,$C$1),AVERAGE(AA$195/SUM(AA$195,AA$208),AB$195/SUM(AB$195,AB$208),AC$195/SUM(AC$195,AC$208)),AC$195/SUM(AC$195,AC$208))*SUM(AD$182,AD$241,AD$259,AD$286,AD$318)</f>
        <v>-5.6113413021784429E-2</v>
      </c>
      <c r="AE195" s="7">
        <f ca="1">IF(AE$6=OFFSET(Assumptions!$B$8,0,$C$1),AVERAGE(AB$195/SUM(AB$195,AB$208),AC$195/SUM(AC$195,AC$208),AD$195/SUM(AD$195,AD$208)),AD$195/SUM(AD$195,AD$208))*SUM(AE$182,AE$241,AE$259,AE$286,AE$318)</f>
        <v>-5.8356037213752633E-2</v>
      </c>
      <c r="AF195" s="7">
        <f ca="1">IF(AF$6=OFFSET(Assumptions!$B$8,0,$C$1),AVERAGE(AC$195/SUM(AC$195,AC$208),AD$195/SUM(AD$195,AD$208),AE$195/SUM(AE$195,AE$208)),AE$195/SUM(AE$195,AE$208))*SUM(AF$182,AF$241,AF$259,AF$286,AF$318)</f>
        <v>-6.0691659968186693E-2</v>
      </c>
      <c r="AG195" s="7">
        <f ca="1">IF(AG$6=OFFSET(Assumptions!$B$8,0,$C$1),AVERAGE(AD$195/SUM(AD$195,AD$208),AE$195/SUM(AE$195,AE$208),AF$195/SUM(AF$195,AF$208)),AF$195/SUM(AF$195,AF$208))*SUM(AG$182,AG$241,AG$259,AG$286,AG$318)</f>
        <v>-6.3121551692148156E-2</v>
      </c>
      <c r="AH195" s="7">
        <f ca="1">IF(AH$6=OFFSET(Assumptions!$B$8,0,$C$1),AVERAGE(AE$195/SUM(AE$195,AE$208),AF$195/SUM(AF$195,AF$208),AG$195/SUM(AG$195,AG$208)),AG$195/SUM(AG$195,AG$208))*SUM(AH$182,AH$241,AH$259,AH$286,AH$318)</f>
        <v>-6.5649619523556219E-2</v>
      </c>
      <c r="AI195" s="7">
        <f ca="1">IF(AI$6=OFFSET(Assumptions!$B$8,0,$C$1),AVERAGE(AF$195/SUM(AF$195,AF$208),AG$195/SUM(AG$195,AG$208),AH$195/SUM(AH$195,AH$208)),AH$195/SUM(AH$195,AH$208))*SUM(AI$182,AI$241,AI$259,AI$286,AI$318)</f>
        <v>-6.8271438709179066E-2</v>
      </c>
      <c r="AJ195" s="7">
        <f ca="1">IF(AJ$6=OFFSET(Assumptions!$B$8,0,$C$1),AVERAGE(AG$195/SUM(AG$195,AG$208),AH$195/SUM(AH$195,AH$208),AI$195/SUM(AI$195,AI$208)),AI$195/SUM(AI$195,AI$208))*SUM(AJ$182,AJ$241,AJ$259,AJ$286,AJ$318)</f>
        <v>-7.0995360103389943E-2</v>
      </c>
      <c r="AK195" s="7">
        <f ca="1">IF(AK$6=OFFSET(Assumptions!$B$8,0,$C$1),AVERAGE(AH$195/SUM(AH$195,AH$208),AI$195/SUM(AI$195,AI$208),AJ$195/SUM(AJ$195,AJ$208)),AJ$195/SUM(AJ$195,AJ$208))*SUM(AK$182,AK$241,AK$259,AK$286,AK$318)</f>
        <v>-7.381916123795508E-2</v>
      </c>
      <c r="AL195" s="7">
        <f ca="1">IF(AL$6=OFFSET(Assumptions!$B$8,0,$C$1),AVERAGE(AI$195/SUM(AI$195,AI$208),AJ$195/SUM(AJ$195,AJ$208),AK$195/SUM(AK$195,AK$208)),AK$195/SUM(AK$195,AK$208))*SUM(AL$182,AL$241,AL$259,AL$286,AL$318)</f>
        <v>-7.6740635272327523E-2</v>
      </c>
      <c r="AM195" s="7">
        <f ca="1">IF(AM$6=OFFSET(Assumptions!$B$8,0,$C$1),AVERAGE(AJ$195/SUM(AJ$195,AJ$208),AK$195/SUM(AK$195,AK$208),AL$195/SUM(AL$195,AL$208)),AL$195/SUM(AL$195,AL$208))*SUM(AM$182,AM$241,AM$259,AM$286,AM$318)</f>
        <v>-7.9763731305824592E-2</v>
      </c>
      <c r="AN195" s="7">
        <f ca="1">IF(AN$6=OFFSET(Assumptions!$B$8,0,$C$1),AVERAGE(AK$195/SUM(AK$195,AK$208),AL$195/SUM(AL$195,AL$208),AM$195/SUM(AM$195,AM$208)),AM$195/SUM(AM$195,AM$208))*SUM(AN$182,AN$241,AN$259,AN$286,AN$318)</f>
        <v>-8.2892635007567661E-2</v>
      </c>
      <c r="AO195" s="7">
        <f ca="1">IF(AO$6=OFFSET(Assumptions!$B$8,0,$C$1),AVERAGE(AL$195/SUM(AL$195,AL$208),AM$195/SUM(AM$195,AM$208),AN$195/SUM(AN$195,AN$208)),AN$195/SUM(AN$195,AN$208))*SUM(AO$182,AO$241,AO$259,AO$286,AO$318)</f>
        <v>-8.6115147806239647E-2</v>
      </c>
      <c r="AP195" s="7">
        <f ca="1">IF(AP$6=OFFSET(Assumptions!$B$8,0,$C$1),AVERAGE(AM$195/SUM(AM$195,AM$208),AN$195/SUM(AN$195,AN$208),AO$195/SUM(AO$195,AO$208)),AO$195/SUM(AO$195,AO$208))*SUM(AP$182,AP$241,AP$259,AP$286,AP$318)</f>
        <v>-8.944485935467876E-2</v>
      </c>
      <c r="AQ195" s="7">
        <f ca="1">IF(AQ$6=OFFSET(Assumptions!$B$8,0,$C$1),AVERAGE(AN$195/SUM(AN$195,AN$208),AO$195/SUM(AO$195,AO$208),AP$195/SUM(AP$195,AP$208)),AP$195/SUM(AP$195,AP$208))*SUM(AQ$182,AQ$241,AQ$259,AQ$286,AQ$318)</f>
        <v>-9.2872490781565328E-2</v>
      </c>
      <c r="AR195" s="7">
        <f ca="1">IF(AR$6=OFFSET(Assumptions!$B$8,0,$C$1),AVERAGE(AO$195/SUM(AO$195,AO$208),AP$195/SUM(AP$195,AP$208),AQ$195/SUM(AQ$195,AQ$208)),AQ$195/SUM(AQ$195,AQ$208))*SUM(AR$182,AR$241,AR$259,AR$286,AR$318)</f>
        <v>-9.6401897508796172E-2</v>
      </c>
      <c r="AS195" s="7">
        <f ca="1">IF(AS$6=OFFSET(Assumptions!$B$8,0,$C$1),AVERAGE(AP$195/SUM(AP$195,AP$208),AQ$195/SUM(AQ$195,AQ$208),AR$195/SUM(AR$195,AR$208)),AR$195/SUM(AR$195,AR$208))*SUM(AS$182,AS$241,AS$259,AS$286,AS$318)</f>
        <v>-0.10004127303911896</v>
      </c>
      <c r="AT195" s="7">
        <f ca="1">IF(AT$6=OFFSET(Assumptions!$B$8,0,$C$1),AVERAGE(AQ$195/SUM(AQ$195,AQ$208),AR$195/SUM(AR$195,AR$208),AS$195/SUM(AS$195,AS$208)),AS$195/SUM(AS$195,AS$208))*SUM(AT$182,AT$241,AT$259,AT$286,AT$318)</f>
        <v>-0.10379454670175844</v>
      </c>
      <c r="AU195" s="7">
        <f ca="1">IF(AU$6=OFFSET(Assumptions!$B$8,0,$C$1),AVERAGE(AR$195/SUM(AR$195,AR$208),AS$195/SUM(AS$195,AS$208),AT$195/SUM(AT$195,AT$208)),AT$195/SUM(AT$195,AT$208))*SUM(AU$182,AU$241,AU$259,AU$286,AU$318)</f>
        <v>-0.10766606946983162</v>
      </c>
      <c r="AV195" s="7">
        <f ca="1">IF(AV$6=OFFSET(Assumptions!$B$8,0,$C$1),AVERAGE(AS$195/SUM(AS$195,AS$208),AT$195/SUM(AT$195,AT$208),AU$195/SUM(AU$195,AU$208)),AU$195/SUM(AU$195,AU$208))*SUM(AV$182,AV$241,AV$259,AV$286,AV$318)</f>
        <v>-0.11166772283238835</v>
      </c>
      <c r="AW195" s="7">
        <f ca="1">IF(AW$6=OFFSET(Assumptions!$B$8,0,$C$1),AVERAGE(AT$195/SUM(AT$195,AT$208),AU$195/SUM(AU$195,AU$208),AV$195/SUM(AV$195,AV$208)),AV$195/SUM(AV$195,AV$208))*SUM(AW$182,AW$241,AW$259,AW$286,AW$318)</f>
        <v>-0.11579730412670672</v>
      </c>
    </row>
    <row r="196" spans="1:49" ht="15" x14ac:dyDescent="0.25">
      <c r="A196" s="2" t="s">
        <v>531</v>
      </c>
      <c r="D196" s="40">
        <f t="shared" ref="D196" si="159">SUM(D$192:D$195)</f>
        <v>21.123999999999999</v>
      </c>
      <c r="E196" s="39">
        <f t="shared" ref="E196:AW196" ca="1" si="160">SUM(E$192:E$195)</f>
        <v>21.753000000000004</v>
      </c>
      <c r="F196" s="39">
        <f t="shared" ca="1" si="160"/>
        <v>22.12</v>
      </c>
      <c r="G196" s="39">
        <f t="shared" ca="1" si="160"/>
        <v>22.381</v>
      </c>
      <c r="H196" s="39">
        <f t="shared" ca="1" si="160"/>
        <v>22.51</v>
      </c>
      <c r="I196" s="39">
        <f t="shared" ca="1" si="160"/>
        <v>22.688999999999997</v>
      </c>
      <c r="J196" s="43">
        <f t="shared" ca="1" si="160"/>
        <v>24.377358548935597</v>
      </c>
      <c r="K196" s="43">
        <f t="shared" ca="1" si="160"/>
        <v>25.362341362011477</v>
      </c>
      <c r="L196" s="43">
        <f t="shared" ca="1" si="160"/>
        <v>26.381159698967199</v>
      </c>
      <c r="M196" s="43">
        <f t="shared" ca="1" si="160"/>
        <v>27.449118651826723</v>
      </c>
      <c r="N196" s="43">
        <f t="shared" ca="1" si="160"/>
        <v>28.557783551559293</v>
      </c>
      <c r="O196" s="43">
        <f t="shared" ca="1" si="160"/>
        <v>29.705625104588492</v>
      </c>
      <c r="P196" s="43">
        <f t="shared" ca="1" si="160"/>
        <v>31.045841788102472</v>
      </c>
      <c r="Q196" s="43">
        <f t="shared" ca="1" si="160"/>
        <v>32.428804008286619</v>
      </c>
      <c r="R196" s="43">
        <f t="shared" ca="1" si="160"/>
        <v>33.851435745165958</v>
      </c>
      <c r="S196" s="43">
        <f t="shared" ca="1" si="160"/>
        <v>35.324517157768476</v>
      </c>
      <c r="T196" s="43">
        <f t="shared" ca="1" si="160"/>
        <v>36.847246974269929</v>
      </c>
      <c r="U196" s="43">
        <f t="shared" ca="1" si="160"/>
        <v>38.425036134785685</v>
      </c>
      <c r="V196" s="43">
        <f t="shared" ca="1" si="160"/>
        <v>40.061144357558689</v>
      </c>
      <c r="W196" s="43">
        <f t="shared" ca="1" si="160"/>
        <v>41.759426456303927</v>
      </c>
      <c r="X196" s="43">
        <f t="shared" ca="1" si="160"/>
        <v>43.523608087459394</v>
      </c>
      <c r="Y196" s="43">
        <f t="shared" ca="1" si="160"/>
        <v>45.356329504012017</v>
      </c>
      <c r="Z196" s="43">
        <f t="shared" ca="1" si="160"/>
        <v>47.263282660787596</v>
      </c>
      <c r="AA196" s="43">
        <f t="shared" ca="1" si="160"/>
        <v>49.009205390017861</v>
      </c>
      <c r="AB196" s="43">
        <f t="shared" ca="1" si="160"/>
        <v>50.827869200017361</v>
      </c>
      <c r="AC196" s="43">
        <f t="shared" ca="1" si="160"/>
        <v>52.726277404846932</v>
      </c>
      <c r="AD196" s="43">
        <f t="shared" ca="1" si="160"/>
        <v>54.705567857393838</v>
      </c>
      <c r="AE196" s="43">
        <f t="shared" ca="1" si="160"/>
        <v>56.765338442406886</v>
      </c>
      <c r="AF196" s="43">
        <f t="shared" ca="1" si="160"/>
        <v>58.911228894367447</v>
      </c>
      <c r="AG196" s="43">
        <f t="shared" ca="1" si="160"/>
        <v>61.1438660227602</v>
      </c>
      <c r="AH196" s="43">
        <f t="shared" ca="1" si="160"/>
        <v>63.469240938874265</v>
      </c>
      <c r="AI196" s="43">
        <f t="shared" ca="1" si="160"/>
        <v>65.883010561892448</v>
      </c>
      <c r="AJ196" s="43">
        <f t="shared" ca="1" si="160"/>
        <v>68.39296737330902</v>
      </c>
      <c r="AK196" s="43">
        <f t="shared" ca="1" si="160"/>
        <v>70.998678014447393</v>
      </c>
      <c r="AL196" s="43">
        <f t="shared" ca="1" si="160"/>
        <v>73.699701419802437</v>
      </c>
      <c r="AM196" s="43">
        <f t="shared" ca="1" si="160"/>
        <v>76.499127446700498</v>
      </c>
      <c r="AN196" s="43">
        <f t="shared" ca="1" si="160"/>
        <v>79.401438526797094</v>
      </c>
      <c r="AO196" s="43">
        <f t="shared" ca="1" si="160"/>
        <v>82.399535050478775</v>
      </c>
      <c r="AP196" s="43">
        <f t="shared" ca="1" si="160"/>
        <v>85.503565018930558</v>
      </c>
      <c r="AQ196" s="43">
        <f t="shared" ca="1" si="160"/>
        <v>88.707820500007116</v>
      </c>
      <c r="AR196" s="43">
        <f t="shared" ca="1" si="160"/>
        <v>92.015946356388525</v>
      </c>
      <c r="AS196" s="43">
        <f t="shared" ca="1" si="160"/>
        <v>95.435145632845874</v>
      </c>
      <c r="AT196" s="43">
        <f t="shared" ca="1" si="160"/>
        <v>98.96821426154429</v>
      </c>
      <c r="AU196" s="43">
        <f t="shared" ca="1" si="160"/>
        <v>102.61984530058068</v>
      </c>
      <c r="AV196" s="43">
        <f t="shared" ca="1" si="160"/>
        <v>106.39807507886029</v>
      </c>
      <c r="AW196" s="43">
        <f t="shared" ca="1" si="160"/>
        <v>110.30455457848936</v>
      </c>
    </row>
    <row r="197" spans="1:49" ht="15" x14ac:dyDescent="0.25">
      <c r="A197" s="2"/>
      <c r="D197" s="55"/>
      <c r="E197" s="56"/>
      <c r="F197" s="56"/>
      <c r="G197" s="56"/>
      <c r="H197" s="56"/>
      <c r="I197" s="56"/>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row>
    <row r="198" spans="1:49" x14ac:dyDescent="0.2">
      <c r="A198" s="22" t="s">
        <v>160</v>
      </c>
    </row>
    <row r="199" spans="1:49" x14ac:dyDescent="0.2">
      <c r="A199" s="1" t="s">
        <v>324</v>
      </c>
      <c r="B199" s="4" t="str">
        <f t="shared" ref="B199:B201" si="161">$B$43</f>
        <v>From Fiscal</v>
      </c>
      <c r="D199" s="18">
        <f>Fiscal!D$242</f>
        <v>1.4410000000000001</v>
      </c>
      <c r="E199" s="19">
        <f>Fiscal!E$242</f>
        <v>1.532</v>
      </c>
      <c r="F199" s="19">
        <f>Fiscal!F$242</f>
        <v>1.5860000000000001</v>
      </c>
      <c r="G199" s="19">
        <f>Fiscal!G$242</f>
        <v>1.669</v>
      </c>
      <c r="H199" s="19">
        <f>Fiscal!H$242</f>
        <v>1.744</v>
      </c>
      <c r="I199" s="19">
        <f>Fiscal!I$242</f>
        <v>1.804</v>
      </c>
      <c r="J199" s="7">
        <f ca="1">IF(J$6=OFFSET(Assumptions!$B$8,0,$C$1),AVERAGE((G$199-G$411)/G$14,(H$199-H$411)/H$14,(I$199-I$411)/I$14),(I$199-I$411)/I$14) *J$14 +J$411</f>
        <v>1.8473977075836236</v>
      </c>
      <c r="K199" s="7">
        <f ca="1">IF(K$6=OFFSET(Assumptions!$B$8,0,$C$1),AVERAGE((H$199-H$411)/H$14,(I$199-I$411)/I$14,(J$199-J$411)/J$14),(J$199-J$411)/J$14) *K$14 +K$411</f>
        <v>1.9266572838664682</v>
      </c>
      <c r="L199" s="7">
        <f ca="1">IF(L$6=OFFSET(Assumptions!$B$8,0,$C$1),AVERAGE((I$199-I$411)/I$14,(J$199-J$411)/J$14,(K$199-K$411)/K$14),(K$199-K$411)/K$14) *L$14 +L$411</f>
        <v>2.0098351214622459</v>
      </c>
      <c r="M199" s="7">
        <f ca="1">IF(M$6=OFFSET(Assumptions!$B$8,0,$C$1),AVERAGE((J$199-J$411)/J$14,(K$199-K$411)/K$14,(L$199-L$411)/L$14),(L$199-L$411)/L$14) *M$14 +M$411</f>
        <v>2.0965590884876626</v>
      </c>
      <c r="N199" s="7">
        <f ca="1">IF(N$6=OFFSET(Assumptions!$B$8,0,$C$1),AVERAGE((K$199-K$411)/K$14,(L$199-L$411)/L$14,(M$199-M$411)/M$14),(M$199-M$411)/M$14) *N$14 +N$411</f>
        <v>2.1869256077706165</v>
      </c>
      <c r="O199" s="7">
        <f ca="1">IF(O$6=OFFSET(Assumptions!$B$8,0,$C$1),AVERAGE((L$199-L$411)/L$14,(M$199-M$411)/M$14,(N$199-N$411)/N$14),(N$199-N$411)/N$14) *O$14 +O$411</f>
        <v>2.2809402689735436</v>
      </c>
      <c r="P199" s="7">
        <f ca="1">IF(P$6=OFFSET(Assumptions!$B$8,0,$C$1),AVERAGE((M$199-M$411)/M$14,(N$199-N$411)/N$14,(O$199-O$411)/O$14),(O$199-O$411)/O$14) *P$14 +P$411</f>
        <v>2.378623511820968</v>
      </c>
      <c r="Q199" s="7">
        <f ca="1">IF(Q$6=OFFSET(Assumptions!$B$8,0,$C$1),AVERAGE((N$199-N$411)/N$14,(O$199-O$411)/O$14,(P$199-P$411)/P$14),(P$199-P$411)/P$14) *Q$14 +Q$411</f>
        <v>2.4800766888277335</v>
      </c>
      <c r="R199" s="7">
        <f ca="1">IF(R$6=OFFSET(Assumptions!$B$8,0,$C$1),AVERAGE((O$199-O$411)/O$14,(P$199-P$411)/P$14,(Q$199-Q$411)/Q$14),(Q$199-Q$411)/Q$14) *R$14 +R$411</f>
        <v>2.5853347351547598</v>
      </c>
      <c r="S199" s="7">
        <f ca="1">IF(S$6=OFFSET(Assumptions!$B$8,0,$C$1),AVERAGE((P$199-P$411)/P$14,(Q$199-Q$411)/Q$14,(R$199-R$411)/R$14),(R$199-R$411)/R$14) *S$14 +S$411</f>
        <v>2.6945733376275394</v>
      </c>
      <c r="T199" s="7">
        <f ca="1">IF(T$6=OFFSET(Assumptions!$B$8,0,$C$1),AVERAGE((Q$199-Q$411)/Q$14,(R$199-R$411)/R$14,(S$199-S$411)/S$14),(S$199-S$411)/S$14) *T$14 +T$411</f>
        <v>2.8079366932403405</v>
      </c>
      <c r="U199" s="7">
        <f ca="1">IF(U$6=OFFSET(Assumptions!$B$8,0,$C$1),AVERAGE((R$199-R$411)/R$14,(S$199-S$411)/S$14,(T$199-T$411)/T$14),(T$199-T$411)/T$14) *U$14 +U$411</f>
        <v>2.9256291258654965</v>
      </c>
      <c r="V199" s="7">
        <f ca="1">IF(V$6=OFFSET(Assumptions!$B$8,0,$C$1),AVERAGE((S$199-S$411)/S$14,(T$199-T$411)/T$14,(U$199-U$411)/U$14),(U$199-U$411)/U$14) *V$14 +V$411</f>
        <v>3.0478007716336823</v>
      </c>
      <c r="W199" s="7">
        <f ca="1">IF(W$6=OFFSET(Assumptions!$B$8,0,$C$1),AVERAGE((T$199-T$411)/T$14,(U$199-U$411)/U$14,(V$199-V$411)/V$14),(V$199-V$411)/V$14) *W$14 +W$411</f>
        <v>3.1747333729402674</v>
      </c>
      <c r="X199" s="7">
        <f ca="1">IF(X$6=OFFSET(Assumptions!$B$8,0,$C$1),AVERAGE((U$199-U$411)/U$14,(V$199-V$411)/V$14,(W$199-W$411)/W$14),(W$199-W$411)/W$14) *X$14 +X$411</f>
        <v>3.3065524781803743</v>
      </c>
      <c r="Y199" s="7">
        <f ca="1">IF(Y$6=OFFSET(Assumptions!$B$8,0,$C$1),AVERAGE((V$199-V$411)/V$14,(W$199-W$411)/W$14,(X$199-X$411)/X$14),(X$199-X$411)/X$14) *Y$14 +Y$411</f>
        <v>3.4435032971599036</v>
      </c>
      <c r="Z199" s="7">
        <f ca="1">IF(Z$6=OFFSET(Assumptions!$B$8,0,$C$1),AVERAGE((W$199-W$411)/W$14,(X$199-X$411)/X$14,(Y$199-Y$411)/Y$14),(Y$199-Y$411)/Y$14) *Z$14 +Z$411</f>
        <v>3.5857967269845563</v>
      </c>
      <c r="AA199" s="7">
        <f ca="1">IF(AA$6=OFFSET(Assumptions!$B$8,0,$C$1),AVERAGE((X$199-X$411)/X$14,(Y$199-Y$411)/Y$14,(Z$199-Z$411)/Z$14),(Z$199-Z$411)/Z$14) *AA$14 +AA$411</f>
        <v>3.7337598959079883</v>
      </c>
      <c r="AB199" s="7">
        <f ca="1">IF(AB$6=OFFSET(Assumptions!$B$8,0,$C$1),AVERAGE((Y$199-Y$411)/Y$14,(Z$199-Z$411)/Z$14,(AA$199-AA$411)/AA$14),(AA$199-AA$411)/AA$14) *AB$14 +AB$411</f>
        <v>3.8876385834597214</v>
      </c>
      <c r="AC199" s="7">
        <f ca="1">IF(AC$6=OFFSET(Assumptions!$B$8,0,$C$1),AVERAGE((Z$199-Z$411)/Z$14,(AA$199-AA$411)/AA$14,(AB$199-AB$411)/AB$14),(AB$199-AB$411)/AB$14) *AC$14 +AC$411</f>
        <v>4.0477981045052722</v>
      </c>
      <c r="AD199" s="7">
        <f ca="1">IF(AD$6=OFFSET(Assumptions!$B$8,0,$C$1),AVERAGE((AA$199-AA$411)/AA$14,(AB$199-AB$411)/AB$14,(AC$199-AC$411)/AC$14),(AC$199-AC$411)/AC$14) *AD$14 +AD$411</f>
        <v>4.2145508221288557</v>
      </c>
      <c r="AE199" s="7">
        <f ca="1">IF(AE$6=OFFSET(Assumptions!$B$8,0,$C$1),AVERAGE((AB$199-AB$411)/AB$14,(AC$199-AC$411)/AC$14,(AD$199-AD$411)/AD$14),(AD$199-AD$411)/AD$14) *AE$14 +AE$411</f>
        <v>4.3881311125392415</v>
      </c>
      <c r="AF199" s="7">
        <f ca="1">IF(AF$6=OFFSET(Assumptions!$B$8,0,$C$1),AVERAGE((AC$199-AC$411)/AC$14,(AD$199-AD$411)/AD$14,(AE$199-AE$411)/AE$14),(AE$199-AE$411)/AE$14) *AF$14 +AF$411</f>
        <v>4.568825000706779</v>
      </c>
      <c r="AG199" s="7">
        <f ca="1">IF(AG$6=OFFSET(Assumptions!$B$8,0,$C$1),AVERAGE((AD$199-AD$411)/AD$14,(AE$199-AE$411)/AE$14,(AF$199-AF$411)/AF$14),(AF$199-AF$411)/AF$14) *AG$14 +AG$411</f>
        <v>4.7569776488587445</v>
      </c>
      <c r="AH199" s="7">
        <f ca="1">IF(AH$6=OFFSET(Assumptions!$B$8,0,$C$1),AVERAGE((AE$199-AE$411)/AE$14,(AF$199-AF$411)/AF$14,(AG$199-AG$411)/AG$14),(AG$199-AG$411)/AG$14) *AH$14 +AH$411</f>
        <v>4.9528460547940414</v>
      </c>
      <c r="AI199" s="7">
        <f ca="1">IF(AI$6=OFFSET(Assumptions!$B$8,0,$C$1),AVERAGE((AF$199-AF$411)/AF$14,(AG$199-AG$411)/AG$14,(AH$199-AH$411)/AH$14),(AH$199-AH$411)/AH$14) *AI$14 +AI$411</f>
        <v>5.156601432198193</v>
      </c>
      <c r="AJ199" s="7">
        <f ca="1">IF(AJ$6=OFFSET(Assumptions!$B$8,0,$C$1),AVERAGE((AG$199-AG$411)/AG$14,(AH$199-AH$411)/AH$14,(AI$199-AI$411)/AI$14),(AI$199-AI$411)/AI$14) *AJ$14 +AJ$411</f>
        <v>5.3686610158943964</v>
      </c>
      <c r="AK199" s="7">
        <f ca="1">IF(AK$6=OFFSET(Assumptions!$B$8,0,$C$1),AVERAGE((AH$199-AH$411)/AH$14,(AI$199-AI$411)/AI$14,(AJ$199-AJ$411)/AJ$14),(AJ$199-AJ$411)/AJ$14) *AK$14 +AK$411</f>
        <v>5.5892484609850452</v>
      </c>
      <c r="AL199" s="7">
        <f ca="1">IF(AL$6=OFFSET(Assumptions!$B$8,0,$C$1),AVERAGE((AI$199-AI$411)/AI$14,(AJ$199-AJ$411)/AJ$14,(AK$199-AK$411)/AK$14),(AK$199-AK$411)/AK$14) *AL$14 +AL$411</f>
        <v>5.8185112517001842</v>
      </c>
      <c r="AM199" s="7">
        <f ca="1">IF(AM$6=OFFSET(Assumptions!$B$8,0,$C$1),AVERAGE((AJ$199-AJ$411)/AJ$14,(AK$199-AK$411)/AK$14,(AL$199-AL$411)/AL$14),(AL$199-AL$411)/AL$14) *AM$14 +AM$411</f>
        <v>6.0567875230644352</v>
      </c>
      <c r="AN199" s="7">
        <f ca="1">IF(AN$6=OFFSET(Assumptions!$B$8,0,$C$1),AVERAGE((AK$199-AK$411)/AK$14,(AL$199-AL$411)/AL$14,(AM$199-AM$411)/AM$14),(AM$199-AM$411)/AM$14) *AN$14 +AN$411</f>
        <v>6.3044644486134098</v>
      </c>
      <c r="AO199" s="7">
        <f ca="1">IF(AO$6=OFFSET(Assumptions!$B$8,0,$C$1),AVERAGE((AL$199-AL$411)/AL$14,(AM$199-AM$411)/AM$14,(AN$199-AN$411)/AN$14),(AN$199-AN$411)/AN$14) *AO$14 +AO$411</f>
        <v>6.5614660042251431</v>
      </c>
      <c r="AP199" s="7">
        <f ca="1">IF(AP$6=OFFSET(Assumptions!$B$8,0,$C$1),AVERAGE((AM$199-AM$411)/AM$14,(AN$199-AN$411)/AN$14,(AO$199-AO$411)/AO$14),(AO$199-AO$411)/AO$14) *AP$14 +AP$411</f>
        <v>6.8283150643855297</v>
      </c>
      <c r="AQ199" s="7">
        <f ca="1">IF(AQ$6=OFFSET(Assumptions!$B$8,0,$C$1),AVERAGE((AN$199-AN$411)/AN$14,(AO$199-AO$411)/AO$14,(AP$199-AP$411)/AP$14),(AP$199-AP$411)/AP$14) *AQ$14 +AQ$411</f>
        <v>7.105033544535285</v>
      </c>
      <c r="AR199" s="7">
        <f ca="1">IF(AR$6=OFFSET(Assumptions!$B$8,0,$C$1),AVERAGE((AO$199-AO$411)/AO$14,(AP$199-AP$411)/AP$14,(AQ$199-AQ$411)/AQ$14),(AQ$199-AQ$411)/AQ$14) *AR$14 +AR$411</f>
        <v>7.3918866291152847</v>
      </c>
      <c r="AS199" s="7">
        <f ca="1">IF(AS$6=OFFSET(Assumptions!$B$8,0,$C$1),AVERAGE((AP$199-AP$411)/AP$14,(AQ$199-AQ$411)/AQ$14,(AR$199-AR$411)/AR$14),(AR$199-AR$411)/AR$14) *AS$14 +AS$411</f>
        <v>7.6892354611312665</v>
      </c>
      <c r="AT199" s="7">
        <f ca="1">IF(AT$6=OFFSET(Assumptions!$B$8,0,$C$1),AVERAGE((AQ$199-AQ$411)/AQ$14,(AR$199-AR$411)/AR$14,(AS$199-AS$411)/AS$14),(AS$199-AS$411)/AS$14) *AT$14 +AT$411</f>
        <v>7.9973174803087321</v>
      </c>
      <c r="AU199" s="7">
        <f ca="1">IF(AU$6=OFFSET(Assumptions!$B$8,0,$C$1),AVERAGE((AR$199-AR$411)/AR$14,(AS$199-AS$411)/AS$14,(AT$199-AT$411)/AT$14),(AT$199-AT$411)/AT$14) *AU$14 +AU$411</f>
        <v>8.3164898594176275</v>
      </c>
      <c r="AV199" s="7">
        <f ca="1">IF(AV$6=OFFSET(Assumptions!$B$8,0,$C$1),AVERAGE((AS$199-AS$411)/AS$14,(AT$199-AT$411)/AT$14,(AU$199-AU$411)/AU$14),(AU$199-AU$411)/AU$14) *AV$14 +AV$411</f>
        <v>8.6472608385267478</v>
      </c>
      <c r="AW199" s="7">
        <f ca="1">IF(AW$6=OFFSET(Assumptions!$B$8,0,$C$1),AVERAGE((AT$199-AT$411)/AT$14,(AU$199-AU$411)/AU$14,(AV$199-AV$411)/AV$14),(AV$199-AV$411)/AV$14) *AW$14 +AW$411</f>
        <v>8.989916553071847</v>
      </c>
    </row>
    <row r="200" spans="1:49" x14ac:dyDescent="0.2">
      <c r="A200" s="1" t="s">
        <v>295</v>
      </c>
      <c r="B200" s="4" t="str">
        <f t="shared" si="161"/>
        <v>From Fiscal</v>
      </c>
      <c r="D200" s="18">
        <f>Fiscal!D$243</f>
        <v>1.7509999999999999</v>
      </c>
      <c r="E200" s="19">
        <f>Fiscal!E$243</f>
        <v>1.78</v>
      </c>
      <c r="F200" s="19">
        <f>Fiscal!F$243</f>
        <v>1.929</v>
      </c>
      <c r="G200" s="19">
        <f>Fiscal!G$243</f>
        <v>1.929</v>
      </c>
      <c r="H200" s="19">
        <f>Fiscal!H$243</f>
        <v>1.9850000000000001</v>
      </c>
      <c r="I200" s="19">
        <f>Fiscal!I$243</f>
        <v>2.0270000000000001</v>
      </c>
      <c r="J200" s="7">
        <f ca="1">IF(J$6=OFFSET(Assumptions!$B$8,0,$C$1),AVERAGE(G$200/(G$200+G$201),H$200/(H$200+H$201),I$200/(I$200+I$201)),I$200/(I$200+I$201))*(IF(J$6=OFFSET(Assumptions!$B$8,0,$C$1),AVERAGE((G$200+G$201-(G$414-G$411))/G$14,(H$200+H$201-(H$414-H$411))/H$14,(I$200+I$201-(I$414-I$411))/I$14),(I$200+I$201-(I$414-I$411))/I$14)*J$14 +(J$414-J$411))</f>
        <v>2.0521011930373656</v>
      </c>
      <c r="K200" s="7">
        <f ca="1">IF(K$6=OFFSET(Assumptions!$B$8,0,$C$1),AVERAGE(H$200/(H$200+H$201),I$200/(I$200+I$201),J$200/(J$200+J$201)),J$200/(J$200+J$201))*(IF(K$6=OFFSET(Assumptions!$B$8,0,$C$1),AVERAGE((H$200+H$201-(H$414-H$411))/H$14,(I$200+I$201-(I$414-I$411))/I$14,(J$200+J$201-(J$414-J$411))/J$14),(J$200+J$201-(J$414-J$411))/J$14)*K$14 +(K$414-K$411))</f>
        <v>2.0754032441485815</v>
      </c>
      <c r="L200" s="7">
        <f ca="1">IF(L$6=OFFSET(Assumptions!$B$8,0,$C$1),AVERAGE(I$200/(I$200+I$201),J$200/(J$200+J$201),K$200/(K$200+K$201)),K$200/(K$200+K$201))*(IF(L$6=OFFSET(Assumptions!$B$8,0,$C$1),AVERAGE((I$200+I$201-(I$414-I$411))/I$14,(J$200+J$201-(J$414-J$411))/J$14,(K$200+K$201-(K$414-K$411))/K$14),(K$200+K$201-(K$414-K$411))/K$14)*L$14 +(L$414-L$411))</f>
        <v>2.1029676317313597</v>
      </c>
      <c r="M200" s="7">
        <f ca="1">IF(M$6=OFFSET(Assumptions!$B$8,0,$C$1),AVERAGE(J$200/(J$200+J$201),K$200/(K$200+K$201),L$200/(L$200+L$201)),L$200/(L$200+L$201))*(IF(M$6=OFFSET(Assumptions!$B$8,0,$C$1),AVERAGE((J$200+J$201-(J$414-J$411))/J$14,(K$200+K$201-(K$414-K$411))/K$14,(L$200+L$201-(L$414-L$411))/L$14),(L$200+L$201-(L$414-L$411))/L$14)*M$14 +(M$414-M$411))</f>
        <v>2.1339133667012331</v>
      </c>
      <c r="N200" s="7">
        <f ca="1">IF(N$6=OFFSET(Assumptions!$B$8,0,$C$1),AVERAGE(K$200/(K$200+K$201),L$200/(L$200+L$201),M$200/(M$200+M$201)),M$200/(M$200+M$201))*(IF(N$6=OFFSET(Assumptions!$B$8,0,$C$1),AVERAGE((K$200+K$201-(K$414-K$411))/K$14,(L$200+L$201-(L$414-L$411))/L$14,(M$200+M$201-(M$414-M$411))/M$14),(M$200+M$201-(M$414-M$411))/M$14)*N$14 +(N$414-N$411))</f>
        <v>2.1683017335328056</v>
      </c>
      <c r="O200" s="7">
        <f ca="1">IF(O$6=OFFSET(Assumptions!$B$8,0,$C$1),AVERAGE(L$200/(L$200+L$201),M$200/(M$200+M$201),N$200/(N$200+N$201)),N$200/(N$200+N$201))*(IF(O$6=OFFSET(Assumptions!$B$8,0,$C$1),AVERAGE((L$200+L$201-(L$414-L$411))/L$14,(M$200+M$201-(M$414-M$411))/M$14,(N$200+N$201-(N$414-N$411))/N$14),(N$200+N$201-(N$414-N$411))/N$14)*O$14 +(O$414-O$411))</f>
        <v>2.2061212124233047</v>
      </c>
      <c r="P200" s="7">
        <f ca="1">IF(P$6=OFFSET(Assumptions!$B$8,0,$C$1),AVERAGE(M$200/(M$200+M$201),N$200/(N$200+N$201),O$200/(O$200+O$201)),O$200/(O$200+O$201))*(IF(P$6=OFFSET(Assumptions!$B$8,0,$C$1),AVERAGE((M$200+M$201-(M$414-M$411))/M$14,(N$200+N$201-(N$414-N$411))/N$14,(O$200+O$201-(O$414-O$411))/O$14),(O$200+O$201-(O$414-O$411))/O$14)*P$14 +(P$414-P$411))</f>
        <v>2.2474011852900766</v>
      </c>
      <c r="Q200" s="7">
        <f ca="1">IF(Q$6=OFFSET(Assumptions!$B$8,0,$C$1),AVERAGE(N$200/(N$200+N$201),O$200/(O$200+O$201),P$200/(P$200+P$201)),P$200/(P$200+P$201))*(IF(Q$6=OFFSET(Assumptions!$B$8,0,$C$1),AVERAGE((N$200+N$201-(N$414-N$411))/N$14,(O$200+O$201-(O$414-O$411))/O$14,(P$200+P$201-(P$414-P$411))/P$14),(P$200+P$201-(P$414-P$411))/P$14)*Q$14 +(Q$414-Q$411))</f>
        <v>2.2921589201497268</v>
      </c>
      <c r="R200" s="7">
        <f ca="1">IF(R$6=OFFSET(Assumptions!$B$8,0,$C$1),AVERAGE(O$200/(O$200+O$201),P$200/(P$200+P$201),Q$200/(Q$200+Q$201)),Q$200/(Q$200+Q$201))*(IF(R$6=OFFSET(Assumptions!$B$8,0,$C$1),AVERAGE((O$200+O$201-(O$414-O$411))/O$14,(P$200+P$201-(P$414-P$411))/P$14,(Q$200+Q$201-(Q$414-Q$411))/Q$14),(Q$200+Q$201-(Q$414-Q$411))/Q$14)*R$14 +(R$414-R$411))</f>
        <v>2.3404088213247634</v>
      </c>
      <c r="S200" s="7">
        <f ca="1">IF(S$6=OFFSET(Assumptions!$B$8,0,$C$1),AVERAGE(P$200/(P$200+P$201),Q$200/(Q$200+Q$201),R$200/(R$200+R$201)),R$200/(R$200+R$201))*(IF(S$6=OFFSET(Assumptions!$B$8,0,$C$1),AVERAGE((P$200+P$201-(P$414-P$411))/P$14,(Q$200+Q$201-(Q$414-Q$411))/Q$14,(R$200+R$201-(R$414-R$411))/R$14),(R$200+R$201-(R$414-R$411))/R$14)*S$14 +(S$414-S$411))</f>
        <v>2.3921977064233704</v>
      </c>
      <c r="T200" s="7">
        <f ca="1">IF(T$6=OFFSET(Assumptions!$B$8,0,$C$1),AVERAGE(Q$200/(Q$200+Q$201),R$200/(R$200+R$201),S$200/(S$200+S$201)),S$200/(S$200+S$201))*(IF(T$6=OFFSET(Assumptions!$B$8,0,$C$1),AVERAGE((Q$200+Q$201-(Q$414-Q$411))/Q$14,(R$200+R$201-(R$414-R$411))/R$14,(S$200+S$201-(S$414-S$411))/S$14),(S$200+S$201-(S$414-S$411))/S$14)*T$14 +(T$414-T$411))</f>
        <v>2.447560238067902</v>
      </c>
      <c r="U200" s="7">
        <f ca="1">IF(U$6=OFFSET(Assumptions!$B$8,0,$C$1),AVERAGE(R$200/(R$200+R$201),S$200/(S$200+S$201),T$200/(T$200+T$201)),T$200/(T$200+T$201))*(IF(U$6=OFFSET(Assumptions!$B$8,0,$C$1),AVERAGE((R$200+R$201-(R$414-R$411))/R$14,(S$200+S$201-(S$414-S$411))/S$14,(T$200+T$201-(T$414-T$411))/T$14),(T$200+T$201-(T$414-T$411))/T$14)*U$14 +(U$414-U$411))</f>
        <v>2.5065639115396663</v>
      </c>
      <c r="V200" s="7">
        <f ca="1">IF(V$6=OFFSET(Assumptions!$B$8,0,$C$1),AVERAGE(S$200/(S$200+S$201),T$200/(T$200+T$201),U$200/(U$200+U$201)),U$200/(U$200+U$201))*(IF(V$6=OFFSET(Assumptions!$B$8,0,$C$1),AVERAGE((S$200+S$201-(S$414-S$411))/S$14,(T$200+T$201-(T$414-T$411))/T$14,(U$200+U$201-(U$414-U$411))/U$14),(U$200+U$201-(U$414-U$411))/U$14)*V$14 +(V$414-V$411))</f>
        <v>2.5692823894102284</v>
      </c>
      <c r="W200" s="7">
        <f ca="1">IF(W$6=OFFSET(Assumptions!$B$8,0,$C$1),AVERAGE(T$200/(T$200+T$201),U$200/(U$200+U$201),V$200/(V$200+V$201)),V$200/(V$200+V$201))*(IF(W$6=OFFSET(Assumptions!$B$8,0,$C$1),AVERAGE((T$200+T$201-(T$414-T$411))/T$14,(U$200+U$201-(U$414-U$411))/U$14,(V$200+V$201-(V$414-V$411))/V$14),(V$200+V$201-(V$414-V$411))/V$14)*W$14 +(W$414-W$411))</f>
        <v>2.6358056052584846</v>
      </c>
      <c r="X200" s="7">
        <f ca="1">IF(X$6=OFFSET(Assumptions!$B$8,0,$C$1),AVERAGE(U$200/(U$200+U$201),V$200/(V$200+V$201),W$200/(W$200+W$201)),W$200/(W$200+W$201))*(IF(X$6=OFFSET(Assumptions!$B$8,0,$C$1),AVERAGE((U$200+U$201-(U$414-U$411))/U$14,(V$200+V$201-(V$414-V$411))/V$14,(W$200+W$201-(W$414-W$411))/W$14),(W$200+W$201-(W$414-W$411))/W$14)*X$14 +(X$414-X$411))</f>
        <v>2.7062407321908997</v>
      </c>
      <c r="Y200" s="7">
        <f ca="1">IF(Y$6=OFFSET(Assumptions!$B$8,0,$C$1),AVERAGE(V$200/(V$200+V$201),W$200/(W$200+W$201),X$200/(X$200+X$201)),X$200/(X$200+X$201))*(IF(Y$6=OFFSET(Assumptions!$B$8,0,$C$1),AVERAGE((V$200+V$201-(V$414-V$411))/V$14,(W$200+W$201-(W$414-W$411))/W$14,(X$200+X$201-(X$414-X$411))/X$14),(X$200+X$201-(X$414-X$411))/X$14)*Y$14 +(Y$414-Y$411))</f>
        <v>2.7806735097085364</v>
      </c>
      <c r="Z200" s="7">
        <f ca="1">IF(Z$6=OFFSET(Assumptions!$B$8,0,$C$1),AVERAGE(W$200/(W$200+W$201),X$200/(X$200+X$201),Y$200/(Y$200+Y$201)),Y$200/(Y$200+Y$201))*(IF(Z$6=OFFSET(Assumptions!$B$8,0,$C$1),AVERAGE((W$200+W$201-(W$414-W$411))/W$14,(X$200+X$201-(X$414-X$411))/X$14,(Y$200+Y$201-(Y$414-Y$411))/Y$14),(Y$200+Y$201-(Y$414-Y$411))/Y$14)*Z$14 +(Z$414-Z$411))</f>
        <v>2.8592473659849489</v>
      </c>
      <c r="AA200" s="7">
        <f ca="1">IF(AA$6=OFFSET(Assumptions!$B$8,0,$C$1),AVERAGE(X$200/(X$200+X$201),Y$200/(Y$200+Y$201),Z$200/(Z$200+Z$201)),Z$200/(Z$200+Z$201))*(IF(AA$6=OFFSET(Assumptions!$B$8,0,$C$1),AVERAGE((X$200+X$201-(X$414-X$411))/X$14,(Y$200+Y$201-(Y$414-Y$411))/Y$14,(Z$200+Z$201-(Z$414-Z$411))/Z$14),(Z$200+Z$201-(Z$414-Z$411))/Z$14)*AA$14 +(AA$414-AA$411))</f>
        <v>2.9420923168734228</v>
      </c>
      <c r="AB200" s="7">
        <f ca="1">IF(AB$6=OFFSET(Assumptions!$B$8,0,$C$1),AVERAGE(Y$200/(Y$200+Y$201),Z$200/(Z$200+Z$201),AA$200/(AA$200+AA$201)),AA$200/(AA$200+AA$201))*(IF(AB$6=OFFSET(Assumptions!$B$8,0,$C$1),AVERAGE((Y$200+Y$201-(Y$414-Y$411))/Y$14,(Z$200+Z$201-(Z$414-Z$411))/Z$14,(AA$200+AA$201-(AA$414-AA$411))/AA$14),(AA$200+AA$201-(AA$414-AA$411))/AA$14)*AB$14 +(AB$414-AB$411))</f>
        <v>3.0293630186335636</v>
      </c>
      <c r="AC200" s="7">
        <f ca="1">IF(AC$6=OFFSET(Assumptions!$B$8,0,$C$1),AVERAGE(Z$200/(Z$200+Z$201),AA$200/(AA$200+AA$201),AB$200/(AB$200+AB$201)),AB$200/(AB$200+AB$201))*(IF(AC$6=OFFSET(Assumptions!$B$8,0,$C$1),AVERAGE((Z$200+Z$201-(Z$414-Z$411))/Z$14,(AA$200+AA$201-(AA$414-AA$411))/AA$14,(AB$200+AB$201-(AB$414-AB$411))/AB$14),(AB$200+AB$201-(AB$414-AB$411))/AB$14)*AC$14 +(AC$414-AC$411))</f>
        <v>3.1212410943591378</v>
      </c>
      <c r="AD200" s="7">
        <f ca="1">IF(AD$6=OFFSET(Assumptions!$B$8,0,$C$1),AVERAGE(AA$200/(AA$200+AA$201),AB$200/(AB$200+AB$201),AC$200/(AC$200+AC$201)),AC$200/(AC$200+AC$201))*(IF(AD$6=OFFSET(Assumptions!$B$8,0,$C$1),AVERAGE((AA$200+AA$201-(AA$414-AA$411))/AA$14,(AB$200+AB$201-(AB$414-AB$411))/AB$14,(AC$200+AC$201-(AC$414-AC$411))/AC$14),(AC$200+AC$201-(AC$414-AC$411))/AC$14)*AD$14 +(AD$414-AD$411))</f>
        <v>3.2178926461062467</v>
      </c>
      <c r="AE200" s="7">
        <f ca="1">IF(AE$6=OFFSET(Assumptions!$B$8,0,$C$1),AVERAGE(AB$200/(AB$200+AB$201),AC$200/(AC$200+AC$201),AD$200/(AD$200+AD$201)),AD$200/(AD$200+AD$201))*(IF(AE$6=OFFSET(Assumptions!$B$8,0,$C$1),AVERAGE((AB$200+AB$201-(AB$414-AB$411))/AB$14,(AC$200+AC$201-(AC$414-AC$411))/AC$14,(AD$200+AD$201-(AD$414-AD$411))/AD$14),(AD$200+AD$201-(AD$414-AD$411))/AD$14)*AE$14 +(AE$414-AE$411))</f>
        <v>3.3194575320016981</v>
      </c>
      <c r="AF200" s="7">
        <f ca="1">IF(AF$6=OFFSET(Assumptions!$B$8,0,$C$1),AVERAGE(AC$200/(AC$200+AC$201),AD$200/(AD$200+AD$201),AE$200/(AE$200+AE$201)),AE$200/(AE$200+AE$201))*(IF(AF$6=OFFSET(Assumptions!$B$8,0,$C$1),AVERAGE((AC$200+AC$201-(AC$414-AC$411))/AC$14,(AD$200+AD$201-(AD$414-AD$411))/AD$14,(AE$200+AE$201-(AE$414-AE$411))/AE$14),(AE$200+AE$201-(AE$414-AE$411))/AE$14)*AF$14 +(AF$414-AF$411))</f>
        <v>3.4261191044183374</v>
      </c>
      <c r="AG200" s="7">
        <f ca="1">IF(AG$6=OFFSET(Assumptions!$B$8,0,$C$1),AVERAGE(AD$200/(AD$200+AD$201),AE$200/(AE$200+AE$201),AF$200/(AF$200+AF$201)),AF$200/(AF$200+AF$201))*(IF(AG$6=OFFSET(Assumptions!$B$8,0,$C$1),AVERAGE((AD$200+AD$201-(AD$414-AD$411))/AD$14,(AE$200+AE$201-(AE$414-AE$411))/AE$14,(AF$200+AF$201-(AF$414-AF$411))/AF$14),(AF$200+AF$201-(AF$414-AF$411))/AF$14)*AG$14 +(AG$414-AG$411))</f>
        <v>3.5380432664162926</v>
      </c>
      <c r="AH200" s="7">
        <f ca="1">IF(AH$6=OFFSET(Assumptions!$B$8,0,$C$1),AVERAGE(AE$200/(AE$200+AE$201),AF$200/(AF$200+AF$201),AG$200/(AG$200+AG$201)),AG$200/(AG$200+AG$201))*(IF(AH$6=OFFSET(Assumptions!$B$8,0,$C$1),AVERAGE((AE$200+AE$201-(AE$414-AE$411))/AE$14,(AF$200+AF$201-(AF$414-AF$411))/AF$14,(AG$200+AG$201-(AG$414-AG$411))/AG$14),(AG$200+AG$201-(AG$414-AG$411))/AG$14)*AH$14 +(AH$414-AH$411))</f>
        <v>3.6554123487121539</v>
      </c>
      <c r="AI200" s="7">
        <f ca="1">IF(AI$6=OFFSET(Assumptions!$B$8,0,$C$1),AVERAGE(AF$200/(AF$200+AF$201),AG$200/(AG$200+AG$201),AH$200/(AH$200+AH$201)),AH$200/(AH$200+AH$201))*(IF(AI$6=OFFSET(Assumptions!$B$8,0,$C$1),AVERAGE((AF$200+AF$201-(AF$414-AF$411))/AF$14,(AG$200+AG$201-(AG$414-AG$411))/AG$14,(AH$200+AH$201-(AH$414-AH$411))/AH$14),(AH$200+AH$201-(AH$414-AH$411))/AH$14)*AI$14 +(AI$414-AI$411))</f>
        <v>3.77835977875201</v>
      </c>
      <c r="AJ200" s="7">
        <f ca="1">IF(AJ$6=OFFSET(Assumptions!$B$8,0,$C$1),AVERAGE(AG$200/(AG$200+AG$201),AH$200/(AH$200+AH$201),AI$200/(AI$200+AI$201)),AI$200/(AI$200+AI$201))*(IF(AJ$6=OFFSET(Assumptions!$B$8,0,$C$1),AVERAGE((AG$200+AG$201-(AG$414-AG$411))/AG$14,(AH$200+AH$201-(AH$414-AH$411))/AH$14,(AI$200+AI$201-(AI$414-AI$411))/AI$14),(AI$200+AI$201-(AI$414-AI$411))/AI$14)*AJ$14 +(AJ$414-AJ$411))</f>
        <v>3.9070854921182856</v>
      </c>
      <c r="AK200" s="7">
        <f ca="1">IF(AK$6=OFFSET(Assumptions!$B$8,0,$C$1),AVERAGE(AH$200/(AH$200+AH$201),AI$200/(AI$200+AI$201),AJ$200/(AJ$200+AJ$201)),AJ$200/(AJ$200+AJ$201))*(IF(AK$6=OFFSET(Assumptions!$B$8,0,$C$1),AVERAGE((AH$200+AH$201-(AH$414-AH$411))/AH$14,(AI$200+AI$201-(AI$414-AI$411))/AI$14,(AJ$200+AJ$201-(AJ$414-AJ$411))/AJ$14),(AJ$200+AJ$201-(AJ$414-AJ$411))/AJ$14)*AK$14 +(AK$414-AK$411))</f>
        <v>4.0417402389102639</v>
      </c>
      <c r="AL200" s="7">
        <f ca="1">IF(AL$6=OFFSET(Assumptions!$B$8,0,$C$1),AVERAGE(AI$200/(AI$200+AI$201),AJ$200/(AJ$200+AJ$201),AK$200/(AK$200+AK$201)),AK$200/(AK$200+AK$201))*(IF(AL$6=OFFSET(Assumptions!$B$8,0,$C$1),AVERAGE((AI$200+AI$201-(AI$414-AI$411))/AI$14,(AJ$200+AJ$201-(AJ$414-AJ$411))/AJ$14,(AK$200+AK$201-(AK$414-AK$411))/AK$14),(AK$200+AK$201-(AK$414-AK$411))/AK$14)*AL$14 +(AL$414-AL$411))</f>
        <v>4.1824615171972663</v>
      </c>
      <c r="AM200" s="7">
        <f ca="1">IF(AM$6=OFFSET(Assumptions!$B$8,0,$C$1),AVERAGE(AJ$200/(AJ$200+AJ$201),AK$200/(AK$200+AK$201),AL$200/(AL$200+AL$201)),AL$200/(AL$200+AL$201))*(IF(AM$6=OFFSET(Assumptions!$B$8,0,$C$1),AVERAGE((AJ$200+AJ$201-(AJ$414-AJ$411))/AJ$14,(AK$200+AK$201-(AK$414-AK$411))/AK$14,(AL$200+AL$201-(AL$414-AL$411))/AL$14),(AL$200+AL$201-(AL$414-AL$411))/AL$14)*AM$14 +(AM$414-AM$411))</f>
        <v>4.3294162491921346</v>
      </c>
      <c r="AN200" s="7">
        <f ca="1">IF(AN$6=OFFSET(Assumptions!$B$8,0,$C$1),AVERAGE(AK$200/(AK$200+AK$201),AL$200/(AL$200+AL$201),AM$200/(AM$200+AM$201)),AM$200/(AM$200+AM$201))*(IF(AN$6=OFFSET(Assumptions!$B$8,0,$C$1),AVERAGE((AK$200+AK$201-(AK$414-AK$411))/AK$14,(AL$200+AL$201-(AL$414-AL$411))/AL$14,(AM$200+AM$201-(AM$414-AM$411))/AM$14),(AM$200+AM$201-(AM$414-AM$411))/AM$14)*AN$14 +(AN$414-AN$411))</f>
        <v>4.4827812763523553</v>
      </c>
      <c r="AO200" s="7">
        <f ca="1">IF(AO$6=OFFSET(Assumptions!$B$8,0,$C$1),AVERAGE(AL$200/(AL$200+AL$201),AM$200/(AM$200+AM$201),AN$200/(AN$200+AN$201)),AN$200/(AN$200+AN$201))*(IF(AO$6=OFFSET(Assumptions!$B$8,0,$C$1),AVERAGE((AL$200+AL$201-(AL$414-AL$411))/AL$14,(AM$200+AM$201-(AM$414-AM$411))/AM$14,(AN$200+AN$201-(AN$414-AN$411))/AN$14),(AN$200+AN$201-(AN$414-AN$411))/AN$14)*AO$14 +(AO$414-AO$411))</f>
        <v>4.6426301349226238</v>
      </c>
      <c r="AP200" s="7">
        <f ca="1">IF(AP$6=OFFSET(Assumptions!$B$8,0,$C$1),AVERAGE(AM$200/(AM$200+AM$201),AN$200/(AN$200+AN$201),AO$200/(AO$200+AO$201)),AO$200/(AO$200+AO$201))*(IF(AP$6=OFFSET(Assumptions!$B$8,0,$C$1),AVERAGE((AM$200+AM$201-(AM$414-AM$411))/AM$14,(AN$200+AN$201-(AN$414-AN$411))/AN$14,(AO$200+AO$201-(AO$414-AO$411))/AO$14),(AO$200+AO$201-(AO$414-AO$411))/AO$14)*AP$14 +(AP$414-AP$411))</f>
        <v>4.8091663053589286</v>
      </c>
      <c r="AQ200" s="7">
        <f ca="1">IF(AQ$6=OFFSET(Assumptions!$B$8,0,$C$1),AVERAGE(AN$200/(AN$200+AN$201),AO$200/(AO$200+AO$201),AP$200/(AP$200+AP$201)),AP$200/(AP$200+AP$201))*(IF(AQ$6=OFFSET(Assumptions!$B$8,0,$C$1),AVERAGE((AN$200+AN$201-(AN$414-AN$411))/AN$14,(AO$200+AO$201-(AO$414-AO$411))/AO$14,(AP$200+AP$201-(AP$414-AP$411))/AP$14),(AP$200+AP$201-(AP$414-AP$411))/AP$14)*AQ$14 +(AQ$414-AQ$411))</f>
        <v>4.9824786826728209</v>
      </c>
      <c r="AR200" s="7">
        <f ca="1">IF(AR$6=OFFSET(Assumptions!$B$8,0,$C$1),AVERAGE(AO$200/(AO$200+AO$201),AP$200/(AP$200+AP$201),AQ$200/(AQ$200+AQ$201)),AQ$200/(AQ$200+AQ$201))*(IF(AR$6=OFFSET(Assumptions!$B$8,0,$C$1),AVERAGE((AO$200+AO$201-(AO$414-AO$411))/AO$14,(AP$200+AP$201-(AP$414-AP$411))/AP$14,(AQ$200+AQ$201-(AQ$414-AQ$411))/AQ$14),(AQ$200+AQ$201-(AQ$414-AQ$411))/AQ$14)*AR$14 +(AR$414-AR$411))</f>
        <v>5.1627093936539152</v>
      </c>
      <c r="AS200" s="7">
        <f ca="1">IF(AS$6=OFFSET(Assumptions!$B$8,0,$C$1),AVERAGE(AP$200/(AP$200+AP$201),AQ$200/(AQ$200+AQ$201),AR$200/(AR$200+AR$201)),AR$200/(AR$200+AR$201))*(IF(AS$6=OFFSET(Assumptions!$B$8,0,$C$1),AVERAGE((AP$200+AP$201-(AP$414-AP$411))/AP$14,(AQ$200+AQ$201-(AQ$414-AQ$411))/AQ$14,(AR$200+AR$201-(AR$414-AR$411))/AR$14),(AR$200+AR$201-(AR$414-AR$411))/AR$14)*AS$14 +(AS$414-AS$411))</f>
        <v>5.3500391598739965</v>
      </c>
      <c r="AT200" s="7">
        <f ca="1">IF(AT$6=OFFSET(Assumptions!$B$8,0,$C$1),AVERAGE(AQ$200/(AQ$200+AQ$201),AR$200/(AR$200+AR$201),AS$200/(AS$200+AS$201)),AS$200/(AS$200+AS$201))*(IF(AT$6=OFFSET(Assumptions!$B$8,0,$C$1),AVERAGE((AQ$200+AQ$201-(AQ$414-AQ$411))/AQ$14,(AR$200+AR$201-(AR$414-AR$411))/AR$14,(AS$200+AS$201-(AS$414-AS$411))/AS$14),(AS$200+AS$201-(AS$414-AS$411))/AS$14)*AT$14 +(AT$414-AT$411))</f>
        <v>5.544635688055509</v>
      </c>
      <c r="AU200" s="7">
        <f ca="1">IF(AU$6=OFFSET(Assumptions!$B$8,0,$C$1),AVERAGE(AR$200/(AR$200+AR$201),AS$200/(AS$200+AS$201),AT$200/(AT$200+AT$201)),AT$200/(AT$200+AT$201))*(IF(AU$6=OFFSET(Assumptions!$B$8,0,$C$1),AVERAGE((AR$200+AR$201-(AR$414-AR$411))/AR$14,(AS$200+AS$201-(AS$414-AS$411))/AS$14,(AT$200+AT$201-(AT$414-AT$411))/AT$14),(AT$200+AT$201-(AT$414-AT$411))/AT$14)*AU$14 +(AU$414-AU$411))</f>
        <v>5.7466854246615</v>
      </c>
      <c r="AV200" s="7">
        <f ca="1">IF(AV$6=OFFSET(Assumptions!$B$8,0,$C$1),AVERAGE(AS$200/(AS$200+AS$201),AT$200/(AT$200+AT$201),AU$200/(AU$200+AU$201)),AU$200/(AU$200+AU$201))*(IF(AV$6=OFFSET(Assumptions!$B$8,0,$C$1),AVERAGE((AS$200+AS$201-(AS$414-AS$411))/AS$14,(AT$200+AT$201-(AT$414-AT$411))/AT$14,(AU$200+AU$201-(AU$414-AU$411))/AU$14),(AU$200+AU$201-(AU$414-AU$411))/AU$14)*AV$14 +(AV$414-AV$411))</f>
        <v>5.9564337332282546</v>
      </c>
      <c r="AW200" s="7">
        <f ca="1">IF(AW$6=OFFSET(Assumptions!$B$8,0,$C$1),AVERAGE(AT$200/(AT$200+AT$201),AU$200/(AU$200+AU$201),AV$200/(AV$200+AV$201)),AV$200/(AV$200+AV$201))*(IF(AW$6=OFFSET(Assumptions!$B$8,0,$C$1),AVERAGE((AT$200+AT$201-(AT$414-AT$411))/AT$14,(AU$200+AU$201-(AU$414-AU$411))/AU$14,(AV$200+AV$201-(AV$414-AV$411))/AV$14),(AV$200+AV$201-(AV$414-AV$411))/AV$14)*AW$14 +(AW$414-AW$411))</f>
        <v>6.1740635001157758</v>
      </c>
    </row>
    <row r="201" spans="1:49" x14ac:dyDescent="0.2">
      <c r="A201" s="1" t="s">
        <v>529</v>
      </c>
      <c r="B201" s="4" t="str">
        <f t="shared" si="161"/>
        <v>From Fiscal</v>
      </c>
      <c r="D201" s="18">
        <f>SUM(Fiscal!D$244:D$245)</f>
        <v>1.65</v>
      </c>
      <c r="E201" s="19">
        <f>SUM(Fiscal!E$244:E$245)</f>
        <v>1.5629999999999999</v>
      </c>
      <c r="F201" s="19">
        <f>SUM(Fiscal!F$244:F$245)</f>
        <v>1.6850000000000001</v>
      </c>
      <c r="G201" s="19">
        <f>SUM(Fiscal!G$244:G$245)</f>
        <v>1.754</v>
      </c>
      <c r="H201" s="19">
        <f>SUM(Fiscal!H$244:H$245)</f>
        <v>1.776</v>
      </c>
      <c r="I201" s="19">
        <f>SUM(Fiscal!I$244:I$245)</f>
        <v>1.7709999999999999</v>
      </c>
      <c r="J201" s="7">
        <f ca="1">IF(J$6=OFFSET(Assumptions!$B$8,0,$C$1),AVERAGE(G$201/(G$200+G$201),H$201/(H$200+H$201),I$201/(I$200+I$201)),I$201/(I$200+I$201))*(IF(J$6=OFFSET(Assumptions!$B$8,0,$C$1),AVERAGE((G$200+G$201-(G$414-G$411))/G$14,(H$200+H$201-(H$414-H$411))/H$14,(I$200+I$201-(I$414-I$411))/I$14),(I$200+I$201-(I$414-I$411))/I$14)*J$14 +(J$414-J$411))</f>
        <v>1.8314019231138312</v>
      </c>
      <c r="K201" s="7">
        <f ca="1">IF(K$6=OFFSET(Assumptions!$B$8,0,$C$1),AVERAGE(H$201/(H$200+H$201),I$201/(I$200+I$201),J$201/(J$200+J$201)),J$201/(J$200+J$201))*(IF(K$6=OFFSET(Assumptions!$B$8,0,$C$1),AVERAGE((H$200+H$201-(H$414-H$411))/H$14,(I$200+I$201-(I$414-I$411))/I$14,(J$200+J$201-(J$414-J$411))/J$14),(J$200+J$201-(J$414-J$411))/J$14)*K$14 +(K$414-K$411))</f>
        <v>1.8521978864719604</v>
      </c>
      <c r="L201" s="7">
        <f ca="1">IF(L$6=OFFSET(Assumptions!$B$8,0,$C$1),AVERAGE(I$201/(I$200+I$201),J$201/(J$200+J$201),K$201/(K$200+K$201)),K$201/(K$200+K$201))*(IF(L$6=OFFSET(Assumptions!$B$8,0,$C$1),AVERAGE((I$200+I$201-(I$414-I$411))/I$14,(J$200+J$201-(J$414-J$411))/J$14,(K$200+K$201-(K$414-K$411))/K$14),(K$200+K$201-(K$414-K$411))/K$14)*L$14 +(L$414-L$411))</f>
        <v>1.8767977807655922</v>
      </c>
      <c r="M201" s="7">
        <f ca="1">IF(M$6=OFFSET(Assumptions!$B$8,0,$C$1),AVERAGE(J$201/(J$200+J$201),K$201/(K$200+K$201),L$201/(L$200+L$201)),L$201/(L$200+L$201))*(IF(M$6=OFFSET(Assumptions!$B$8,0,$C$1),AVERAGE((J$200+J$201-(J$414-J$411))/J$14,(K$200+K$201-(K$414-K$411))/K$14,(L$200+L$201-(L$414-L$411))/L$14),(L$200+L$201-(L$414-L$411))/L$14)*M$14 +(M$414-M$411))</f>
        <v>1.9044153654774418</v>
      </c>
      <c r="N201" s="7">
        <f ca="1">IF(N$6=OFFSET(Assumptions!$B$8,0,$C$1),AVERAGE(K$201/(K$200+K$201),L$201/(L$200+L$201),M$201/(M$200+M$201)),M$201/(M$200+M$201))*(IF(N$6=OFFSET(Assumptions!$B$8,0,$C$1),AVERAGE((K$200+K$201-(K$414-K$411))/K$14,(L$200+L$201-(L$414-L$411))/L$14,(M$200+M$201-(M$414-M$411))/M$14),(M$200+M$201-(M$414-M$411))/M$14)*N$14 +(N$414-N$411))</f>
        <v>1.9351053340626994</v>
      </c>
      <c r="O201" s="7">
        <f ca="1">IF(O$6=OFFSET(Assumptions!$B$8,0,$C$1),AVERAGE(L$201/(L$200+L$201),M$201/(M$200+M$201),N$201/(N$200+N$201)),N$201/(N$200+N$201))*(IF(O$6=OFFSET(Assumptions!$B$8,0,$C$1),AVERAGE((L$200+L$201-(L$414-L$411))/L$14,(M$200+M$201-(M$414-M$411))/M$14,(N$200+N$201-(N$414-N$411))/N$14),(N$200+N$201-(N$414-N$411))/N$14)*O$14 +(O$414-O$411))</f>
        <v>1.9688574056497274</v>
      </c>
      <c r="P201" s="7">
        <f ca="1">IF(P$6=OFFSET(Assumptions!$B$8,0,$C$1),AVERAGE(M$201/(M$200+M$201),N$201/(N$200+N$201),O$201/(O$200+O$201)),O$201/(O$200+O$201))*(IF(P$6=OFFSET(Assumptions!$B$8,0,$C$1),AVERAGE((M$200+M$201-(M$414-M$411))/M$14,(N$200+N$201-(N$414-N$411))/N$14,(O$200+O$201-(O$414-O$411))/O$14),(O$200+O$201-(O$414-O$411))/O$14)*P$14 +(P$414-P$411))</f>
        <v>2.0056978021909888</v>
      </c>
      <c r="Q201" s="7">
        <f ca="1">IF(Q$6=OFFSET(Assumptions!$B$8,0,$C$1),AVERAGE(N$201/(N$200+N$201),O$201/(O$200+O$201),P$201/(P$200+P$201)),P$201/(P$200+P$201))*(IF(Q$6=OFFSET(Assumptions!$B$8,0,$C$1),AVERAGE((N$200+N$201-(N$414-N$411))/N$14,(O$200+O$201-(O$414-O$411))/O$14,(P$200+P$201-(P$414-P$411))/P$14),(P$200+P$201-(P$414-P$411))/P$14)*Q$14 +(Q$414-Q$411))</f>
        <v>2.0456419345633585</v>
      </c>
      <c r="R201" s="7">
        <f ca="1">IF(R$6=OFFSET(Assumptions!$B$8,0,$C$1),AVERAGE(O$201/(O$200+O$201),P$201/(P$200+P$201),Q$201/(Q$200+Q$201)),Q$201/(Q$200+Q$201))*(IF(R$6=OFFSET(Assumptions!$B$8,0,$C$1),AVERAGE((O$200+O$201-(O$414-O$411))/O$14,(P$200+P$201-(P$414-P$411))/P$14,(Q$200+Q$201-(Q$414-Q$411))/Q$14),(Q$200+Q$201-(Q$414-Q$411))/Q$14)*R$14 +(R$414-R$411))</f>
        <v>2.0887026579340335</v>
      </c>
      <c r="S201" s="7">
        <f ca="1">IF(S$6=OFFSET(Assumptions!$B$8,0,$C$1),AVERAGE(P$201/(P$200+P$201),Q$201/(Q$200+Q$201),R$201/(R$200+R$201)),R$201/(R$200+R$201))*(IF(S$6=OFFSET(Assumptions!$B$8,0,$C$1),AVERAGE((P$200+P$201-(P$414-P$411))/P$14,(Q$200+Q$201-(Q$414-Q$411))/Q$14,(R$200+R$201-(R$414-R$411))/R$14),(R$200+R$201-(R$414-R$411))/R$14)*S$14 +(S$414-S$411))</f>
        <v>2.1349217547735639</v>
      </c>
      <c r="T201" s="7">
        <f ca="1">IF(T$6=OFFSET(Assumptions!$B$8,0,$C$1),AVERAGE(Q$201/(Q$200+Q$201),R$201/(R$200+R$201),S$201/(S$200+S$201)),S$201/(S$200+S$201))*(IF(T$6=OFFSET(Assumptions!$B$8,0,$C$1),AVERAGE((Q$200+Q$201-(Q$414-Q$411))/Q$14,(R$200+R$201-(R$414-R$411))/R$14,(S$200+S$201-(S$414-S$411))/S$14),(S$200+S$201-(S$414-S$411))/S$14)*T$14 +(T$414-T$411))</f>
        <v>2.1843301598104397</v>
      </c>
      <c r="U201" s="7">
        <f ca="1">IF(U$6=OFFSET(Assumptions!$B$8,0,$C$1),AVERAGE(R$201/(R$200+R$201),S$201/(S$200+S$201),T$201/(T$200+T$201)),T$201/(T$200+T$201))*(IF(U$6=OFFSET(Assumptions!$B$8,0,$C$1),AVERAGE((R$200+R$201-(R$414-R$411))/R$14,(S$200+S$201-(S$414-S$411))/S$14,(T$200+T$201-(T$414-T$411))/T$14),(T$200+T$201-(T$414-T$411))/T$14)*U$14 +(U$414-U$411))</f>
        <v>2.2369881093470454</v>
      </c>
      <c r="V201" s="7">
        <f ca="1">IF(V$6=OFFSET(Assumptions!$B$8,0,$C$1),AVERAGE(S$201/(S$200+S$201),T$201/(T$200+T$201),U$201/(U$200+U$201)),U$201/(U$200+U$201))*(IF(V$6=OFFSET(Assumptions!$B$8,0,$C$1),AVERAGE((S$200+S$201-(S$414-S$411))/S$14,(T$200+T$201-(T$414-T$411))/T$14,(U$200+U$201-(U$414-U$411))/U$14),(U$200+U$201-(U$414-U$411))/U$14)*V$14 +(V$414-V$411))</f>
        <v>2.2929613436966187</v>
      </c>
      <c r="W201" s="7">
        <f ca="1">IF(W$6=OFFSET(Assumptions!$B$8,0,$C$1),AVERAGE(T$201/(T$200+T$201),U$201/(U$200+U$201),V$201/(V$200+V$201)),V$201/(V$200+V$201))*(IF(W$6=OFFSET(Assumptions!$B$8,0,$C$1),AVERAGE((T$200+T$201-(T$414-T$411))/T$14,(U$200+U$201-(U$414-U$411))/U$14,(V$200+V$201-(V$414-V$411))/V$14),(V$200+V$201-(V$414-V$411))/V$14)*W$14 +(W$414-W$411))</f>
        <v>2.3523301242662984</v>
      </c>
      <c r="X201" s="7">
        <f ca="1">IF(X$6=OFFSET(Assumptions!$B$8,0,$C$1),AVERAGE(U$201/(U$200+U$201),V$201/(V$200+V$201),W$201/(W$200+W$201)),W$201/(W$200+W$201))*(IF(X$6=OFFSET(Assumptions!$B$8,0,$C$1),AVERAGE((U$200+U$201-(U$414-U$411))/U$14,(V$200+V$201-(V$414-V$411))/V$14,(W$200+W$201-(W$414-W$411))/W$14),(W$200+W$201-(W$414-W$411))/W$14)*X$14 +(X$414-X$411))</f>
        <v>2.4151900979149969</v>
      </c>
      <c r="Y201" s="7">
        <f ca="1">IF(Y$6=OFFSET(Assumptions!$B$8,0,$C$1),AVERAGE(V$201/(V$200+V$201),W$201/(W$200+W$201),X$201/(X$200+X$201)),X$201/(X$200+X$201))*(IF(Y$6=OFFSET(Assumptions!$B$8,0,$C$1),AVERAGE((V$200+V$201-(V$414-V$411))/V$14,(W$200+W$201-(W$414-W$411))/W$14,(X$200+X$201-(X$414-X$411))/X$14),(X$200+X$201-(X$414-X$411))/X$14)*Y$14 +(Y$414-Y$411))</f>
        <v>2.4816177830364792</v>
      </c>
      <c r="Z201" s="7">
        <f ca="1">IF(Z$6=OFFSET(Assumptions!$B$8,0,$C$1),AVERAGE(W$201/(W$200+W$201),X$201/(X$200+X$201),Y$201/(Y$200+Y$201)),Y$201/(Y$200+Y$201))*(IF(Z$6=OFFSET(Assumptions!$B$8,0,$C$1),AVERAGE((W$200+W$201-(W$414-W$411))/W$14,(X$200+X$201-(X$414-X$411))/X$14,(Y$200+Y$201-(Y$414-Y$411))/Y$14),(Y$200+Y$201-(Y$414-Y$411))/Y$14)*Z$14 +(Z$414-Z$411))</f>
        <v>2.5517411823987213</v>
      </c>
      <c r="AA201" s="7">
        <f ca="1">IF(AA$6=OFFSET(Assumptions!$B$8,0,$C$1),AVERAGE(X$201/(X$200+X$201),Y$201/(Y$200+Y$201),Z$201/(Z$200+Z$201)),Z$201/(Z$200+Z$201))*(IF(AA$6=OFFSET(Assumptions!$B$8,0,$C$1),AVERAGE((X$200+X$201-(X$414-X$411))/X$14,(Y$200+Y$201-(Y$414-Y$411))/Y$14,(Z$200+Z$201-(Z$414-Z$411))/Z$14),(Z$200+Z$201-(Z$414-Z$411))/Z$14)*AA$14 +(AA$414-AA$411))</f>
        <v>2.6256763289169367</v>
      </c>
      <c r="AB201" s="7">
        <f ca="1">IF(AB$6=OFFSET(Assumptions!$B$8,0,$C$1),AVERAGE(Y$201/(Y$200+Y$201),Z$201/(Z$200+Z$201),AA$201/(AA$200+AA$201)),AA$201/(AA$200+AA$201))*(IF(AB$6=OFFSET(Assumptions!$B$8,0,$C$1),AVERAGE((Y$200+Y$201-(Y$414-Y$411))/Y$14,(Z$200+Z$201-(Z$414-Z$411))/Z$14,(AA$200+AA$201-(AA$414-AA$411))/AA$14),(AA$200+AA$201-(AA$414-AA$411))/AA$14)*AB$14 +(AB$414-AB$411))</f>
        <v>2.7035612458875518</v>
      </c>
      <c r="AC201" s="7">
        <f ca="1">IF(AC$6=OFFSET(Assumptions!$B$8,0,$C$1),AVERAGE(Z$201/(Z$200+Z$201),AA$201/(AA$200+AA$201),AB$201/(AB$200+AB$201)),AB$201/(AB$200+AB$201))*(IF(AC$6=OFFSET(Assumptions!$B$8,0,$C$1),AVERAGE((Z$200+Z$201-(Z$414-Z$411))/Z$14,(AA$200+AA$201-(AA$414-AA$411))/AA$14,(AB$200+AB$201-(AB$414-AB$411))/AB$14),(AB$200+AB$201-(AB$414-AB$411))/AB$14)*AC$14 +(AC$414-AC$411))</f>
        <v>2.7855580232135084</v>
      </c>
      <c r="AD201" s="7">
        <f ca="1">IF(AD$6=OFFSET(Assumptions!$B$8,0,$C$1),AVERAGE(AA$201/(AA$200+AA$201),AB$201/(AB$200+AB$201),AC$201/(AC$200+AC$201)),AC$201/(AC$200+AC$201))*(IF(AD$6=OFFSET(Assumptions!$B$8,0,$C$1),AVERAGE((AA$200+AA$201-(AA$414-AA$411))/AA$14,(AB$200+AB$201-(AB$414-AB$411))/AB$14,(AC$200+AC$201-(AC$414-AC$411))/AC$14),(AC$200+AC$201-(AC$414-AC$411))/AC$14)*AD$14 +(AD$414-AD$411))</f>
        <v>2.8718148990158157</v>
      </c>
      <c r="AE201" s="7">
        <f ca="1">IF(AE$6=OFFSET(Assumptions!$B$8,0,$C$1),AVERAGE(AB$201/(AB$200+AB$201),AC$201/(AC$200+AC$201),AD$201/(AD$200+AD$201)),AD$201/(AD$200+AD$201))*(IF(AE$6=OFFSET(Assumptions!$B$8,0,$C$1),AVERAGE((AB$200+AB$201-(AB$414-AB$411))/AB$14,(AC$200+AC$201-(AC$414-AC$411))/AC$14,(AD$200+AD$201-(AD$414-AD$411))/AD$14),(AD$200+AD$201-(AD$414-AD$411))/AD$14)*AE$14 +(AE$414-AE$411))</f>
        <v>2.9624566899669018</v>
      </c>
      <c r="AF201" s="7">
        <f ca="1">IF(AF$6=OFFSET(Assumptions!$B$8,0,$C$1),AVERAGE(AC$201/(AC$200+AC$201),AD$201/(AD$200+AD$201),AE$201/(AE$200+AE$201)),AE$201/(AE$200+AE$201))*(IF(AF$6=OFFSET(Assumptions!$B$8,0,$C$1),AVERAGE((AC$200+AC$201-(AC$414-AC$411))/AC$14,(AD$200+AD$201-(AD$414-AD$411))/AD$14,(AE$200+AE$201-(AE$414-AE$411))/AE$14),(AE$200+AE$201-(AE$414-AE$411))/AE$14)*AF$14 +(AF$414-AF$411))</f>
        <v>3.057647029268372</v>
      </c>
      <c r="AG201" s="7">
        <f ca="1">IF(AG$6=OFFSET(Assumptions!$B$8,0,$C$1),AVERAGE(AD$201/(AD$200+AD$201),AE$201/(AE$200+AE$201),AF$201/(AF$200+AF$201)),AF$201/(AF$200+AF$201))*(IF(AG$6=OFFSET(Assumptions!$B$8,0,$C$1),AVERAGE((AD$200+AD$201-(AD$414-AD$411))/AD$14,(AE$200+AE$201-(AE$414-AE$411))/AE$14,(AF$200+AF$201-(AF$414-AF$411))/AF$14),(AF$200+AF$201-(AF$414-AF$411))/AF$14)*AG$14 +(AG$414-AG$411))</f>
        <v>3.1575339774468705</v>
      </c>
      <c r="AH201" s="7">
        <f ca="1">IF(AH$6=OFFSET(Assumptions!$B$8,0,$C$1),AVERAGE(AE$201/(AE$200+AE$201),AF$201/(AF$200+AF$201),AG$201/(AG$200+AG$201)),AG$201/(AG$200+AG$201))*(IF(AH$6=OFFSET(Assumptions!$B$8,0,$C$1),AVERAGE((AE$200+AE$201-(AE$414-AE$411))/AE$14,(AF$200+AF$201-(AF$414-AF$411))/AF$14,(AG$200+AG$201-(AG$414-AG$411))/AG$14),(AG$200+AG$201-(AG$414-AG$411))/AG$14)*AH$14 +(AH$414-AH$411))</f>
        <v>3.2622802559247819</v>
      </c>
      <c r="AI201" s="7">
        <f ca="1">IF(AI$6=OFFSET(Assumptions!$B$8,0,$C$1),AVERAGE(AF$201/(AF$200+AF$201),AG$201/(AG$200+AG$201),AH$201/(AH$200+AH$201)),AH$201/(AH$200+AH$201))*(IF(AI$6=OFFSET(Assumptions!$B$8,0,$C$1),AVERAGE((AF$200+AF$201-(AF$414-AF$411))/AF$14,(AG$200+AG$201-(AG$414-AG$411))/AG$14,(AH$200+AH$201-(AH$414-AH$411))/AH$14),(AH$200+AH$201-(AH$414-AH$411))/AH$14)*AI$14 +(AI$414-AI$411))</f>
        <v>3.3720049423003213</v>
      </c>
      <c r="AJ201" s="7">
        <f ca="1">IF(AJ$6=OFFSET(Assumptions!$B$8,0,$C$1),AVERAGE(AG$201/(AG$200+AG$201),AH$201/(AH$200+AH$201),AI$201/(AI$200+AI$201)),AI$201/(AI$200+AI$201))*(IF(AJ$6=OFFSET(Assumptions!$B$8,0,$C$1),AVERAGE((AG$200+AG$201-(AG$414-AG$411))/AG$14,(AH$200+AH$201-(AH$414-AH$411))/AH$14,(AI$200+AI$201-(AI$414-AI$411))/AI$14),(AI$200+AI$201-(AI$414-AI$411))/AI$14)*AJ$14 +(AJ$414-AJ$411))</f>
        <v>3.4868864694945336</v>
      </c>
      <c r="AK201" s="7">
        <f ca="1">IF(AK$6=OFFSET(Assumptions!$B$8,0,$C$1),AVERAGE(AH$201/(AH$200+AH$201),AI$201/(AI$200+AI$201),AJ$201/(AJ$200+AJ$201)),AJ$201/(AJ$200+AJ$201))*(IF(AK$6=OFFSET(Assumptions!$B$8,0,$C$1),AVERAGE((AH$200+AH$201-(AH$414-AH$411))/AH$14,(AI$200+AI$201-(AI$414-AI$411))/AI$14,(AJ$200+AJ$201-(AJ$414-AJ$411))/AJ$14),(AJ$200+AJ$201-(AJ$414-AJ$411))/AJ$14)*AK$14 +(AK$414-AK$411))</f>
        <v>3.6070593747430442</v>
      </c>
      <c r="AL201" s="7">
        <f ca="1">IF(AL$6=OFFSET(Assumptions!$B$8,0,$C$1),AVERAGE(AI$201/(AI$200+AI$201),AJ$201/(AJ$200+AJ$201),AK$201/(AK$200+AK$201)),AK$201/(AK$200+AK$201))*(IF(AL$6=OFFSET(Assumptions!$B$8,0,$C$1),AVERAGE((AI$200+AI$201-(AI$414-AI$411))/AI$14,(AJ$200+AJ$201-(AJ$414-AJ$411))/AJ$14,(AK$200+AK$201-(AK$414-AK$411))/AK$14),(AK$200+AK$201-(AK$414-AK$411))/AK$14)*AL$14 +(AL$414-AL$411))</f>
        <v>3.7326463684801308</v>
      </c>
      <c r="AM201" s="7">
        <f ca="1">IF(AM$6=OFFSET(Assumptions!$B$8,0,$C$1),AVERAGE(AJ$201/(AJ$200+AJ$201),AK$201/(AK$200+AK$201),AL$201/(AL$200+AL$201)),AL$201/(AL$200+AL$201))*(IF(AM$6=OFFSET(Assumptions!$B$8,0,$C$1),AVERAGE((AJ$200+AJ$201-(AJ$414-AJ$411))/AJ$14,(AK$200+AK$201-(AK$414-AK$411))/AK$14,(AL$200+AL$201-(AL$414-AL$411))/AL$14),(AL$200+AL$201-(AL$414-AL$411))/AL$14)*AM$14 +(AM$414-AM$411))</f>
        <v>3.8637964207773714</v>
      </c>
      <c r="AN201" s="7">
        <f ca="1">IF(AN$6=OFFSET(Assumptions!$B$8,0,$C$1),AVERAGE(AK$201/(AK$200+AK$201),AL$201/(AL$200+AL$201),AM$201/(AM$200+AM$201)),AM$201/(AM$200+AM$201))*(IF(AN$6=OFFSET(Assumptions!$B$8,0,$C$1),AVERAGE((AK$200+AK$201-(AK$414-AK$411))/AK$14,(AL$200+AL$201-(AL$414-AL$411))/AL$14,(AM$200+AM$201-(AM$414-AM$411))/AM$14),(AM$200+AM$201-(AM$414-AM$411))/AM$14)*AN$14 +(AN$414-AN$411))</f>
        <v>4.0006673541565902</v>
      </c>
      <c r="AO201" s="7">
        <f ca="1">IF(AO$6=OFFSET(Assumptions!$B$8,0,$C$1),AVERAGE(AL$201/(AL$200+AL$201),AM$201/(AM$200+AM$201),AN$201/(AN$200+AN$201)),AN$201/(AN$200+AN$201))*(IF(AO$6=OFFSET(Assumptions!$B$8,0,$C$1),AVERAGE((AL$200+AL$201-(AL$414-AL$411))/AL$14,(AM$200+AM$201-(AM$414-AM$411))/AM$14,(AN$200+AN$201-(AN$414-AN$411))/AN$14),(AN$200+AN$201-(AN$414-AN$411))/AN$14)*AO$14 +(AO$414-AO$411))</f>
        <v>4.1433247961903517</v>
      </c>
      <c r="AP201" s="7">
        <f ca="1">IF(AP$6=OFFSET(Assumptions!$B$8,0,$C$1),AVERAGE(AM$201/(AM$200+AM$201),AN$201/(AN$200+AN$201),AO$201/(AO$200+AO$201)),AO$201/(AO$200+AO$201))*(IF(AP$6=OFFSET(Assumptions!$B$8,0,$C$1),AVERAGE((AM$200+AM$201-(AM$414-AM$411))/AM$14,(AN$200+AN$201-(AN$414-AN$411))/AN$14,(AO$200+AO$201-(AO$414-AO$411))/AO$14),(AO$200+AO$201-(AO$414-AO$411))/AO$14)*AP$14 +(AP$414-AP$411))</f>
        <v>4.2919503434293897</v>
      </c>
      <c r="AQ201" s="7">
        <f ca="1">IF(AQ$6=OFFSET(Assumptions!$B$8,0,$C$1),AVERAGE(AN$201/(AN$200+AN$201),AO$201/(AO$200+AO$201),AP$201/(AP$200+AP$201)),AP$201/(AP$200+AP$201))*(IF(AQ$6=OFFSET(Assumptions!$B$8,0,$C$1),AVERAGE((AN$200+AN$201-(AN$414-AN$411))/AN$14,(AO$200+AO$201-(AO$414-AO$411))/AO$14,(AP$200+AP$201-(AP$414-AP$411))/AP$14),(AP$200+AP$201-(AP$414-AP$411))/AP$14)*AQ$14 +(AQ$414-AQ$411))</f>
        <v>4.4466233304092837</v>
      </c>
      <c r="AR201" s="7">
        <f ca="1">IF(AR$6=OFFSET(Assumptions!$B$8,0,$C$1),AVERAGE(AO$201/(AO$200+AO$201),AP$201/(AP$200+AP$201),AQ$201/(AQ$200+AQ$201)),AQ$201/(AQ$200+AQ$201))*(IF(AR$6=OFFSET(Assumptions!$B$8,0,$C$1),AVERAGE((AO$200+AO$201-(AO$414-AO$411))/AO$14,(AP$200+AP$201-(AP$414-AP$411))/AP$14,(AQ$200+AQ$201-(AQ$414-AQ$411))/AQ$14),(AQ$200+AQ$201-(AQ$414-AQ$411))/AQ$14)*AR$14 +(AR$414-AR$411))</f>
        <v>4.6074705984752393</v>
      </c>
      <c r="AS201" s="7">
        <f ca="1">IF(AS$6=OFFSET(Assumptions!$B$8,0,$C$1),AVERAGE(AP$201/(AP$200+AP$201),AQ$201/(AQ$200+AQ$201),AR$201/(AR$200+AR$201)),AR$201/(AR$200+AR$201))*(IF(AS$6=OFFSET(Assumptions!$B$8,0,$C$1),AVERAGE((AP$200+AP$201-(AP$414-AP$411))/AP$14,(AQ$200+AQ$201-(AQ$414-AQ$411))/AQ$14,(AR$200+AR$201-(AR$414-AR$411))/AR$14),(AR$200+AR$201-(AR$414-AR$411))/AR$14)*AS$14 +(AS$414-AS$411))</f>
        <v>4.7746534329650556</v>
      </c>
      <c r="AT201" s="7">
        <f ca="1">IF(AT$6=OFFSET(Assumptions!$B$8,0,$C$1),AVERAGE(AQ$201/(AQ$200+AQ$201),AR$201/(AR$200+AR$201),AS$201/(AS$200+AS$201)),AS$201/(AS$200+AS$201))*(IF(AT$6=OFFSET(Assumptions!$B$8,0,$C$1),AVERAGE((AQ$200+AQ$201-(AQ$414-AQ$411))/AQ$14,(AR$200+AR$201-(AR$414-AR$411))/AR$14,(AS$200+AS$201-(AS$414-AS$411))/AS$14),(AS$200+AS$201-(AS$414-AS$411))/AS$14)*AT$14 +(AT$414-AT$411))</f>
        <v>4.9483215040875148</v>
      </c>
      <c r="AU201" s="7">
        <f ca="1">IF(AU$6=OFFSET(Assumptions!$B$8,0,$C$1),AVERAGE(AR$201/(AR$200+AR$201),AS$201/(AS$200+AS$201),AT$201/(AT$200+AT$201)),AT$201/(AT$200+AT$201))*(IF(AU$6=OFFSET(Assumptions!$B$8,0,$C$1),AVERAGE((AR$200+AR$201-(AR$414-AR$411))/AR$14,(AS$200+AS$201-(AS$414-AS$411))/AS$14,(AT$200+AT$201-(AT$414-AT$411))/AT$14),(AT$200+AT$201-(AT$414-AT$411))/AT$14)*AU$14 +(AU$414-AU$411))</f>
        <v>5.128641206371376</v>
      </c>
      <c r="AV201" s="7">
        <f ca="1">IF(AV$6=OFFSET(Assumptions!$B$8,0,$C$1),AVERAGE(AS$201/(AS$200+AS$201),AT$201/(AT$200+AT$201),AU$201/(AU$200+AU$201)),AU$201/(AU$200+AU$201))*(IF(AV$6=OFFSET(Assumptions!$B$8,0,$C$1),AVERAGE((AS$200+AS$201-(AS$414-AS$411))/AS$14,(AT$200+AT$201-(AT$414-AT$411))/AT$14,(AU$200+AU$201-(AU$414-AU$411))/AU$14),(AU$200+AU$201-(AU$414-AU$411))/AU$14)*AV$14 +(AV$414-AV$411))</f>
        <v>5.3158315150083792</v>
      </c>
      <c r="AW201" s="7">
        <f ca="1">IF(AW$6=OFFSET(Assumptions!$B$8,0,$C$1),AVERAGE(AT$201/(AT$200+AT$201),AU$201/(AU$200+AU$201),AV$201/(AV$200+AV$201)),AV$201/(AV$200+AV$201))*(IF(AW$6=OFFSET(Assumptions!$B$8,0,$C$1),AVERAGE((AT$200+AT$201-(AT$414-AT$411))/AT$14,(AU$200+AU$201-(AU$414-AU$411))/AU$14,(AV$200+AV$201-(AV$414-AV$411))/AV$14),(AV$200+AV$201-(AV$414-AV$411))/AV$14)*AW$14 +(AW$414-AW$411))</f>
        <v>5.5100556473060127</v>
      </c>
    </row>
    <row r="202" spans="1:49" ht="15" x14ac:dyDescent="0.25">
      <c r="A202" s="2" t="s">
        <v>532</v>
      </c>
      <c r="D202" s="40">
        <f t="shared" ref="D202" si="162">SUM(D$199:D$201)</f>
        <v>4.8420000000000005</v>
      </c>
      <c r="E202" s="39">
        <f>SUM(E$199:E$201)</f>
        <v>4.875</v>
      </c>
      <c r="F202" s="39">
        <f t="shared" ref="F202:I202" si="163">SUM(F$199:F$201)</f>
        <v>5.2</v>
      </c>
      <c r="G202" s="39">
        <f t="shared" si="163"/>
        <v>5.3520000000000003</v>
      </c>
      <c r="H202" s="39">
        <f t="shared" si="163"/>
        <v>5.5049999999999999</v>
      </c>
      <c r="I202" s="39">
        <f t="shared" si="163"/>
        <v>5.6020000000000003</v>
      </c>
      <c r="J202" s="43">
        <f t="shared" ref="J202:AW202" ca="1" si="164">SUM(J$199:J$201)</f>
        <v>5.7309008237348209</v>
      </c>
      <c r="K202" s="43">
        <f t="shared" ca="1" si="164"/>
        <v>5.8542584144870098</v>
      </c>
      <c r="L202" s="43">
        <f t="shared" ca="1" si="164"/>
        <v>5.989600533959198</v>
      </c>
      <c r="M202" s="43">
        <f t="shared" ca="1" si="164"/>
        <v>6.1348878206663375</v>
      </c>
      <c r="N202" s="43">
        <f t="shared" ca="1" si="164"/>
        <v>6.2903326753661215</v>
      </c>
      <c r="O202" s="43">
        <f t="shared" ca="1" si="164"/>
        <v>6.4559188870465753</v>
      </c>
      <c r="P202" s="43">
        <f t="shared" ca="1" si="164"/>
        <v>6.6317224993020334</v>
      </c>
      <c r="Q202" s="43">
        <f t="shared" ca="1" si="164"/>
        <v>6.8178775435408188</v>
      </c>
      <c r="R202" s="43">
        <f t="shared" ca="1" si="164"/>
        <v>7.0144462144135566</v>
      </c>
      <c r="S202" s="43">
        <f t="shared" ca="1" si="164"/>
        <v>7.2216927988244732</v>
      </c>
      <c r="T202" s="43">
        <f t="shared" ca="1" si="164"/>
        <v>7.4398270911186817</v>
      </c>
      <c r="U202" s="43">
        <f t="shared" ca="1" si="164"/>
        <v>7.6691811467522086</v>
      </c>
      <c r="V202" s="43">
        <f t="shared" ca="1" si="164"/>
        <v>7.9100445047405294</v>
      </c>
      <c r="W202" s="43">
        <f t="shared" ca="1" si="164"/>
        <v>8.1628691024650504</v>
      </c>
      <c r="X202" s="43">
        <f t="shared" ca="1" si="164"/>
        <v>8.4279833082862723</v>
      </c>
      <c r="Y202" s="43">
        <f t="shared" ca="1" si="164"/>
        <v>8.7057945899049187</v>
      </c>
      <c r="Z202" s="43">
        <f t="shared" ca="1" si="164"/>
        <v>8.9967852753682269</v>
      </c>
      <c r="AA202" s="43">
        <f t="shared" ca="1" si="164"/>
        <v>9.3015285416983478</v>
      </c>
      <c r="AB202" s="43">
        <f t="shared" ca="1" si="164"/>
        <v>9.6205628479808354</v>
      </c>
      <c r="AC202" s="43">
        <f t="shared" ca="1" si="164"/>
        <v>9.9545972220779184</v>
      </c>
      <c r="AD202" s="43">
        <f t="shared" ca="1" si="164"/>
        <v>10.304258367250918</v>
      </c>
      <c r="AE202" s="43">
        <f t="shared" ca="1" si="164"/>
        <v>10.67004533450784</v>
      </c>
      <c r="AF202" s="43">
        <f t="shared" ca="1" si="164"/>
        <v>11.052591134393488</v>
      </c>
      <c r="AG202" s="43">
        <f t="shared" ca="1" si="164"/>
        <v>11.452554892721908</v>
      </c>
      <c r="AH202" s="43">
        <f t="shared" ca="1" si="164"/>
        <v>11.870538659430977</v>
      </c>
      <c r="AI202" s="43">
        <f t="shared" ca="1" si="164"/>
        <v>12.306966153250524</v>
      </c>
      <c r="AJ202" s="43">
        <f t="shared" ca="1" si="164"/>
        <v>12.762632977507216</v>
      </c>
      <c r="AK202" s="43">
        <f t="shared" ca="1" si="164"/>
        <v>13.238048074638353</v>
      </c>
      <c r="AL202" s="43">
        <f t="shared" ca="1" si="164"/>
        <v>13.733619137377582</v>
      </c>
      <c r="AM202" s="43">
        <f t="shared" ca="1" si="164"/>
        <v>14.250000193033941</v>
      </c>
      <c r="AN202" s="43">
        <f t="shared" ca="1" si="164"/>
        <v>14.787913079122355</v>
      </c>
      <c r="AO202" s="43">
        <f t="shared" ca="1" si="164"/>
        <v>15.347420935338118</v>
      </c>
      <c r="AP202" s="43">
        <f t="shared" ca="1" si="164"/>
        <v>15.929431713173848</v>
      </c>
      <c r="AQ202" s="43">
        <f t="shared" ca="1" si="164"/>
        <v>16.53413555761739</v>
      </c>
      <c r="AR202" s="43">
        <f t="shared" ca="1" si="164"/>
        <v>17.162066621244438</v>
      </c>
      <c r="AS202" s="43">
        <f t="shared" ca="1" si="164"/>
        <v>17.813928053970319</v>
      </c>
      <c r="AT202" s="43">
        <f t="shared" ca="1" si="164"/>
        <v>18.490274672451754</v>
      </c>
      <c r="AU202" s="43">
        <f t="shared" ca="1" si="164"/>
        <v>19.191816490450503</v>
      </c>
      <c r="AV202" s="43">
        <f t="shared" ca="1" si="164"/>
        <v>19.919526086763383</v>
      </c>
      <c r="AW202" s="43">
        <f t="shared" ca="1" si="164"/>
        <v>20.674035700493633</v>
      </c>
    </row>
    <row r="203" spans="1:49" ht="15" x14ac:dyDescent="0.25">
      <c r="A203" s="2"/>
      <c r="D203" s="55"/>
      <c r="E203" s="56"/>
      <c r="F203" s="56"/>
      <c r="G203" s="56"/>
      <c r="H203" s="56"/>
      <c r="I203" s="56"/>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row>
    <row r="204" spans="1:49" x14ac:dyDescent="0.2">
      <c r="A204" s="22" t="s">
        <v>161</v>
      </c>
    </row>
    <row r="205" spans="1:49" x14ac:dyDescent="0.2">
      <c r="A205" s="1" t="s">
        <v>324</v>
      </c>
      <c r="B205" s="4" t="str">
        <f t="shared" ref="B205:B208" si="165">$B$43</f>
        <v>From Fiscal</v>
      </c>
      <c r="D205" s="18">
        <f>Fiscal!D$248</f>
        <v>36.857999999999997</v>
      </c>
      <c r="E205" s="19">
        <f ca="1">Fiscal!E$248 +IF(OR(OFFSET(Assumptions!$B$72,0,$C$1)="BU",OFFSET(Assumptions!$B$113,0,$C$1)="SND"),SUM(Allocate!C$17:C$24)-ROUND(Fiscal!E$157/SUM(Fiscal!E$157,Fiscal!E$248)*SUM(Allocate!C$17:C$24),3)+SUM(Allocate!C$14:C$16),0)</f>
        <v>38.128</v>
      </c>
      <c r="F205" s="19">
        <f ca="1">Fiscal!F$248 +IF(OR(OFFSET(Assumptions!$B$72,0,$C$1)="BU",OFFSET(Assumptions!$B$113,0,$C$1)="SND"),SUM(Allocate!D$17:D$24)-ROUND(Fiscal!F$157/SUM(Fiscal!F$157,Fiscal!F$248)*SUM(Allocate!D$17:D$24),3)+SUM(Allocate!D$14:D$16),0)</f>
        <v>39.849000000000004</v>
      </c>
      <c r="G205" s="19">
        <f ca="1">Fiscal!G$248 +IF(OR(OFFSET(Assumptions!$B$72,0,$C$1)="BU",OFFSET(Assumptions!$B$113,0,$C$1)="SND"),SUM(Allocate!E$17:E$24)-ROUND(Fiscal!G$157/SUM(Fiscal!G$157,Fiscal!G$248)*SUM(Allocate!E$17:E$24),3)+SUM(Allocate!E$14:E$16),0)</f>
        <v>41.236999999999995</v>
      </c>
      <c r="H205" s="19">
        <f ca="1">Fiscal!H$248 +IF(OR(OFFSET(Assumptions!$B$72,0,$C$1)="BU",OFFSET(Assumptions!$B$113,0,$C$1)="SND"),SUM(Allocate!F$17:F$24)-ROUND(Fiscal!H$157/SUM(Fiscal!H$157,Fiscal!H$248)*SUM(Allocate!F$17:F$24),3)+SUM(Allocate!F$14:F$16),0)</f>
        <v>42.686</v>
      </c>
      <c r="I205" s="19">
        <f ca="1">Fiscal!I$248 +IF(OR(OFFSET(Assumptions!$B$72,0,$C$1)="BU",OFFSET(Assumptions!$B$113,0,$C$1)="SND"),SUM(Allocate!G$17:G$24)-ROUND(Fiscal!I$157/SUM(Fiscal!I$157,Fiscal!I$248)*SUM(Allocate!G$17:G$24),3)+SUM(Allocate!G$14:G$16),0)</f>
        <v>44.37</v>
      </c>
      <c r="J205" s="7">
        <f ca="1">IF(J$6=OFFSET(Assumptions!$B$8,0,$C$1),AVERAGE((SUM(G$205,G$199)-SUM(G$239,G$257-G$254,G$269,G$283,G$312))/(SUM(G$192,G$199,G$205)-SUM(G$235,G$239,G$257-G$254,G$269,G$283,G$312)),(SUM(H$205,H$199)-SUM(H$239,H$257-H$254,H$269,H$283,H$312))/(SUM(H$192,H$199,H$205)-SUM(H$235,H$239,H$257-H$254,H$269,H$283,H$312)),(SUM(I$205,I$199)-SUM(I$239,I$257-I$254,I$269,I$283,I$312))/(SUM(I$192,I$199,I$205)-SUM(I$235,I$239,I$257-I$254,I$269,I$283,I$312))),(SUM(I$205,I$199)-SUM(I$239,I$257-I$254,I$269,I$283,I$312))/(SUM(I$192,I$199,I$205)-SUM(I$235,I$239,I$257-I$254,I$269,I$283,I$312)))*SUM(J$179,J$270,J$275,J$279,J$291-J$221,J$296,J$300,J$304,J$308) +SUM(J$239,J$257-J$254,J$269,J$283,J$312) -SUM(J$199,J$221)</f>
        <v>45.241774682983944</v>
      </c>
      <c r="K205" s="7">
        <f ca="1">IF(K$6=OFFSET(Assumptions!$B$8,0,$C$1),AVERAGE((SUM(H$205,H$199)-SUM(H$239,H$257-H$254,H$269,H$283,H$312))/(SUM(H$192,H$199,H$205)-SUM(H$235,H$239,H$257-H$254,H$269,H$283,H$312)),(SUM(I$205,I$199)-SUM(I$239,I$257-I$254,I$269,I$283,I$312))/(SUM(I$192,I$199,I$205)-SUM(I$235,I$239,I$257-I$254,I$269,I$283,I$312)),(SUM(J$205,J$199)-SUM(J$239,J$257-J$254,J$269,J$283,J$312))/(SUM(J$192,J$199,J$205)-SUM(J$235,J$239,J$257-J$254,J$269,J$283,J$312))),(SUM(J$205,J$199)-SUM(J$239,J$257-J$254,J$269,J$283,J$312))/(SUM(J$192,J$199,J$205)-SUM(J$235,J$239,J$257-J$254,J$269,J$283,J$312)))*SUM(K$179,K$270,K$275,K$279,K$291-K$221,K$296,K$300,K$304,K$308) +SUM(K$239,K$257-K$254,K$269,K$283,K$312) -SUM(K$199,K$221)</f>
        <v>46.801722260986672</v>
      </c>
      <c r="L205" s="7">
        <f ca="1">IF(L$6=OFFSET(Assumptions!$B$8,0,$C$1),AVERAGE((SUM(I$205,I$199)-SUM(I$239,I$257-I$254,I$269,I$283,I$312))/(SUM(I$192,I$199,I$205)-SUM(I$235,I$239,I$257-I$254,I$269,I$283,I$312)),(SUM(J$205,J$199)-SUM(J$239,J$257-J$254,J$269,J$283,J$312))/(SUM(J$192,J$199,J$205)-SUM(J$235,J$239,J$257-J$254,J$269,J$283,J$312)),(SUM(K$205,K$199)-SUM(K$239,K$257-K$254,K$269,K$283,K$312))/(SUM(K$192,K$199,K$205)-SUM(K$235,K$239,K$257-K$254,K$269,K$283,K$312))),(SUM(K$205,K$199)-SUM(K$239,K$257-K$254,K$269,K$283,K$312))/(SUM(K$192,K$199,K$205)-SUM(K$235,K$239,K$257-K$254,K$269,K$283,K$312)))*SUM(L$179,L$270,L$275,L$279,L$291-L$221,L$296,L$300,L$304,L$308) +SUM(L$239,L$257-L$254,L$269,L$283,L$312) -SUM(L$199,L$221)</f>
        <v>48.34973601554367</v>
      </c>
      <c r="M205" s="7">
        <f ca="1">IF(M$6=OFFSET(Assumptions!$B$8,0,$C$1),AVERAGE((SUM(J$205,J$199)-SUM(J$239,J$257-J$254,J$269,J$283,J$312))/(SUM(J$192,J$199,J$205)-SUM(J$235,J$239,J$257-J$254,J$269,J$283,J$312)),(SUM(K$205,K$199)-SUM(K$239,K$257-K$254,K$269,K$283,K$312))/(SUM(K$192,K$199,K$205)-SUM(K$235,K$239,K$257-K$254,K$269,K$283,K$312)),(SUM(L$205,L$199)-SUM(L$239,L$257-L$254,L$269,L$283,L$312))/(SUM(L$192,L$199,L$205)-SUM(L$235,L$239,L$257-L$254,L$269,L$283,L$312))),(SUM(L$205,L$199)-SUM(L$239,L$257-L$254,L$269,L$283,L$312))/(SUM(L$192,L$199,L$205)-SUM(L$235,L$239,L$257-L$254,L$269,L$283,L$312)))*SUM(M$179,M$270,M$275,M$279,M$291-M$221,M$296,M$300,M$304,M$308) +SUM(M$239,M$257-M$254,M$269,M$283,M$312) -SUM(M$199,M$221)</f>
        <v>49.961319105259676</v>
      </c>
      <c r="N205" s="7">
        <f ca="1">IF(N$6=OFFSET(Assumptions!$B$8,0,$C$1),AVERAGE((SUM(K$205,K$199)-SUM(K$239,K$257-K$254,K$269,K$283,K$312))/(SUM(K$192,K$199,K$205)-SUM(K$235,K$239,K$257-K$254,K$269,K$283,K$312)),(SUM(L$205,L$199)-SUM(L$239,L$257-L$254,L$269,L$283,L$312))/(SUM(L$192,L$199,L$205)-SUM(L$235,L$239,L$257-L$254,L$269,L$283,L$312)),(SUM(M$205,M$199)-SUM(M$239,M$257-M$254,M$269,M$283,M$312))/(SUM(M$192,M$199,M$205)-SUM(M$235,M$239,M$257-M$254,M$269,M$283,M$312))),(SUM(M$205,M$199)-SUM(M$239,M$257-M$254,M$269,M$283,M$312))/(SUM(M$192,M$199,M$205)-SUM(M$235,M$239,M$257-M$254,M$269,M$283,M$312)))*SUM(N$179,N$270,N$275,N$279,N$291-N$221,N$296,N$300,N$304,N$308) +SUM(N$239,N$257-N$254,N$269,N$283,N$312) -SUM(N$199,N$221)</f>
        <v>51.652556097803838</v>
      </c>
      <c r="O205" s="7">
        <f ca="1">IF(O$6=OFFSET(Assumptions!$B$8,0,$C$1),AVERAGE((SUM(L$205,L$199)-SUM(L$239,L$257-L$254,L$269,L$283,L$312))/(SUM(L$192,L$199,L$205)-SUM(L$235,L$239,L$257-L$254,L$269,L$283,L$312)),(SUM(M$205,M$199)-SUM(M$239,M$257-M$254,M$269,M$283,M$312))/(SUM(M$192,M$199,M$205)-SUM(M$235,M$239,M$257-M$254,M$269,M$283,M$312)),(SUM(N$205,N$199)-SUM(N$239,N$257-N$254,N$269,N$283,N$312))/(SUM(N$192,N$199,N$205)-SUM(N$235,N$239,N$257-N$254,N$269,N$283,N$312))),(SUM(N$205,N$199)-SUM(N$239,N$257-N$254,N$269,N$283,N$312))/(SUM(N$192,N$199,N$205)-SUM(N$235,N$239,N$257-N$254,N$269,N$283,N$312)))*SUM(O$179,O$270,O$275,O$279,O$291-O$221,O$296,O$300,O$304,O$308) +SUM(O$239,O$257-O$254,O$269,O$283,O$312) -SUM(O$199,O$221)</f>
        <v>53.410247155836963</v>
      </c>
      <c r="P205" s="7">
        <f ca="1">IF(P$6=OFFSET(Assumptions!$B$8,0,$C$1),AVERAGE((SUM(M$205,M$199)-SUM(M$239,M$257-M$254,M$269,M$283,M$312))/(SUM(M$192,M$199,M$205)-SUM(M$235,M$239,M$257-M$254,M$269,M$283,M$312)),(SUM(N$205,N$199)-SUM(N$239,N$257-N$254,N$269,N$283,N$312))/(SUM(N$192,N$199,N$205)-SUM(N$235,N$239,N$257-N$254,N$269,N$283,N$312)),(SUM(O$205,O$199)-SUM(O$239,O$257-O$254,O$269,O$283,O$312))/(SUM(O$192,O$199,O$205)-SUM(O$235,O$239,O$257-O$254,O$269,O$283,O$312))),(SUM(O$205,O$199)-SUM(O$239,O$257-O$254,O$269,O$283,O$312))/(SUM(O$192,O$199,O$205)-SUM(O$235,O$239,O$257-O$254,O$269,O$283,O$312)))*SUM(P$179,P$270,P$275,P$279,P$291-P$221,P$296,P$300,P$304,P$308) +SUM(P$239,P$257-P$254,P$269,P$283,P$312) -SUM(P$199,P$221)</f>
        <v>56.093658950178437</v>
      </c>
      <c r="Q205" s="7">
        <f ca="1">IF(Q$6=OFFSET(Assumptions!$B$8,0,$C$1),AVERAGE((SUM(N$205,N$199)-SUM(N$239,N$257-N$254,N$269,N$283,N$312))/(SUM(N$192,N$199,N$205)-SUM(N$235,N$239,N$257-N$254,N$269,N$283,N$312)),(SUM(O$205,O$199)-SUM(O$239,O$257-O$254,O$269,O$283,O$312))/(SUM(O$192,O$199,O$205)-SUM(O$235,O$239,O$257-O$254,O$269,O$283,O$312)),(SUM(P$205,P$199)-SUM(P$239,P$257-P$254,P$269,P$283,P$312))/(SUM(P$192,P$199,P$205)-SUM(P$235,P$239,P$257-P$254,P$269,P$283,P$312))),(SUM(P$205,P$199)-SUM(P$239,P$257-P$254,P$269,P$283,P$312))/(SUM(P$192,P$199,P$205)-SUM(P$235,P$239,P$257-P$254,P$269,P$283,P$312)))*SUM(Q$179,Q$270,Q$275,Q$279,Q$291-Q$221,Q$296,Q$300,Q$304,Q$308) +SUM(Q$239,Q$257-Q$254,Q$269,Q$283,Q$312) -SUM(Q$199,Q$221)</f>
        <v>58.884814334233106</v>
      </c>
      <c r="R205" s="7">
        <f ca="1">IF(R$6=OFFSET(Assumptions!$B$8,0,$C$1),AVERAGE((SUM(O$205,O$199)-SUM(O$239,O$257-O$254,O$269,O$283,O$312))/(SUM(O$192,O$199,O$205)-SUM(O$235,O$239,O$257-O$254,O$269,O$283,O$312)),(SUM(P$205,P$199)-SUM(P$239,P$257-P$254,P$269,P$283,P$312))/(SUM(P$192,P$199,P$205)-SUM(P$235,P$239,P$257-P$254,P$269,P$283,P$312)),(SUM(Q$205,Q$199)-SUM(Q$239,Q$257-Q$254,Q$269,Q$283,Q$312))/(SUM(Q$192,Q$199,Q$205)-SUM(Q$235,Q$239,Q$257-Q$254,Q$269,Q$283,Q$312))),(SUM(Q$205,Q$199)-SUM(Q$239,Q$257-Q$254,Q$269,Q$283,Q$312))/(SUM(Q$192,Q$199,Q$205)-SUM(Q$235,Q$239,Q$257-Q$254,Q$269,Q$283,Q$312)))*SUM(R$179,R$270,R$275,R$279,R$291-R$221,R$296,R$300,R$304,R$308) +SUM(R$239,R$257-R$254,R$269,R$283,R$312) -SUM(R$199,R$221)</f>
        <v>61.783684631520757</v>
      </c>
      <c r="S205" s="7">
        <f ca="1">IF(S$6=OFFSET(Assumptions!$B$8,0,$C$1),AVERAGE((SUM(P$205,P$199)-SUM(P$239,P$257-P$254,P$269,P$283,P$312))/(SUM(P$192,P$199,P$205)-SUM(P$235,P$239,P$257-P$254,P$269,P$283,P$312)),(SUM(Q$205,Q$199)-SUM(Q$239,Q$257-Q$254,Q$269,Q$283,Q$312))/(SUM(Q$192,Q$199,Q$205)-SUM(Q$235,Q$239,Q$257-Q$254,Q$269,Q$283,Q$312)),(SUM(R$205,R$199)-SUM(R$239,R$257-R$254,R$269,R$283,R$312))/(SUM(R$192,R$199,R$205)-SUM(R$235,R$239,R$257-R$254,R$269,R$283,R$312))),(SUM(R$205,R$199)-SUM(R$239,R$257-R$254,R$269,R$283,R$312))/(SUM(R$192,R$199,R$205)-SUM(R$235,R$239,R$257-R$254,R$269,R$283,R$312)))*SUM(S$179,S$270,S$275,S$279,S$291-S$221,S$296,S$300,S$304,S$308) +SUM(S$239,S$257-S$254,S$269,S$283,S$312) -SUM(S$199,S$221)</f>
        <v>64.798542463052655</v>
      </c>
      <c r="T205" s="7">
        <f ca="1">IF(T$6=OFFSET(Assumptions!$B$8,0,$C$1),AVERAGE((SUM(Q$205,Q$199)-SUM(Q$239,Q$257-Q$254,Q$269,Q$283,Q$312))/(SUM(Q$192,Q$199,Q$205)-SUM(Q$235,Q$239,Q$257-Q$254,Q$269,Q$283,Q$312)),(SUM(R$205,R$199)-SUM(R$239,R$257-R$254,R$269,R$283,R$312))/(SUM(R$192,R$199,R$205)-SUM(R$235,R$239,R$257-R$254,R$269,R$283,R$312)),(SUM(S$205,S$199)-SUM(S$239,S$257-S$254,S$269,S$283,S$312))/(SUM(S$192,S$199,S$205)-SUM(S$235,S$239,S$257-S$254,S$269,S$283,S$312))),(SUM(S$205,S$199)-SUM(S$239,S$257-S$254,S$269,S$283,S$312))/(SUM(S$192,S$199,S$205)-SUM(S$235,S$239,S$257-S$254,S$269,S$283,S$312)))*SUM(T$179,T$270,T$275,T$279,T$291-T$221,T$296,T$300,T$304,T$308) +SUM(T$239,T$257-T$254,T$269,T$283,T$312) -SUM(T$199,T$221)</f>
        <v>67.936820928992177</v>
      </c>
      <c r="U205" s="7">
        <f ca="1">IF(U$6=OFFSET(Assumptions!$B$8,0,$C$1),AVERAGE((SUM(R$205,R$199)-SUM(R$239,R$257-R$254,R$269,R$283,R$312))/(SUM(R$192,R$199,R$205)-SUM(R$235,R$239,R$257-R$254,R$269,R$283,R$312)),(SUM(S$205,S$199)-SUM(S$239,S$257-S$254,S$269,S$283,S$312))/(SUM(S$192,S$199,S$205)-SUM(S$235,S$239,S$257-S$254,S$269,S$283,S$312)),(SUM(T$205,T$199)-SUM(T$239,T$257-T$254,T$269,T$283,T$312))/(SUM(T$192,T$199,T$205)-SUM(T$235,T$239,T$257-T$254,T$269,T$283,T$312))),(SUM(T$205,T$199)-SUM(T$239,T$257-T$254,T$269,T$283,T$312))/(SUM(T$192,T$199,T$205)-SUM(T$235,T$239,T$257-T$254,T$269,T$283,T$312)))*SUM(U$179,U$270,U$275,U$279,U$291-U$221,U$296,U$300,U$304,U$308) +SUM(U$239,U$257-U$254,U$269,U$283,U$312) -SUM(U$199,U$221)</f>
        <v>71.196073305686937</v>
      </c>
      <c r="V205" s="7">
        <f ca="1">IF(V$6=OFFSET(Assumptions!$B$8,0,$C$1),AVERAGE((SUM(S$205,S$199)-SUM(S$239,S$257-S$254,S$269,S$283,S$312))/(SUM(S$192,S$199,S$205)-SUM(S$235,S$239,S$257-S$254,S$269,S$283,S$312)),(SUM(T$205,T$199)-SUM(T$239,T$257-T$254,T$269,T$283,T$312))/(SUM(T$192,T$199,T$205)-SUM(T$235,T$239,T$257-T$254,T$269,T$283,T$312)),(SUM(U$205,U$199)-SUM(U$239,U$257-U$254,U$269,U$283,U$312))/(SUM(U$192,U$199,U$205)-SUM(U$235,U$239,U$257-U$254,U$269,U$283,U$312))),(SUM(U$205,U$199)-SUM(U$239,U$257-U$254,U$269,U$283,U$312))/(SUM(U$192,U$199,U$205)-SUM(U$235,U$239,U$257-U$254,U$269,U$283,U$312)))*SUM(V$179,V$270,V$275,V$279,V$291-V$221,V$296,V$300,V$304,V$308) +SUM(V$239,V$257-V$254,V$269,V$283,V$312) -SUM(V$199,V$221)</f>
        <v>74.582959776588382</v>
      </c>
      <c r="W205" s="7">
        <f ca="1">IF(W$6=OFFSET(Assumptions!$B$8,0,$C$1),AVERAGE((SUM(T$205,T$199)-SUM(T$239,T$257-T$254,T$269,T$283,T$312))/(SUM(T$192,T$199,T$205)-SUM(T$235,T$239,T$257-T$254,T$269,T$283,T$312)),(SUM(U$205,U$199)-SUM(U$239,U$257-U$254,U$269,U$283,U$312))/(SUM(U$192,U$199,U$205)-SUM(U$235,U$239,U$257-U$254,U$269,U$283,U$312)),(SUM(V$205,V$199)-SUM(V$239,V$257-V$254,V$269,V$283,V$312))/(SUM(V$192,V$199,V$205)-SUM(V$235,V$239,V$257-V$254,V$269,V$283,V$312))),(SUM(V$205,V$199)-SUM(V$239,V$257-V$254,V$269,V$283,V$312))/(SUM(V$192,V$199,V$205)-SUM(V$235,V$239,V$257-V$254,V$269,V$283,V$312)))*SUM(W$179,W$270,W$275,W$279,W$291-W$221,W$296,W$300,W$304,W$308) +SUM(W$239,W$257-W$254,W$269,W$283,W$312) -SUM(W$199,W$221)</f>
        <v>78.103498992929531</v>
      </c>
      <c r="X205" s="7">
        <f ca="1">IF(X$6=OFFSET(Assumptions!$B$8,0,$C$1),AVERAGE((SUM(U$205,U$199)-SUM(U$239,U$257-U$254,U$269,U$283,U$312))/(SUM(U$192,U$199,U$205)-SUM(U$235,U$239,U$257-U$254,U$269,U$283,U$312)),(SUM(V$205,V$199)-SUM(V$239,V$257-V$254,V$269,V$283,V$312))/(SUM(V$192,V$199,V$205)-SUM(V$235,V$239,V$257-V$254,V$269,V$283,V$312)),(SUM(W$205,W$199)-SUM(W$239,W$257-W$254,W$269,W$283,W$312))/(SUM(W$192,W$199,W$205)-SUM(W$235,W$239,W$257-W$254,W$269,W$283,W$312))),(SUM(W$205,W$199)-SUM(W$239,W$257-W$254,W$269,W$283,W$312))/(SUM(W$192,W$199,W$205)-SUM(W$235,W$239,W$257-W$254,W$269,W$283,W$312)))*SUM(X$179,X$270,X$275,X$279,X$291-X$221,X$296,X$300,X$304,X$308) +SUM(X$239,X$257-X$254,X$269,X$283,X$312) -SUM(X$199,X$221)</f>
        <v>81.763372322217961</v>
      </c>
      <c r="Y205" s="7">
        <f ca="1">IF(Y$6=OFFSET(Assumptions!$B$8,0,$C$1),AVERAGE((SUM(V$205,V$199)-SUM(V$239,V$257-V$254,V$269,V$283,V$312))/(SUM(V$192,V$199,V$205)-SUM(V$235,V$239,V$257-V$254,V$269,V$283,V$312)),(SUM(W$205,W$199)-SUM(W$239,W$257-W$254,W$269,W$283,W$312))/(SUM(W$192,W$199,W$205)-SUM(W$235,W$239,W$257-W$254,W$269,W$283,W$312)),(SUM(X$205,X$199)-SUM(X$239,X$257-X$254,X$269,X$283,X$312))/(SUM(X$192,X$199,X$205)-SUM(X$235,X$239,X$257-X$254,X$269,X$283,X$312))),(SUM(X$205,X$199)-SUM(X$239,X$257-X$254,X$269,X$283,X$312))/(SUM(X$192,X$199,X$205)-SUM(X$235,X$239,X$257-X$254,X$269,X$283,X$312)))*SUM(Y$179,Y$270,Y$275,Y$279,Y$291-Y$221,Y$296,Y$300,Y$304,Y$308) +SUM(Y$239,Y$257-Y$254,Y$269,Y$283,Y$312) -SUM(Y$199,Y$221)</f>
        <v>85.569272403075132</v>
      </c>
      <c r="Z205" s="7">
        <f ca="1">IF(Z$6=OFFSET(Assumptions!$B$8,0,$C$1),AVERAGE((SUM(W$205,W$199)-SUM(W$239,W$257-W$254,W$269,W$283,W$312))/(SUM(W$192,W$199,W$205)-SUM(W$235,W$239,W$257-W$254,W$269,W$283,W$312)),(SUM(X$205,X$199)-SUM(X$239,X$257-X$254,X$269,X$283,X$312))/(SUM(X$192,X$199,X$205)-SUM(X$235,X$239,X$257-X$254,X$269,X$283,X$312)),(SUM(Y$205,Y$199)-SUM(Y$239,Y$257-Y$254,Y$269,Y$283,Y$312))/(SUM(Y$192,Y$199,Y$205)-SUM(Y$235,Y$239,Y$257-Y$254,Y$269,Y$283,Y$312))),(SUM(Y$205,Y$199)-SUM(Y$239,Y$257-Y$254,Y$269,Y$283,Y$312))/(SUM(Y$192,Y$199,Y$205)-SUM(Y$235,Y$239,Y$257-Y$254,Y$269,Y$283,Y$312)))*SUM(Z$179,Z$270,Z$275,Z$279,Z$291-Z$221,Z$296,Z$300,Z$304,Z$308) +SUM(Z$239,Z$257-Z$254,Z$269,Z$283,Z$312) -SUM(Z$199,Z$221)</f>
        <v>89.531082432214092</v>
      </c>
      <c r="AA205" s="7">
        <f ca="1">IF(AA$6=OFFSET(Assumptions!$B$8,0,$C$1),AVERAGE((SUM(X$205,X$199)-SUM(X$239,X$257-X$254,X$269,X$283,X$312))/(SUM(X$192,X$199,X$205)-SUM(X$235,X$239,X$257-X$254,X$269,X$283,X$312)),(SUM(Y$205,Y$199)-SUM(Y$239,Y$257-Y$254,Y$269,Y$283,Y$312))/(SUM(Y$192,Y$199,Y$205)-SUM(Y$235,Y$239,Y$257-Y$254,Y$269,Y$283,Y$312)),(SUM(Z$205,Z$199)-SUM(Z$239,Z$257-Z$254,Z$269,Z$283,Z$312))/(SUM(Z$192,Z$199,Z$205)-SUM(Z$235,Z$239,Z$257-Z$254,Z$269,Z$283,Z$312))),(SUM(Z$205,Z$199)-SUM(Z$239,Z$257-Z$254,Z$269,Z$283,Z$312))/(SUM(Z$192,Z$199,Z$205)-SUM(Z$235,Z$239,Z$257-Z$254,Z$269,Z$283,Z$312)))*SUM(AA$179,AA$270,AA$275,AA$279,AA$291-AA$221,AA$296,AA$300,AA$304,AA$308) +SUM(AA$239,AA$257-AA$254,AA$269,AA$283,AA$312) -SUM(AA$199,AA$221)</f>
        <v>92.337879847208413</v>
      </c>
      <c r="AB205" s="7">
        <f ca="1">IF(AB$6=OFFSET(Assumptions!$B$8,0,$C$1),AVERAGE((SUM(Y$205,Y$199)-SUM(Y$239,Y$257-Y$254,Y$269,Y$283,Y$312))/(SUM(Y$192,Y$199,Y$205)-SUM(Y$235,Y$239,Y$257-Y$254,Y$269,Y$283,Y$312)),(SUM(Z$205,Z$199)-SUM(Z$239,Z$257-Z$254,Z$269,Z$283,Z$312))/(SUM(Z$192,Z$199,Z$205)-SUM(Z$235,Z$239,Z$257-Z$254,Z$269,Z$283,Z$312)),(SUM(AA$205,AA$199)-SUM(AA$239,AA$257-AA$254,AA$269,AA$283,AA$312))/(SUM(AA$192,AA$199,AA$205)-SUM(AA$235,AA$239,AA$257-AA$254,AA$269,AA$283,AA$312))),(SUM(AA$205,AA$199)-SUM(AA$239,AA$257-AA$254,AA$269,AA$283,AA$312))/(SUM(AA$192,AA$199,AA$205)-SUM(AA$235,AA$239,AA$257-AA$254,AA$269,AA$283,AA$312)))*SUM(AB$179,AB$270,AB$275,AB$279,AB$291-AB$221,AB$296,AB$300,AB$304,AB$308) +SUM(AB$239,AB$257-AB$254,AB$269,AB$283,AB$312) -SUM(AB$199,AB$221)</f>
        <v>95.261315998194604</v>
      </c>
      <c r="AC205" s="7">
        <f ca="1">IF(AC$6=OFFSET(Assumptions!$B$8,0,$C$1),AVERAGE((SUM(Z$205,Z$199)-SUM(Z$239,Z$257-Z$254,Z$269,Z$283,Z$312))/(SUM(Z$192,Z$199,Z$205)-SUM(Z$235,Z$239,Z$257-Z$254,Z$269,Z$283,Z$312)),(SUM(AA$205,AA$199)-SUM(AA$239,AA$257-AA$254,AA$269,AA$283,AA$312))/(SUM(AA$192,AA$199,AA$205)-SUM(AA$235,AA$239,AA$257-AA$254,AA$269,AA$283,AA$312)),(SUM(AB$205,AB$199)-SUM(AB$239,AB$257-AB$254,AB$269,AB$283,AB$312))/(SUM(AB$192,AB$199,AB$205)-SUM(AB$235,AB$239,AB$257-AB$254,AB$269,AB$283,AB$312))),(SUM(AB$205,AB$199)-SUM(AB$239,AB$257-AB$254,AB$269,AB$283,AB$312))/(SUM(AB$192,AB$199,AB$205)-SUM(AB$235,AB$239,AB$257-AB$254,AB$269,AB$283,AB$312)))*SUM(AC$179,AC$270,AC$275,AC$279,AC$291-AC$221,AC$296,AC$300,AC$304,AC$308) +SUM(AC$239,AC$257-AC$254,AC$269,AC$283,AC$312) -SUM(AC$199,AC$221)</f>
        <v>98.30585775109229</v>
      </c>
      <c r="AD205" s="7">
        <f ca="1">IF(AD$6=OFFSET(Assumptions!$B$8,0,$C$1),AVERAGE((SUM(AA$205,AA$199)-SUM(AA$239,AA$257-AA$254,AA$269,AA$283,AA$312))/(SUM(AA$192,AA$199,AA$205)-SUM(AA$235,AA$239,AA$257-AA$254,AA$269,AA$283,AA$312)),(SUM(AB$205,AB$199)-SUM(AB$239,AB$257-AB$254,AB$269,AB$283,AB$312))/(SUM(AB$192,AB$199,AB$205)-SUM(AB$235,AB$239,AB$257-AB$254,AB$269,AB$283,AB$312)),(SUM(AC$205,AC$199)-SUM(AC$239,AC$257-AC$254,AC$269,AC$283,AC$312))/(SUM(AC$192,AC$199,AC$205)-SUM(AC$235,AC$239,AC$257-AC$254,AC$269,AC$283,AC$312))),(SUM(AC$205,AC$199)-SUM(AC$239,AC$257-AC$254,AC$269,AC$283,AC$312))/(SUM(AC$192,AC$199,AC$205)-SUM(AC$235,AC$239,AC$257-AC$254,AC$269,AC$283,AC$312)))*SUM(AD$179,AD$270,AD$275,AD$279,AD$291-AD$221,AD$296,AD$300,AD$304,AD$308) +SUM(AD$239,AD$257-AD$254,AD$269,AD$283,AD$312) -SUM(AD$199,AD$221)</f>
        <v>101.46829054947652</v>
      </c>
      <c r="AE205" s="7">
        <f ca="1">IF(AE$6=OFFSET(Assumptions!$B$8,0,$C$1),AVERAGE((SUM(AB$205,AB$199)-SUM(AB$239,AB$257-AB$254,AB$269,AB$283,AB$312))/(SUM(AB$192,AB$199,AB$205)-SUM(AB$235,AB$239,AB$257-AB$254,AB$269,AB$283,AB$312)),(SUM(AC$205,AC$199)-SUM(AC$239,AC$257-AC$254,AC$269,AC$283,AC$312))/(SUM(AC$192,AC$199,AC$205)-SUM(AC$235,AC$239,AC$257-AC$254,AC$269,AC$283,AC$312)),(SUM(AD$205,AD$199)-SUM(AD$239,AD$257-AD$254,AD$269,AD$283,AD$312))/(SUM(AD$192,AD$199,AD$205)-SUM(AD$235,AD$239,AD$257-AD$254,AD$269,AD$283,AD$312))),(SUM(AD$205,AD$199)-SUM(AD$239,AD$257-AD$254,AD$269,AD$283,AD$312))/(SUM(AD$192,AD$199,AD$205)-SUM(AD$235,AD$239,AD$257-AD$254,AD$269,AD$283,AD$312)))*SUM(AE$179,AE$270,AE$275,AE$279,AE$291-AE$221,AE$296,AE$300,AE$304,AE$308) +SUM(AE$239,AE$257-AE$254,AE$269,AE$283,AE$312) -SUM(AE$199,AE$221)</f>
        <v>104.75870553193371</v>
      </c>
      <c r="AF205" s="7">
        <f ca="1">IF(AF$6=OFFSET(Assumptions!$B$8,0,$C$1),AVERAGE((SUM(AC$205,AC$199)-SUM(AC$239,AC$257-AC$254,AC$269,AC$283,AC$312))/(SUM(AC$192,AC$199,AC$205)-SUM(AC$235,AC$239,AC$257-AC$254,AC$269,AC$283,AC$312)),(SUM(AD$205,AD$199)-SUM(AD$239,AD$257-AD$254,AD$269,AD$283,AD$312))/(SUM(AD$192,AD$199,AD$205)-SUM(AD$235,AD$239,AD$257-AD$254,AD$269,AD$283,AD$312)),(SUM(AE$205,AE$199)-SUM(AE$239,AE$257-AE$254,AE$269,AE$283,AE$312))/(SUM(AE$192,AE$199,AE$205)-SUM(AE$235,AE$239,AE$257-AE$254,AE$269,AE$283,AE$312))),(SUM(AE$205,AE$199)-SUM(AE$239,AE$257-AE$254,AE$269,AE$283,AE$312))/(SUM(AE$192,AE$199,AE$205)-SUM(AE$235,AE$239,AE$257-AE$254,AE$269,AE$283,AE$312)))*SUM(AF$179,AF$270,AF$275,AF$279,AF$291-AF$221,AF$296,AF$300,AF$304,AF$308) +SUM(AF$239,AF$257-AF$254,AF$269,AF$283,AF$312) -SUM(AF$199,AF$221)</f>
        <v>108.17878512087087</v>
      </c>
      <c r="AG205" s="7">
        <f ca="1">IF(AG$6=OFFSET(Assumptions!$B$8,0,$C$1),AVERAGE((SUM(AD$205,AD$199)-SUM(AD$239,AD$257-AD$254,AD$269,AD$283,AD$312))/(SUM(AD$192,AD$199,AD$205)-SUM(AD$235,AD$239,AD$257-AD$254,AD$269,AD$283,AD$312)),(SUM(AE$205,AE$199)-SUM(AE$239,AE$257-AE$254,AE$269,AE$283,AE$312))/(SUM(AE$192,AE$199,AE$205)-SUM(AE$235,AE$239,AE$257-AE$254,AE$269,AE$283,AE$312)),(SUM(AF$205,AF$199)-SUM(AF$239,AF$257-AF$254,AF$269,AF$283,AF$312))/(SUM(AF$192,AF$199,AF$205)-SUM(AF$235,AF$239,AF$257-AF$254,AF$269,AF$283,AF$312))),(SUM(AF$205,AF$199)-SUM(AF$239,AF$257-AF$254,AF$269,AF$283,AF$312))/(SUM(AF$192,AF$199,AF$205)-SUM(AF$235,AF$239,AF$257-AF$254,AF$269,AF$283,AF$312)))*SUM(AG$179,AG$270,AG$275,AG$279,AG$291-AG$221,AG$296,AG$300,AG$304,AG$308) +SUM(AG$239,AG$257-AG$254,AG$269,AG$283,AG$312) -SUM(AG$199,AG$221)</f>
        <v>111.73643502355553</v>
      </c>
      <c r="AH205" s="7">
        <f ca="1">IF(AH$6=OFFSET(Assumptions!$B$8,0,$C$1),AVERAGE((SUM(AE$205,AE$199)-SUM(AE$239,AE$257-AE$254,AE$269,AE$283,AE$312))/(SUM(AE$192,AE$199,AE$205)-SUM(AE$235,AE$239,AE$257-AE$254,AE$269,AE$283,AE$312)),(SUM(AF$205,AF$199)-SUM(AF$239,AF$257-AF$254,AF$269,AF$283,AF$312))/(SUM(AF$192,AF$199,AF$205)-SUM(AF$235,AF$239,AF$257-AF$254,AF$269,AF$283,AF$312)),(SUM(AG$205,AG$199)-SUM(AG$239,AG$257-AG$254,AG$269,AG$283,AG$312))/(SUM(AG$192,AG$199,AG$205)-SUM(AG$235,AG$239,AG$257-AG$254,AG$269,AG$283,AG$312))),(SUM(AG$205,AG$199)-SUM(AG$239,AG$257-AG$254,AG$269,AG$283,AG$312))/(SUM(AG$192,AG$199,AG$205)-SUM(AG$235,AG$239,AG$257-AG$254,AG$269,AG$283,AG$312)))*SUM(AH$179,AH$270,AH$275,AH$279,AH$291-AH$221,AH$296,AH$300,AH$304,AH$308) +SUM(AH$239,AH$257-AH$254,AH$269,AH$283,AH$312) -SUM(AH$199,AH$221)</f>
        <v>115.44527205162017</v>
      </c>
      <c r="AI205" s="7">
        <f ca="1">IF(AI$6=OFFSET(Assumptions!$B$8,0,$C$1),AVERAGE((SUM(AF$205,AF$199)-SUM(AF$239,AF$257-AF$254,AF$269,AF$283,AF$312))/(SUM(AF$192,AF$199,AF$205)-SUM(AF$235,AF$239,AF$257-AF$254,AF$269,AF$283,AF$312)),(SUM(AG$205,AG$199)-SUM(AG$239,AG$257-AG$254,AG$269,AG$283,AG$312))/(SUM(AG$192,AG$199,AG$205)-SUM(AG$235,AG$239,AG$257-AG$254,AG$269,AG$283,AG$312)),(SUM(AH$205,AH$199)-SUM(AH$239,AH$257-AH$254,AH$269,AH$283,AH$312))/(SUM(AH$192,AH$199,AH$205)-SUM(AH$235,AH$239,AH$257-AH$254,AH$269,AH$283,AH$312))),(SUM(AH$205,AH$199)-SUM(AH$239,AH$257-AH$254,AH$269,AH$283,AH$312))/(SUM(AH$192,AH$199,AH$205)-SUM(AH$235,AH$239,AH$257-AH$254,AH$269,AH$283,AH$312)))*SUM(AI$179,AI$270,AI$275,AI$279,AI$291-AI$221,AI$296,AI$300,AI$304,AI$308) +SUM(AI$239,AI$257-AI$254,AI$269,AI$283,AI$312) -SUM(AI$199,AI$221)</f>
        <v>119.29942798609663</v>
      </c>
      <c r="AJ205" s="7">
        <f ca="1">IF(AJ$6=OFFSET(Assumptions!$B$8,0,$C$1),AVERAGE((SUM(AG$205,AG$199)-SUM(AG$239,AG$257-AG$254,AG$269,AG$283,AG$312))/(SUM(AG$192,AG$199,AG$205)-SUM(AG$235,AG$239,AG$257-AG$254,AG$269,AG$283,AG$312)),(SUM(AH$205,AH$199)-SUM(AH$239,AH$257-AH$254,AH$269,AH$283,AH$312))/(SUM(AH$192,AH$199,AH$205)-SUM(AH$235,AH$239,AH$257-AH$254,AH$269,AH$283,AH$312)),(SUM(AI$205,AI$199)-SUM(AI$239,AI$257-AI$254,AI$269,AI$283,AI$312))/(SUM(AI$192,AI$199,AI$205)-SUM(AI$235,AI$239,AI$257-AI$254,AI$269,AI$283,AI$312))),(SUM(AI$205,AI$199)-SUM(AI$239,AI$257-AI$254,AI$269,AI$283,AI$312))/(SUM(AI$192,AI$199,AI$205)-SUM(AI$235,AI$239,AI$257-AI$254,AI$269,AI$283,AI$312)))*SUM(AJ$179,AJ$270,AJ$275,AJ$279,AJ$291-AJ$221,AJ$296,AJ$300,AJ$304,AJ$308) +SUM(AJ$239,AJ$257-AJ$254,AJ$269,AJ$283,AJ$312) -SUM(AJ$199,AJ$221)</f>
        <v>123.3022952399435</v>
      </c>
      <c r="AK205" s="7">
        <f ca="1">IF(AK$6=OFFSET(Assumptions!$B$8,0,$C$1),AVERAGE((SUM(AH$205,AH$199)-SUM(AH$239,AH$257-AH$254,AH$269,AH$283,AH$312))/(SUM(AH$192,AH$199,AH$205)-SUM(AH$235,AH$239,AH$257-AH$254,AH$269,AH$283,AH$312)),(SUM(AI$205,AI$199)-SUM(AI$239,AI$257-AI$254,AI$269,AI$283,AI$312))/(SUM(AI$192,AI$199,AI$205)-SUM(AI$235,AI$239,AI$257-AI$254,AI$269,AI$283,AI$312)),(SUM(AJ$205,AJ$199)-SUM(AJ$239,AJ$257-AJ$254,AJ$269,AJ$283,AJ$312))/(SUM(AJ$192,AJ$199,AJ$205)-SUM(AJ$235,AJ$239,AJ$257-AJ$254,AJ$269,AJ$283,AJ$312))),(SUM(AJ$205,AJ$199)-SUM(AJ$239,AJ$257-AJ$254,AJ$269,AJ$283,AJ$312))/(SUM(AJ$192,AJ$199,AJ$205)-SUM(AJ$235,AJ$239,AJ$257-AJ$254,AJ$269,AJ$283,AJ$312)))*SUM(AK$179,AK$270,AK$275,AK$279,AK$291-AK$221,AK$296,AK$300,AK$304,AK$308) +SUM(AK$239,AK$257-AK$254,AK$269,AK$283,AK$312) -SUM(AK$199,AK$221)</f>
        <v>127.45862936811075</v>
      </c>
      <c r="AL205" s="7">
        <f ca="1">IF(AL$6=OFFSET(Assumptions!$B$8,0,$C$1),AVERAGE((SUM(AI$205,AI$199)-SUM(AI$239,AI$257-AI$254,AI$269,AI$283,AI$312))/(SUM(AI$192,AI$199,AI$205)-SUM(AI$235,AI$239,AI$257-AI$254,AI$269,AI$283,AI$312)),(SUM(AJ$205,AJ$199)-SUM(AJ$239,AJ$257-AJ$254,AJ$269,AJ$283,AJ$312))/(SUM(AJ$192,AJ$199,AJ$205)-SUM(AJ$235,AJ$239,AJ$257-AJ$254,AJ$269,AJ$283,AJ$312)),(SUM(AK$205,AK$199)-SUM(AK$239,AK$257-AK$254,AK$269,AK$283,AK$312))/(SUM(AK$192,AK$199,AK$205)-SUM(AK$235,AK$239,AK$257-AK$254,AK$269,AK$283,AK$312))),(SUM(AK$205,AK$199)-SUM(AK$239,AK$257-AK$254,AK$269,AK$283,AK$312))/(SUM(AK$192,AK$199,AK$205)-SUM(AK$235,AK$239,AK$257-AK$254,AK$269,AK$283,AK$312)))*SUM(AL$179,AL$270,AL$275,AL$279,AL$291-AL$221,AL$296,AL$300,AL$304,AL$308) +SUM(AL$239,AL$257-AL$254,AL$269,AL$283,AL$312) -SUM(AL$199,AL$221)</f>
        <v>131.77614663597475</v>
      </c>
      <c r="AM205" s="7">
        <f ca="1">IF(AM$6=OFFSET(Assumptions!$B$8,0,$C$1),AVERAGE((SUM(AJ$205,AJ$199)-SUM(AJ$239,AJ$257-AJ$254,AJ$269,AJ$283,AJ$312))/(SUM(AJ$192,AJ$199,AJ$205)-SUM(AJ$235,AJ$239,AJ$257-AJ$254,AJ$269,AJ$283,AJ$312)),(SUM(AK$205,AK$199)-SUM(AK$239,AK$257-AK$254,AK$269,AK$283,AK$312))/(SUM(AK$192,AK$199,AK$205)-SUM(AK$235,AK$239,AK$257-AK$254,AK$269,AK$283,AK$312)),(SUM(AL$205,AL$199)-SUM(AL$239,AL$257-AL$254,AL$269,AL$283,AL$312))/(SUM(AL$192,AL$199,AL$205)-SUM(AL$235,AL$239,AL$257-AL$254,AL$269,AL$283,AL$312))),(SUM(AL$205,AL$199)-SUM(AL$239,AL$257-AL$254,AL$269,AL$283,AL$312))/(SUM(AL$192,AL$199,AL$205)-SUM(AL$235,AL$239,AL$257-AL$254,AL$269,AL$283,AL$312)))*SUM(AM$179,AM$270,AM$275,AM$279,AM$291-AM$221,AM$296,AM$300,AM$304,AM$308) +SUM(AM$239,AM$257-AM$254,AM$269,AM$283,AM$312) -SUM(AM$199,AM$221)</f>
        <v>136.25958501257136</v>
      </c>
      <c r="AN205" s="7">
        <f ca="1">IF(AN$6=OFFSET(Assumptions!$B$8,0,$C$1),AVERAGE((SUM(AK$205,AK$199)-SUM(AK$239,AK$257-AK$254,AK$269,AK$283,AK$312))/(SUM(AK$192,AK$199,AK$205)-SUM(AK$235,AK$239,AK$257-AK$254,AK$269,AK$283,AK$312)),(SUM(AL$205,AL$199)-SUM(AL$239,AL$257-AL$254,AL$269,AL$283,AL$312))/(SUM(AL$192,AL$199,AL$205)-SUM(AL$235,AL$239,AL$257-AL$254,AL$269,AL$283,AL$312)),(SUM(AM$205,AM$199)-SUM(AM$239,AM$257-AM$254,AM$269,AM$283,AM$312))/(SUM(AM$192,AM$199,AM$205)-SUM(AM$235,AM$239,AM$257-AM$254,AM$269,AM$283,AM$312))),(SUM(AM$205,AM$199)-SUM(AM$239,AM$257-AM$254,AM$269,AM$283,AM$312))/(SUM(AM$192,AM$199,AM$205)-SUM(AM$235,AM$239,AM$257-AM$254,AM$269,AM$283,AM$312)))*SUM(AN$179,AN$270,AN$275,AN$279,AN$291-AN$221,AN$296,AN$300,AN$304,AN$308) +SUM(AN$239,AN$257-AN$254,AN$269,AN$283,AN$312) -SUM(AN$199,AN$221)</f>
        <v>140.92289123565254</v>
      </c>
      <c r="AO205" s="7">
        <f ca="1">IF(AO$6=OFFSET(Assumptions!$B$8,0,$C$1),AVERAGE((SUM(AL$205,AL$199)-SUM(AL$239,AL$257-AL$254,AL$269,AL$283,AL$312))/(SUM(AL$192,AL$199,AL$205)-SUM(AL$235,AL$239,AL$257-AL$254,AL$269,AL$283,AL$312)),(SUM(AM$205,AM$199)-SUM(AM$239,AM$257-AM$254,AM$269,AM$283,AM$312))/(SUM(AM$192,AM$199,AM$205)-SUM(AM$235,AM$239,AM$257-AM$254,AM$269,AM$283,AM$312)),(SUM(AN$205,AN$199)-SUM(AN$239,AN$257-AN$254,AN$269,AN$283,AN$312))/(SUM(AN$192,AN$199,AN$205)-SUM(AN$235,AN$239,AN$257-AN$254,AN$269,AN$283,AN$312))),(SUM(AN$205,AN$199)-SUM(AN$239,AN$257-AN$254,AN$269,AN$283,AN$312))/(SUM(AN$192,AN$199,AN$205)-SUM(AN$235,AN$239,AN$257-AN$254,AN$269,AN$283,AN$312)))*SUM(AO$179,AO$270,AO$275,AO$279,AO$291-AO$221,AO$296,AO$300,AO$304,AO$308) +SUM(AO$239,AO$257-AO$254,AO$269,AO$283,AO$312) -SUM(AO$199,AO$221)</f>
        <v>145.76316678858839</v>
      </c>
      <c r="AP205" s="7">
        <f ca="1">IF(AP$6=OFFSET(Assumptions!$B$8,0,$C$1),AVERAGE((SUM(AM$205,AM$199)-SUM(AM$239,AM$257-AM$254,AM$269,AM$283,AM$312))/(SUM(AM$192,AM$199,AM$205)-SUM(AM$235,AM$239,AM$257-AM$254,AM$269,AM$283,AM$312)),(SUM(AN$205,AN$199)-SUM(AN$239,AN$257-AN$254,AN$269,AN$283,AN$312))/(SUM(AN$192,AN$199,AN$205)-SUM(AN$235,AN$239,AN$257-AN$254,AN$269,AN$283,AN$312)),(SUM(AO$205,AO$199)-SUM(AO$239,AO$257-AO$254,AO$269,AO$283,AO$312))/(SUM(AO$192,AO$199,AO$205)-SUM(AO$235,AO$239,AO$257-AO$254,AO$269,AO$283,AO$312))),(SUM(AO$205,AO$199)-SUM(AO$239,AO$257-AO$254,AO$269,AO$283,AO$312))/(SUM(AO$192,AO$199,AO$205)-SUM(AO$235,AO$239,AO$257-AO$254,AO$269,AO$283,AO$312)))*SUM(AP$179,AP$270,AP$275,AP$279,AP$291-AP$221,AP$296,AP$300,AP$304,AP$308) +SUM(AP$239,AP$257-AP$254,AP$269,AP$283,AP$312) -SUM(AP$199,AP$221)</f>
        <v>150.78482461701728</v>
      </c>
      <c r="AQ205" s="7">
        <f ca="1">IF(AQ$6=OFFSET(Assumptions!$B$8,0,$C$1),AVERAGE((SUM(AN$205,AN$199)-SUM(AN$239,AN$257-AN$254,AN$269,AN$283,AN$312))/(SUM(AN$192,AN$199,AN$205)-SUM(AN$235,AN$239,AN$257-AN$254,AN$269,AN$283,AN$312)),(SUM(AO$205,AO$199)-SUM(AO$239,AO$257-AO$254,AO$269,AO$283,AO$312))/(SUM(AO$192,AO$199,AO$205)-SUM(AO$235,AO$239,AO$257-AO$254,AO$269,AO$283,AO$312)),(SUM(AP$205,AP$199)-SUM(AP$239,AP$257-AP$254,AP$269,AP$283,AP$312))/(SUM(AP$192,AP$199,AP$205)-SUM(AP$235,AP$239,AP$257-AP$254,AP$269,AP$283,AP$312))),(SUM(AP$205,AP$199)-SUM(AP$239,AP$257-AP$254,AP$269,AP$283,AP$312))/(SUM(AP$192,AP$199,AP$205)-SUM(AP$235,AP$239,AP$257-AP$254,AP$269,AP$283,AP$312)))*SUM(AQ$179,AQ$270,AQ$275,AQ$279,AQ$291-AQ$221,AQ$296,AQ$300,AQ$304,AQ$308) +SUM(AQ$239,AQ$257-AQ$254,AQ$269,AQ$283,AQ$312) -SUM(AQ$199,AQ$221)</f>
        <v>156.00057492707566</v>
      </c>
      <c r="AR205" s="7">
        <f ca="1">IF(AR$6=OFFSET(Assumptions!$B$8,0,$C$1),AVERAGE((SUM(AO$205,AO$199)-SUM(AO$239,AO$257-AO$254,AO$269,AO$283,AO$312))/(SUM(AO$192,AO$199,AO$205)-SUM(AO$235,AO$239,AO$257-AO$254,AO$269,AO$283,AO$312)),(SUM(AP$205,AP$199)-SUM(AP$239,AP$257-AP$254,AP$269,AP$283,AP$312))/(SUM(AP$192,AP$199,AP$205)-SUM(AP$235,AP$239,AP$257-AP$254,AP$269,AP$283,AP$312)),(SUM(AQ$205,AQ$199)-SUM(AQ$239,AQ$257-AQ$254,AQ$269,AQ$283,AQ$312))/(SUM(AQ$192,AQ$199,AQ$205)-SUM(AQ$235,AQ$239,AQ$257-AQ$254,AQ$269,AQ$283,AQ$312))),(SUM(AQ$205,AQ$199)-SUM(AQ$239,AQ$257-AQ$254,AQ$269,AQ$283,AQ$312))/(SUM(AQ$192,AQ$199,AQ$205)-SUM(AQ$235,AQ$239,AQ$257-AQ$254,AQ$269,AQ$283,AQ$312)))*SUM(AR$179,AR$270,AR$275,AR$279,AR$291-AR$221,AR$296,AR$300,AR$304,AR$308) +SUM(AR$239,AR$257-AR$254,AR$269,AR$283,AR$312) -SUM(AR$199,AR$221)</f>
        <v>161.40821976029474</v>
      </c>
      <c r="AS205" s="7">
        <f ca="1">IF(AS$6=OFFSET(Assumptions!$B$8,0,$C$1),AVERAGE((SUM(AP$205,AP$199)-SUM(AP$239,AP$257-AP$254,AP$269,AP$283,AP$312))/(SUM(AP$192,AP$199,AP$205)-SUM(AP$235,AP$239,AP$257-AP$254,AP$269,AP$283,AP$312)),(SUM(AQ$205,AQ$199)-SUM(AQ$239,AQ$257-AQ$254,AQ$269,AQ$283,AQ$312))/(SUM(AQ$192,AQ$199,AQ$205)-SUM(AQ$235,AQ$239,AQ$257-AQ$254,AQ$269,AQ$283,AQ$312)),(SUM(AR$205,AR$199)-SUM(AR$239,AR$257-AR$254,AR$269,AR$283,AR$312))/(SUM(AR$192,AR$199,AR$205)-SUM(AR$235,AR$239,AR$257-AR$254,AR$269,AR$283,AR$312))),(SUM(AR$205,AR$199)-SUM(AR$239,AR$257-AR$254,AR$269,AR$283,AR$312))/(SUM(AR$192,AR$199,AR$205)-SUM(AR$235,AR$239,AR$257-AR$254,AR$269,AR$283,AR$312)))*SUM(AS$179,AS$270,AS$275,AS$279,AS$291-AS$221,AS$296,AS$300,AS$304,AS$308) +SUM(AS$239,AS$257-AS$254,AS$269,AS$283,AS$312) -SUM(AS$199,AS$221)</f>
        <v>167.01660458331872</v>
      </c>
      <c r="AT205" s="7">
        <f ca="1">IF(AT$6=OFFSET(Assumptions!$B$8,0,$C$1),AVERAGE((SUM(AQ$205,AQ$199)-SUM(AQ$239,AQ$257-AQ$254,AQ$269,AQ$283,AQ$312))/(SUM(AQ$192,AQ$199,AQ$205)-SUM(AQ$235,AQ$239,AQ$257-AQ$254,AQ$269,AQ$283,AQ$312)),(SUM(AR$205,AR$199)-SUM(AR$239,AR$257-AR$254,AR$269,AR$283,AR$312))/(SUM(AR$192,AR$199,AR$205)-SUM(AR$235,AR$239,AR$257-AR$254,AR$269,AR$283,AR$312)),(SUM(AS$205,AS$199)-SUM(AS$239,AS$257-AS$254,AS$269,AS$283,AS$312))/(SUM(AS$192,AS$199,AS$205)-SUM(AS$235,AS$239,AS$257-AS$254,AS$269,AS$283,AS$312))),(SUM(AS$205,AS$199)-SUM(AS$239,AS$257-AS$254,AS$269,AS$283,AS$312))/(SUM(AS$192,AS$199,AS$205)-SUM(AS$235,AS$239,AS$257-AS$254,AS$269,AS$283,AS$312)))*SUM(AT$179,AT$270,AT$275,AT$279,AT$291-AT$221,AT$296,AT$300,AT$304,AT$308) +SUM(AT$239,AT$257-AT$254,AT$269,AT$283,AT$312) -SUM(AT$199,AT$221)</f>
        <v>172.83499429806938</v>
      </c>
      <c r="AU205" s="7">
        <f ca="1">IF(AU$6=OFFSET(Assumptions!$B$8,0,$C$1),AVERAGE((SUM(AR$205,AR$199)-SUM(AR$239,AR$257-AR$254,AR$269,AR$283,AR$312))/(SUM(AR$192,AR$199,AR$205)-SUM(AR$235,AR$239,AR$257-AR$254,AR$269,AR$283,AR$312)),(SUM(AS$205,AS$199)-SUM(AS$239,AS$257-AS$254,AS$269,AS$283,AS$312))/(SUM(AS$192,AS$199,AS$205)-SUM(AS$235,AS$239,AS$257-AS$254,AS$269,AS$283,AS$312)),(SUM(AT$205,AT$199)-SUM(AT$239,AT$257-AT$254,AT$269,AT$283,AT$312))/(SUM(AT$192,AT$199,AT$205)-SUM(AT$235,AT$239,AT$257-AT$254,AT$269,AT$283,AT$312))),(SUM(AT$205,AT$199)-SUM(AT$239,AT$257-AT$254,AT$269,AT$283,AT$312))/(SUM(AT$192,AT$199,AT$205)-SUM(AT$235,AT$239,AT$257-AT$254,AT$269,AT$283,AT$312)))*SUM(AU$179,AU$270,AU$275,AU$279,AU$291-AU$221,AU$296,AU$300,AU$304,AU$308) +SUM(AU$239,AU$257-AU$254,AU$269,AU$283,AU$312) -SUM(AU$199,AU$221)</f>
        <v>178.86813527698658</v>
      </c>
      <c r="AV205" s="7">
        <f ca="1">IF(AV$6=OFFSET(Assumptions!$B$8,0,$C$1),AVERAGE((SUM(AS$205,AS$199)-SUM(AS$239,AS$257-AS$254,AS$269,AS$283,AS$312))/(SUM(AS$192,AS$199,AS$205)-SUM(AS$235,AS$239,AS$257-AS$254,AS$269,AS$283,AS$312)),(SUM(AT$205,AT$199)-SUM(AT$239,AT$257-AT$254,AT$269,AT$283,AT$312))/(SUM(AT$192,AT$199,AT$205)-SUM(AT$235,AT$239,AT$257-AT$254,AT$269,AT$283,AT$312)),(SUM(AU$205,AU$199)-SUM(AU$239,AU$257-AU$254,AU$269,AU$283,AU$312))/(SUM(AU$192,AU$199,AU$205)-SUM(AU$235,AU$239,AU$257-AU$254,AU$269,AU$283,AU$312))),(SUM(AU$205,AU$199)-SUM(AU$239,AU$257-AU$254,AU$269,AU$283,AU$312))/(SUM(AU$192,AU$199,AU$205)-SUM(AU$235,AU$239,AU$257-AU$254,AU$269,AU$283,AU$312)))*SUM(AV$179,AV$270,AV$275,AV$279,AV$291-AV$221,AV$296,AV$300,AV$304,AV$308) +SUM(AV$239,AV$257-AV$254,AV$269,AV$283,AV$312) -SUM(AV$199,AV$221)</f>
        <v>185.13038430367186</v>
      </c>
      <c r="AW205" s="7">
        <f ca="1">IF(AW$6=OFFSET(Assumptions!$B$8,0,$C$1),AVERAGE((SUM(AT$205,AT$199)-SUM(AT$239,AT$257-AT$254,AT$269,AT$283,AT$312))/(SUM(AT$192,AT$199,AT$205)-SUM(AT$235,AT$239,AT$257-AT$254,AT$269,AT$283,AT$312)),(SUM(AU$205,AU$199)-SUM(AU$239,AU$257-AU$254,AU$269,AU$283,AU$312))/(SUM(AU$192,AU$199,AU$205)-SUM(AU$235,AU$239,AU$257-AU$254,AU$269,AU$283,AU$312)),(SUM(AV$205,AV$199)-SUM(AV$239,AV$257-AV$254,AV$269,AV$283,AV$312))/(SUM(AV$192,AV$199,AV$205)-SUM(AV$235,AV$239,AV$257-AV$254,AV$269,AV$283,AV$312))),(SUM(AV$205,AV$199)-SUM(AV$239,AV$257-AV$254,AV$269,AV$283,AV$312))/(SUM(AV$192,AV$199,AV$205)-SUM(AV$235,AV$239,AV$257-AV$254,AV$269,AV$283,AV$312)))*SUM(AW$179,AW$270,AW$275,AW$279,AW$291-AW$221,AW$296,AW$300,AW$304,AW$308) +SUM(AW$239,AW$257-AW$254,AW$269,AW$283,AW$312) -SUM(AW$199,AW$221)</f>
        <v>191.61290585708429</v>
      </c>
    </row>
    <row r="206" spans="1:49" x14ac:dyDescent="0.2">
      <c r="A206" s="1" t="s">
        <v>295</v>
      </c>
      <c r="B206" s="4" t="str">
        <f t="shared" si="165"/>
        <v>From Fiscal</v>
      </c>
      <c r="D206" s="18">
        <f>Fiscal!D$249</f>
        <v>17.914000000000001</v>
      </c>
      <c r="E206" s="19">
        <f>Fiscal!E$249</f>
        <v>18.533999999999999</v>
      </c>
      <c r="F206" s="19">
        <f>Fiscal!F$249</f>
        <v>19.023</v>
      </c>
      <c r="G206" s="19">
        <f>Fiscal!G$249</f>
        <v>19.042999999999999</v>
      </c>
      <c r="H206" s="19">
        <f>Fiscal!H$249</f>
        <v>19.018000000000001</v>
      </c>
      <c r="I206" s="19">
        <f>Fiscal!I$249</f>
        <v>19.044</v>
      </c>
      <c r="J206" s="7">
        <f ca="1">IF(J$6=OFFSET(Assumptions!$B$8,0,$C$1),AVERAGE(SUM(G$206,G$200)/SUM(G$193-(G$236-G$235),G$200,G$206),SUM(H$206,H$200)/SUM(H$193-(H$236-H$235),H$200,H$206),SUM(I$206,I$200)/SUM(I$193-(I$236-I$235),I$200,I$206)),SUM(I$206,I$200)/SUM(I$193-(I$236-I$235),I$200,I$206))*SUM(J$181-J$222,J$240,J$258,J$284,J$316-(J$236-J$235)) -J$200</f>
        <v>20.84483275786183</v>
      </c>
      <c r="K206" s="7">
        <f ca="1">IF(K$6=OFFSET(Assumptions!$B$8,0,$C$1),AVERAGE(SUM(H$206,H$200)/SUM(H$193-(H$236-H$235),H$200,H$206),SUM(I$206,I$200)/SUM(I$193-(I$236-I$235),I$200,I$206),SUM(J$206,J$200)/SUM(J$193-(J$236-J$235),J$200,J$206)),SUM(J$206,J$200)/SUM(J$193-(J$236-J$235),J$200,J$206))*SUM(K$181-K$222,K$240,K$258,K$284,K$316-(K$236-K$235)) -K$200</f>
        <v>21.847768683980089</v>
      </c>
      <c r="L206" s="7">
        <f ca="1">IF(L$6=OFFSET(Assumptions!$B$8,0,$C$1),AVERAGE(SUM(I$206,I$200)/SUM(I$193-(I$236-I$235),I$200,I$206),SUM(J$206,J$200)/SUM(J$193-(J$236-J$235),J$200,J$206),SUM(K$206,K$200)/SUM(K$193-(K$236-K$235),K$200,K$206)),SUM(K$206,K$200)/SUM(K$193-(K$236-K$235),K$200,K$206))*SUM(L$181-L$222,L$240,L$258,L$284,L$316-(L$236-L$235)) -L$200</f>
        <v>22.858839187827829</v>
      </c>
      <c r="M206" s="7">
        <f ca="1">IF(M$6=OFFSET(Assumptions!$B$8,0,$C$1),AVERAGE(SUM(J$206,J$200)/SUM(J$193-(J$236-J$235),J$200,J$206),SUM(K$206,K$200)/SUM(K$193-(K$236-K$235),K$200,K$206),SUM(L$206,L$200)/SUM(L$193-(L$236-L$235),L$200,L$206)),SUM(L$206,L$200)/SUM(L$193-(L$236-L$235),L$200,L$206))*SUM(M$181-M$222,M$240,M$258,M$284,M$316-(M$236-M$235)) -M$200</f>
        <v>23.91045607043938</v>
      </c>
      <c r="N206" s="7">
        <f ca="1">IF(N$6=OFFSET(Assumptions!$B$8,0,$C$1),AVERAGE(SUM(K$206,K$200)/SUM(K$193-(K$236-K$235),K$200,K$206),SUM(L$206,L$200)/SUM(L$193-(L$236-L$235),L$200,L$206),SUM(M$206,M$200)/SUM(M$193-(M$236-M$235),M$200,M$206)),SUM(M$206,M$200)/SUM(M$193-(M$236-M$235),M$200,M$206))*SUM(N$181-N$222,N$240,N$258,N$284,N$316-(N$236-N$235)) -N$200</f>
        <v>24.997892137044587</v>
      </c>
      <c r="O206" s="7">
        <f ca="1">IF(O$6=OFFSET(Assumptions!$B$8,0,$C$1),AVERAGE(SUM(L$206,L$200)/SUM(L$193-(L$236-L$235),L$200,L$206),SUM(M$206,M$200)/SUM(M$193-(M$236-M$235),M$200,M$206),SUM(N$206,N$200)/SUM(N$193-(N$236-N$235),N$200,N$206)),SUM(N$206,N$200)/SUM(N$193-(N$236-N$235),N$200,N$206))*SUM(O$181-O$222,O$240,O$258,O$284,O$316-(O$236-O$235)) -O$200</f>
        <v>26.118874152009639</v>
      </c>
      <c r="P206" s="7">
        <f ca="1">IF(P$6=OFFSET(Assumptions!$B$8,0,$C$1),AVERAGE(SUM(M$206,M$200)/SUM(M$193-(M$236-M$235),M$200,M$206),SUM(N$206,N$200)/SUM(N$193-(N$236-N$235),N$200,N$206),SUM(O$206,O$200)/SUM(O$193-(O$236-O$235),O$200,O$206)),SUM(O$206,O$200)/SUM(O$193-(O$236-O$235),O$200,O$206))*SUM(P$181-P$222,P$240,P$258,P$284,P$316-(P$236-P$235)) -P$200</f>
        <v>27.272258658083576</v>
      </c>
      <c r="Q206" s="7">
        <f ca="1">IF(Q$6=OFFSET(Assumptions!$B$8,0,$C$1),AVERAGE(SUM(N$206,N$200)/SUM(N$193-(N$236-N$235),N$200,N$206),SUM(O$206,O$200)/SUM(O$193-(O$236-O$235),O$200,O$206),SUM(P$206,P$200)/SUM(P$193-(P$236-P$235),P$200,P$206)),SUM(P$206,P$200)/SUM(P$193-(P$236-P$235),P$200,P$206))*SUM(Q$181-Q$222,Q$240,Q$258,Q$284,Q$316-(Q$236-Q$235)) -Q$200</f>
        <v>28.458924191301953</v>
      </c>
      <c r="R206" s="7">
        <f ca="1">IF(R$6=OFFSET(Assumptions!$B$8,0,$C$1),AVERAGE(SUM(O$206,O$200)/SUM(O$193-(O$236-O$235),O$200,O$206),SUM(P$206,P$200)/SUM(P$193-(P$236-P$235),P$200,P$206),SUM(Q$206,Q$200)/SUM(Q$193-(Q$236-Q$235),Q$200,Q$206)),SUM(Q$206,Q$200)/SUM(Q$193-(Q$236-Q$235),Q$200,Q$206))*SUM(R$181-R$222,R$240,R$258,R$284,R$316-(R$236-R$235)) -R$200</f>
        <v>29.677978819180545</v>
      </c>
      <c r="S206" s="7">
        <f ca="1">IF(S$6=OFFSET(Assumptions!$B$8,0,$C$1),AVERAGE(SUM(P$206,P$200)/SUM(P$193-(P$236-P$235),P$200,P$206),SUM(Q$206,Q$200)/SUM(Q$193-(Q$236-Q$235),Q$200,Q$206),SUM(R$206,R$200)/SUM(R$193-(R$236-R$235),R$200,R$206)),SUM(R$206,R$200)/SUM(R$193-(R$236-R$235),R$200,R$206))*SUM(S$181-S$222,S$240,S$258,S$284,S$316-(S$236-S$235)) -S$200</f>
        <v>30.933437695904754</v>
      </c>
      <c r="T206" s="7">
        <f ca="1">IF(T$6=OFFSET(Assumptions!$B$8,0,$C$1),AVERAGE(SUM(Q$206,Q$200)/SUM(Q$193-(Q$236-Q$235),Q$200,Q$206),SUM(R$206,R$200)/SUM(R$193-(R$236-R$235),R$200,R$206),SUM(S$206,S$200)/SUM(S$193-(S$236-S$235),S$200,S$206)),SUM(S$206,S$200)/SUM(S$193-(S$236-S$235),S$200,S$206))*SUM(T$181-T$222,T$240,T$258,T$284,T$316-(T$236-T$235)) -T$200</f>
        <v>32.225756263842243</v>
      </c>
      <c r="U206" s="7">
        <f ca="1">IF(U$6=OFFSET(Assumptions!$B$8,0,$C$1),AVERAGE(SUM(R$206,R$200)/SUM(R$193-(R$236-R$235),R$200,R$206),SUM(S$206,S$200)/SUM(S$193-(S$236-S$235),S$200,S$206),SUM(T$206,T$200)/SUM(T$193-(T$236-T$235),T$200,T$206)),SUM(T$206,T$200)/SUM(T$193-(T$236-T$235),T$200,T$206))*SUM(U$181-U$222,U$240,U$258,U$284,U$316-(U$236-U$235)) -U$200</f>
        <v>33.559620119414284</v>
      </c>
      <c r="V206" s="7">
        <f ca="1">IF(V$6=OFFSET(Assumptions!$B$8,0,$C$1),AVERAGE(SUM(S$206,S$200)/SUM(S$193-(S$236-S$235),S$200,S$206),SUM(T$206,T$200)/SUM(T$193-(T$236-T$235),T$200,T$206),SUM(U$206,U$200)/SUM(U$193-(U$236-U$235),U$200,U$206)),SUM(U$206,U$200)/SUM(U$193-(U$236-U$235),U$200,U$206))*SUM(V$181-V$222,V$240,V$258,V$284,V$316-(V$236-V$235)) -V$200</f>
        <v>34.938341289412627</v>
      </c>
      <c r="W206" s="7">
        <f ca="1">IF(W$6=OFFSET(Assumptions!$B$8,0,$C$1),AVERAGE(SUM(T$206,T$200)/SUM(T$193-(T$236-T$235),T$200,T$206),SUM(U$206,U$200)/SUM(U$193-(U$236-U$235),U$200,U$206),SUM(V$206,V$200)/SUM(V$193-(V$236-V$235),V$200,V$206)),SUM(V$206,V$200)/SUM(V$193-(V$236-V$235),V$200,V$206))*SUM(W$181-W$222,W$240,W$258,W$284,W$316-(W$236-W$235)) -W$200</f>
        <v>36.365931697218578</v>
      </c>
      <c r="X206" s="7">
        <f ca="1">IF(X$6=OFFSET(Assumptions!$B$8,0,$C$1),AVERAGE(SUM(U$206,U$200)/SUM(U$193-(U$236-U$235),U$200,U$206),SUM(V$206,V$200)/SUM(V$193-(V$236-V$235),V$200,V$206),SUM(W$206,W$200)/SUM(W$193-(W$236-W$235),W$200,W$206)),SUM(W$206,W$200)/SUM(W$193-(W$236-W$235),W$200,W$206))*SUM(X$181-X$222,X$240,X$258,X$284,X$316-(X$236-X$235)) -X$200</f>
        <v>37.846917581758113</v>
      </c>
      <c r="Y206" s="7">
        <f ca="1">IF(Y$6=OFFSET(Assumptions!$B$8,0,$C$1),AVERAGE(SUM(V$206,V$200)/SUM(V$193-(V$236-V$235),V$200,V$206),SUM(W$206,W$200)/SUM(W$193-(W$236-W$235),W$200,W$206),SUM(X$206,X$200)/SUM(X$193-(X$236-X$235),X$200,X$206)),SUM(X$206,X$200)/SUM(X$193-(X$236-X$235),X$200,X$206))*SUM(Y$181-Y$222,Y$240,Y$258,Y$284,Y$316-(Y$236-Y$235)) -Y$200</f>
        <v>39.381161276989211</v>
      </c>
      <c r="Z206" s="7">
        <f ca="1">IF(Z$6=OFFSET(Assumptions!$B$8,0,$C$1),AVERAGE(SUM(W$206,W$200)/SUM(W$193-(W$236-W$235),W$200,W$206),SUM(X$206,X$200)/SUM(X$193-(X$236-X$235),X$200,X$206),SUM(Y$206,Y$200)/SUM(Y$193-(Y$236-Y$235),Y$200,Y$206)),SUM(Y$206,Y$200)/SUM(Y$193-(Y$236-Y$235),Y$200,Y$206))*SUM(Z$181-Z$222,Z$240,Z$258,Z$284,Z$316-(Z$236-Z$235)) -Z$200</f>
        <v>40.976447281190644</v>
      </c>
      <c r="AA206" s="7">
        <f ca="1">IF(AA$6=OFFSET(Assumptions!$B$8,0,$C$1),AVERAGE(SUM(X$206,X$200)/SUM(X$193-(X$236-X$235),X$200,X$206),SUM(Y$206,Y$200)/SUM(Y$193-(Y$236-Y$235),Y$200,Y$206),SUM(Z$206,Z$200)/SUM(Z$193-(Z$236-Z$235),Z$200,Z$206)),SUM(Z$206,Z$200)/SUM(Z$193-(Z$236-Z$235),Z$200,Z$206))*SUM(AA$181-AA$222,AA$240,AA$258,AA$284,AA$316-(AA$236-AA$235)) -AA$200</f>
        <v>42.63533393085094</v>
      </c>
      <c r="AB206" s="7">
        <f ca="1">IF(AB$6=OFFSET(Assumptions!$B$8,0,$C$1),AVERAGE(SUM(Y$206,Y$200)/SUM(Y$193-(Y$236-Y$235),Y$200,Y$206),SUM(Z$206,Z$200)/SUM(Z$193-(Z$236-Z$235),Z$200,Z$206),SUM(AA$206,AA$200)/SUM(AA$193-(AA$236-AA$235),AA$200,AA$206)),SUM(AA$206,AA$200)/SUM(AA$193-(AA$236-AA$235),AA$200,AA$206))*SUM(AB$181-AB$222,AB$240,AB$258,AB$284,AB$316-(AB$236-AB$235)) -AB$200</f>
        <v>44.362817575886176</v>
      </c>
      <c r="AC206" s="7">
        <f ca="1">IF(AC$6=OFFSET(Assumptions!$B$8,0,$C$1),AVERAGE(SUM(Z$206,Z$200)/SUM(Z$193-(Z$236-Z$235),Z$200,Z$206),SUM(AA$206,AA$200)/SUM(AA$193-(AA$236-AA$235),AA$200,AA$206),SUM(AB$206,AB$200)/SUM(AB$193-(AB$236-AB$235),AB$200,AB$206)),SUM(AB$206,AB$200)/SUM(AB$193-(AB$236-AB$235),AB$200,AB$206))*SUM(AC$181-AC$222,AC$240,AC$258,AC$284,AC$316-(AC$236-AC$235)) -AC$200</f>
        <v>46.165449640403338</v>
      </c>
      <c r="AD206" s="7">
        <f ca="1">IF(AD$6=OFFSET(Assumptions!$B$8,0,$C$1),AVERAGE(SUM(AA$206,AA$200)/SUM(AA$193-(AA$236-AA$235),AA$200,AA$206),SUM(AB$206,AB$200)/SUM(AB$193-(AB$236-AB$235),AB$200,AB$206),SUM(AC$206,AC$200)/SUM(AC$193-(AC$236-AC$235),AC$200,AC$206)),SUM(AC$206,AC$200)/SUM(AC$193-(AC$236-AC$235),AC$200,AC$206))*SUM(AD$181-AD$222,AD$240,AD$258,AD$284,AD$316-(AD$236-AD$235)) -AD$200</f>
        <v>48.045067526178173</v>
      </c>
      <c r="AE206" s="7">
        <f ca="1">IF(AE$6=OFFSET(Assumptions!$B$8,0,$C$1),AVERAGE(SUM(AB$206,AB$200)/SUM(AB$193-(AB$236-AB$235),AB$200,AB$206),SUM(AC$206,AC$200)/SUM(AC$193-(AC$236-AC$235),AC$200,AC$206),SUM(AD$206,AD$200)/SUM(AD$193-(AD$236-AD$235),AD$200,AD$206)),SUM(AD$206,AD$200)/SUM(AD$193-(AD$236-AD$235),AD$200,AD$206))*SUM(AE$181-AE$222,AE$240,AE$258,AE$284,AE$316-(AE$236-AE$235)) -AE$200</f>
        <v>49.999869277974234</v>
      </c>
      <c r="AF206" s="7">
        <f ca="1">IF(AF$6=OFFSET(Assumptions!$B$8,0,$C$1),AVERAGE(SUM(AC$206,AC$200)/SUM(AC$193-(AC$236-AC$235),AC$200,AC$206),SUM(AD$206,AD$200)/SUM(AD$193-(AD$236-AD$235),AD$200,AD$206),SUM(AE$206,AE$200)/SUM(AE$193-(AE$236-AE$235),AE$200,AE$206)),SUM(AE$206,AE$200)/SUM(AE$193-(AE$236-AE$235),AE$200,AE$206))*SUM(AF$181-AF$222,AF$240,AF$258,AF$284,AF$316-(AF$236-AF$235)) -AF$200</f>
        <v>52.035287347695984</v>
      </c>
      <c r="AG206" s="7">
        <f ca="1">IF(AG$6=OFFSET(Assumptions!$B$8,0,$C$1),AVERAGE(SUM(AD$206,AD$200)/SUM(AD$193-(AD$236-AD$235),AD$200,AD$206),SUM(AE$206,AE$200)/SUM(AE$193-(AE$236-AE$235),AE$200,AE$206),SUM(AF$206,AF$200)/SUM(AF$193-(AF$236-AF$235),AF$200,AF$206)),SUM(AF$206,AF$200)/SUM(AF$193-(AF$236-AF$235),AF$200,AF$206))*SUM(AG$181-AG$222,AG$240,AG$258,AG$284,AG$316-(AG$236-AG$235)) -AG$200</f>
        <v>54.152399661525386</v>
      </c>
      <c r="AH206" s="7">
        <f ca="1">IF(AH$6=OFFSET(Assumptions!$B$8,0,$C$1),AVERAGE(SUM(AE$206,AE$200)/SUM(AE$193-(AE$236-AE$235),AE$200,AE$206),SUM(AF$206,AF$200)/SUM(AF$193-(AF$236-AF$235),AF$200,AF$206),SUM(AG$206,AG$200)/SUM(AG$193-(AG$236-AG$235),AG$200,AG$206)),SUM(AG$206,AG$200)/SUM(AG$193-(AG$236-AG$235),AG$200,AG$206))*SUM(AH$181-AH$222,AH$240,AH$258,AH$284,AH$316-(AH$236-AH$235)) -AH$200</f>
        <v>56.354631629723968</v>
      </c>
      <c r="AI206" s="7">
        <f ca="1">IF(AI$6=OFFSET(Assumptions!$B$8,0,$C$1),AVERAGE(SUM(AF$206,AF$200)/SUM(AF$193-(AF$236-AF$235),AF$200,AF$206),SUM(AG$206,AG$200)/SUM(AG$193-(AG$236-AG$235),AG$200,AG$206),SUM(AH$206,AH$200)/SUM(AH$193-(AH$236-AH$235),AH$200,AH$206)),SUM(AH$206,AH$200)/SUM(AH$193-(AH$236-AH$235),AH$200,AH$206))*SUM(AI$181-AI$222,AI$240,AI$258,AI$284,AI$316-(AI$236-AI$235)) -AI$200</f>
        <v>58.637998858056811</v>
      </c>
      <c r="AJ206" s="7">
        <f ca="1">IF(AJ$6=OFFSET(Assumptions!$B$8,0,$C$1),AVERAGE(SUM(AG$206,AG$200)/SUM(AG$193-(AG$236-AG$235),AG$200,AG$206),SUM(AH$206,AH$200)/SUM(AH$193-(AH$236-AH$235),AH$200,AH$206),SUM(AI$206,AI$200)/SUM(AI$193-(AI$236-AI$235),AI$200,AI$206)),SUM(AI$206,AI$200)/SUM(AI$193-(AI$236-AI$235),AI$200,AI$206))*SUM(AJ$181-AJ$222,AJ$240,AJ$258,AJ$284,AJ$316-(AJ$236-AJ$235)) -AJ$200</f>
        <v>61.009904672034466</v>
      </c>
      <c r="AK206" s="7">
        <f ca="1">IF(AK$6=OFFSET(Assumptions!$B$8,0,$C$1),AVERAGE(SUM(AH$206,AH$200)/SUM(AH$193-(AH$236-AH$235),AH$200,AH$206),SUM(AI$206,AI$200)/SUM(AI$193-(AI$236-AI$235),AI$200,AI$206),SUM(AJ$206,AJ$200)/SUM(AJ$193-(AJ$236-AJ$235),AJ$200,AJ$206)),SUM(AJ$206,AJ$200)/SUM(AJ$193-(AJ$236-AJ$235),AJ$200,AJ$206))*SUM(AK$181-AK$222,AK$240,AK$258,AK$284,AK$316-(AK$236-AK$235)) -AK$200</f>
        <v>63.468329123863271</v>
      </c>
      <c r="AL206" s="7">
        <f ca="1">IF(AL$6=OFFSET(Assumptions!$B$8,0,$C$1),AVERAGE(SUM(AI$206,AI$200)/SUM(AI$193-(AI$236-AI$235),AI$200,AI$206),SUM(AJ$206,AJ$200)/SUM(AJ$193-(AJ$236-AJ$235),AJ$200,AJ$206),SUM(AK$206,AK$200)/SUM(AK$193-(AK$236-AK$235),AK$200,AK$206)),SUM(AK$206,AK$200)/SUM(AK$193-(AK$236-AK$235),AK$200,AK$206))*SUM(AL$181-AL$222,AL$240,AL$258,AL$284,AL$316-(AL$236-AL$235)) -AL$200</f>
        <v>66.011285126315954</v>
      </c>
      <c r="AM206" s="7">
        <f ca="1">IF(AM$6=OFFSET(Assumptions!$B$8,0,$C$1),AVERAGE(SUM(AJ$206,AJ$200)/SUM(AJ$193-(AJ$236-AJ$235),AJ$200,AJ$206),SUM(AK$206,AK$200)/SUM(AK$193-(AK$236-AK$235),AK$200,AK$206),SUM(AL$206,AL$200)/SUM(AL$193-(AL$236-AL$235),AL$200,AL$206)),SUM(AL$206,AL$200)/SUM(AL$193-(AL$236-AL$235),AL$200,AL$206))*SUM(AM$181-AM$222,AM$240,AM$258,AM$284,AM$316-(AM$236-AM$235)) -AM$200</f>
        <v>68.64228183186448</v>
      </c>
      <c r="AN206" s="7">
        <f ca="1">IF(AN$6=OFFSET(Assumptions!$B$8,0,$C$1),AVERAGE(SUM(AK$206,AK$200)/SUM(AK$193-(AK$236-AK$235),AK$200,AK$206),SUM(AL$206,AL$200)/SUM(AL$193-(AL$236-AL$235),AL$200,AL$206),SUM(AM$206,AM$200)/SUM(AM$193-(AM$236-AM$235),AM$200,AM$206)),SUM(AM$206,AM$200)/SUM(AM$193-(AM$236-AM$235),AM$200,AM$206))*SUM(AN$181-AN$222,AN$240,AN$258,AN$284,AN$316-(AN$236-AN$235)) -AN$200</f>
        <v>71.365035132579393</v>
      </c>
      <c r="AO206" s="7">
        <f ca="1">IF(AO$6=OFFSET(Assumptions!$B$8,0,$C$1),AVERAGE(SUM(AL$206,AL$200)/SUM(AL$193-(AL$236-AL$235),AL$200,AL$206),SUM(AM$206,AM$200)/SUM(AM$193-(AM$236-AM$235),AM$200,AM$206),SUM(AN$206,AN$200)/SUM(AN$193-(AN$236-AN$235),AN$200,AN$206)),SUM(AN$206,AN$200)/SUM(AN$193-(AN$236-AN$235),AN$200,AN$206))*SUM(AO$181-AO$222,AO$240,AO$258,AO$284,AO$316-(AO$236-AO$235)) -AO$200</f>
        <v>74.168682345889479</v>
      </c>
      <c r="AP206" s="7">
        <f ca="1">IF(AP$6=OFFSET(Assumptions!$B$8,0,$C$1),AVERAGE(SUM(AM$206,AM$200)/SUM(AM$193-(AM$236-AM$235),AM$200,AM$206),SUM(AN$206,AN$200)/SUM(AN$193-(AN$236-AN$235),AN$200,AN$206),SUM(AO$206,AO$200)/SUM(AO$193-(AO$236-AO$235),AO$200,AO$206)),SUM(AO$206,AO$200)/SUM(AO$193-(AO$236-AO$235),AO$200,AO$206))*SUM(AP$181-AP$222,AP$240,AP$258,AP$284,AP$316-(AP$236-AP$235)) -AP$200</f>
        <v>77.065357643024669</v>
      </c>
      <c r="AQ206" s="7">
        <f ca="1">IF(AQ$6=OFFSET(Assumptions!$B$8,0,$C$1),AVERAGE(SUM(AN$206,AN$200)/SUM(AN$193-(AN$236-AN$235),AN$200,AN$206),SUM(AO$206,AO$200)/SUM(AO$193-(AO$236-AO$235),AO$200,AO$206),SUM(AP$206,AP$200)/SUM(AP$193-(AP$236-AP$235),AP$200,AP$206)),SUM(AP$206,AP$200)/SUM(AP$193-(AP$236-AP$235),AP$200,AP$206))*SUM(AQ$181-AQ$222,AQ$240,AQ$258,AQ$284,AQ$316-(AQ$236-AQ$235)) -AQ$200</f>
        <v>80.046815111001635</v>
      </c>
      <c r="AR206" s="7">
        <f ca="1">IF(AR$6=OFFSET(Assumptions!$B$8,0,$C$1),AVERAGE(SUM(AO$206,AO$200)/SUM(AO$193-(AO$236-AO$235),AO$200,AO$206),SUM(AP$206,AP$200)/SUM(AP$193-(AP$236-AP$235),AP$200,AP$206),SUM(AQ$206,AQ$200)/SUM(AQ$193-(AQ$236-AQ$235),AQ$200,AQ$206)),SUM(AQ$206,AQ$200)/SUM(AQ$193-(AQ$236-AQ$235),AQ$200,AQ$206))*SUM(AR$181-AR$222,AR$240,AR$258,AR$284,AR$316-(AR$236-AR$235)) -AR$200</f>
        <v>83.116537545631218</v>
      </c>
      <c r="AS206" s="7">
        <f ca="1">IF(AS$6=OFFSET(Assumptions!$B$8,0,$C$1),AVERAGE(SUM(AP$206,AP$200)/SUM(AP$193-(AP$236-AP$235),AP$200,AP$206),SUM(AQ$206,AQ$200)/SUM(AQ$193-(AQ$236-AQ$235),AQ$200,AQ$206),SUM(AR$206,AR$200)/SUM(AR$193-(AR$236-AR$235),AR$200,AR$206)),SUM(AR$206,AR$200)/SUM(AR$193-(AR$236-AR$235),AR$200,AR$206))*SUM(AS$181-AS$222,AS$240,AS$258,AS$284,AS$316-(AS$236-AS$235)) -AS$200</f>
        <v>86.281865302680444</v>
      </c>
      <c r="AT206" s="7">
        <f ca="1">IF(AT$6=OFFSET(Assumptions!$B$8,0,$C$1),AVERAGE(SUM(AQ$206,AQ$200)/SUM(AQ$193-(AQ$236-AQ$235),AQ$200,AQ$206),SUM(AR$206,AR$200)/SUM(AR$193-(AR$236-AR$235),AR$200,AR$206),SUM(AS$206,AS$200)/SUM(AS$193-(AS$236-AS$235),AS$200,AS$206)),SUM(AS$206,AS$200)/SUM(AS$193-(AS$236-AS$235),AS$200,AS$206))*SUM(AT$181-AT$222,AT$240,AT$258,AT$284,AT$316-(AT$236-AT$235)) -AT$200</f>
        <v>89.544859729525015</v>
      </c>
      <c r="AU206" s="7">
        <f ca="1">IF(AU$6=OFFSET(Assumptions!$B$8,0,$C$1),AVERAGE(SUM(AR$206,AR$200)/SUM(AR$193-(AR$236-AR$235),AR$200,AR$206),SUM(AS$206,AS$200)/SUM(AS$193-(AS$236-AS$235),AS$200,AS$206),SUM(AT$206,AT$200)/SUM(AT$193-(AT$236-AT$235),AT$200,AT$206)),SUM(AT$206,AT$200)/SUM(AT$193-(AT$236-AT$235),AT$200,AT$206))*SUM(AU$181-AU$222,AU$240,AU$258,AU$284,AU$316-(AU$236-AU$235)) -AU$200</f>
        <v>92.910218136764428</v>
      </c>
      <c r="AV206" s="7">
        <f ca="1">IF(AV$6=OFFSET(Assumptions!$B$8,0,$C$1),AVERAGE(SUM(AS$206,AS$200)/SUM(AS$193-(AS$236-AS$235),AS$200,AS$206),SUM(AT$206,AT$200)/SUM(AT$193-(AT$236-AT$235),AT$200,AT$206),SUM(AU$206,AU$200)/SUM(AU$193-(AU$236-AU$235),AU$200,AU$206)),SUM(AU$206,AU$200)/SUM(AU$193-(AU$236-AU$235),AU$200,AU$206))*SUM(AV$181-AV$222,AV$240,AV$258,AV$284,AV$316-(AV$236-AV$235)) -AV$200</f>
        <v>96.388496274977427</v>
      </c>
      <c r="AW206" s="7">
        <f ca="1">IF(AW$6=OFFSET(Assumptions!$B$8,0,$C$1),AVERAGE(SUM(AT$206,AT$200)/SUM(AT$193-(AT$236-AT$235),AT$200,AT$206),SUM(AU$206,AU$200)/SUM(AU$193-(AU$236-AU$235),AU$200,AU$206),SUM(AV$206,AV$200)/SUM(AV$193-(AV$236-AV$235),AV$200,AV$206)),SUM(AV$206,AV$200)/SUM(AV$193-(AV$236-AV$235),AV$200,AV$206))*SUM(AW$181-AW$222,AW$240,AW$258,AW$284,AW$316-(AW$236-AW$235)) -AW$200</f>
        <v>99.977687071337428</v>
      </c>
    </row>
    <row r="207" spans="1:49" x14ac:dyDescent="0.2">
      <c r="A207" s="1" t="s">
        <v>529</v>
      </c>
      <c r="B207" s="4" t="str">
        <f t="shared" si="165"/>
        <v>From Fiscal</v>
      </c>
      <c r="D207" s="18">
        <f>Fiscal!D$250</f>
        <v>9.3330000000000002</v>
      </c>
      <c r="E207" s="19">
        <f>Fiscal!E$250</f>
        <v>9.0609999999999999</v>
      </c>
      <c r="F207" s="19">
        <f>Fiscal!F$250</f>
        <v>9.3320000000000007</v>
      </c>
      <c r="G207" s="19">
        <f>Fiscal!G$250</f>
        <v>9.7219999999999995</v>
      </c>
      <c r="H207" s="19">
        <f>Fiscal!H$250</f>
        <v>9.8810000000000002</v>
      </c>
      <c r="I207" s="19">
        <f>Fiscal!I$250</f>
        <v>9.9710000000000001</v>
      </c>
      <c r="J207" s="7">
        <f ca="1">IF(J$6=OFFSET(Assumptions!$B$8,0,$C$1),AVERAGE(SUM(G$207,G$201)/SUM(G$194,G$201,G$207),SUM(H$207,H$201)/SUM(H$194,H$201,H$207),SUM(I$207,I$201)/SUM(I$194,I$201,I$207)),SUM(I$207,I$201)/SUM(I$194,I$201,I$207))*SUM(J$285,J$317-J$223) -J$201</f>
        <v>10.81940106481786</v>
      </c>
      <c r="K207" s="7">
        <f ca="1">IF(K$6=OFFSET(Assumptions!$B$8,0,$C$1),AVERAGE(SUM(H$207,H$201)/SUM(H$194,H$201,H$207),SUM(I$207,I$201)/SUM(I$194,I$201,I$207),SUM(J$207,J$201)/SUM(J$194,J$201,J$207)),SUM(J$207,J$201)/SUM(J$194,J$201,J$207))*SUM(K$285,K$317-K$223) -K$201</f>
        <v>11.327248402167168</v>
      </c>
      <c r="L207" s="7">
        <f ca="1">IF(L$6=OFFSET(Assumptions!$B$8,0,$C$1),AVERAGE(SUM(I$207,I$201)/SUM(I$194,I$201,I$207),SUM(J$207,J$201)/SUM(J$194,J$201,J$207),SUM(K$207,K$201)/SUM(K$194,K$201,K$207)),SUM(K$207,K$201)/SUM(K$194,K$201,K$207))*SUM(L$285,L$317-L$223) -L$201</f>
        <v>11.873898247069716</v>
      </c>
      <c r="M207" s="7">
        <f ca="1">IF(M$6=OFFSET(Assumptions!$B$8,0,$C$1),AVERAGE(SUM(J$207,J$201)/SUM(J$194,J$201,J$207),SUM(K$207,K$201)/SUM(K$194,K$201,K$207),SUM(L$207,L$201)/SUM(L$194,L$201,L$207)),SUM(L$207,L$201)/SUM(L$194,L$201,L$207))*SUM(M$285,M$317-M$223) -M$201</f>
        <v>12.440361898853325</v>
      </c>
      <c r="N207" s="7">
        <f ca="1">IF(N$6=OFFSET(Assumptions!$B$8,0,$C$1),AVERAGE(SUM(K$207,K$201)/SUM(K$194,K$201,K$207),SUM(L$207,L$201)/SUM(L$194,L$201,L$207),SUM(M$207,M$201)/SUM(M$194,M$201,M$207)),SUM(M$207,M$201)/SUM(M$194,M$201,M$207))*SUM(N$285,N$317-N$223) -N$201</f>
        <v>13.028337213228445</v>
      </c>
      <c r="O207" s="7">
        <f ca="1">IF(O$6=OFFSET(Assumptions!$B$8,0,$C$1),AVERAGE(SUM(L$207,L$201)/SUM(L$194,L$201,L$207),SUM(M$207,M$201)/SUM(M$194,M$201,M$207),SUM(N$207,N$201)/SUM(N$194,N$201,N$207)),SUM(N$207,N$201)/SUM(N$194,N$201,N$207))*SUM(O$285,O$317-O$223) -O$201</f>
        <v>13.633331765399678</v>
      </c>
      <c r="P207" s="7">
        <f ca="1">IF(P$6=OFFSET(Assumptions!$B$8,0,$C$1),AVERAGE(SUM(M$207,M$201)/SUM(M$194,M$201,M$207),SUM(N$207,N$201)/SUM(N$194,N$201,N$207),SUM(O$207,O$201)/SUM(O$194,O$201,O$207)),SUM(O$207,O$201)/SUM(O$194,O$201,O$207))*SUM(P$285,P$317-P$223) -P$201</f>
        <v>14.256317796884913</v>
      </c>
      <c r="Q207" s="7">
        <f ca="1">IF(Q$6=OFFSET(Assumptions!$B$8,0,$C$1),AVERAGE(SUM(N$207,N$201)/SUM(N$194,N$201,N$207),SUM(O$207,O$201)/SUM(O$194,O$201,O$207),SUM(P$207,P$201)/SUM(P$194,P$201,P$207)),SUM(P$207,P$201)/SUM(P$194,P$201,P$207))*SUM(Q$285,Q$317-Q$223) -Q$201</f>
        <v>14.89654713190715</v>
      </c>
      <c r="R207" s="7">
        <f ca="1">IF(R$6=OFFSET(Assumptions!$B$8,0,$C$1),AVERAGE(SUM(O$207,O$201)/SUM(O$194,O$201,O$207),SUM(P$207,P$201)/SUM(P$194,P$201,P$207),SUM(Q$207,Q$201)/SUM(Q$194,Q$201,Q$207)),SUM(Q$207,Q$201)/SUM(Q$194,Q$201,Q$207))*SUM(R$285,R$317-R$223) -R$201</f>
        <v>15.553501321484456</v>
      </c>
      <c r="S207" s="7">
        <f ca="1">IF(S$6=OFFSET(Assumptions!$B$8,0,$C$1),AVERAGE(SUM(P$207,P$201)/SUM(P$194,P$201,P$207),SUM(Q$207,Q$201)/SUM(Q$194,Q$201,Q$207),SUM(R$207,R$201)/SUM(R$194,R$201,R$207)),SUM(R$207,R$201)/SUM(R$194,R$201,R$207))*SUM(S$285,S$317-S$223) -S$201</f>
        <v>16.229363928762652</v>
      </c>
      <c r="T207" s="7">
        <f ca="1">IF(T$6=OFFSET(Assumptions!$B$8,0,$C$1),AVERAGE(SUM(Q$207,Q$201)/SUM(Q$194,Q$201,Q$207),SUM(R$207,R$201)/SUM(R$194,R$201,R$207),SUM(S$207,S$201)/SUM(S$194,S$201,S$207)),SUM(S$207,S$201)/SUM(S$194,S$201,S$207))*SUM(T$285,T$317-T$223) -T$201</f>
        <v>16.924366960135576</v>
      </c>
      <c r="U207" s="7">
        <f ca="1">IF(U$6=OFFSET(Assumptions!$B$8,0,$C$1),AVERAGE(SUM(R$207,R$201)/SUM(R$194,R$201,R$207),SUM(S$207,S$201)/SUM(S$194,S$201,S$207),SUM(T$207,T$201)/SUM(T$194,T$201,T$207)),SUM(T$207,T$201)/SUM(T$194,T$201,T$207))*SUM(U$285,U$317-U$223) -U$201</f>
        <v>17.641122779995808</v>
      </c>
      <c r="V207" s="7">
        <f ca="1">IF(V$6=OFFSET(Assumptions!$B$8,0,$C$1),AVERAGE(SUM(S$207,S$201)/SUM(S$194,S$201,S$207),SUM(T$207,T$201)/SUM(T$194,T$201,T$207),SUM(U$207,U$201)/SUM(U$194,U$201,U$207)),SUM(U$207,U$201)/SUM(U$194,U$201,U$207))*SUM(V$285,V$317-V$223) -V$201</f>
        <v>18.381465425626295</v>
      </c>
      <c r="W207" s="7">
        <f ca="1">IF(W$6=OFFSET(Assumptions!$B$8,0,$C$1),AVERAGE(SUM(T$207,T$201)/SUM(T$194,T$201,T$207),SUM(U$207,U$201)/SUM(U$194,U$201,U$207),SUM(V$207,V$201)/SUM(V$194,V$201,V$207)),SUM(V$207,V$201)/SUM(V$194,V$201,V$207))*SUM(W$285,W$317-W$223) -W$201</f>
        <v>19.147622434483665</v>
      </c>
      <c r="X207" s="7">
        <f ca="1">IF(X$6=OFFSET(Assumptions!$B$8,0,$C$1),AVERAGE(SUM(U$207,U$201)/SUM(U$194,U$201,U$207),SUM(V$207,V$201)/SUM(V$194,V$201,V$207),SUM(W$207,W$201)/SUM(W$194,W$201,W$207)),SUM(W$207,W$201)/SUM(W$194,W$201,W$207))*SUM(X$285,X$317-X$223) -X$201</f>
        <v>19.942113784813603</v>
      </c>
      <c r="Y207" s="7">
        <f ca="1">IF(Y$6=OFFSET(Assumptions!$B$8,0,$C$1),AVERAGE(SUM(V$207,V$201)/SUM(V$194,V$201,V$207),SUM(W$207,W$201)/SUM(W$194,W$201,W$207),SUM(X$207,X$201)/SUM(X$194,X$201,X$207)),SUM(X$207,X$201)/SUM(X$194,X$201,X$207))*SUM(Y$285,Y$317-Y$223) -Y$201</f>
        <v>20.764774609906752</v>
      </c>
      <c r="Z207" s="7">
        <f ca="1">IF(Z$6=OFFSET(Assumptions!$B$8,0,$C$1),AVERAGE(SUM(W$207,W$201)/SUM(W$194,W$201,W$207),SUM(X$207,X$201)/SUM(X$194,X$201,X$207),SUM(Y$207,Y$201)/SUM(Y$194,Y$201,Y$207)),SUM(Y$207,Y$201)/SUM(Y$194,Y$201,Y$207))*SUM(Z$285,Z$317-Z$223) -Z$201</f>
        <v>21.619978914258663</v>
      </c>
      <c r="AA207" s="7">
        <f ca="1">IF(AA$6=OFFSET(Assumptions!$B$8,0,$C$1),AVERAGE(SUM(X$207,X$201)/SUM(X$194,X$201,X$207),SUM(Y$207,Y$201)/SUM(Y$194,Y$201,Y$207),SUM(Z$207,Z$201)/SUM(Z$194,Z$201,Z$207)),SUM(Z$207,Z$201)/SUM(Z$194,Z$201,Z$207))*SUM(AA$285,AA$317-AA$223) -AA$201</f>
        <v>22.509107943541061</v>
      </c>
      <c r="AB207" s="7">
        <f ca="1">IF(AB$6=OFFSET(Assumptions!$B$8,0,$C$1),AVERAGE(SUM(Y$207,Y$201)/SUM(Y$194,Y$201,Y$207),SUM(Z$207,Z$201)/SUM(Z$194,Z$201,Z$207),SUM(AA$207,AA$201)/SUM(AA$194,AA$201,AA$207)),SUM(AA$207,AA$201)/SUM(AA$194,AA$201,AA$207))*SUM(AB$285,AB$317-AB$223) -AB$201</f>
        <v>23.434916648946675</v>
      </c>
      <c r="AC207" s="7">
        <f ca="1">IF(AC$6=OFFSET(Assumptions!$B$8,0,$C$1),AVERAGE(SUM(Z$207,Z$201)/SUM(Z$194,Z$201,Z$207),SUM(AA$207,AA$201)/SUM(AA$194,AA$201,AA$207),SUM(AB$207,AB$201)/SUM(AB$194,AB$201,AB$207)),SUM(AB$207,AB$201)/SUM(AB$194,AB$201,AB$207))*SUM(AC$285,AC$317-AC$223) -AC$201</f>
        <v>24.401033254739524</v>
      </c>
      <c r="AD207" s="7">
        <f ca="1">IF(AD$6=OFFSET(Assumptions!$B$8,0,$C$1),AVERAGE(SUM(AA$207,AA$201)/SUM(AA$194,AA$201,AA$207),SUM(AB$207,AB$201)/SUM(AB$194,AB$201,AB$207),SUM(AC$207,AC$201)/SUM(AC$194,AC$201,AC$207)),SUM(AC$207,AC$201)/SUM(AC$194,AC$201,AC$207))*SUM(AD$285,AD$317-AD$223) -AD$201</f>
        <v>25.408414016824999</v>
      </c>
      <c r="AE207" s="7">
        <f ca="1">IF(AE$6=OFFSET(Assumptions!$B$8,0,$C$1),AVERAGE(SUM(AB$207,AB$201)/SUM(AB$194,AB$201,AB$207),SUM(AC$207,AC$201)/SUM(AC$194,AC$201,AC$207),SUM(AD$207,AD$201)/SUM(AD$194,AD$201,AD$207)),SUM(AD$207,AD$201)/SUM(AD$194,AD$201,AD$207))*SUM(AE$285,AE$317-AE$223) -AE$201</f>
        <v>26.455928386602476</v>
      </c>
      <c r="AF207" s="7">
        <f ca="1">IF(AF$6=OFFSET(Assumptions!$B$8,0,$C$1),AVERAGE(SUM(AC$207,AC$201)/SUM(AC$194,AC$201,AC$207),SUM(AD$207,AD$201)/SUM(AD$194,AD$201,AD$207),SUM(AE$207,AE$201)/SUM(AE$194,AE$201,AE$207)),SUM(AE$207,AE$201)/SUM(AE$194,AE$201,AE$207))*SUM(AF$285,AF$317-AF$223) -AF$201</f>
        <v>27.54656230034724</v>
      </c>
      <c r="AG207" s="7">
        <f ca="1">IF(AG$6=OFFSET(Assumptions!$B$8,0,$C$1),AVERAGE(SUM(AD$207,AD$201)/SUM(AD$194,AD$201,AD$207),SUM(AE$207,AE$201)/SUM(AE$194,AE$201,AE$207),SUM(AF$207,AF$201)/SUM(AF$194,AF$201,AF$207)),SUM(AF$207,AF$201)/SUM(AF$194,AF$201,AF$207))*SUM(AG$285,AG$317-AG$223) -AG$201</f>
        <v>28.680830176516746</v>
      </c>
      <c r="AH207" s="7">
        <f ca="1">IF(AH$6=OFFSET(Assumptions!$B$8,0,$C$1),AVERAGE(SUM(AE$207,AE$201)/SUM(AE$194,AE$201,AE$207),SUM(AF$207,AF$201)/SUM(AF$194,AF$201,AF$207),SUM(AG$207,AG$201)/SUM(AG$194,AG$201,AG$207)),SUM(AG$207,AG$201)/SUM(AG$194,AG$201,AG$207))*SUM(AH$285,AH$317-AH$223) -AH$201</f>
        <v>29.860548393850696</v>
      </c>
      <c r="AI207" s="7">
        <f ca="1">IF(AI$6=OFFSET(Assumptions!$B$8,0,$C$1),AVERAGE(SUM(AF$207,AF$201)/SUM(AF$194,AF$201,AF$207),SUM(AG$207,AG$201)/SUM(AG$194,AG$201,AG$207),SUM(AH$207,AH$201)/SUM(AH$194,AH$201,AH$207)),SUM(AH$207,AH$201)/SUM(AH$194,AH$201,AH$207))*SUM(AI$285,AI$317-AI$223) -AI$201</f>
        <v>31.083351331922159</v>
      </c>
      <c r="AJ207" s="7">
        <f ca="1">IF(AJ$6=OFFSET(Assumptions!$B$8,0,$C$1),AVERAGE(SUM(AG$207,AG$201)/SUM(AG$194,AG$201,AG$207),SUM(AH$207,AH$201)/SUM(AH$194,AH$201,AH$207),SUM(AI$207,AI$201)/SUM(AI$194,AI$201,AI$207)),SUM(AI$207,AI$201)/SUM(AI$194,AI$201,AI$207))*SUM(AJ$285,AJ$317-AJ$223) -AJ$201</f>
        <v>32.353330427934935</v>
      </c>
      <c r="AK207" s="7">
        <f ca="1">IF(AK$6=OFFSET(Assumptions!$B$8,0,$C$1),AVERAGE(SUM(AH$207,AH$201)/SUM(AH$194,AH$201,AH$207),SUM(AI$207,AI$201)/SUM(AI$194,AI$201,AI$207),SUM(AJ$207,AJ$201)/SUM(AJ$194,AJ$201,AJ$207)),SUM(AJ$207,AJ$201)/SUM(AJ$194,AJ$201,AJ$207))*SUM(AK$285,AK$317-AK$223) -AK$201</f>
        <v>33.669210230157468</v>
      </c>
      <c r="AL207" s="7">
        <f ca="1">IF(AL$6=OFFSET(Assumptions!$B$8,0,$C$1),AVERAGE(SUM(AI$207,AI$201)/SUM(AI$194,AI$201,AI$207),SUM(AJ$207,AJ$201)/SUM(AJ$194,AJ$201,AJ$207),SUM(AK$207,AK$201)/SUM(AK$194,AK$201,AK$207)),SUM(AK$207,AK$201)/SUM(AK$194,AK$201,AK$207))*SUM(AL$285,AL$317-AL$223) -AL$201</f>
        <v>35.029735078243448</v>
      </c>
      <c r="AM207" s="7">
        <f ca="1">IF(AM$6=OFFSET(Assumptions!$B$8,0,$C$1),AVERAGE(SUM(AJ$207,AJ$201)/SUM(AJ$194,AJ$201,AJ$207),SUM(AK$207,AK$201)/SUM(AK$194,AK$201,AK$207),SUM(AL$207,AL$201)/SUM(AL$194,AL$201,AL$207)),SUM(AL$207,AL$201)/SUM(AL$194,AL$201,AL$207))*SUM(AM$285,AM$317-AM$223) -AM$201</f>
        <v>36.436786051534625</v>
      </c>
      <c r="AN207" s="7">
        <f ca="1">IF(AN$6=OFFSET(Assumptions!$B$8,0,$C$1),AVERAGE(SUM(AK$207,AK$201)/SUM(AK$194,AK$201,AK$207),SUM(AL$207,AL$201)/SUM(AL$194,AL$201,AL$207),SUM(AM$207,AM$201)/SUM(AM$194,AM$201,AM$207)),SUM(AM$207,AM$201)/SUM(AM$194,AM$201,AM$207))*SUM(AN$285,AN$317-AN$223) -AN$201</f>
        <v>37.892344780746889</v>
      </c>
      <c r="AO207" s="7">
        <f ca="1">IF(AO$6=OFFSET(Assumptions!$B$8,0,$C$1),AVERAGE(SUM(AL$207,AL$201)/SUM(AL$194,AL$201,AL$207),SUM(AM$207,AM$201)/SUM(AM$194,AM$201,AM$207),SUM(AN$207,AN$201)/SUM(AN$194,AN$201,AN$207)),SUM(AN$207,AN$201)/SUM(AN$194,AN$201,AN$207))*SUM(AO$285,AO$317-AO$223) -AO$201</f>
        <v>39.390088192602761</v>
      </c>
      <c r="AP207" s="7">
        <f ca="1">IF(AP$6=OFFSET(Assumptions!$B$8,0,$C$1),AVERAGE(SUM(AM$207,AM$201)/SUM(AM$194,AM$201,AM$207),SUM(AN$207,AN$201)/SUM(AN$194,AN$201,AN$207),SUM(AO$207,AO$201)/SUM(AO$194,AO$201,AO$207)),SUM(AO$207,AO$201)/SUM(AO$194,AO$201,AO$207))*SUM(AP$285,AP$317-AP$223) -AP$201</f>
        <v>40.936802860598114</v>
      </c>
      <c r="AQ207" s="7">
        <f ca="1">IF(AQ$6=OFFSET(Assumptions!$B$8,0,$C$1),AVERAGE(SUM(AN$207,AN$201)/SUM(AN$194,AN$201,AN$207),SUM(AO$207,AO$201)/SUM(AO$194,AO$201,AO$207),SUM(AP$207,AP$201)/SUM(AP$194,AP$201,AP$207)),SUM(AP$207,AP$201)/SUM(AP$194,AP$201,AP$207))*SUM(AQ$285,AQ$317-AQ$223) -AQ$201</f>
        <v>42.527655204387472</v>
      </c>
      <c r="AR207" s="7">
        <f ca="1">IF(AR$6=OFFSET(Assumptions!$B$8,0,$C$1),AVERAGE(SUM(AO$207,AO$201)/SUM(AO$194,AO$201,AO$207),SUM(AP$207,AP$201)/SUM(AP$194,AP$201,AP$207),SUM(AQ$207,AQ$201)/SUM(AQ$194,AQ$201,AQ$207)),SUM(AQ$207,AQ$201)/SUM(AQ$194,AQ$201,AQ$207))*SUM(AR$285,AR$317-AR$223) -AR$201</f>
        <v>44.164494153646501</v>
      </c>
      <c r="AS207" s="7">
        <f ca="1">IF(AS$6=OFFSET(Assumptions!$B$8,0,$C$1),AVERAGE(SUM(AP$207,AP$201)/SUM(AP$194,AP$201,AP$207),SUM(AQ$207,AQ$201)/SUM(AQ$194,AQ$201,AQ$207),SUM(AR$207,AR$201)/SUM(AR$194,AR$201,AR$207)),SUM(AR$207,AR$201)/SUM(AR$194,AR$201,AR$207))*SUM(AS$285,AS$317-AS$223) -AS$201</f>
        <v>45.851353007166303</v>
      </c>
      <c r="AT207" s="7">
        <f ca="1">IF(AT$6=OFFSET(Assumptions!$B$8,0,$C$1),AVERAGE(SUM(AQ$207,AQ$201)/SUM(AQ$194,AQ$201,AQ$207),SUM(AR$207,AR$201)/SUM(AR$194,AR$201,AR$207),SUM(AS$207,AS$201)/SUM(AS$194,AS$201,AS$207)),SUM(AS$207,AS$201)/SUM(AS$194,AS$201,AS$207))*SUM(AT$285,AT$317-AT$223) -AT$201</f>
        <v>47.589566879581319</v>
      </c>
      <c r="AU207" s="7">
        <f ca="1">IF(AU$6=OFFSET(Assumptions!$B$8,0,$C$1),AVERAGE(SUM(AR$207,AR$201)/SUM(AR$194,AR$201,AR$207),SUM(AS$207,AS$201)/SUM(AS$194,AS$201,AS$207),SUM(AT$207,AT$201)/SUM(AT$194,AT$201,AT$207)),SUM(AT$207,AT$201)/SUM(AT$194,AT$201,AT$207))*SUM(AU$285,AU$317-AU$223) -AU$201</f>
        <v>49.381509189520273</v>
      </c>
      <c r="AV207" s="7">
        <f ca="1">IF(AV$6=OFFSET(Assumptions!$B$8,0,$C$1),AVERAGE(SUM(AS$207,AS$201)/SUM(AS$194,AS$201,AS$207),SUM(AT$207,AT$201)/SUM(AT$194,AT$201,AT$207),SUM(AU$207,AU$201)/SUM(AU$194,AU$201,AU$207)),SUM(AU$207,AU$201)/SUM(AU$194,AU$201,AU$207))*SUM(AV$285,AV$317-AV$223) -AV$201</f>
        <v>51.233060876632535</v>
      </c>
      <c r="AW207" s="7">
        <f ca="1">IF(AW$6=OFFSET(Assumptions!$B$8,0,$C$1),AVERAGE(SUM(AT$207,AT$201)/SUM(AT$194,AT$201,AT$207),SUM(AU$207,AU$201)/SUM(AU$194,AU$201,AU$207),SUM(AV$207,AV$201)/SUM(AV$194,AV$201,AV$207)),SUM(AV$207,AV$201)/SUM(AV$194,AV$201,AV$207))*SUM(AW$285,AW$317-AW$223) -AW$201</f>
        <v>53.142905684621255</v>
      </c>
    </row>
    <row r="208" spans="1:49" x14ac:dyDescent="0.2">
      <c r="A208" s="1" t="s">
        <v>530</v>
      </c>
      <c r="B208" s="4" t="str">
        <f t="shared" si="165"/>
        <v>From Fiscal</v>
      </c>
      <c r="D208" s="18">
        <f>Fiscal!D$251</f>
        <v>-28.195</v>
      </c>
      <c r="E208" s="19">
        <f>Fiscal!E$251</f>
        <v>-28.988</v>
      </c>
      <c r="F208" s="19">
        <f>Fiscal!F$251</f>
        <v>-30.004999999999999</v>
      </c>
      <c r="G208" s="19">
        <f>Fiscal!G$251</f>
        <v>-30.263999999999999</v>
      </c>
      <c r="H208" s="19">
        <f>Fiscal!H$251</f>
        <v>-30.381</v>
      </c>
      <c r="I208" s="19">
        <f>Fiscal!I$251</f>
        <v>-30.538</v>
      </c>
      <c r="J208" s="7">
        <f ca="1">IF(J$6=OFFSET(Assumptions!$B$8,0,$C$1),AVERAGE(G$208/SUM(G$195,G$208),H$208/SUM(H$195,H$208),I$208/SUM(I$195,I$208)),I$208/SUM(I$195,I$208))*SUM(J$182,J$241,J$259,J$286,J$318)</f>
        <v>-33.145893799145178</v>
      </c>
      <c r="K208" s="7">
        <f ca="1">IF(K$6=OFFSET(Assumptions!$B$8,0,$C$1),AVERAGE(H$208/SUM(H$195,H$208),I$208/SUM(I$195,I$208),J$208/SUM(J$195,J$208)),J$208/SUM(J$195,J$208))*SUM(K$182,K$241,K$259,K$286,K$318)</f>
        <v>-34.642134934108185</v>
      </c>
      <c r="L208" s="7">
        <f ca="1">IF(L$6=OFFSET(Assumptions!$B$8,0,$C$1),AVERAGE(I$208/SUM(I$195,I$208),J$208/SUM(J$195,J$208),K$208/SUM(K$195,K$208)),K$208/SUM(K$195,K$208))*SUM(L$182,L$241,L$259,L$286,L$318)</f>
        <v>-36.146788270530671</v>
      </c>
      <c r="M208" s="7">
        <f ca="1">IF(M$6=OFFSET(Assumptions!$B$8,0,$C$1),AVERAGE(J$208/SUM(J$195,J$208),K$208/SUM(K$195,K$208),L$208/SUM(L$195,L$208)),L$208/SUM(L$195,L$208))*SUM(M$182,M$241,M$259,M$286,M$318)</f>
        <v>-37.717013786225401</v>
      </c>
      <c r="N208" s="7">
        <f ca="1">IF(N$6=OFFSET(Assumptions!$B$8,0,$C$1),AVERAGE(K$208/SUM(K$195,K$208),L$208/SUM(L$195,L$208),M$208/SUM(M$195,M$208)),M$208/SUM(M$195,M$208))*SUM(N$182,N$241,N$259,N$286,N$318)</f>
        <v>-39.344659449336426</v>
      </c>
      <c r="O208" s="7">
        <f ca="1">IF(O$6=OFFSET(Assumptions!$B$8,0,$C$1),AVERAGE(L$208/SUM(L$195,L$208),M$208/SUM(M$195,M$208),N$208/SUM(N$195,N$208)),N$208/SUM(N$195,N$208))*SUM(O$182,O$241,O$259,O$286,O$318)</f>
        <v>-41.026666727906061</v>
      </c>
      <c r="P208" s="7">
        <f ca="1">IF(P$6=OFFSET(Assumptions!$B$8,0,$C$1),AVERAGE(M$208/SUM(M$195,M$208),N$208/SUM(N$195,N$208),O$208/SUM(O$195,O$208)),O$208/SUM(O$195,O$208))*SUM(P$182,P$241,P$259,P$286,P$318)</f>
        <v>-42.757390407323236</v>
      </c>
      <c r="Q208" s="7">
        <f ca="1">IF(Q$6=OFFSET(Assumptions!$B$8,0,$C$1),AVERAGE(N$208/SUM(N$195,N$208),O$208/SUM(O$195,O$208),P$208/SUM(P$195,P$208)),P$208/SUM(P$195,P$208))*SUM(Q$182,Q$241,Q$259,Q$286,Q$318)</f>
        <v>-44.540478761073125</v>
      </c>
      <c r="R208" s="7">
        <f ca="1">IF(R$6=OFFSET(Assumptions!$B$8,0,$C$1),AVERAGE(O$208/SUM(O$195,O$208),P$208/SUM(P$195,P$208),Q$208/SUM(Q$195,Q$208)),Q$208/SUM(Q$195,Q$208))*SUM(R$182,R$241,R$259,R$286,R$318)</f>
        <v>-46.3745538153794</v>
      </c>
      <c r="S208" s="7">
        <f ca="1">IF(S$6=OFFSET(Assumptions!$B$8,0,$C$1),AVERAGE(P$208/SUM(P$195,P$208),Q$208/SUM(Q$195,Q$208),R$208/SUM(R$195,R$208)),R$208/SUM(R$195,R$208))*SUM(S$182,S$241,S$259,S$286,S$318)</f>
        <v>-48.265534366291469</v>
      </c>
      <c r="T208" s="7">
        <f ca="1">IF(T$6=OFFSET(Assumptions!$B$8,0,$C$1),AVERAGE(Q$208/SUM(Q$195,Q$208),R$208/SUM(R$195,R$208),S$208/SUM(S$195,S$208)),S$208/SUM(S$195,S$208))*SUM(T$182,T$241,T$259,T$286,T$318)</f>
        <v>-50.214053409796179</v>
      </c>
      <c r="U208" s="7">
        <f ca="1">IF(U$6=OFFSET(Assumptions!$B$8,0,$C$1),AVERAGE(R$208/SUM(R$195,R$208),S$208/SUM(S$195,S$208),T$208/SUM(T$195,T$208)),T$208/SUM(T$195,T$208))*SUM(U$182,U$241,U$259,U$286,U$318)</f>
        <v>-52.227029400442284</v>
      </c>
      <c r="V208" s="7">
        <f ca="1">IF(V$6=OFFSET(Assumptions!$B$8,0,$C$1),AVERAGE(S$208/SUM(S$195,S$208),T$208/SUM(T$195,T$208),U$208/SUM(U$195,U$208)),U$208/SUM(U$195,U$208))*SUM(V$182,V$241,V$259,V$286,V$318)</f>
        <v>-54.309358949499021</v>
      </c>
      <c r="W208" s="7">
        <f ca="1">IF(W$6=OFFSET(Assumptions!$B$8,0,$C$1),AVERAGE(T$208/SUM(T$195,T$208),U$208/SUM(U$195,U$208),V$208/SUM(V$195,V$208)),V$208/SUM(V$195,V$208))*SUM(W$182,W$241,W$259,W$286,W$318)</f>
        <v>-56.466990079071017</v>
      </c>
      <c r="X208" s="7">
        <f ca="1">IF(X$6=OFFSET(Assumptions!$B$8,0,$C$1),AVERAGE(U$208/SUM(U$195,U$208),V$208/SUM(V$195,V$208),W$208/SUM(W$195,W$208)),W$208/SUM(W$195,W$208))*SUM(X$182,X$241,X$259,X$286,X$318)</f>
        <v>-58.706648763658066</v>
      </c>
      <c r="Y208" s="7">
        <f ca="1">IF(Y$6=OFFSET(Assumptions!$B$8,0,$C$1),AVERAGE(V$208/SUM(V$195,V$208),W$208/SUM(W$195,W$208),X$208/SUM(X$195,X$208)),X$208/SUM(X$195,X$208))*SUM(Y$182,Y$241,Y$259,Y$286,Y$318)</f>
        <v>-61.028154903498645</v>
      </c>
      <c r="Z208" s="7">
        <f ca="1">IF(Z$6=OFFSET(Assumptions!$B$8,0,$C$1),AVERAGE(W$208/SUM(W$195,W$208),X$208/SUM(X$195,X$208),Y$208/SUM(Y$195,Y$208)),Y$208/SUM(Y$195,Y$208))*SUM(Z$182,Z$241,Z$259,Z$286,Z$318)</f>
        <v>-63.443079955669639</v>
      </c>
      <c r="AA208" s="7">
        <f ca="1">IF(AA$6=OFFSET(Assumptions!$B$8,0,$C$1),AVERAGE(X$208/SUM(X$195,X$208),Y$208/SUM(Y$195,Y$208),Z$208/SUM(Z$195,Z$208)),Z$208/SUM(Z$195,Z$208))*SUM(AA$182,AA$241,AA$259,AA$286,AA$318)</f>
        <v>-65.955268486889594</v>
      </c>
      <c r="AB208" s="7">
        <f ca="1">IF(AB$6=OFFSET(Assumptions!$B$8,0,$C$1),AVERAGE(Y$208/SUM(Y$195,Y$208),Z$208/SUM(Z$195,Z$208),AA$208/SUM(AA$195,AA$208)),AA$208/SUM(AA$195,AA$208))*SUM(AB$182,AB$241,AB$259,AB$286,AB$318)</f>
        <v>-68.572192003672555</v>
      </c>
      <c r="AC208" s="7">
        <f ca="1">IF(AC$6=OFFSET(Assumptions!$B$8,0,$C$1),AVERAGE(Z$208/SUM(Z$195,Z$208),AA$208/SUM(AA$195,AA$208),AB$208/SUM(AB$195,AB$208)),AB$208/SUM(AB$195,AB$208))*SUM(AC$182,AC$241,AC$259,AC$286,AC$318)</f>
        <v>-71.303649556071065</v>
      </c>
      <c r="AD208" s="7">
        <f ca="1">IF(AD$6=OFFSET(Assumptions!$B$8,0,$C$1),AVERAGE(AA$208/SUM(AA$195,AA$208),AB$208/SUM(AB$195,AB$208),AC$208/SUM(AC$195,AC$208)),AC$208/SUM(AC$195,AC$208))*SUM(AD$182,AD$241,AD$259,AD$286,AD$318)</f>
        <v>-74.152458595184186</v>
      </c>
      <c r="AE208" s="7">
        <f ca="1">IF(AE$6=OFFSET(Assumptions!$B$8,0,$C$1),AVERAGE(AB$208/SUM(AB$195,AB$208),AC$208/SUM(AC$195,AC$208),AD$208/SUM(AD$195,AD$208)),AD$208/SUM(AD$195,AD$208))*SUM(AE$182,AE$241,AE$259,AE$286,AE$318)</f>
        <v>-77.116029844627178</v>
      </c>
      <c r="AF208" s="7">
        <f ca="1">IF(AF$6=OFFSET(Assumptions!$B$8,0,$C$1),AVERAGE(AC$208/SUM(AC$195,AC$208),AD$208/SUM(AD$195,AD$208),AE$208/SUM(AE$195,AE$208)),AE$208/SUM(AE$195,AE$208))*SUM(AF$182,AF$241,AF$259,AF$286,AF$318)</f>
        <v>-80.202496346404658</v>
      </c>
      <c r="AG208" s="7">
        <f ca="1">IF(AG$6=OFFSET(Assumptions!$B$8,0,$C$1),AVERAGE(AD$208/SUM(AD$195,AD$208),AE$208/SUM(AE$195,AE$208),AF$208/SUM(AF$195,AF$208)),AF$208/SUM(AF$195,AF$208))*SUM(AG$182,AG$241,AG$259,AG$286,AG$318)</f>
        <v>-83.413536911374081</v>
      </c>
      <c r="AH208" s="7">
        <f ca="1">IF(AH$6=OFFSET(Assumptions!$B$8,0,$C$1),AVERAGE(AE$208/SUM(AE$195,AE$208),AF$208/SUM(AF$195,AF$208),AG$208/SUM(AG$195,AG$208)),AG$208/SUM(AG$195,AG$208))*SUM(AH$182,AH$241,AH$259,AH$286,AH$318)</f>
        <v>-86.754314723650921</v>
      </c>
      <c r="AI208" s="7">
        <f ca="1">IF(AI$6=OFFSET(Assumptions!$B$8,0,$C$1),AVERAGE(AF$208/SUM(AF$195,AF$208),AG$208/SUM(AG$195,AG$208),AH$208/SUM(AH$195,AH$208)),AH$208/SUM(AH$195,AH$208))*SUM(AI$182,AI$241,AI$259,AI$286,AI$318)</f>
        <v>-90.218982583552489</v>
      </c>
      <c r="AJ208" s="7">
        <f ca="1">IF(AJ$6=OFFSET(Assumptions!$B$8,0,$C$1),AVERAGE(AG$208/SUM(AG$195,AG$208),AH$208/SUM(AH$195,AH$208),AI$208/SUM(AI$195,AI$208)),AI$208/SUM(AI$195,AI$208))*SUM(AJ$182,AJ$241,AJ$259,AJ$286,AJ$318)</f>
        <v>-93.818575934296348</v>
      </c>
      <c r="AK208" s="7">
        <f ca="1">IF(AK$6=OFFSET(Assumptions!$B$8,0,$C$1),AVERAGE(AH$208/SUM(AH$195,AH$208),AI$208/SUM(AI$195,AI$208),AJ$208/SUM(AJ$195,AJ$208)),AJ$208/SUM(AJ$195,AJ$208))*SUM(AK$182,AK$241,AK$259,AK$286,AK$318)</f>
        <v>-97.550157840222923</v>
      </c>
      <c r="AL208" s="7">
        <f ca="1">IF(AL$6=OFFSET(Assumptions!$B$8,0,$C$1),AVERAGE(AI$208/SUM(AI$195,AI$208),AJ$208/SUM(AJ$195,AJ$208),AK$208/SUM(AK$195,AK$208)),AK$208/SUM(AK$195,AK$208))*SUM(AL$182,AL$241,AL$259,AL$286,AL$318)</f>
        <v>-101.41081201726624</v>
      </c>
      <c r="AM208" s="7">
        <f ca="1">IF(AM$6=OFFSET(Assumptions!$B$8,0,$C$1),AVERAGE(AJ$208/SUM(AJ$195,AJ$208),AK$208/SUM(AK$195,AK$208),AL$208/SUM(AL$195,AL$208)),AL$208/SUM(AL$195,AL$208))*SUM(AM$182,AM$241,AM$259,AM$286,AM$318)</f>
        <v>-105.40575710046994</v>
      </c>
      <c r="AN208" s="7">
        <f ca="1">IF(AN$6=OFFSET(Assumptions!$B$8,0,$C$1),AVERAGE(AK$208/SUM(AK$195,AK$208),AL$208/SUM(AL$195,AL$208),AM$208/SUM(AM$195,AM$208)),AM$208/SUM(AM$195,AM$208))*SUM(AN$182,AN$241,AN$259,AN$286,AN$318)</f>
        <v>-109.54052434590105</v>
      </c>
      <c r="AO208" s="7">
        <f ca="1">IF(AO$6=OFFSET(Assumptions!$B$8,0,$C$1),AVERAGE(AL$208/SUM(AL$195,AL$208),AM$208/SUM(AM$195,AM$208),AN$208/SUM(AN$195,AN$208)),AN$208/SUM(AN$195,AN$208))*SUM(AO$182,AO$241,AO$259,AO$286,AO$318)</f>
        <v>-113.79899364954521</v>
      </c>
      <c r="AP208" s="7">
        <f ca="1">IF(AP$6=OFFSET(Assumptions!$B$8,0,$C$1),AVERAGE(AM$208/SUM(AM$195,AM$208),AN$208/SUM(AN$195,AN$208),AO$208/SUM(AO$195,AO$208)),AO$208/SUM(AO$195,AO$208))*SUM(AP$182,AP$241,AP$259,AP$286,AP$318)</f>
        <v>-118.19912339452584</v>
      </c>
      <c r="AQ208" s="7">
        <f ca="1">IF(AQ$6=OFFSET(Assumptions!$B$8,0,$C$1),AVERAGE(AN$208/SUM(AN$195,AN$208),AO$208/SUM(AO$195,AO$208),AP$208/SUM(AP$195,AP$208)),AP$208/SUM(AP$195,AP$208))*SUM(AQ$182,AQ$241,AQ$259,AQ$286,AQ$318)</f>
        <v>-122.72865178666063</v>
      </c>
      <c r="AR208" s="7">
        <f ca="1">IF(AR$6=OFFSET(Assumptions!$B$8,0,$C$1),AVERAGE(AO$208/SUM(AO$195,AO$208),AP$208/SUM(AP$195,AP$208),AQ$208/SUM(AQ$195,AQ$208)),AQ$208/SUM(AQ$195,AQ$208))*SUM(AR$182,AR$241,AR$259,AR$286,AR$318)</f>
        <v>-127.39267366864716</v>
      </c>
      <c r="AS208" s="7">
        <f ca="1">IF(AS$6=OFFSET(Assumptions!$B$8,0,$C$1),AVERAGE(AP$208/SUM(AP$195,AP$208),AQ$208/SUM(AQ$195,AQ$208),AR$208/SUM(AR$195,AR$208)),AR$208/SUM(AR$195,AR$208))*SUM(AS$182,AS$241,AS$259,AS$286,AS$318)</f>
        <v>-132.2020165475025</v>
      </c>
      <c r="AT208" s="7">
        <f ca="1">IF(AT$6=OFFSET(Assumptions!$B$8,0,$C$1),AVERAGE(AQ$208/SUM(AQ$195,AQ$208),AR$208/SUM(AR$195,AR$208),AS$208/SUM(AS$195,AS$208)),AS$208/SUM(AS$195,AS$208))*SUM(AT$182,AT$241,AT$259,AT$286,AT$318)</f>
        <v>-137.16187293259216</v>
      </c>
      <c r="AU208" s="7">
        <f ca="1">IF(AU$6=OFFSET(Assumptions!$B$8,0,$C$1),AVERAGE(AR$208/SUM(AR$195,AR$208),AS$208/SUM(AS$195,AS$208),AT$208/SUM(AT$195,AT$208)),AT$208/SUM(AT$195,AT$208))*SUM(AU$182,AU$241,AU$259,AU$286,AU$318)</f>
        <v>-142.27799252503982</v>
      </c>
      <c r="AV208" s="7">
        <f ca="1">IF(AV$6=OFFSET(Assumptions!$B$8,0,$C$1),AVERAGE(AS$208/SUM(AS$195,AS$208),AT$208/SUM(AT$195,AT$208),AU$208/SUM(AU$195,AU$208)),AU$208/SUM(AU$195,AU$208))*SUM(AV$182,AV$241,AV$259,AV$286,AV$318)</f>
        <v>-147.56607641264921</v>
      </c>
      <c r="AW208" s="7">
        <f ca="1">IF(AW$6=OFFSET(Assumptions!$B$8,0,$C$1),AVERAGE(AT$208/SUM(AT$195,AT$208),AU$208/SUM(AU$195,AU$208),AV$208/SUM(AV$195,AV$208)),AV$208/SUM(AV$195,AV$208))*SUM(AW$182,AW$241,AW$259,AW$286,AW$318)</f>
        <v>-153.02321383224458</v>
      </c>
    </row>
    <row r="209" spans="1:49" ht="15" x14ac:dyDescent="0.25">
      <c r="A209" s="2" t="s">
        <v>533</v>
      </c>
      <c r="D209" s="40">
        <f t="shared" ref="D209" si="166">SUM(D$205:D$208)</f>
        <v>35.910000000000004</v>
      </c>
      <c r="E209" s="39">
        <f t="shared" ref="E209:AW209" ca="1" si="167">SUM(E$205:E$208)</f>
        <v>36.734999999999999</v>
      </c>
      <c r="F209" s="39">
        <f t="shared" ca="1" si="167"/>
        <v>38.199000000000012</v>
      </c>
      <c r="G209" s="39">
        <f t="shared" ca="1" si="167"/>
        <v>39.738</v>
      </c>
      <c r="H209" s="39">
        <f t="shared" ca="1" si="167"/>
        <v>41.204000000000008</v>
      </c>
      <c r="I209" s="39">
        <f t="shared" ca="1" si="167"/>
        <v>42.847000000000008</v>
      </c>
      <c r="J209" s="43">
        <f t="shared" ca="1" si="167"/>
        <v>43.760114706518458</v>
      </c>
      <c r="K209" s="43">
        <f t="shared" ca="1" si="167"/>
        <v>45.334604413025744</v>
      </c>
      <c r="L209" s="43">
        <f t="shared" ca="1" si="167"/>
        <v>46.935685179910543</v>
      </c>
      <c r="M209" s="43">
        <f t="shared" ca="1" si="167"/>
        <v>48.595123288326981</v>
      </c>
      <c r="N209" s="43">
        <f t="shared" ca="1" si="167"/>
        <v>50.33412599874044</v>
      </c>
      <c r="O209" s="43">
        <f t="shared" ca="1" si="167"/>
        <v>52.135786345340208</v>
      </c>
      <c r="P209" s="43">
        <f t="shared" ca="1" si="167"/>
        <v>54.864844997823688</v>
      </c>
      <c r="Q209" s="43">
        <f t="shared" ca="1" si="167"/>
        <v>57.69980689636909</v>
      </c>
      <c r="R209" s="43">
        <f t="shared" ca="1" si="167"/>
        <v>60.64061095680637</v>
      </c>
      <c r="S209" s="43">
        <f t="shared" ca="1" si="167"/>
        <v>63.695809721428596</v>
      </c>
      <c r="T209" s="43">
        <f t="shared" ca="1" si="167"/>
        <v>66.872890743173812</v>
      </c>
      <c r="U209" s="43">
        <f t="shared" ca="1" si="167"/>
        <v>70.169786804654734</v>
      </c>
      <c r="V209" s="43">
        <f t="shared" ca="1" si="167"/>
        <v>73.593407542128261</v>
      </c>
      <c r="W209" s="43">
        <f t="shared" ca="1" si="167"/>
        <v>77.150063045560728</v>
      </c>
      <c r="X209" s="43">
        <f t="shared" ca="1" si="167"/>
        <v>80.845754925131629</v>
      </c>
      <c r="Y209" s="43">
        <f t="shared" ca="1" si="167"/>
        <v>84.687053386472442</v>
      </c>
      <c r="Z209" s="43">
        <f t="shared" ca="1" si="167"/>
        <v>88.684428671993743</v>
      </c>
      <c r="AA209" s="43">
        <f t="shared" ca="1" si="167"/>
        <v>91.52705323471082</v>
      </c>
      <c r="AB209" s="43">
        <f t="shared" ca="1" si="167"/>
        <v>94.486858219354914</v>
      </c>
      <c r="AC209" s="43">
        <f t="shared" ca="1" si="167"/>
        <v>97.568691090164094</v>
      </c>
      <c r="AD209" s="43">
        <f t="shared" ca="1" si="167"/>
        <v>100.76931349729551</v>
      </c>
      <c r="AE209" s="43">
        <f t="shared" ca="1" si="167"/>
        <v>104.09847335188323</v>
      </c>
      <c r="AF209" s="43">
        <f t="shared" ca="1" si="167"/>
        <v>107.55813842250943</v>
      </c>
      <c r="AG209" s="43">
        <f t="shared" ca="1" si="167"/>
        <v>111.15612795022358</v>
      </c>
      <c r="AH209" s="43">
        <f t="shared" ca="1" si="167"/>
        <v>114.9061373515439</v>
      </c>
      <c r="AI209" s="43">
        <f t="shared" ca="1" si="167"/>
        <v>118.80179559252311</v>
      </c>
      <c r="AJ209" s="43">
        <f t="shared" ca="1" si="167"/>
        <v>122.84695440561657</v>
      </c>
      <c r="AK209" s="43">
        <f t="shared" ca="1" si="167"/>
        <v>127.04601088190854</v>
      </c>
      <c r="AL209" s="43">
        <f t="shared" ca="1" si="167"/>
        <v>131.40635482326792</v>
      </c>
      <c r="AM209" s="43">
        <f t="shared" ca="1" si="167"/>
        <v>135.93289579550054</v>
      </c>
      <c r="AN209" s="43">
        <f t="shared" ca="1" si="167"/>
        <v>140.63974680307777</v>
      </c>
      <c r="AO209" s="43">
        <f t="shared" ca="1" si="167"/>
        <v>145.52294367753547</v>
      </c>
      <c r="AP209" s="43">
        <f t="shared" ca="1" si="167"/>
        <v>150.58786172611423</v>
      </c>
      <c r="AQ209" s="43">
        <f t="shared" ca="1" si="167"/>
        <v>155.84639345580416</v>
      </c>
      <c r="AR209" s="43">
        <f t="shared" ca="1" si="167"/>
        <v>161.29657779092531</v>
      </c>
      <c r="AS209" s="43">
        <f t="shared" ca="1" si="167"/>
        <v>166.947806345663</v>
      </c>
      <c r="AT209" s="43">
        <f t="shared" ca="1" si="167"/>
        <v>172.80754797458351</v>
      </c>
      <c r="AU209" s="43">
        <f t="shared" ca="1" si="167"/>
        <v>178.88187007823146</v>
      </c>
      <c r="AV209" s="43">
        <f t="shared" ca="1" si="167"/>
        <v>185.18586504263257</v>
      </c>
      <c r="AW209" s="43">
        <f t="shared" ca="1" si="167"/>
        <v>191.71028478079839</v>
      </c>
    </row>
    <row r="210" spans="1:49" ht="15" x14ac:dyDescent="0.25">
      <c r="A210" s="2"/>
      <c r="D210" s="55"/>
      <c r="E210" s="56"/>
      <c r="F210" s="56"/>
      <c r="G210" s="56"/>
      <c r="H210" s="56"/>
      <c r="I210" s="56"/>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row>
    <row r="211" spans="1:49" x14ac:dyDescent="0.2">
      <c r="A211" s="22" t="s">
        <v>534</v>
      </c>
    </row>
    <row r="212" spans="1:49" x14ac:dyDescent="0.2">
      <c r="A212" s="1" t="s">
        <v>324</v>
      </c>
      <c r="B212" s="4" t="str">
        <f t="shared" ref="B212:B215" si="168">$B$43</f>
        <v>From Fiscal</v>
      </c>
      <c r="D212" s="18">
        <f>Fiscal!D$159</f>
        <v>3.7829999999999999</v>
      </c>
      <c r="E212" s="19">
        <f>Fiscal!E$159</f>
        <v>3.6469999999999998</v>
      </c>
      <c r="F212" s="19">
        <f>Fiscal!F$159</f>
        <v>3.6819999999999999</v>
      </c>
      <c r="G212" s="19">
        <f>Fiscal!G$159</f>
        <v>3.7810000000000001</v>
      </c>
      <c r="H212" s="19">
        <f>Fiscal!H$159</f>
        <v>3.738</v>
      </c>
      <c r="I212" s="19">
        <f>Fiscal!I$159</f>
        <v>3.7429999999999999</v>
      </c>
      <c r="J212" s="7">
        <f t="shared" ref="J212:AW212" ca="1" si="169">(I$75+(J$334-I$334-SUM(J$472-J$364,J$473,J$474+J$363-(J$338-I$338)-J$365+(J$446-I$446),J$475)+SUM(J$476,J$477,I$478,J$229,J$231)-SUM(J$486,J$493-I$493)+I$212-I$478)/2)*J$217</f>
        <v>3.9012223517517155</v>
      </c>
      <c r="K212" s="7">
        <f t="shared" ca="1" si="169"/>
        <v>4.1156085878282367</v>
      </c>
      <c r="L212" s="7">
        <f t="shared" ca="1" si="169"/>
        <v>4.3077487252382367</v>
      </c>
      <c r="M212" s="7">
        <f t="shared" ca="1" si="169"/>
        <v>4.4918896643277701</v>
      </c>
      <c r="N212" s="7">
        <f t="shared" ca="1" si="169"/>
        <v>4.6679446668399676</v>
      </c>
      <c r="O212" s="7">
        <f t="shared" ca="1" si="169"/>
        <v>4.8360432456492015</v>
      </c>
      <c r="P212" s="7">
        <f t="shared" ca="1" si="169"/>
        <v>5.0155895590719464</v>
      </c>
      <c r="Q212" s="7">
        <f t="shared" ca="1" si="169"/>
        <v>5.0604598616746461</v>
      </c>
      <c r="R212" s="7">
        <f t="shared" ca="1" si="169"/>
        <v>5.1396947048930457</v>
      </c>
      <c r="S212" s="7">
        <f t="shared" ca="1" si="169"/>
        <v>5.2658612701727696</v>
      </c>
      <c r="T212" s="7">
        <f t="shared" ca="1" si="169"/>
        <v>5.4457049164361937</v>
      </c>
      <c r="U212" s="7">
        <f t="shared" ca="1" si="169"/>
        <v>5.6863889417979276</v>
      </c>
      <c r="V212" s="7">
        <f t="shared" ca="1" si="169"/>
        <v>5.9955973419853965</v>
      </c>
      <c r="W212" s="7">
        <f t="shared" ca="1" si="169"/>
        <v>6.3761736579316617</v>
      </c>
      <c r="X212" s="7">
        <f t="shared" ca="1" si="169"/>
        <v>6.8281201409182479</v>
      </c>
      <c r="Y212" s="7">
        <f t="shared" ca="1" si="169"/>
        <v>7.3558757848217704</v>
      </c>
      <c r="Z212" s="7">
        <f t="shared" ca="1" si="169"/>
        <v>7.9668917177830938</v>
      </c>
      <c r="AA212" s="7">
        <f t="shared" ca="1" si="169"/>
        <v>8.6283165948946401</v>
      </c>
      <c r="AB212" s="7">
        <f t="shared" ca="1" si="169"/>
        <v>9.3017423699061066</v>
      </c>
      <c r="AC212" s="7">
        <f t="shared" ca="1" si="169"/>
        <v>9.9852879089840787</v>
      </c>
      <c r="AD212" s="7">
        <f t="shared" ca="1" si="169"/>
        <v>10.67749782720918</v>
      </c>
      <c r="AE212" s="7">
        <f t="shared" ca="1" si="169"/>
        <v>11.376898017309999</v>
      </c>
      <c r="AF212" s="7">
        <f t="shared" ca="1" si="169"/>
        <v>12.082461044976503</v>
      </c>
      <c r="AG212" s="7">
        <f t="shared" ca="1" si="169"/>
        <v>12.792423858861371</v>
      </c>
      <c r="AH212" s="7">
        <f t="shared" ca="1" si="169"/>
        <v>13.504997652283304</v>
      </c>
      <c r="AI212" s="7">
        <f t="shared" ca="1" si="169"/>
        <v>14.218780588521764</v>
      </c>
      <c r="AJ212" s="7">
        <f t="shared" ca="1" si="169"/>
        <v>14.932817051779475</v>
      </c>
      <c r="AK212" s="7">
        <f t="shared" ca="1" si="169"/>
        <v>15.647193236514561</v>
      </c>
      <c r="AL212" s="7">
        <f t="shared" ca="1" si="169"/>
        <v>16.361334049461874</v>
      </c>
      <c r="AM212" s="7">
        <f t="shared" ca="1" si="169"/>
        <v>17.074969462905806</v>
      </c>
      <c r="AN212" s="7">
        <f t="shared" ca="1" si="169"/>
        <v>17.787995442540478</v>
      </c>
      <c r="AO212" s="7">
        <f t="shared" ca="1" si="169"/>
        <v>18.501956046084928</v>
      </c>
      <c r="AP212" s="7">
        <f t="shared" ca="1" si="169"/>
        <v>19.218677797534596</v>
      </c>
      <c r="AQ212" s="7">
        <f t="shared" ca="1" si="169"/>
        <v>19.941215267169898</v>
      </c>
      <c r="AR212" s="7">
        <f t="shared" ca="1" si="169"/>
        <v>20.672555137876685</v>
      </c>
      <c r="AS212" s="7">
        <f t="shared" ca="1" si="169"/>
        <v>21.417598475792857</v>
      </c>
      <c r="AT212" s="7">
        <f t="shared" ca="1" si="169"/>
        <v>22.180505463064506</v>
      </c>
      <c r="AU212" s="7">
        <f t="shared" ca="1" si="169"/>
        <v>22.963773618431414</v>
      </c>
      <c r="AV212" s="7">
        <f t="shared" ca="1" si="169"/>
        <v>23.77154291671954</v>
      </c>
      <c r="AW212" s="7">
        <f t="shared" ca="1" si="169"/>
        <v>24.608725653924004</v>
      </c>
    </row>
    <row r="213" spans="1:49" x14ac:dyDescent="0.2">
      <c r="A213" s="1" t="s">
        <v>295</v>
      </c>
      <c r="B213" s="4" t="str">
        <f t="shared" si="168"/>
        <v>From Fiscal</v>
      </c>
      <c r="D213" s="18">
        <f>Fiscal!D$254</f>
        <v>0.221</v>
      </c>
      <c r="E213" s="19">
        <f>Fiscal!E$254</f>
        <v>0.17599999999999999</v>
      </c>
      <c r="F213" s="19">
        <f>Fiscal!F$254</f>
        <v>0.20899999999999999</v>
      </c>
      <c r="G213" s="19">
        <f>Fiscal!G$254</f>
        <v>0.20399999999999999</v>
      </c>
      <c r="H213" s="19">
        <f>Fiscal!H$254</f>
        <v>0.20699999999999999</v>
      </c>
      <c r="I213" s="19">
        <f>Fiscal!I$254</f>
        <v>0.20699999999999999</v>
      </c>
      <c r="J213" s="7">
        <f ca="1">IF(J$6=OFFSET(Assumptions!$B$8,0,$C$1),AVERAGE(G$213/SUM(G$213:G$215),H$213/SUM(H$213:H$215),I$213/SUM(I$213:I$215)),I$213/SUM(I$213:I$215))*((I$74+(J$335-I$335-SUM(J$91,J$104,J$105-J$107)+SUM(J$92,J$93,I$94,J$229,J$231)+I$216-I$94)/2)*J$218-J$212)</f>
        <v>0.2194492411866881</v>
      </c>
      <c r="K213" s="7">
        <f ca="1">IF(K$6=OFFSET(Assumptions!$B$8,0,$C$1),AVERAGE(H$213/SUM(H$213:H$215),I$213/SUM(I$213:I$215),J$213/SUM(J$213:J$215)),J$213/SUM(J$213:J$215))*((J$74+(K$335-J$335-SUM(K$91,K$104,K$105-K$107)+SUM(K$92,K$93,J$94,K$229,K$231)+J$216-J$94)/2)*K$218-K$212)</f>
        <v>0.20952128104330997</v>
      </c>
      <c r="L213" s="7">
        <f ca="1">IF(L$6=OFFSET(Assumptions!$B$8,0,$C$1),AVERAGE(I$213/SUM(I$213:I$215),J$213/SUM(J$213:J$215),K$213/SUM(K$213:K$215)),K$213/SUM(K$213:K$215))*((K$74+(L$335-K$335-SUM(L$91,L$104,L$105-L$107)+SUM(L$92,L$93,K$94,L$229,L$231)+K$216-K$94)/2)*L$218-L$212)</f>
        <v>0.20407567603349441</v>
      </c>
      <c r="M213" s="7">
        <f ca="1">IF(M$6=OFFSET(Assumptions!$B$8,0,$C$1),AVERAGE(J$213/SUM(J$213:J$215),K$213/SUM(K$213:K$215),L$213/SUM(L$213:L$215)),L$213/SUM(L$213:L$215))*((L$74+(M$335-L$335-SUM(M$91,M$104,M$105-M$107)+SUM(M$92,M$93,L$94,M$229,M$231)+L$216-L$94)/2)*M$218-M$212)</f>
        <v>0.19798610015361295</v>
      </c>
      <c r="N213" s="7">
        <f ca="1">IF(N$6=OFFSET(Assumptions!$B$8,0,$C$1),AVERAGE(K$213/SUM(K$213:K$215),L$213/SUM(L$213:L$215),M$213/SUM(M$213:M$215)),M$213/SUM(M$213:M$215))*((M$74+(N$335-M$335-SUM(N$91,N$104,N$105-N$107)+SUM(N$92,N$93,M$94,N$229,N$231)+M$216-M$94)/2)*N$218-N$212)</f>
        <v>0.19150494785176447</v>
      </c>
      <c r="O213" s="7">
        <f ca="1">IF(O$6=OFFSET(Assumptions!$B$8,0,$C$1),AVERAGE(L$213/SUM(L$213:L$215),M$213/SUM(M$213:M$215),N$213/SUM(N$213:N$215)),N$213/SUM(N$213:N$215))*((N$74+(O$335-N$335-SUM(O$91,O$104,O$105-O$107)+SUM(O$92,O$93,N$94,O$229,O$231)+N$216-N$94)/2)*O$218-O$212)</f>
        <v>0.18520088107356406</v>
      </c>
      <c r="P213" s="7">
        <f ca="1">IF(P$6=OFFSET(Assumptions!$B$8,0,$C$1),AVERAGE(M$213/SUM(M$213:M$215),N$213/SUM(N$213:N$215),O$213/SUM(O$213:O$215)),O$213/SUM(O$213:O$215))*((O$74+(P$335-O$335-SUM(P$91,P$104,P$105-P$107)+SUM(P$92,P$93,O$94,P$229,P$231)+O$216-O$94)/2)*P$218-P$212)</f>
        <v>0.17893869742384919</v>
      </c>
      <c r="Q213" s="7">
        <f ca="1">IF(Q$6=OFFSET(Assumptions!$B$8,0,$C$1),AVERAGE(N$213/SUM(N$213:N$215),O$213/SUM(O$213:O$215),P$213/SUM(P$213:P$215)),P$213/SUM(P$213:P$215))*((P$74+(Q$335-P$335-SUM(Q$91,Q$104,Q$105-Q$107)+SUM(Q$92,Q$93,P$94,Q$229,Q$231)+P$216-P$94)/2)*Q$218-Q$212)</f>
        <v>0.1716774210578208</v>
      </c>
      <c r="R213" s="7">
        <f ca="1">IF(R$6=OFFSET(Assumptions!$B$8,0,$C$1),AVERAGE(O$213/SUM(O$213:O$215),P$213/SUM(P$213:P$215),Q$213/SUM(Q$213:Q$215)),Q$213/SUM(Q$213:Q$215))*((Q$74+(R$335-Q$335-SUM(R$91,R$104,R$105-R$107)+SUM(R$92,R$93,Q$94,R$229,R$231)+Q$216-Q$94)/2)*R$218-R$212)</f>
        <v>0.16433952008957661</v>
      </c>
      <c r="S213" s="7">
        <f ca="1">IF(S$6=OFFSET(Assumptions!$B$8,0,$C$1),AVERAGE(P$213/SUM(P$213:P$215),Q$213/SUM(Q$213:Q$215),R$213/SUM(R$213:R$215)),R$213/SUM(R$213:R$215))*((R$74+(S$335-R$335-SUM(S$91,S$104,S$105-S$107)+SUM(S$92,S$93,R$94,S$229,S$231)+R$216-R$94)/2)*S$218-S$212)</f>
        <v>0.15676186467604256</v>
      </c>
      <c r="T213" s="7">
        <f ca="1">IF(T$6=OFFSET(Assumptions!$B$8,0,$C$1),AVERAGE(Q$213/SUM(Q$213:Q$215),R$213/SUM(R$213:R$215),S$213/SUM(S$213:S$215)),S$213/SUM(S$213:S$215))*((S$74+(T$335-S$335-SUM(T$91,T$104,T$105-T$107)+SUM(T$92,T$93,S$94,T$229,T$231)+S$216-S$94)/2)*T$218-T$212)</f>
        <v>0.14873450473730085</v>
      </c>
      <c r="U213" s="7">
        <f ca="1">IF(U$6=OFFSET(Assumptions!$B$8,0,$C$1),AVERAGE(R$213/SUM(R$213:R$215),S$213/SUM(S$213:S$215),T$213/SUM(T$213:T$215)),T$213/SUM(T$213:T$215))*((T$74+(U$335-T$335-SUM(U$91,U$104,U$105-U$107)+SUM(U$92,U$93,T$94,U$229,U$231)+T$216-T$94)/2)*U$218-U$212)</f>
        <v>0.14019582596118471</v>
      </c>
      <c r="V213" s="7">
        <f ca="1">IF(V$6=OFFSET(Assumptions!$B$8,0,$C$1),AVERAGE(S$213/SUM(S$213:S$215),T$213/SUM(T$213:T$215),U$213/SUM(U$213:U$215)),U$213/SUM(U$213:U$215))*((U$74+(V$335-U$335-SUM(V$91,V$104,V$105-V$107)+SUM(V$92,V$93,U$94,V$229,V$231)+U$216-U$94)/2)*V$218-V$212)</f>
        <v>0.13107066387244526</v>
      </c>
      <c r="W213" s="7">
        <f ca="1">IF(W$6=OFFSET(Assumptions!$B$8,0,$C$1),AVERAGE(T$213/SUM(T$213:T$215),U$213/SUM(U$213:U$215),V$213/SUM(V$213:V$215)),V$213/SUM(V$213:V$215))*((V$74+(W$335-V$335-SUM(W$91,W$104,W$105-W$107)+SUM(W$92,W$93,V$94,W$229,W$231)+V$216-V$94)/2)*W$218-W$212)</f>
        <v>0.12132241358050683</v>
      </c>
      <c r="X213" s="7">
        <f ca="1">IF(X$6=OFFSET(Assumptions!$B$8,0,$C$1),AVERAGE(U$213/SUM(U$213:U$215),V$213/SUM(V$213:V$215),W$213/SUM(W$213:W$215)),W$213/SUM(W$213:W$215))*((W$74+(X$335-W$335-SUM(X$91,X$104,X$105-X$107)+SUM(X$92,X$93,W$94,X$229,X$231)+W$216-W$94)/2)*X$218-X$212)</f>
        <v>0.11078731539785075</v>
      </c>
      <c r="Y213" s="7">
        <f ca="1">IF(Y$6=OFFSET(Assumptions!$B$8,0,$C$1),AVERAGE(V$213/SUM(V$213:V$215),W$213/SUM(W$213:W$215),X$213/SUM(X$213:X$215)),X$213/SUM(X$213:X$215))*((X$74+(Y$335-X$335-SUM(Y$91,Y$104,Y$105-Y$107)+SUM(Y$92,Y$93,X$94,Y$229,Y$231)+X$216-X$94)/2)*Y$218-Y$212)</f>
        <v>9.925329765978988E-2</v>
      </c>
      <c r="Z213" s="7">
        <f ca="1">IF(Z$6=OFFSET(Assumptions!$B$8,0,$C$1),AVERAGE(W$213/SUM(W$213:W$215),X$213/SUM(X$213:X$215),Y$213/SUM(Y$213:Y$215)),Y$213/SUM(Y$213:Y$215))*((Y$74+(Z$335-Y$335-SUM(Z$91,Z$104,Z$105-Z$107)+SUM(Z$92,Z$93,Y$94,Z$229,Z$231)+Y$216-Y$94)/2)*Z$218-Z$212)</f>
        <v>8.6530320719747714E-2</v>
      </c>
      <c r="AA213" s="7">
        <f ca="1">IF(AA$6=OFFSET(Assumptions!$B$8,0,$C$1),AVERAGE(X$213/SUM(X$213:X$215),Y$213/SUM(Y$213:Y$215),Z$213/SUM(Z$213:Z$215)),Z$213/SUM(Z$213:Z$215))*((Z$74+(AA$335-Z$335-SUM(AA$91,AA$104,AA$105-AA$107)+SUM(AA$92,AA$93,Z$94,AA$229,AA$231)+Z$216-Z$94)/2)*AA$218-AA$212)</f>
        <v>7.237597435876239E-2</v>
      </c>
      <c r="AB213" s="7">
        <f ca="1">IF(AB$6=OFFSET(Assumptions!$B$8,0,$C$1),AVERAGE(Y$213/SUM(Y$213:Y$215),Z$213/SUM(Z$213:Z$215),AA$213/SUM(AA$213:AA$215)),AA$213/SUM(AA$213:AA$215))*((AA$74+(AB$335-AA$335-SUM(AB$91,AB$104,AB$105-AB$107)+SUM(AB$92,AB$93,AA$94,AB$229,AB$231)+AA$216-AA$94)/2)*AB$218-AB$212)</f>
        <v>5.6681164073195768E-2</v>
      </c>
      <c r="AC213" s="7">
        <f ca="1">IF(AC$6=OFFSET(Assumptions!$B$8,0,$C$1),AVERAGE(Z$213/SUM(Z$213:Z$215),AA$213/SUM(AA$213:AA$215),AB$213/SUM(AB$213:AB$215)),AB$213/SUM(AB$213:AB$215))*((AB$74+(AC$335-AB$335-SUM(AC$91,AC$104,AC$105-AC$107)+SUM(AC$92,AC$93,AB$94,AC$229,AC$231)+AB$216-AB$94)/2)*AC$218-AC$212)</f>
        <v>3.9193651369482323E-2</v>
      </c>
      <c r="AD213" s="7">
        <f ca="1">IF(AD$6=OFFSET(Assumptions!$B$8,0,$C$1),AVERAGE(AA$213/SUM(AA$213:AA$215),AB$213/SUM(AB$213:AB$215),AC$213/SUM(AC$213:AC$215)),AC$213/SUM(AC$213:AC$215))*((AC$74+(AD$335-AC$335-SUM(AD$91,AD$104,AD$105-AD$107)+SUM(AD$92,AD$93,AC$94,AD$229,AD$231)+AC$216-AC$94)/2)*AD$218-AD$212)</f>
        <v>1.9341483099730959E-2</v>
      </c>
      <c r="AE213" s="7">
        <f ca="1">IF(AE$6=OFFSET(Assumptions!$B$8,0,$C$1),AVERAGE(AB$213/SUM(AB$213:AB$215),AC$213/SUM(AC$213:AC$215),AD$213/SUM(AD$213:AD$215)),AD$213/SUM(AD$213:AD$215))*((AD$74+(AE$335-AD$335-SUM(AE$91,AE$104,AE$105-AE$107)+SUM(AE$92,AE$93,AD$94,AE$229,AE$231)+AD$216-AD$94)/2)*AE$218-AE$212)</f>
        <v>-3.3255612355612956E-3</v>
      </c>
      <c r="AF213" s="7">
        <f ca="1">IF(AF$6=OFFSET(Assumptions!$B$8,0,$C$1),AVERAGE(AC$213/SUM(AC$213:AC$215),AD$213/SUM(AD$213:AD$215),AE$213/SUM(AE$213:AE$215)),AE$213/SUM(AE$213:AE$215))*((AE$74+(AF$335-AE$335-SUM(AF$91,AF$104,AF$105-AF$107)+SUM(AF$92,AF$93,AE$94,AF$229,AF$231)+AE$216-AE$94)/2)*AF$218-AF$212)</f>
        <v>-2.8813036905060836E-2</v>
      </c>
      <c r="AG213" s="7">
        <f ca="1">IF(AG$6=OFFSET(Assumptions!$B$8,0,$C$1),AVERAGE(AD$213/SUM(AD$213:AD$215),AE$213/SUM(AE$213:AE$215),AF$213/SUM(AF$213:AF$215)),AF$213/SUM(AF$213:AF$215))*((AF$74+(AG$335-AF$335-SUM(AG$91,AG$104,AG$105-AG$107)+SUM(AG$92,AG$93,AF$94,AG$229,AG$231)+AF$216-AF$94)/2)*AG$218-AG$212)</f>
        <v>-5.7034664303436851E-2</v>
      </c>
      <c r="AH213" s="7">
        <f ca="1">IF(AH$6=OFFSET(Assumptions!$B$8,0,$C$1),AVERAGE(AE$213/SUM(AE$213:AE$215),AF$213/SUM(AF$213:AF$215),AG$213/SUM(AG$213:AG$215)),AG$213/SUM(AG$213:AG$215))*((AG$74+(AH$335-AG$335-SUM(AH$91,AH$104,AH$105-AH$107)+SUM(AH$92,AH$93,AG$94,AH$229,AH$231)+AG$216-AG$94)/2)*AH$218-AH$212)</f>
        <v>-8.81400844624535E-2</v>
      </c>
      <c r="AI213" s="7">
        <f ca="1">IF(AI$6=OFFSET(Assumptions!$B$8,0,$C$1),AVERAGE(AF$213/SUM(AF$213:AF$215),AG$213/SUM(AG$213:AG$215),AH$213/SUM(AH$213:AH$215)),AH$213/SUM(AH$213:AH$215))*((AH$74+(AI$335-AH$335-SUM(AI$91,AI$104,AI$105-AI$107)+SUM(AI$92,AI$93,AH$94,AI$229,AI$231)+AH$216-AH$94)/2)*AI$218-AI$212)</f>
        <v>-0.12233687854238293</v>
      </c>
      <c r="AJ213" s="7">
        <f ca="1">IF(AJ$6=OFFSET(Assumptions!$B$8,0,$C$1),AVERAGE(AG$213/SUM(AG$213:AG$215),AH$213/SUM(AH$213:AH$215),AI$213/SUM(AI$213:AI$215)),AI$213/SUM(AI$213:AI$215))*((AI$74+(AJ$335-AI$335-SUM(AJ$91,AJ$104,AJ$105-AJ$107)+SUM(AJ$92,AJ$93,AI$94,AJ$229,AJ$231)+AI$216-AI$94)/2)*AJ$218-AJ$212)</f>
        <v>-0.15981194705801435</v>
      </c>
      <c r="AK213" s="7">
        <f ca="1">IF(AK$6=OFFSET(Assumptions!$B$8,0,$C$1),AVERAGE(AH$213/SUM(AH$213:AH$215),AI$213/SUM(AI$213:AI$215),AJ$213/SUM(AJ$213:AJ$215)),AJ$213/SUM(AJ$213:AJ$215))*((AJ$74+(AK$335-AJ$335-SUM(AK$91,AK$104,AK$105-AK$107)+SUM(AK$92,AK$93,AJ$94,AK$229,AK$231)+AJ$216-AJ$94)/2)*AK$218-AK$212)</f>
        <v>-0.20090013321509584</v>
      </c>
      <c r="AL213" s="7">
        <f ca="1">IF(AL$6=OFFSET(Assumptions!$B$8,0,$C$1),AVERAGE(AI$213/SUM(AI$213:AI$215),AJ$213/SUM(AJ$213:AJ$215),AK$213/SUM(AK$213:AK$215)),AK$213/SUM(AK$213:AK$215))*((AK$74+(AL$335-AK$335-SUM(AL$91,AL$104,AL$105-AL$107)+SUM(AL$92,AL$93,AK$94,AL$229,AL$231)+AK$216-AK$94)/2)*AL$218-AL$212)</f>
        <v>-0.24586167142504833</v>
      </c>
      <c r="AM213" s="7">
        <f ca="1">IF(AM$6=OFFSET(Assumptions!$B$8,0,$C$1),AVERAGE(AJ$213/SUM(AJ$213:AJ$215),AK$213/SUM(AK$213:AK$215),AL$213/SUM(AL$213:AL$215)),AL$213/SUM(AL$213:AL$215))*((AL$74+(AM$335-AL$335-SUM(AM$91,AM$104,AM$105-AM$107)+SUM(AM$92,AM$93,AL$94,AM$229,AM$231)+AL$216-AL$94)/2)*AM$218-AM$212)</f>
        <v>-0.29495620254317478</v>
      </c>
      <c r="AN213" s="7">
        <f ca="1">IF(AN$6=OFFSET(Assumptions!$B$8,0,$C$1),AVERAGE(AK$213/SUM(AK$213:AK$215),AL$213/SUM(AL$213:AL$215),AM$213/SUM(AM$213:AM$215)),AM$213/SUM(AM$213:AM$215))*((AM$74+(AN$335-AM$335-SUM(AN$91,AN$104,AN$105-AN$107)+SUM(AN$92,AN$93,AM$94,AN$229,AN$231)+AM$216-AM$94)/2)*AN$218-AN$212)</f>
        <v>-0.34849744274626343</v>
      </c>
      <c r="AO213" s="7">
        <f ca="1">IF(AO$6=OFFSET(Assumptions!$B$8,0,$C$1),AVERAGE(AL$213/SUM(AL$213:AL$215),AM$213/SUM(AM$213:AM$215),AN$213/SUM(AN$213:AN$215)),AN$213/SUM(AN$213:AN$215))*((AN$74+(AO$335-AN$335-SUM(AO$91,AO$104,AO$105-AO$107)+SUM(AO$92,AO$93,AN$94,AO$229,AO$231)+AN$216-AN$94)/2)*AO$218-AO$212)</f>
        <v>-0.40684152851372712</v>
      </c>
      <c r="AP213" s="7">
        <f ca="1">IF(AP$6=OFFSET(Assumptions!$B$8,0,$C$1),AVERAGE(AM$213/SUM(AM$213:AM$215),AN$213/SUM(AN$213:AN$215),AO$213/SUM(AO$213:AO$215)),AO$213/SUM(AO$213:AO$215))*((AO$74+(AP$335-AO$335-SUM(AP$91,AP$104,AP$105-AP$107)+SUM(AP$92,AP$93,AO$94,AP$229,AP$231)+AO$216-AO$94)/2)*AP$218-AP$212)</f>
        <v>-0.470187469350066</v>
      </c>
      <c r="AQ213" s="7">
        <f ca="1">IF(AQ$6=OFFSET(Assumptions!$B$8,0,$C$1),AVERAGE(AN$213/SUM(AN$213:AN$215),AO$213/SUM(AO$213:AO$215),AP$213/SUM(AP$213:AP$215)),AP$213/SUM(AP$213:AP$215))*((AP$74+(AQ$335-AP$335-SUM(AQ$91,AQ$104,AQ$105-AQ$107)+SUM(AQ$92,AQ$93,AP$94,AQ$229,AQ$231)+AP$216-AP$94)/2)*AQ$218-AQ$212)</f>
        <v>-0.53905929461756918</v>
      </c>
      <c r="AR213" s="7">
        <f ca="1">IF(AR$6=OFFSET(Assumptions!$B$8,0,$C$1),AVERAGE(AO$213/SUM(AO$213:AO$215),AP$213/SUM(AP$213:AP$215),AQ$213/SUM(AQ$213:AQ$215)),AQ$213/SUM(AQ$213:AQ$215))*((AQ$74+(AR$335-AQ$335-SUM(AR$91,AR$104,AR$105-AR$107)+SUM(AR$92,AR$93,AQ$94,AR$229,AR$231)+AQ$216-AQ$94)/2)*AR$218-AR$212)</f>
        <v>-0.61377659444164745</v>
      </c>
      <c r="AS213" s="7">
        <f ca="1">IF(AS$6=OFFSET(Assumptions!$B$8,0,$C$1),AVERAGE(AP$213/SUM(AP$213:AP$215),AQ$213/SUM(AQ$213:AQ$215),AR$213/SUM(AR$213:AR$215)),AR$213/SUM(AR$213:AR$215))*((AR$74+(AS$335-AR$335-SUM(AS$91,AS$104,AS$105-AS$107)+SUM(AS$92,AS$93,AR$94,AS$229,AS$231)+AR$216-AR$94)/2)*AS$218-AS$212)</f>
        <v>-0.6948932334431196</v>
      </c>
      <c r="AT213" s="7">
        <f ca="1">IF(AT$6=OFFSET(Assumptions!$B$8,0,$C$1),AVERAGE(AQ$213/SUM(AQ$213:AQ$215),AR$213/SUM(AR$213:AR$215),AS$213/SUM(AS$213:AS$215)),AS$213/SUM(AS$213:AS$215))*((AS$74+(AT$335-AS$335-SUM(AT$91,AT$104,AT$105-AT$107)+SUM(AT$92,AT$93,AS$94,AT$229,AT$231)+AS$216-AS$94)/2)*AT$218-AT$212)</f>
        <v>-0.78375093065209733</v>
      </c>
      <c r="AU213" s="7">
        <f ca="1">IF(AU$6=OFFSET(Assumptions!$B$8,0,$C$1),AVERAGE(AR$213/SUM(AR$213:AR$215),AS$213/SUM(AS$213:AS$215),AT$213/SUM(AT$213:AT$215)),AT$213/SUM(AT$213:AT$215))*((AT$74+(AU$335-AT$335-SUM(AU$91,AU$104,AU$105-AU$107)+SUM(AU$92,AU$93,AT$94,AU$229,AU$231)+AT$216-AT$94)/2)*AU$218-AU$212)</f>
        <v>-0.88116016600753988</v>
      </c>
      <c r="AV213" s="7">
        <f ca="1">IF(AV$6=OFFSET(Assumptions!$B$8,0,$C$1),AVERAGE(AS$213/SUM(AS$213:AS$215),AT$213/SUM(AT$213:AT$215),AU$213/SUM(AU$213:AU$215)),AU$213/SUM(AU$213:AU$215))*((AU$74+(AV$335-AU$335-SUM(AV$91,AV$104,AV$105-AV$107)+SUM(AV$92,AV$93,AU$94,AV$229,AV$231)+AU$216-AU$94)/2)*AV$218-AV$212)</f>
        <v>-0.98741731351669626</v>
      </c>
      <c r="AW213" s="7">
        <f ca="1">IF(AW$6=OFFSET(Assumptions!$B$8,0,$C$1),AVERAGE(AT$213/SUM(AT$213:AT$215),AU$213/SUM(AU$213:AU$215),AV$213/SUM(AV$213:AV$215)),AV$213/SUM(AV$213:AV$215))*((AV$74+(AW$335-AV$335-SUM(AW$91,AW$104,AW$105-AW$107)+SUM(AW$92,AW$93,AV$94,AW$229,AW$231)+AV$216-AV$94)/2)*AW$218-AW$212)</f>
        <v>-1.1032595207996863</v>
      </c>
    </row>
    <row r="214" spans="1:49" x14ac:dyDescent="0.2">
      <c r="A214" s="1" t="s">
        <v>529</v>
      </c>
      <c r="B214" s="4" t="str">
        <f t="shared" si="168"/>
        <v>From Fiscal</v>
      </c>
      <c r="D214" s="18">
        <f>Fiscal!D$255</f>
        <v>1.28</v>
      </c>
      <c r="E214" s="19">
        <f>Fiscal!E$255</f>
        <v>1.246</v>
      </c>
      <c r="F214" s="19">
        <f>Fiscal!F$255</f>
        <v>1.276</v>
      </c>
      <c r="G214" s="19">
        <f>Fiscal!G$255</f>
        <v>1.381</v>
      </c>
      <c r="H214" s="19">
        <f>Fiscal!H$255</f>
        <v>1.42</v>
      </c>
      <c r="I214" s="19">
        <f>Fiscal!I$255</f>
        <v>1.5049999999999999</v>
      </c>
      <c r="J214" s="7">
        <f ca="1">IF(J$6=OFFSET(Assumptions!$B$8,0,$C$1),AVERAGE(G$214/SUM(G$213:G$215),H$214/SUM(H$213:H$215),I$214/SUM(I$213:I$215)),I$214/SUM(I$213:I$215))*((I$74+(J$335-I$335-SUM(J$91,J$104,J$105-J$107)+SUM(J$92,J$93,I$94,J$229,J$231)+I$216-I$94)/2)*J$218-J$212)</f>
        <v>1.5274885066313524</v>
      </c>
      <c r="K214" s="7">
        <f ca="1">IF(K$6=OFFSET(Assumptions!$B$8,0,$C$1),AVERAGE(H$214/SUM(H$213:H$215),I$214/SUM(I$213:I$215),J$214/SUM(J$213:J$215)),J$214/SUM(J$213:J$215))*((J$74+(K$335-J$335-SUM(K$91,K$104,K$105-K$107)+SUM(K$92,K$93,J$94,K$229,K$231)+J$216-J$94)/2)*K$218-K$212)</f>
        <v>1.4583843943031474</v>
      </c>
      <c r="L214" s="7">
        <f ca="1">IF(L$6=OFFSET(Assumptions!$B$8,0,$C$1),AVERAGE(I$214/SUM(I$213:I$215),J$214/SUM(J$213:J$215),K$214/SUM(K$213:K$215)),K$214/SUM(K$213:K$215))*((K$74+(L$335-K$335-SUM(L$91,L$104,L$105-L$107)+SUM(L$92,L$93,K$94,L$229,L$231)+K$216-K$94)/2)*L$218-L$212)</f>
        <v>1.4204799612817951</v>
      </c>
      <c r="M214" s="7">
        <f ca="1">IF(M$6=OFFSET(Assumptions!$B$8,0,$C$1),AVERAGE(J$214/SUM(J$213:J$215),K$214/SUM(K$213:K$215),L$214/SUM(L$213:L$215)),L$214/SUM(L$213:L$215))*((L$74+(M$335-L$335-SUM(M$91,M$104,M$105-M$107)+SUM(M$92,M$93,L$94,M$229,M$231)+L$216-L$94)/2)*M$218-M$212)</f>
        <v>1.3780931336196054</v>
      </c>
      <c r="N214" s="7">
        <f ca="1">IF(N$6=OFFSET(Assumptions!$B$8,0,$C$1),AVERAGE(K$214/SUM(K$213:K$215),L$214/SUM(L$213:L$215),M$214/SUM(M$213:M$215)),M$214/SUM(M$213:M$215))*((M$74+(N$335-M$335-SUM(N$91,N$104,N$105-N$107)+SUM(N$92,N$93,M$94,N$229,N$231)+M$216-M$94)/2)*N$218-N$212)</f>
        <v>1.3329807167469541</v>
      </c>
      <c r="O214" s="7">
        <f ca="1">IF(O$6=OFFSET(Assumptions!$B$8,0,$C$1),AVERAGE(L$214/SUM(L$213:L$215),M$214/SUM(M$213:M$215),N$214/SUM(N$213:N$215)),N$214/SUM(N$213:N$215))*((N$74+(O$335-N$335-SUM(O$91,O$104,O$105-O$107)+SUM(O$92,O$93,N$94,O$229,O$231)+N$216-N$94)/2)*O$218-O$212)</f>
        <v>1.289100913396229</v>
      </c>
      <c r="P214" s="7">
        <f ca="1">IF(P$6=OFFSET(Assumptions!$B$8,0,$C$1),AVERAGE(M$214/SUM(M$213:M$215),N$214/SUM(N$213:N$215),O$214/SUM(O$213:O$215)),O$214/SUM(O$213:O$215))*((O$74+(P$335-O$335-SUM(P$91,P$104,P$105-P$107)+SUM(P$92,P$93,O$94,P$229,P$231)+O$216-O$94)/2)*P$218-P$212)</f>
        <v>1.2455126398636867</v>
      </c>
      <c r="Q214" s="7">
        <f ca="1">IF(Q$6=OFFSET(Assumptions!$B$8,0,$C$1),AVERAGE(N$214/SUM(N$213:N$215),O$214/SUM(O$213:O$215),P$214/SUM(P$213:P$215)),P$214/SUM(P$213:P$215))*((P$74+(Q$335-P$335-SUM(Q$91,Q$104,Q$105-Q$107)+SUM(Q$92,Q$93,P$94,Q$229,Q$231)+P$216-P$94)/2)*Q$218-Q$212)</f>
        <v>1.1949701265580857</v>
      </c>
      <c r="R214" s="7">
        <f ca="1">IF(R$6=OFFSET(Assumptions!$B$8,0,$C$1),AVERAGE(O$214/SUM(O$213:O$215),P$214/SUM(P$213:P$215),Q$214/SUM(Q$213:Q$215)),Q$214/SUM(Q$213:Q$215))*((Q$74+(R$335-Q$335-SUM(R$91,R$104,R$105-R$107)+SUM(R$92,R$93,Q$94,R$229,R$231)+Q$216-Q$94)/2)*R$218-R$212)</f>
        <v>1.143894263496628</v>
      </c>
      <c r="S214" s="7">
        <f ca="1">IF(S$6=OFFSET(Assumptions!$B$8,0,$C$1),AVERAGE(P$214/SUM(P$213:P$215),Q$214/SUM(Q$213:Q$215),R$214/SUM(R$213:R$215)),R$214/SUM(R$213:R$215))*((R$74+(S$335-R$335-SUM(S$91,S$104,S$105-S$107)+SUM(S$92,S$93,R$94,S$229,S$231)+R$216-R$94)/2)*S$218-S$212)</f>
        <v>1.0911495764391808</v>
      </c>
      <c r="T214" s="7">
        <f ca="1">IF(T$6=OFFSET(Assumptions!$B$8,0,$C$1),AVERAGE(Q$214/SUM(Q$213:Q$215),R$214/SUM(R$213:R$215),S$214/SUM(S$213:S$215)),S$214/SUM(S$213:S$215))*((S$74+(T$335-S$335-SUM(T$91,T$104,T$105-T$107)+SUM(T$92,T$93,S$94,T$229,T$231)+S$216-S$94)/2)*T$218-T$212)</f>
        <v>1.0352746963133035</v>
      </c>
      <c r="U214" s="7">
        <f ca="1">IF(U$6=OFFSET(Assumptions!$B$8,0,$C$1),AVERAGE(R$214/SUM(R$213:R$215),S$214/SUM(S$213:S$215),T$214/SUM(T$213:T$215)),T$214/SUM(T$213:T$215))*((T$74+(U$335-T$335-SUM(U$91,U$104,U$105-U$107)+SUM(U$92,U$93,T$94,U$229,U$231)+T$216-T$94)/2)*U$218-U$212)</f>
        <v>0.97584075331215703</v>
      </c>
      <c r="V214" s="7">
        <f ca="1">IF(V$6=OFFSET(Assumptions!$B$8,0,$C$1),AVERAGE(S$214/SUM(S$213:S$215),T$214/SUM(T$213:T$215),U$214/SUM(U$213:U$215)),U$214/SUM(U$213:U$215))*((U$74+(V$335-U$335-SUM(V$91,V$104,V$105-V$107)+SUM(V$92,V$93,U$94,V$229,V$231)+U$216-U$94)/2)*V$218-V$212)</f>
        <v>0.91232456097390258</v>
      </c>
      <c r="W214" s="7">
        <f ca="1">IF(W$6=OFFSET(Assumptions!$B$8,0,$C$1),AVERAGE(T$214/SUM(T$213:T$215),U$214/SUM(U$213:U$215),V$214/SUM(V$213:V$215)),V$214/SUM(V$213:V$215))*((V$74+(W$335-V$335-SUM(W$91,W$104,W$105-W$107)+SUM(W$92,W$93,V$94,W$229,W$231)+V$216-V$94)/2)*W$218-W$212)</f>
        <v>0.84447132894547972</v>
      </c>
      <c r="X214" s="7">
        <f ca="1">IF(X$6=OFFSET(Assumptions!$B$8,0,$C$1),AVERAGE(U$214/SUM(U$213:U$215),V$214/SUM(V$213:V$215),W$214/SUM(W$213:W$215)),W$214/SUM(W$213:W$215))*((W$74+(X$335-W$335-SUM(X$91,X$104,X$105-X$107)+SUM(X$92,X$93,W$94,X$229,X$231)+W$216-W$94)/2)*X$218-X$212)</f>
        <v>0.77114119891987554</v>
      </c>
      <c r="Y214" s="7">
        <f ca="1">IF(Y$6=OFFSET(Assumptions!$B$8,0,$C$1),AVERAGE(V$214/SUM(V$213:V$215),W$214/SUM(W$213:W$215),X$214/SUM(X$213:X$215)),X$214/SUM(X$213:X$215))*((X$74+(Y$335-X$335-SUM(Y$91,Y$104,Y$105-Y$107)+SUM(Y$92,Y$93,X$94,Y$229,Y$231)+X$216-X$94)/2)*Y$218-Y$212)</f>
        <v>0.69085803441723692</v>
      </c>
      <c r="Z214" s="7">
        <f ca="1">IF(Z$6=OFFSET(Assumptions!$B$8,0,$C$1),AVERAGE(W$214/SUM(W$213:W$215),X$214/SUM(X$213:X$215),Y$214/SUM(Y$213:Y$215)),Y$214/SUM(Y$213:Y$215))*((Y$74+(Z$335-Y$335-SUM(Z$91,Z$104,Z$105-Z$107)+SUM(Z$92,Z$93,Y$94,Z$229,Z$231)+Y$216-Y$94)/2)*Z$218-Z$212)</f>
        <v>0.60229905403089212</v>
      </c>
      <c r="AA214" s="7">
        <f ca="1">IF(AA$6=OFFSET(Assumptions!$B$8,0,$C$1),AVERAGE(X$214/SUM(X$213:X$215),Y$214/SUM(Y$213:Y$215),Z$214/SUM(Z$213:Z$215)),Z$214/SUM(Z$213:Z$215))*((Z$74+(AA$335-Z$335-SUM(AA$91,AA$104,AA$105-AA$107)+SUM(AA$92,AA$93,Z$94,AA$229,AA$231)+Z$216-Z$94)/2)*AA$218-AA$212)</f>
        <v>0.50377694810621743</v>
      </c>
      <c r="AB214" s="7">
        <f ca="1">IF(AB$6=OFFSET(Assumptions!$B$8,0,$C$1),AVERAGE(Y$214/SUM(Y$213:Y$215),Z$214/SUM(Z$213:Z$215),AA$214/SUM(AA$213:AA$215)),AA$214/SUM(AA$213:AA$215))*((AA$74+(AB$335-AA$335-SUM(AB$91,AB$104,AB$105-AB$107)+SUM(AB$92,AB$93,AA$94,AB$229,AB$231)+AA$216-AA$94)/2)*AB$218-AB$212)</f>
        <v>0.39453235835360184</v>
      </c>
      <c r="AC214" s="7">
        <f ca="1">IF(AC$6=OFFSET(Assumptions!$B$8,0,$C$1),AVERAGE(Z$214/SUM(Z$213:Z$215),AA$214/SUM(AA$213:AA$215),AB$214/SUM(AB$213:AB$215)),AB$214/SUM(AB$213:AB$215))*((AB$74+(AC$335-AB$335-SUM(AC$91,AC$104,AC$105-AC$107)+SUM(AC$92,AC$93,AB$94,AC$229,AC$231)+AB$216-AB$94)/2)*AC$218-AC$212)</f>
        <v>0.27280956487277203</v>
      </c>
      <c r="AD214" s="7">
        <f ca="1">IF(AD$6=OFFSET(Assumptions!$B$8,0,$C$1),AVERAGE(AA$214/SUM(AA$213:AA$215),AB$214/SUM(AB$213:AB$215),AC$214/SUM(AC$213:AC$215)),AC$214/SUM(AC$213:AC$215))*((AC$74+(AD$335-AC$335-SUM(AD$91,AD$104,AD$105-AD$107)+SUM(AD$92,AD$93,AC$94,AD$229,AD$231)+AC$216-AC$94)/2)*AD$218-AD$212)</f>
        <v>0.13462745633697693</v>
      </c>
      <c r="AE214" s="7">
        <f ca="1">IF(AE$6=OFFSET(Assumptions!$B$8,0,$C$1),AVERAGE(AB$214/SUM(AB$213:AB$215),AC$214/SUM(AC$213:AC$215),AD$214/SUM(AD$213:AD$215)),AD$214/SUM(AD$213:AD$215))*((AD$74+(AE$335-AD$335-SUM(AE$91,AE$104,AE$105-AE$107)+SUM(AE$92,AE$93,AD$94,AE$229,AE$231)+AD$216-AD$94)/2)*AE$218-AE$212)</f>
        <v>-2.3147751789659766E-2</v>
      </c>
      <c r="AF214" s="7">
        <f ca="1">IF(AF$6=OFFSET(Assumptions!$B$8,0,$C$1),AVERAGE(AC$214/SUM(AC$213:AC$215),AD$214/SUM(AD$213:AD$215),AE$214/SUM(AE$213:AE$215)),AE$214/SUM(AE$213:AE$215))*((AE$74+(AF$335-AE$335-SUM(AF$91,AF$104,AF$105-AF$107)+SUM(AF$92,AF$93,AE$94,AF$229,AF$231)+AE$216-AE$94)/2)*AF$218-AF$212)</f>
        <v>-0.20055472726006934</v>
      </c>
      <c r="AG214" s="7">
        <f ca="1">IF(AG$6=OFFSET(Assumptions!$B$8,0,$C$1),AVERAGE(AD$214/SUM(AD$213:AD$215),AE$214/SUM(AE$213:AE$215),AF$214/SUM(AF$213:AF$215)),AF$214/SUM(AF$213:AF$215))*((AF$74+(AG$335-AF$335-SUM(AG$91,AG$104,AG$105-AG$107)+SUM(AG$92,AG$93,AF$94,AG$229,AG$231)+AF$216-AF$94)/2)*AG$218-AG$212)</f>
        <v>-0.39699291613846766</v>
      </c>
      <c r="AH214" s="7">
        <f ca="1">IF(AH$6=OFFSET(Assumptions!$B$8,0,$C$1),AVERAGE(AE$214/SUM(AE$213:AE$215),AF$214/SUM(AF$213:AF$215),AG$214/SUM(AG$213:AG$215)),AG$214/SUM(AG$213:AG$215))*((AG$74+(AH$335-AG$335-SUM(AH$91,AH$104,AH$105-AH$107)+SUM(AH$92,AH$93,AG$94,AH$229,AH$231)+AG$216-AG$94)/2)*AH$218-AH$212)</f>
        <v>-0.61350390305237124</v>
      </c>
      <c r="AI214" s="7">
        <f ca="1">IF(AI$6=OFFSET(Assumptions!$B$8,0,$C$1),AVERAGE(AF$214/SUM(AF$213:AF$215),AG$214/SUM(AG$213:AG$215),AH$214/SUM(AH$213:AH$215)),AH$214/SUM(AH$213:AH$215))*((AH$74+(AI$335-AH$335-SUM(AI$91,AI$104,AI$105-AI$107)+SUM(AI$92,AI$93,AH$94,AI$229,AI$231)+AH$216-AH$94)/2)*AI$218-AI$212)</f>
        <v>-0.85153256807880517</v>
      </c>
      <c r="AJ214" s="7">
        <f ca="1">IF(AJ$6=OFFSET(Assumptions!$B$8,0,$C$1),AVERAGE(AG$214/SUM(AG$213:AG$215),AH$214/SUM(AH$213:AH$215),AI$214/SUM(AI$213:AI$215)),AI$214/SUM(AI$213:AI$215))*((AI$74+(AJ$335-AI$335-SUM(AJ$91,AJ$104,AJ$105-AJ$107)+SUM(AJ$92,AJ$93,AI$94,AJ$229,AJ$231)+AI$216-AI$94)/2)*AJ$218-AJ$212)</f>
        <v>-1.1123798425250739</v>
      </c>
      <c r="AK214" s="7">
        <f ca="1">IF(AK$6=OFFSET(Assumptions!$B$8,0,$C$1),AVERAGE(AH$214/SUM(AH$213:AH$215),AI$214/SUM(AI$213:AI$215),AJ$214/SUM(AJ$213:AJ$215)),AJ$214/SUM(AJ$213:AJ$215))*((AJ$74+(AK$335-AJ$335-SUM(AK$91,AK$104,AK$105-AK$107)+SUM(AK$92,AK$93,AJ$94,AK$229,AK$231)+AJ$216-AJ$94)/2)*AK$218-AK$212)</f>
        <v>-1.3983764209314637</v>
      </c>
      <c r="AL214" s="7">
        <f ca="1">IF(AL$6=OFFSET(Assumptions!$B$8,0,$C$1),AVERAGE(AI$214/SUM(AI$213:AI$215),AJ$214/SUM(AJ$213:AJ$215),AK$214/SUM(AK$213:AK$215)),AK$214/SUM(AK$213:AK$215))*((AK$74+(AL$335-AK$335-SUM(AL$91,AL$104,AL$105-AL$107)+SUM(AL$92,AL$93,AK$94,AL$229,AL$231)+AK$216-AK$94)/2)*AL$218-AL$212)</f>
        <v>-1.7113336792240246</v>
      </c>
      <c r="AM214" s="7">
        <f ca="1">IF(AM$6=OFFSET(Assumptions!$B$8,0,$C$1),AVERAGE(AJ$214/SUM(AJ$213:AJ$215),AK$214/SUM(AK$213:AK$215),AL$214/SUM(AL$213:AL$215)),AL$214/SUM(AL$213:AL$215))*((AL$74+(AM$335-AL$335-SUM(AM$91,AM$104,AM$105-AM$107)+SUM(AM$92,AM$93,AL$94,AM$229,AM$231)+AL$216-AL$94)/2)*AM$218-AM$212)</f>
        <v>-2.0530588618488186</v>
      </c>
      <c r="AN214" s="7">
        <f ca="1">IF(AN$6=OFFSET(Assumptions!$B$8,0,$C$1),AVERAGE(AK$214/SUM(AK$213:AK$215),AL$214/SUM(AL$213:AL$215),AM$214/SUM(AM$213:AM$215)),AM$214/SUM(AM$213:AM$215))*((AM$74+(AN$335-AM$335-SUM(AN$91,AN$104,AN$105-AN$107)+SUM(AN$92,AN$93,AM$94,AN$229,AN$231)+AM$216-AM$94)/2)*AN$218-AN$212)</f>
        <v>-2.4257356074996825</v>
      </c>
      <c r="AO214" s="7">
        <f ca="1">IF(AO$6=OFFSET(Assumptions!$B$8,0,$C$1),AVERAGE(AL$214/SUM(AL$213:AL$215),AM$214/SUM(AM$213:AM$215),AN$214/SUM(AN$213:AN$215)),AN$214/SUM(AN$213:AN$215))*((AN$74+(AO$335-AN$335-SUM(AO$91,AO$104,AO$105-AO$107)+SUM(AO$92,AO$93,AN$94,AO$229,AO$231)+AN$216-AN$94)/2)*AO$218-AO$212)</f>
        <v>-2.8318428237187594</v>
      </c>
      <c r="AP214" s="7">
        <f ca="1">IF(AP$6=OFFSET(Assumptions!$B$8,0,$C$1),AVERAGE(AM$214/SUM(AM$213:AM$215),AN$214/SUM(AN$213:AN$215),AO$214/SUM(AO$213:AO$215)),AO$214/SUM(AO$213:AO$215))*((AO$74+(AP$335-AO$335-SUM(AP$91,AP$104,AP$105-AP$107)+SUM(AP$92,AP$93,AO$94,AP$229,AP$231)+AO$216-AO$94)/2)*AP$218-AP$212)</f>
        <v>-3.2727657271018802</v>
      </c>
      <c r="AQ214" s="7">
        <f ca="1">IF(AQ$6=OFFSET(Assumptions!$B$8,0,$C$1),AVERAGE(AN$214/SUM(AN$213:AN$215),AO$214/SUM(AO$213:AO$215),AP$214/SUM(AP$213:AP$215)),AP$214/SUM(AP$213:AP$215))*((AP$74+(AQ$335-AP$335-SUM(AQ$91,AQ$104,AQ$105-AQ$107)+SUM(AQ$92,AQ$93,AP$94,AQ$229,AQ$231)+AP$216-AP$94)/2)*AQ$218-AQ$212)</f>
        <v>-3.7521518528316942</v>
      </c>
      <c r="AR214" s="7">
        <f ca="1">IF(AR$6=OFFSET(Assumptions!$B$8,0,$C$1),AVERAGE(AO$214/SUM(AO$213:AO$215),AP$214/SUM(AP$213:AP$215),AQ$214/SUM(AQ$213:AQ$215)),AQ$214/SUM(AQ$213:AQ$215))*((AQ$74+(AR$335-AQ$335-SUM(AR$91,AR$104,AR$105-AR$107)+SUM(AR$92,AR$93,AQ$94,AR$229,AR$231)+AQ$216-AQ$94)/2)*AR$218-AR$212)</f>
        <v>-4.2722257255443221</v>
      </c>
      <c r="AS214" s="7">
        <f ca="1">IF(AS$6=OFFSET(Assumptions!$B$8,0,$C$1),AVERAGE(AP$214/SUM(AP$213:AP$215),AQ$214/SUM(AQ$213:AQ$215),AR$214/SUM(AR$213:AR$215)),AR$214/SUM(AR$213:AR$215))*((AR$74+(AS$335-AR$335-SUM(AS$91,AS$104,AS$105-AS$107)+SUM(AS$92,AS$93,AR$94,AS$229,AS$231)+AR$216-AR$94)/2)*AS$218-AS$212)</f>
        <v>-4.8368425503794823</v>
      </c>
      <c r="AT214" s="7">
        <f ca="1">IF(AT$6=OFFSET(Assumptions!$B$8,0,$C$1),AVERAGE(AQ$214/SUM(AQ$213:AQ$215),AR$214/SUM(AR$213:AR$215),AS$214/SUM(AS$213:AS$215)),AS$214/SUM(AS$213:AS$215))*((AS$74+(AT$335-AS$335-SUM(AT$91,AT$104,AT$105-AT$107)+SUM(AT$92,AT$93,AS$94,AT$229,AT$231)+AS$216-AS$94)/2)*AT$218-AT$212)</f>
        <v>-5.455341436401949</v>
      </c>
      <c r="AU214" s="7">
        <f ca="1">IF(AU$6=OFFSET(Assumptions!$B$8,0,$C$1),AVERAGE(AR$214/SUM(AR$213:AR$215),AS$214/SUM(AS$213:AS$215),AT$214/SUM(AT$213:AT$215)),AT$214/SUM(AT$213:AT$215))*((AT$74+(AU$335-AT$335-SUM(AU$91,AU$104,AU$105-AU$107)+SUM(AU$92,AU$93,AT$94,AU$229,AU$231)+AT$216-AT$94)/2)*AU$218-AU$212)</f>
        <v>-6.1333637737797675</v>
      </c>
      <c r="AV214" s="7">
        <f ca="1">IF(AV$6=OFFSET(Assumptions!$B$8,0,$C$1),AVERAGE(AS$214/SUM(AS$213:AS$215),AT$214/SUM(AT$213:AT$215),AU$214/SUM(AU$213:AU$215)),AU$214/SUM(AU$213:AU$215))*((AU$74+(AV$335-AU$335-SUM(AV$91,AV$104,AV$105-AV$107)+SUM(AV$92,AV$93,AU$94,AV$229,AV$231)+AU$216-AU$94)/2)*AV$218-AV$212)</f>
        <v>-6.8729724900823799</v>
      </c>
      <c r="AW214" s="7">
        <f ca="1">IF(AW$6=OFFSET(Assumptions!$B$8,0,$C$1),AVERAGE(AT$214/SUM(AT$213:AT$215),AU$214/SUM(AU$213:AU$215),AV$214/SUM(AV$213:AV$215)),AV$214/SUM(AV$213:AV$215))*((AV$74+(AW$335-AV$335-SUM(AW$91,AW$104,AW$105-AW$107)+SUM(AW$92,AW$93,AV$94,AW$229,AW$231)+AV$216-AV$94)/2)*AW$218-AW$212)</f>
        <v>-7.679298541841395</v>
      </c>
    </row>
    <row r="215" spans="1:49" x14ac:dyDescent="0.2">
      <c r="A215" s="1" t="s">
        <v>530</v>
      </c>
      <c r="B215" s="4" t="str">
        <f t="shared" si="168"/>
        <v>From Fiscal</v>
      </c>
      <c r="D215" s="18">
        <f>Fiscal!D$256</f>
        <v>-0.72099999999999997</v>
      </c>
      <c r="E215" s="19">
        <f>Fiscal!E$256</f>
        <v>-0.59699999999999998</v>
      </c>
      <c r="F215" s="19">
        <f>Fiscal!F$256</f>
        <v>-0.60099999999999998</v>
      </c>
      <c r="G215" s="19">
        <f>Fiscal!G$256</f>
        <v>-0.55400000000000005</v>
      </c>
      <c r="H215" s="19">
        <f>Fiscal!H$256</f>
        <v>-0.55900000000000005</v>
      </c>
      <c r="I215" s="19">
        <f>Fiscal!I$256</f>
        <v>-0.59199999999999997</v>
      </c>
      <c r="J215" s="7">
        <f ca="1">IF(J$6=OFFSET(Assumptions!$B$8,0,$C$1),AVERAGE(G$215/SUM(G$213:G$215),H$215/SUM(H$213:H$215),I$215/SUM(I$213:I$215)),I$215/SUM(I$213:I$215))*((I$74+(J$335-I$335-SUM(J$91,J$104,J$105-J$107)+SUM(J$92,J$93,I$94,J$229,J$231)+I$216-I$94)/2)*J$218-J$212)</f>
        <v>-0.60497970228531484</v>
      </c>
      <c r="K215" s="7">
        <f ca="1">IF(K$6=OFFSET(Assumptions!$B$8,0,$C$1),AVERAGE(H$215/SUM(H$213:H$215),I$215/SUM(I$213:I$215),J$215/SUM(J$213:J$215)),J$215/SUM(J$213:J$215))*((J$74+(K$335-J$335-SUM(K$91,K$104,K$105-K$107)+SUM(K$92,K$93,J$94,K$229,K$231)+J$216-J$94)/2)*K$218-K$212)</f>
        <v>-0.57761020973495403</v>
      </c>
      <c r="L215" s="7">
        <f ca="1">IF(L$6=OFFSET(Assumptions!$B$8,0,$C$1),AVERAGE(I$215/SUM(I$213:I$215),J$215/SUM(J$213:J$215),K$215/SUM(K$213:K$215)),K$215/SUM(K$213:K$215))*((K$74+(L$335-K$335-SUM(L$91,L$104,L$105-L$107)+SUM(L$92,L$93,K$94,L$229,L$231)+K$216-K$94)/2)*L$218-L$212)</f>
        <v>-0.56259771536593051</v>
      </c>
      <c r="M215" s="7">
        <f ca="1">IF(M$6=OFFSET(Assumptions!$B$8,0,$C$1),AVERAGE(J$215/SUM(J$213:J$215),K$215/SUM(K$213:K$215),L$215/SUM(L$213:L$215)),L$215/SUM(L$213:L$215))*((L$74+(M$335-L$335-SUM(M$91,M$104,M$105-M$107)+SUM(M$92,M$93,L$94,M$229,M$231)+L$216-L$94)/2)*M$218-M$212)</f>
        <v>-0.54580991613302987</v>
      </c>
      <c r="N215" s="7">
        <f ca="1">IF(N$6=OFFSET(Assumptions!$B$8,0,$C$1),AVERAGE(K$215/SUM(K$213:K$215),L$215/SUM(L$213:L$215),M$215/SUM(M$213:M$215)),M$215/SUM(M$213:M$215))*((M$74+(N$335-M$335-SUM(N$91,N$104,N$105-N$107)+SUM(N$92,N$93,M$94,N$229,N$231)+M$216-M$94)/2)*N$218-N$212)</f>
        <v>-0.52794261539033793</v>
      </c>
      <c r="O215" s="7">
        <f ca="1">IF(O$6=OFFSET(Assumptions!$B$8,0,$C$1),AVERAGE(L$215/SUM(L$213:L$215),M$215/SUM(M$213:M$215),N$215/SUM(N$213:N$215)),N$215/SUM(N$213:N$215))*((N$74+(O$335-N$335-SUM(O$91,O$104,O$105-O$107)+SUM(O$92,O$93,N$94,O$229,O$231)+N$216-N$94)/2)*O$218-O$212)</f>
        <v>-0.51056350566073094</v>
      </c>
      <c r="P215" s="7">
        <f ca="1">IF(P$6=OFFSET(Assumptions!$B$8,0,$C$1),AVERAGE(M$215/SUM(M$213:M$215),N$215/SUM(N$213:N$215),O$215/SUM(O$213:O$215)),O$215/SUM(O$213:O$215))*((O$74+(P$335-O$335-SUM(P$91,P$104,P$105-P$107)+SUM(P$92,P$93,O$94,P$229,P$231)+O$216-O$94)/2)*P$218-P$212)</f>
        <v>-0.49329985972796808</v>
      </c>
      <c r="Q215" s="7">
        <f ca="1">IF(Q$6=OFFSET(Assumptions!$B$8,0,$C$1),AVERAGE(N$215/SUM(N$213:N$215),O$215/SUM(O$213:O$215),P$215/SUM(P$213:P$215)),P$215/SUM(P$213:P$215))*((P$74+(Q$335-P$335-SUM(Q$91,Q$104,Q$105-Q$107)+SUM(Q$92,Q$93,P$94,Q$229,Q$231)+P$216-P$94)/2)*Q$218-Q$212)</f>
        <v>-0.47328190573379542</v>
      </c>
      <c r="R215" s="7">
        <f ca="1">IF(R$6=OFFSET(Assumptions!$B$8,0,$C$1),AVERAGE(O$215/SUM(O$213:O$215),P$215/SUM(P$213:P$215),Q$215/SUM(Q$213:Q$215)),Q$215/SUM(Q$213:Q$215))*((Q$74+(R$335-Q$335-SUM(R$91,R$104,R$105-R$107)+SUM(R$92,R$93,Q$94,R$229,R$231)+Q$216-Q$94)/2)*R$218-R$212)</f>
        <v>-0.45305271232596339</v>
      </c>
      <c r="S215" s="7">
        <f ca="1">IF(S$6=OFFSET(Assumptions!$B$8,0,$C$1),AVERAGE(P$215/SUM(P$213:P$215),Q$215/SUM(Q$213:Q$215),R$215/SUM(R$213:R$215)),R$215/SUM(R$213:R$215))*((R$74+(S$335-R$335-SUM(S$91,S$104,S$105-S$107)+SUM(S$92,S$93,R$94,S$229,S$231)+R$216-R$94)/2)*S$218-S$212)</f>
        <v>-0.43216256164095557</v>
      </c>
      <c r="T215" s="7">
        <f ca="1">IF(T$6=OFFSET(Assumptions!$B$8,0,$C$1),AVERAGE(Q$215/SUM(Q$213:Q$215),R$215/SUM(R$213:R$215),S$215/SUM(S$213:S$215)),S$215/SUM(S$213:S$215))*((S$74+(T$335-S$335-SUM(T$91,T$104,T$105-T$107)+SUM(T$92,T$93,S$94,T$229,T$231)+S$216-S$94)/2)*T$218-T$212)</f>
        <v>-0.41003266135232513</v>
      </c>
      <c r="U215" s="7">
        <f ca="1">IF(U$6=OFFSET(Assumptions!$B$8,0,$C$1),AVERAGE(R$215/SUM(R$213:R$215),S$215/SUM(S$213:S$215),T$215/SUM(T$213:T$215)),T$215/SUM(T$213:T$215))*((T$74+(U$335-T$335-SUM(U$91,U$104,U$105-U$107)+SUM(U$92,U$93,T$94,U$229,U$231)+T$216-T$94)/2)*U$218-U$212)</f>
        <v>-0.38649315255315764</v>
      </c>
      <c r="V215" s="7">
        <f ca="1">IF(V$6=OFFSET(Assumptions!$B$8,0,$C$1),AVERAGE(S$215/SUM(S$213:S$215),T$215/SUM(T$213:T$215),U$215/SUM(U$213:U$215)),U$215/SUM(U$213:U$215))*((U$74+(V$335-U$335-SUM(V$91,V$104,V$105-V$107)+SUM(V$92,V$93,U$94,V$229,V$231)+U$216-U$94)/2)*V$218-V$212)</f>
        <v>-0.36133682112135079</v>
      </c>
      <c r="W215" s="7">
        <f ca="1">IF(W$6=OFFSET(Assumptions!$B$8,0,$C$1),AVERAGE(T$215/SUM(T$213:T$215),U$215/SUM(U$213:U$215),V$215/SUM(V$213:V$215)),V$215/SUM(V$213:V$215))*((V$74+(W$335-V$335-SUM(W$91,W$104,W$105-W$107)+SUM(W$92,W$93,V$94,W$229,W$231)+V$216-V$94)/2)*W$218-W$212)</f>
        <v>-0.33446275435525713</v>
      </c>
      <c r="X215" s="7">
        <f ca="1">IF(X$6=OFFSET(Assumptions!$B$8,0,$C$1),AVERAGE(U$215/SUM(U$213:U$215),V$215/SUM(V$213:V$215),W$215/SUM(W$213:W$215)),W$215/SUM(W$213:W$215))*((W$74+(X$335-W$335-SUM(X$91,X$104,X$105-X$107)+SUM(X$92,X$93,W$94,X$229,X$231)+W$216-W$94)/2)*X$218-X$212)</f>
        <v>-0.3054194980303569</v>
      </c>
      <c r="Y215" s="7">
        <f ca="1">IF(Y$6=OFFSET(Assumptions!$B$8,0,$C$1),AVERAGE(V$215/SUM(V$213:V$215),W$215/SUM(W$213:W$215),X$215/SUM(X$213:X$215)),X$215/SUM(X$213:X$215))*((X$74+(Y$335-X$335-SUM(Y$91,Y$104,Y$105-Y$107)+SUM(Y$92,Y$93,X$94,Y$229,Y$231)+X$216-X$94)/2)*Y$218-Y$212)</f>
        <v>-0.27362241101564511</v>
      </c>
      <c r="Z215" s="7">
        <f ca="1">IF(Z$6=OFFSET(Assumptions!$B$8,0,$C$1),AVERAGE(W$215/SUM(W$213:W$215),X$215/SUM(X$213:X$215),Y$215/SUM(Y$213:Y$215)),Y$215/SUM(Y$213:Y$215))*((Y$74+(Z$335-Y$335-SUM(Z$91,Z$104,Z$105-Z$107)+SUM(Z$92,Z$93,Y$94,Z$229,Z$231)+Y$216-Y$94)/2)*Z$218-Z$212)</f>
        <v>-0.23854759025186953</v>
      </c>
      <c r="AA215" s="7">
        <f ca="1">IF(AA$6=OFFSET(Assumptions!$B$8,0,$C$1),AVERAGE(X$215/SUM(X$213:X$215),Y$215/SUM(Y$213:Y$215),Z$215/SUM(Z$213:Z$215)),Z$215/SUM(Z$213:Z$215))*((Z$74+(AA$335-Z$335-SUM(AA$91,AA$104,AA$105-AA$107)+SUM(AA$92,AA$93,Z$94,AA$229,AA$231)+Z$216-Z$94)/2)*AA$218-AA$212)</f>
        <v>-0.19952675700037789</v>
      </c>
      <c r="AB215" s="7">
        <f ca="1">IF(AB$6=OFFSET(Assumptions!$B$8,0,$C$1),AVERAGE(Y$215/SUM(Y$213:Y$215),Z$215/SUM(Z$213:Z$215),AA$215/SUM(AA$213:AA$215)),AA$215/SUM(AA$213:AA$215))*((AA$74+(AB$335-AA$335-SUM(AB$91,AB$104,AB$105-AB$107)+SUM(AB$92,AB$93,AA$94,AB$229,AB$231)+AA$216-AA$94)/2)*AB$218-AB$212)</f>
        <v>-0.15625915852229047</v>
      </c>
      <c r="AC215" s="7">
        <f ca="1">IF(AC$6=OFFSET(Assumptions!$B$8,0,$C$1),AVERAGE(Z$215/SUM(Z$213:Z$215),AA$215/SUM(AA$213:AA$215),AB$215/SUM(AB$213:AB$215)),AB$215/SUM(AB$213:AB$215))*((AB$74+(AC$335-AB$335-SUM(AC$91,AC$104,AC$105-AC$107)+SUM(AC$92,AC$93,AB$94,AC$229,AC$231)+AB$216-AB$94)/2)*AC$218-AC$212)</f>
        <v>-0.10804942140042438</v>
      </c>
      <c r="AD215" s="7">
        <f ca="1">IF(AD$6=OFFSET(Assumptions!$B$8,0,$C$1),AVERAGE(AA$215/SUM(AA$213:AA$215),AB$215/SUM(AB$213:AB$215),AC$215/SUM(AC$213:AC$215)),AC$215/SUM(AC$213:AC$215))*((AC$74+(AD$335-AC$335-SUM(AD$91,AD$104,AD$105-AD$107)+SUM(AD$92,AD$93,AC$94,AD$229,AD$231)+AC$216-AC$94)/2)*AD$218-AD$212)</f>
        <v>-5.3320779894961347E-2</v>
      </c>
      <c r="AE215" s="7">
        <f ca="1">IF(AE$6=OFFSET(Assumptions!$B$8,0,$C$1),AVERAGE(AB$215/SUM(AB$213:AB$215),AC$215/SUM(AC$213:AC$215),AD$215/SUM(AD$213:AD$215)),AD$215/SUM(AD$213:AD$215))*((AD$74+(AE$335-AD$335-SUM(AE$91,AE$104,AE$105-AE$107)+SUM(AE$92,AE$93,AD$94,AE$229,AE$231)+AD$216-AD$94)/2)*AE$218-AE$212)</f>
        <v>9.167938040441484E-3</v>
      </c>
      <c r="AF215" s="7">
        <f ca="1">IF(AF$6=OFFSET(Assumptions!$B$8,0,$C$1),AVERAGE(AC$215/SUM(AC$213:AC$215),AD$215/SUM(AD$213:AD$215),AE$215/SUM(AE$213:AE$215)),AE$215/SUM(AE$213:AE$215))*((AE$74+(AF$335-AE$335-SUM(AF$91,AF$104,AF$105-AF$107)+SUM(AF$92,AF$93,AE$94,AF$229,AF$231)+AE$216-AE$94)/2)*AF$218-AF$212)</f>
        <v>7.9432047221938099E-2</v>
      </c>
      <c r="AG215" s="7">
        <f ca="1">IF(AG$6=OFFSET(Assumptions!$B$8,0,$C$1),AVERAGE(AD$215/SUM(AD$213:AD$215),AE$215/SUM(AE$213:AE$215),AF$215/SUM(AF$213:AF$215)),AF$215/SUM(AF$213:AF$215))*((AF$74+(AG$335-AF$335-SUM(AG$91,AG$104,AG$105-AG$107)+SUM(AG$92,AG$93,AF$94,AG$229,AG$231)+AF$216-AF$94)/2)*AG$218-AG$212)</f>
        <v>0.15723369123378483</v>
      </c>
      <c r="AH215" s="7">
        <f ca="1">IF(AH$6=OFFSET(Assumptions!$B$8,0,$C$1),AVERAGE(AE$215/SUM(AE$213:AE$215),AF$215/SUM(AF$213:AF$215),AG$215/SUM(AG$213:AG$215)),AG$215/SUM(AG$213:AG$215))*((AG$74+(AH$335-AG$335-SUM(AH$91,AH$104,AH$105-AH$107)+SUM(AH$92,AH$93,AG$94,AH$229,AH$231)+AG$216-AG$94)/2)*AH$218-AH$212)</f>
        <v>0.2429854018594447</v>
      </c>
      <c r="AI215" s="7">
        <f ca="1">IF(AI$6=OFFSET(Assumptions!$B$8,0,$C$1),AVERAGE(AF$215/SUM(AF$213:AF$215),AG$215/SUM(AG$213:AG$215),AH$215/SUM(AH$213:AH$215)),AH$215/SUM(AH$213:AH$215))*((AH$74+(AI$335-AH$335-SUM(AI$91,AI$104,AI$105-AI$107)+SUM(AI$92,AI$93,AH$94,AI$229,AI$231)+AH$216-AH$94)/2)*AI$218-AI$212)</f>
        <v>0.33725944076572684</v>
      </c>
      <c r="AJ215" s="7">
        <f ca="1">IF(AJ$6=OFFSET(Assumptions!$B$8,0,$C$1),AVERAGE(AG$215/SUM(AG$213:AG$215),AH$215/SUM(AH$213:AH$215),AI$215/SUM(AI$213:AI$215)),AI$215/SUM(AI$213:AI$215))*((AI$74+(AJ$335-AI$335-SUM(AJ$91,AJ$104,AJ$105-AJ$107)+SUM(AJ$92,AJ$93,AI$94,AJ$229,AJ$231)+AI$216-AI$94)/2)*AJ$218-AJ$212)</f>
        <v>0.44057105702427396</v>
      </c>
      <c r="AK215" s="7">
        <f ca="1">IF(AK$6=OFFSET(Assumptions!$B$8,0,$C$1),AVERAGE(AH$215/SUM(AH$213:AH$215),AI$215/SUM(AI$213:AI$215),AJ$215/SUM(AJ$213:AJ$215)),AJ$215/SUM(AJ$213:AJ$215))*((AJ$74+(AK$335-AJ$335-SUM(AK$91,AK$104,AK$105-AK$107)+SUM(AK$92,AK$93,AJ$94,AK$229,AK$231)+AJ$216-AJ$94)/2)*AK$218-AK$212)</f>
        <v>0.55384334948851699</v>
      </c>
      <c r="AL215" s="7">
        <f ca="1">IF(AL$6=OFFSET(Assumptions!$B$8,0,$C$1),AVERAGE(AI$215/SUM(AI$213:AI$215),AJ$215/SUM(AJ$213:AJ$215),AK$215/SUM(AK$213:AK$215)),AK$215/SUM(AK$213:AK$215))*((AK$74+(AL$335-AK$335-SUM(AL$91,AL$104,AL$105-AL$107)+SUM(AL$92,AL$93,AK$94,AL$229,AL$231)+AK$216-AK$94)/2)*AL$218-AL$212)</f>
        <v>0.67779373479610072</v>
      </c>
      <c r="AM215" s="7">
        <f ca="1">IF(AM$6=OFFSET(Assumptions!$B$8,0,$C$1),AVERAGE(AJ$215/SUM(AJ$213:AJ$215),AK$215/SUM(AK$213:AK$215),AL$215/SUM(AL$213:AL$215)),AL$215/SUM(AL$213:AL$215))*((AL$74+(AM$335-AL$335-SUM(AM$91,AM$104,AM$105-AM$107)+SUM(AM$92,AM$93,AL$94,AM$229,AM$231)+AL$216-AL$94)/2)*AM$218-AM$212)</f>
        <v>0.81313799326366187</v>
      </c>
      <c r="AN215" s="7">
        <f ca="1">IF(AN$6=OFFSET(Assumptions!$B$8,0,$C$1),AVERAGE(AK$215/SUM(AK$213:AK$215),AL$215/SUM(AL$213:AL$215),AM$215/SUM(AM$213:AM$215)),AM$215/SUM(AM$213:AM$215))*((AM$74+(AN$335-AM$335-SUM(AN$91,AN$104,AN$105-AN$107)+SUM(AN$92,AN$93,AM$94,AN$229,AN$231)+AM$216-AM$94)/2)*AN$218-AN$212)</f>
        <v>0.96074098055535806</v>
      </c>
      <c r="AO215" s="7">
        <f ca="1">IF(AO$6=OFFSET(Assumptions!$B$8,0,$C$1),AVERAGE(AL$215/SUM(AL$213:AL$215),AM$215/SUM(AM$213:AM$215),AN$215/SUM(AN$213:AN$215)),AN$215/SUM(AN$213:AN$215))*((AN$74+(AO$335-AN$335-SUM(AO$91,AO$104,AO$105-AO$107)+SUM(AO$92,AO$93,AN$94,AO$229,AO$231)+AN$216-AN$94)/2)*AO$218-AO$212)</f>
        <v>1.1215844970188371</v>
      </c>
      <c r="AP215" s="7">
        <f ca="1">IF(AP$6=OFFSET(Assumptions!$B$8,0,$C$1),AVERAGE(AM$215/SUM(AM$213:AM$215),AN$215/SUM(AN$213:AN$215),AO$215/SUM(AO$213:AO$215)),AO$215/SUM(AO$213:AO$215))*((AO$74+(AP$335-AO$335-SUM(AP$91,AP$104,AP$105-AP$107)+SUM(AP$92,AP$93,AO$94,AP$229,AP$231)+AO$216-AO$94)/2)*AP$218-AP$212)</f>
        <v>1.2962171739008208</v>
      </c>
      <c r="AQ215" s="7">
        <f ca="1">IF(AQ$6=OFFSET(Assumptions!$B$8,0,$C$1),AVERAGE(AN$215/SUM(AN$213:AN$215),AO$215/SUM(AO$213:AO$215),AP$215/SUM(AP$213:AP$215)),AP$215/SUM(AP$213:AP$215))*((AP$74+(AQ$335-AP$335-SUM(AQ$91,AQ$104,AQ$105-AQ$107)+SUM(AQ$92,AQ$93,AP$94,AQ$229,AQ$231)+AP$216-AP$94)/2)*AQ$218-AQ$212)</f>
        <v>1.4860836602047516</v>
      </c>
      <c r="AR215" s="7">
        <f ca="1">IF(AR$6=OFFSET(Assumptions!$B$8,0,$C$1),AVERAGE(AO$215/SUM(AO$213:AO$215),AP$215/SUM(AP$213:AP$215),AQ$215/SUM(AQ$213:AQ$215)),AQ$215/SUM(AQ$213:AQ$215))*((AQ$74+(AR$335-AQ$335-SUM(AR$91,AR$104,AR$105-AR$107)+SUM(AR$92,AR$93,AQ$94,AR$229,AR$231)+AQ$216-AQ$94)/2)*AR$218-AR$212)</f>
        <v>1.6920650049507979</v>
      </c>
      <c r="AS215" s="7">
        <f ca="1">IF(AS$6=OFFSET(Assumptions!$B$8,0,$C$1),AVERAGE(AP$215/SUM(AP$213:AP$215),AQ$215/SUM(AQ$213:AQ$215),AR$215/SUM(AR$213:AR$215)),AR$215/SUM(AR$213:AR$215))*((AR$74+(AS$335-AR$335-SUM(AS$91,AS$104,AS$105-AS$107)+SUM(AS$92,AS$93,AR$94,AS$229,AS$231)+AR$216-AR$94)/2)*AS$218-AS$212)</f>
        <v>1.9156881072596741</v>
      </c>
      <c r="AT215" s="7">
        <f ca="1">IF(AT$6=OFFSET(Assumptions!$B$8,0,$C$1),AVERAGE(AQ$215/SUM(AQ$213:AQ$215),AR$215/SUM(AR$213:AR$215),AS$215/SUM(AS$213:AS$215)),AS$215/SUM(AS$213:AS$215))*((AS$74+(AT$335-AS$335-SUM(AT$91,AT$104,AT$105-AT$107)+SUM(AT$92,AT$93,AS$94,AT$229,AT$231)+AS$216-AS$94)/2)*AT$218-AT$212)</f>
        <v>2.1606518305906386</v>
      </c>
      <c r="AU215" s="7">
        <f ca="1">IF(AU$6=OFFSET(Assumptions!$B$8,0,$C$1),AVERAGE(AR$215/SUM(AR$213:AR$215),AS$215/SUM(AS$213:AS$215),AT$215/SUM(AT$213:AT$215)),AT$215/SUM(AT$213:AT$215))*((AT$74+(AU$335-AT$335-SUM(AU$91,AU$104,AU$105-AU$107)+SUM(AU$92,AU$93,AT$94,AU$229,AU$231)+AT$216-AT$94)/2)*AU$218-AU$212)</f>
        <v>2.4291905135521477</v>
      </c>
      <c r="AV215" s="7">
        <f ca="1">IF(AV$6=OFFSET(Assumptions!$B$8,0,$C$1),AVERAGE(AS$215/SUM(AS$213:AS$215),AT$215/SUM(AT$213:AT$215),AU$215/SUM(AU$213:AU$215)),AU$215/SUM(AU$213:AU$215))*((AU$74+(AV$335-AU$335-SUM(AV$91,AV$104,AV$105-AV$107)+SUM(AV$92,AV$93,AU$94,AV$229,AV$231)+AU$216-AU$94)/2)*AV$218-AV$212)</f>
        <v>2.7221212027546207</v>
      </c>
      <c r="AW215" s="7">
        <f ca="1">IF(AW$6=OFFSET(Assumptions!$B$8,0,$C$1),AVERAGE(AT$215/SUM(AT$213:AT$215),AU$215/SUM(AU$213:AU$215),AV$215/SUM(AV$213:AV$215)),AV$215/SUM(AV$213:AV$215))*((AV$74+(AW$335-AV$335-SUM(AW$91,AW$104,AW$105-AW$107)+SUM(AW$92,AW$93,AV$94,AW$229,AW$231)+AV$216-AV$94)/2)*AW$218-AW$212)</f>
        <v>3.0414760735901836</v>
      </c>
    </row>
    <row r="216" spans="1:49" ht="15" x14ac:dyDescent="0.25">
      <c r="A216" s="2" t="s">
        <v>535</v>
      </c>
      <c r="D216" s="40">
        <f t="shared" ref="D216:I216" si="170">SUM(D$212:D$215)</f>
        <v>4.5629999999999997</v>
      </c>
      <c r="E216" s="39">
        <f t="shared" si="170"/>
        <v>4.4719999999999995</v>
      </c>
      <c r="F216" s="39">
        <f t="shared" si="170"/>
        <v>4.5659999999999998</v>
      </c>
      <c r="G216" s="39">
        <f t="shared" si="170"/>
        <v>4.8120000000000003</v>
      </c>
      <c r="H216" s="39">
        <f t="shared" si="170"/>
        <v>4.806</v>
      </c>
      <c r="I216" s="39">
        <f t="shared" si="170"/>
        <v>4.8630000000000004</v>
      </c>
      <c r="J216" s="43">
        <f t="shared" ref="J216:AW216" ca="1" si="171">SUM(J$212:J$215)</f>
        <v>5.0431803972844413</v>
      </c>
      <c r="K216" s="43">
        <f t="shared" ca="1" si="171"/>
        <v>5.2059040534397401</v>
      </c>
      <c r="L216" s="43">
        <f t="shared" ca="1" si="171"/>
        <v>5.3697066471875958</v>
      </c>
      <c r="M216" s="43">
        <f t="shared" ca="1" si="171"/>
        <v>5.5221589819679577</v>
      </c>
      <c r="N216" s="43">
        <f t="shared" ca="1" si="171"/>
        <v>5.664487716048348</v>
      </c>
      <c r="O216" s="43">
        <f t="shared" ca="1" si="171"/>
        <v>5.7997815344582637</v>
      </c>
      <c r="P216" s="43">
        <f t="shared" ca="1" si="171"/>
        <v>5.9467410366315141</v>
      </c>
      <c r="Q216" s="43">
        <f t="shared" ca="1" si="171"/>
        <v>5.9538255035567564</v>
      </c>
      <c r="R216" s="43">
        <f t="shared" ca="1" si="171"/>
        <v>5.9948757761532878</v>
      </c>
      <c r="S216" s="43">
        <f t="shared" ca="1" si="171"/>
        <v>6.0816101496470365</v>
      </c>
      <c r="T216" s="43">
        <f t="shared" ca="1" si="171"/>
        <v>6.2196814561344729</v>
      </c>
      <c r="U216" s="43">
        <f t="shared" ca="1" si="171"/>
        <v>6.4159323685181127</v>
      </c>
      <c r="V216" s="43">
        <f t="shared" ca="1" si="171"/>
        <v>6.6776557457103936</v>
      </c>
      <c r="W216" s="43">
        <f t="shared" ca="1" si="171"/>
        <v>7.0075046461023911</v>
      </c>
      <c r="X216" s="43">
        <f t="shared" ca="1" si="171"/>
        <v>7.4046291572056173</v>
      </c>
      <c r="Y216" s="43">
        <f t="shared" ca="1" si="171"/>
        <v>7.872364705883153</v>
      </c>
      <c r="Z216" s="43">
        <f t="shared" ca="1" si="171"/>
        <v>8.4171735022818641</v>
      </c>
      <c r="AA216" s="43">
        <f t="shared" ca="1" si="171"/>
        <v>9.004942760359242</v>
      </c>
      <c r="AB216" s="43">
        <f t="shared" ca="1" si="171"/>
        <v>9.5966967338106137</v>
      </c>
      <c r="AC216" s="43">
        <f t="shared" ca="1" si="171"/>
        <v>10.189241703825907</v>
      </c>
      <c r="AD216" s="43">
        <f t="shared" ca="1" si="171"/>
        <v>10.778145986750927</v>
      </c>
      <c r="AE216" s="43">
        <f t="shared" ca="1" si="171"/>
        <v>11.35959264232522</v>
      </c>
      <c r="AF216" s="43">
        <f t="shared" ca="1" si="171"/>
        <v>11.932525328033311</v>
      </c>
      <c r="AG216" s="43">
        <f t="shared" ca="1" si="171"/>
        <v>12.495629969653251</v>
      </c>
      <c r="AH216" s="43">
        <f t="shared" ca="1" si="171"/>
        <v>13.046339066627924</v>
      </c>
      <c r="AI216" s="43">
        <f t="shared" ca="1" si="171"/>
        <v>13.582170582666302</v>
      </c>
      <c r="AJ216" s="43">
        <f t="shared" ca="1" si="171"/>
        <v>14.10119631922066</v>
      </c>
      <c r="AK216" s="43">
        <f t="shared" ca="1" si="171"/>
        <v>14.601760031856518</v>
      </c>
      <c r="AL216" s="43">
        <f t="shared" ca="1" si="171"/>
        <v>15.081932433608904</v>
      </c>
      <c r="AM216" s="43">
        <f t="shared" ca="1" si="171"/>
        <v>15.540092391777474</v>
      </c>
      <c r="AN216" s="43">
        <f t="shared" ca="1" si="171"/>
        <v>15.974503372849888</v>
      </c>
      <c r="AO216" s="43">
        <f t="shared" ca="1" si="171"/>
        <v>16.384856190871279</v>
      </c>
      <c r="AP216" s="43">
        <f t="shared" ca="1" si="171"/>
        <v>16.771941774983471</v>
      </c>
      <c r="AQ216" s="43">
        <f t="shared" ca="1" si="171"/>
        <v>17.136087779925386</v>
      </c>
      <c r="AR216" s="43">
        <f t="shared" ca="1" si="171"/>
        <v>17.478617822841514</v>
      </c>
      <c r="AS216" s="43">
        <f t="shared" ca="1" si="171"/>
        <v>17.801550799229926</v>
      </c>
      <c r="AT216" s="43">
        <f t="shared" ca="1" si="171"/>
        <v>18.102064926601098</v>
      </c>
      <c r="AU216" s="43">
        <f t="shared" ca="1" si="171"/>
        <v>18.378440192196255</v>
      </c>
      <c r="AV216" s="43">
        <f t="shared" ca="1" si="171"/>
        <v>18.633274315875084</v>
      </c>
      <c r="AW216" s="43">
        <f t="shared" ca="1" si="171"/>
        <v>18.867643664873107</v>
      </c>
    </row>
    <row r="217" spans="1:49" x14ac:dyDescent="0.2">
      <c r="A217" s="4" t="s">
        <v>536</v>
      </c>
      <c r="D217" s="59"/>
      <c r="E217" s="60">
        <f>E$212/AVERAGE(D$75,E$75)</f>
        <v>3.8124807259080379E-2</v>
      </c>
      <c r="F217" s="60">
        <f>F$212/AVERAGE(E$75,F$75)</f>
        <v>3.7101601152749367E-2</v>
      </c>
      <c r="G217" s="60">
        <f>G$212/AVERAGE(F$75,G$75)</f>
        <v>3.7612721276902648E-2</v>
      </c>
      <c r="H217" s="60">
        <f>H$212/AVERAGE(G$75,H$75)</f>
        <v>3.9034068659443942E-2</v>
      </c>
      <c r="I217" s="60">
        <f>I$212/AVERAGE(H$75,I$75)</f>
        <v>4.0292369962108165E-2</v>
      </c>
      <c r="J217" s="9">
        <f ca="1">I$217 +IF(J$6=OFFSET(Assumptions!$B$8,0,$C$1),ABS(OFFSET(Assumptions!$B$17,0,$C$1)-I$217)/OFFSET(Assumptions!$B$25,0,$C$1),MIN(ABS(I$217-H$217),ABS(OFFSET(Assumptions!$B$17,0,$C$1)-I$217)))*SIGN(OFFSET(Assumptions!$B$17,0,$C$1)-I$217)</f>
        <v>4.2107745681807002E-2</v>
      </c>
      <c r="K217" s="9">
        <f ca="1">J$217 +IF(K$6=OFFSET(Assumptions!$B$8,0,$C$1),ABS(OFFSET(Assumptions!$B$17,0,$C$1)-J$217)/OFFSET(Assumptions!$B$25,0,$C$1),MIN(ABS(J$217-I$217),ABS(OFFSET(Assumptions!$B$17,0,$C$1)-J$217)))*SIGN(OFFSET(Assumptions!$B$17,0,$C$1)-J$217)</f>
        <v>4.3923121401505838E-2</v>
      </c>
      <c r="L217" s="9">
        <f ca="1">K$217 +IF(L$6=OFFSET(Assumptions!$B$8,0,$C$1),ABS(OFFSET(Assumptions!$B$17,0,$C$1)-K$217)/OFFSET(Assumptions!$B$25,0,$C$1),MIN(ABS(K$217-J$217),ABS(OFFSET(Assumptions!$B$17,0,$C$1)-K$217)))*SIGN(OFFSET(Assumptions!$B$17,0,$C$1)-K$217)</f>
        <v>4.5738497121204674E-2</v>
      </c>
      <c r="M217" s="9">
        <f ca="1">L$217 +IF(M$6=OFFSET(Assumptions!$B$8,0,$C$1),ABS(OFFSET(Assumptions!$B$17,0,$C$1)-L$217)/OFFSET(Assumptions!$B$25,0,$C$1),MIN(ABS(L$217-K$217),ABS(OFFSET(Assumptions!$B$17,0,$C$1)-L$217)))*SIGN(OFFSET(Assumptions!$B$17,0,$C$1)-L$217)</f>
        <v>4.7553872840903511E-2</v>
      </c>
      <c r="N217" s="9">
        <f ca="1">M$217 +IF(N$6=OFFSET(Assumptions!$B$8,0,$C$1),ABS(OFFSET(Assumptions!$B$17,0,$C$1)-M$217)/OFFSET(Assumptions!$B$25,0,$C$1),MIN(ABS(M$217-L$217),ABS(OFFSET(Assumptions!$B$17,0,$C$1)-M$217)))*SIGN(OFFSET(Assumptions!$B$17,0,$C$1)-M$217)</f>
        <v>4.9369248560602347E-2</v>
      </c>
      <c r="O217" s="9">
        <f ca="1">N$217 +IF(O$6=OFFSET(Assumptions!$B$8,0,$C$1),ABS(OFFSET(Assumptions!$B$17,0,$C$1)-N$217)/OFFSET(Assumptions!$B$25,0,$C$1),MIN(ABS(N$217-M$217),ABS(OFFSET(Assumptions!$B$17,0,$C$1)-N$217)))*SIGN(OFFSET(Assumptions!$B$17,0,$C$1)-N$217)</f>
        <v>5.1184624280301183E-2</v>
      </c>
      <c r="P217" s="9">
        <f ca="1">O$217 +IF(P$6=OFFSET(Assumptions!$B$8,0,$C$1),ABS(OFFSET(Assumptions!$B$17,0,$C$1)-O$217)/OFFSET(Assumptions!$B$25,0,$C$1),MIN(ABS(O$217-N$217),ABS(OFFSET(Assumptions!$B$17,0,$C$1)-O$217)))*SIGN(OFFSET(Assumptions!$B$17,0,$C$1)-O$217)</f>
        <v>5.2999999999999999E-2</v>
      </c>
      <c r="Q217" s="9">
        <f ca="1">P$217 +IF(Q$6=OFFSET(Assumptions!$B$8,0,$C$1),ABS(OFFSET(Assumptions!$B$17,0,$C$1)-P$217)/OFFSET(Assumptions!$B$25,0,$C$1),MIN(ABS(P$217-O$217),ABS(OFFSET(Assumptions!$B$17,0,$C$1)-P$217)))*SIGN(OFFSET(Assumptions!$B$17,0,$C$1)-P$217)</f>
        <v>5.2999999999999999E-2</v>
      </c>
      <c r="R217" s="9">
        <f ca="1">Q$217 +IF(R$6=OFFSET(Assumptions!$B$8,0,$C$1),ABS(OFFSET(Assumptions!$B$17,0,$C$1)-Q$217)/OFFSET(Assumptions!$B$25,0,$C$1),MIN(ABS(Q$217-P$217),ABS(OFFSET(Assumptions!$B$17,0,$C$1)-Q$217)))*SIGN(OFFSET(Assumptions!$B$17,0,$C$1)-Q$217)</f>
        <v>5.2999999999999999E-2</v>
      </c>
      <c r="S217" s="9">
        <f ca="1">R$217 +IF(S$6=OFFSET(Assumptions!$B$8,0,$C$1),ABS(OFFSET(Assumptions!$B$17,0,$C$1)-R$217)/OFFSET(Assumptions!$B$25,0,$C$1),MIN(ABS(R$217-Q$217),ABS(OFFSET(Assumptions!$B$17,0,$C$1)-R$217)))*SIGN(OFFSET(Assumptions!$B$17,0,$C$1)-R$217)</f>
        <v>5.2999999999999999E-2</v>
      </c>
      <c r="T217" s="9">
        <f ca="1">S$217 +IF(T$6=OFFSET(Assumptions!$B$8,0,$C$1),ABS(OFFSET(Assumptions!$B$17,0,$C$1)-S$217)/OFFSET(Assumptions!$B$25,0,$C$1),MIN(ABS(S$217-R$217),ABS(OFFSET(Assumptions!$B$17,0,$C$1)-S$217)))*SIGN(OFFSET(Assumptions!$B$17,0,$C$1)-S$217)</f>
        <v>5.2999999999999999E-2</v>
      </c>
      <c r="U217" s="9">
        <f ca="1">T$217 +IF(U$6=OFFSET(Assumptions!$B$8,0,$C$1),ABS(OFFSET(Assumptions!$B$17,0,$C$1)-T$217)/OFFSET(Assumptions!$B$25,0,$C$1),MIN(ABS(T$217-S$217),ABS(OFFSET(Assumptions!$B$17,0,$C$1)-T$217)))*SIGN(OFFSET(Assumptions!$B$17,0,$C$1)-T$217)</f>
        <v>5.2999999999999999E-2</v>
      </c>
      <c r="V217" s="9">
        <f ca="1">U$217 +IF(V$6=OFFSET(Assumptions!$B$8,0,$C$1),ABS(OFFSET(Assumptions!$B$17,0,$C$1)-U$217)/OFFSET(Assumptions!$B$25,0,$C$1),MIN(ABS(U$217-T$217),ABS(OFFSET(Assumptions!$B$17,0,$C$1)-U$217)))*SIGN(OFFSET(Assumptions!$B$17,0,$C$1)-U$217)</f>
        <v>5.2999999999999999E-2</v>
      </c>
      <c r="W217" s="9">
        <f ca="1">V$217 +IF(W$6=OFFSET(Assumptions!$B$8,0,$C$1),ABS(OFFSET(Assumptions!$B$17,0,$C$1)-V$217)/OFFSET(Assumptions!$B$25,0,$C$1),MIN(ABS(V$217-U$217),ABS(OFFSET(Assumptions!$B$17,0,$C$1)-V$217)))*SIGN(OFFSET(Assumptions!$B$17,0,$C$1)-V$217)</f>
        <v>5.2999999999999999E-2</v>
      </c>
      <c r="X217" s="9">
        <f ca="1">W$217 +IF(X$6=OFFSET(Assumptions!$B$8,0,$C$1),ABS(OFFSET(Assumptions!$B$17,0,$C$1)-W$217)/OFFSET(Assumptions!$B$25,0,$C$1),MIN(ABS(W$217-V$217),ABS(OFFSET(Assumptions!$B$17,0,$C$1)-W$217)))*SIGN(OFFSET(Assumptions!$B$17,0,$C$1)-W$217)</f>
        <v>5.2999999999999999E-2</v>
      </c>
      <c r="Y217" s="9">
        <f ca="1">X$217 +IF(Y$6=OFFSET(Assumptions!$B$8,0,$C$1),ABS(OFFSET(Assumptions!$B$17,0,$C$1)-X$217)/OFFSET(Assumptions!$B$25,0,$C$1),MIN(ABS(X$217-W$217),ABS(OFFSET(Assumptions!$B$17,0,$C$1)-X$217)))*SIGN(OFFSET(Assumptions!$B$17,0,$C$1)-X$217)</f>
        <v>5.2999999999999999E-2</v>
      </c>
      <c r="Z217" s="9">
        <f ca="1">Y$217 +IF(Z$6=OFFSET(Assumptions!$B$8,0,$C$1),ABS(OFFSET(Assumptions!$B$17,0,$C$1)-Y$217)/OFFSET(Assumptions!$B$25,0,$C$1),MIN(ABS(Y$217-X$217),ABS(OFFSET(Assumptions!$B$17,0,$C$1)-Y$217)))*SIGN(OFFSET(Assumptions!$B$17,0,$C$1)-Y$217)</f>
        <v>5.2999999999999999E-2</v>
      </c>
      <c r="AA217" s="9">
        <f ca="1">Z$217 +IF(AA$6=OFFSET(Assumptions!$B$8,0,$C$1),ABS(OFFSET(Assumptions!$B$17,0,$C$1)-Z$217)/OFFSET(Assumptions!$B$25,0,$C$1),MIN(ABS(Z$217-Y$217),ABS(OFFSET(Assumptions!$B$17,0,$C$1)-Z$217)))*SIGN(OFFSET(Assumptions!$B$17,0,$C$1)-Z$217)</f>
        <v>5.2999999999999999E-2</v>
      </c>
      <c r="AB217" s="9">
        <f ca="1">AA$217 +IF(AB$6=OFFSET(Assumptions!$B$8,0,$C$1),ABS(OFFSET(Assumptions!$B$17,0,$C$1)-AA$217)/OFFSET(Assumptions!$B$25,0,$C$1),MIN(ABS(AA$217-Z$217),ABS(OFFSET(Assumptions!$B$17,0,$C$1)-AA$217)))*SIGN(OFFSET(Assumptions!$B$17,0,$C$1)-AA$217)</f>
        <v>5.2999999999999999E-2</v>
      </c>
      <c r="AC217" s="9">
        <f ca="1">AB$217 +IF(AC$6=OFFSET(Assumptions!$B$8,0,$C$1),ABS(OFFSET(Assumptions!$B$17,0,$C$1)-AB$217)/OFFSET(Assumptions!$B$25,0,$C$1),MIN(ABS(AB$217-AA$217),ABS(OFFSET(Assumptions!$B$17,0,$C$1)-AB$217)))*SIGN(OFFSET(Assumptions!$B$17,0,$C$1)-AB$217)</f>
        <v>5.2999999999999999E-2</v>
      </c>
      <c r="AD217" s="9">
        <f ca="1">AC$217 +IF(AD$6=OFFSET(Assumptions!$B$8,0,$C$1),ABS(OFFSET(Assumptions!$B$17,0,$C$1)-AC$217)/OFFSET(Assumptions!$B$25,0,$C$1),MIN(ABS(AC$217-AB$217),ABS(OFFSET(Assumptions!$B$17,0,$C$1)-AC$217)))*SIGN(OFFSET(Assumptions!$B$17,0,$C$1)-AC$217)</f>
        <v>5.2999999999999999E-2</v>
      </c>
      <c r="AE217" s="9">
        <f ca="1">AD$217 +IF(AE$6=OFFSET(Assumptions!$B$8,0,$C$1),ABS(OFFSET(Assumptions!$B$17,0,$C$1)-AD$217)/OFFSET(Assumptions!$B$25,0,$C$1),MIN(ABS(AD$217-AC$217),ABS(OFFSET(Assumptions!$B$17,0,$C$1)-AD$217)))*SIGN(OFFSET(Assumptions!$B$17,0,$C$1)-AD$217)</f>
        <v>5.2999999999999999E-2</v>
      </c>
      <c r="AF217" s="9">
        <f ca="1">AE$217 +IF(AF$6=OFFSET(Assumptions!$B$8,0,$C$1),ABS(OFFSET(Assumptions!$B$17,0,$C$1)-AE$217)/OFFSET(Assumptions!$B$25,0,$C$1),MIN(ABS(AE$217-AD$217),ABS(OFFSET(Assumptions!$B$17,0,$C$1)-AE$217)))*SIGN(OFFSET(Assumptions!$B$17,0,$C$1)-AE$217)</f>
        <v>5.2999999999999999E-2</v>
      </c>
      <c r="AG217" s="9">
        <f ca="1">AF$217 +IF(AG$6=OFFSET(Assumptions!$B$8,0,$C$1),ABS(OFFSET(Assumptions!$B$17,0,$C$1)-AF$217)/OFFSET(Assumptions!$B$25,0,$C$1),MIN(ABS(AF$217-AE$217),ABS(OFFSET(Assumptions!$B$17,0,$C$1)-AF$217)))*SIGN(OFFSET(Assumptions!$B$17,0,$C$1)-AF$217)</f>
        <v>5.2999999999999999E-2</v>
      </c>
      <c r="AH217" s="9">
        <f ca="1">AG$217 +IF(AH$6=OFFSET(Assumptions!$B$8,0,$C$1),ABS(OFFSET(Assumptions!$B$17,0,$C$1)-AG$217)/OFFSET(Assumptions!$B$25,0,$C$1),MIN(ABS(AG$217-AF$217),ABS(OFFSET(Assumptions!$B$17,0,$C$1)-AG$217)))*SIGN(OFFSET(Assumptions!$B$17,0,$C$1)-AG$217)</f>
        <v>5.2999999999999999E-2</v>
      </c>
      <c r="AI217" s="9">
        <f ca="1">AH$217 +IF(AI$6=OFFSET(Assumptions!$B$8,0,$C$1),ABS(OFFSET(Assumptions!$B$17,0,$C$1)-AH$217)/OFFSET(Assumptions!$B$25,0,$C$1),MIN(ABS(AH$217-AG$217),ABS(OFFSET(Assumptions!$B$17,0,$C$1)-AH$217)))*SIGN(OFFSET(Assumptions!$B$17,0,$C$1)-AH$217)</f>
        <v>5.2999999999999999E-2</v>
      </c>
      <c r="AJ217" s="9">
        <f ca="1">AI$217 +IF(AJ$6=OFFSET(Assumptions!$B$8,0,$C$1),ABS(OFFSET(Assumptions!$B$17,0,$C$1)-AI$217)/OFFSET(Assumptions!$B$25,0,$C$1),MIN(ABS(AI$217-AH$217),ABS(OFFSET(Assumptions!$B$17,0,$C$1)-AI$217)))*SIGN(OFFSET(Assumptions!$B$17,0,$C$1)-AI$217)</f>
        <v>5.2999999999999999E-2</v>
      </c>
      <c r="AK217" s="9">
        <f ca="1">AJ$217 +IF(AK$6=OFFSET(Assumptions!$B$8,0,$C$1),ABS(OFFSET(Assumptions!$B$17,0,$C$1)-AJ$217)/OFFSET(Assumptions!$B$25,0,$C$1),MIN(ABS(AJ$217-AI$217),ABS(OFFSET(Assumptions!$B$17,0,$C$1)-AJ$217)))*SIGN(OFFSET(Assumptions!$B$17,0,$C$1)-AJ$217)</f>
        <v>5.2999999999999999E-2</v>
      </c>
      <c r="AL217" s="9">
        <f ca="1">AK$217 +IF(AL$6=OFFSET(Assumptions!$B$8,0,$C$1),ABS(OFFSET(Assumptions!$B$17,0,$C$1)-AK$217)/OFFSET(Assumptions!$B$25,0,$C$1),MIN(ABS(AK$217-AJ$217),ABS(OFFSET(Assumptions!$B$17,0,$C$1)-AK$217)))*SIGN(OFFSET(Assumptions!$B$17,0,$C$1)-AK$217)</f>
        <v>5.2999999999999999E-2</v>
      </c>
      <c r="AM217" s="9">
        <f ca="1">AL$217 +IF(AM$6=OFFSET(Assumptions!$B$8,0,$C$1),ABS(OFFSET(Assumptions!$B$17,0,$C$1)-AL$217)/OFFSET(Assumptions!$B$25,0,$C$1),MIN(ABS(AL$217-AK$217),ABS(OFFSET(Assumptions!$B$17,0,$C$1)-AL$217)))*SIGN(OFFSET(Assumptions!$B$17,0,$C$1)-AL$217)</f>
        <v>5.2999999999999999E-2</v>
      </c>
      <c r="AN217" s="9">
        <f ca="1">AM$217 +IF(AN$6=OFFSET(Assumptions!$B$8,0,$C$1),ABS(OFFSET(Assumptions!$B$17,0,$C$1)-AM$217)/OFFSET(Assumptions!$B$25,0,$C$1),MIN(ABS(AM$217-AL$217),ABS(OFFSET(Assumptions!$B$17,0,$C$1)-AM$217)))*SIGN(OFFSET(Assumptions!$B$17,0,$C$1)-AM$217)</f>
        <v>5.2999999999999999E-2</v>
      </c>
      <c r="AO217" s="9">
        <f ca="1">AN$217 +IF(AO$6=OFFSET(Assumptions!$B$8,0,$C$1),ABS(OFFSET(Assumptions!$B$17,0,$C$1)-AN$217)/OFFSET(Assumptions!$B$25,0,$C$1),MIN(ABS(AN$217-AM$217),ABS(OFFSET(Assumptions!$B$17,0,$C$1)-AN$217)))*SIGN(OFFSET(Assumptions!$B$17,0,$C$1)-AN$217)</f>
        <v>5.2999999999999999E-2</v>
      </c>
      <c r="AP217" s="9">
        <f ca="1">AO$217 +IF(AP$6=OFFSET(Assumptions!$B$8,0,$C$1),ABS(OFFSET(Assumptions!$B$17,0,$C$1)-AO$217)/OFFSET(Assumptions!$B$25,0,$C$1),MIN(ABS(AO$217-AN$217),ABS(OFFSET(Assumptions!$B$17,0,$C$1)-AO$217)))*SIGN(OFFSET(Assumptions!$B$17,0,$C$1)-AO$217)</f>
        <v>5.2999999999999999E-2</v>
      </c>
      <c r="AQ217" s="9">
        <f ca="1">AP$217 +IF(AQ$6=OFFSET(Assumptions!$B$8,0,$C$1),ABS(OFFSET(Assumptions!$B$17,0,$C$1)-AP$217)/OFFSET(Assumptions!$B$25,0,$C$1),MIN(ABS(AP$217-AO$217),ABS(OFFSET(Assumptions!$B$17,0,$C$1)-AP$217)))*SIGN(OFFSET(Assumptions!$B$17,0,$C$1)-AP$217)</f>
        <v>5.2999999999999999E-2</v>
      </c>
      <c r="AR217" s="9">
        <f ca="1">AQ$217 +IF(AR$6=OFFSET(Assumptions!$B$8,0,$C$1),ABS(OFFSET(Assumptions!$B$17,0,$C$1)-AQ$217)/OFFSET(Assumptions!$B$25,0,$C$1),MIN(ABS(AQ$217-AP$217),ABS(OFFSET(Assumptions!$B$17,0,$C$1)-AQ$217)))*SIGN(OFFSET(Assumptions!$B$17,0,$C$1)-AQ$217)</f>
        <v>5.2999999999999999E-2</v>
      </c>
      <c r="AS217" s="9">
        <f ca="1">AR$217 +IF(AS$6=OFFSET(Assumptions!$B$8,0,$C$1),ABS(OFFSET(Assumptions!$B$17,0,$C$1)-AR$217)/OFFSET(Assumptions!$B$25,0,$C$1),MIN(ABS(AR$217-AQ$217),ABS(OFFSET(Assumptions!$B$17,0,$C$1)-AR$217)))*SIGN(OFFSET(Assumptions!$B$17,0,$C$1)-AR$217)</f>
        <v>5.2999999999999999E-2</v>
      </c>
      <c r="AT217" s="9">
        <f ca="1">AS$217 +IF(AT$6=OFFSET(Assumptions!$B$8,0,$C$1),ABS(OFFSET(Assumptions!$B$17,0,$C$1)-AS$217)/OFFSET(Assumptions!$B$25,0,$C$1),MIN(ABS(AS$217-AR$217),ABS(OFFSET(Assumptions!$B$17,0,$C$1)-AS$217)))*SIGN(OFFSET(Assumptions!$B$17,0,$C$1)-AS$217)</f>
        <v>5.2999999999999999E-2</v>
      </c>
      <c r="AU217" s="9">
        <f ca="1">AT$217 +IF(AU$6=OFFSET(Assumptions!$B$8,0,$C$1),ABS(OFFSET(Assumptions!$B$17,0,$C$1)-AT$217)/OFFSET(Assumptions!$B$25,0,$C$1),MIN(ABS(AT$217-AS$217),ABS(OFFSET(Assumptions!$B$17,0,$C$1)-AT$217)))*SIGN(OFFSET(Assumptions!$B$17,0,$C$1)-AT$217)</f>
        <v>5.2999999999999999E-2</v>
      </c>
      <c r="AV217" s="9">
        <f ca="1">AU$217 +IF(AV$6=OFFSET(Assumptions!$B$8,0,$C$1),ABS(OFFSET(Assumptions!$B$17,0,$C$1)-AU$217)/OFFSET(Assumptions!$B$25,0,$C$1),MIN(ABS(AU$217-AT$217),ABS(OFFSET(Assumptions!$B$17,0,$C$1)-AU$217)))*SIGN(OFFSET(Assumptions!$B$17,0,$C$1)-AU$217)</f>
        <v>5.2999999999999999E-2</v>
      </c>
      <c r="AW217" s="9">
        <f ca="1">AV$217 +IF(AW$6=OFFSET(Assumptions!$B$8,0,$C$1),ABS(OFFSET(Assumptions!$B$17,0,$C$1)-AV$217)/OFFSET(Assumptions!$B$25,0,$C$1),MIN(ABS(AV$217-AU$217),ABS(OFFSET(Assumptions!$B$17,0,$C$1)-AV$217)))*SIGN(OFFSET(Assumptions!$B$17,0,$C$1)-AV$217)</f>
        <v>5.2999999999999999E-2</v>
      </c>
    </row>
    <row r="218" spans="1:49" x14ac:dyDescent="0.2">
      <c r="A218" s="4" t="s">
        <v>537</v>
      </c>
      <c r="D218" s="59"/>
      <c r="E218" s="60">
        <f>E$216/AVERAGE(D$74,E$74)</f>
        <v>3.9647323229412779E-2</v>
      </c>
      <c r="F218" s="60">
        <f>F$216/AVERAGE(E$74,F$74)</f>
        <v>3.8908085400094584E-2</v>
      </c>
      <c r="G218" s="60">
        <f>G$216/AVERAGE(F$74,G$74)</f>
        <v>4.0022456490549564E-2</v>
      </c>
      <c r="H218" s="60">
        <f>H$216/AVERAGE(G$74,H$74)</f>
        <v>4.1096241823079228E-2</v>
      </c>
      <c r="I218" s="60">
        <f>I$216/AVERAGE(H$74,I$74)</f>
        <v>4.2099522127571162E-2</v>
      </c>
      <c r="J218" s="9">
        <f ca="1">I$218 +IF(J$6=OFFSET(Assumptions!$B$8,0,$C$1),ABS(OFFSET(Assumptions!$B$17,0,$C$1)-I$218)/OFFSET(Assumptions!$B$25,0,$C$1),MIN(ABS(I$218-H$218),ABS(OFFSET(Assumptions!$B$17,0,$C$1)-I$218)))*SIGN(OFFSET(Assumptions!$B$17,0,$C$1)-I$218)</f>
        <v>4.3656733252203851E-2</v>
      </c>
      <c r="K218" s="9">
        <f ca="1">J$218 +IF(K$6=OFFSET(Assumptions!$B$8,0,$C$1),ABS(OFFSET(Assumptions!$B$17,0,$C$1)-J$218)/OFFSET(Assumptions!$B$25,0,$C$1),MIN(ABS(J$218-I$218),ABS(OFFSET(Assumptions!$B$17,0,$C$1)-J$218)))*SIGN(OFFSET(Assumptions!$B$17,0,$C$1)-J$218)</f>
        <v>4.521394437683654E-2</v>
      </c>
      <c r="L218" s="9">
        <f ca="1">K$218 +IF(L$6=OFFSET(Assumptions!$B$8,0,$C$1),ABS(OFFSET(Assumptions!$B$17,0,$C$1)-K$218)/OFFSET(Assumptions!$B$25,0,$C$1),MIN(ABS(K$218-J$218),ABS(OFFSET(Assumptions!$B$17,0,$C$1)-K$218)))*SIGN(OFFSET(Assumptions!$B$17,0,$C$1)-K$218)</f>
        <v>4.6771155501469229E-2</v>
      </c>
      <c r="M218" s="9">
        <f ca="1">L$218 +IF(M$6=OFFSET(Assumptions!$B$8,0,$C$1),ABS(OFFSET(Assumptions!$B$17,0,$C$1)-L$218)/OFFSET(Assumptions!$B$25,0,$C$1),MIN(ABS(L$218-K$218),ABS(OFFSET(Assumptions!$B$17,0,$C$1)-L$218)))*SIGN(OFFSET(Assumptions!$B$17,0,$C$1)-L$218)</f>
        <v>4.8328366626101918E-2</v>
      </c>
      <c r="N218" s="9">
        <f ca="1">M$218 +IF(N$6=OFFSET(Assumptions!$B$8,0,$C$1),ABS(OFFSET(Assumptions!$B$17,0,$C$1)-M$218)/OFFSET(Assumptions!$B$25,0,$C$1),MIN(ABS(M$218-L$218),ABS(OFFSET(Assumptions!$B$17,0,$C$1)-M$218)))*SIGN(OFFSET(Assumptions!$B$17,0,$C$1)-M$218)</f>
        <v>4.9885577750734607E-2</v>
      </c>
      <c r="O218" s="9">
        <f ca="1">N$218 +IF(O$6=OFFSET(Assumptions!$B$8,0,$C$1),ABS(OFFSET(Assumptions!$B$17,0,$C$1)-N$218)/OFFSET(Assumptions!$B$25,0,$C$1),MIN(ABS(N$218-M$218),ABS(OFFSET(Assumptions!$B$17,0,$C$1)-N$218)))*SIGN(OFFSET(Assumptions!$B$17,0,$C$1)-N$218)</f>
        <v>5.1442788875367296E-2</v>
      </c>
      <c r="P218" s="9">
        <f ca="1">O$218 +IF(P$6=OFFSET(Assumptions!$B$8,0,$C$1),ABS(OFFSET(Assumptions!$B$17,0,$C$1)-O$218)/OFFSET(Assumptions!$B$25,0,$C$1),MIN(ABS(O$218-N$218),ABS(OFFSET(Assumptions!$B$17,0,$C$1)-O$218)))*SIGN(OFFSET(Assumptions!$B$17,0,$C$1)-O$218)</f>
        <v>5.2999999999999985E-2</v>
      </c>
      <c r="Q218" s="9">
        <f ca="1">P$218 +IF(Q$6=OFFSET(Assumptions!$B$8,0,$C$1),ABS(OFFSET(Assumptions!$B$17,0,$C$1)-P$218)/OFFSET(Assumptions!$B$25,0,$C$1),MIN(ABS(P$218-O$218),ABS(OFFSET(Assumptions!$B$17,0,$C$1)-P$218)))*SIGN(OFFSET(Assumptions!$B$17,0,$C$1)-P$218)</f>
        <v>5.2999999999999999E-2</v>
      </c>
      <c r="R218" s="9">
        <f ca="1">Q$218 +IF(R$6=OFFSET(Assumptions!$B$8,0,$C$1),ABS(OFFSET(Assumptions!$B$17,0,$C$1)-Q$218)/OFFSET(Assumptions!$B$25,0,$C$1),MIN(ABS(Q$218-P$218),ABS(OFFSET(Assumptions!$B$17,0,$C$1)-Q$218)))*SIGN(OFFSET(Assumptions!$B$17,0,$C$1)-Q$218)</f>
        <v>5.2999999999999999E-2</v>
      </c>
      <c r="S218" s="9">
        <f ca="1">R$218 +IF(S$6=OFFSET(Assumptions!$B$8,0,$C$1),ABS(OFFSET(Assumptions!$B$17,0,$C$1)-R$218)/OFFSET(Assumptions!$B$25,0,$C$1),MIN(ABS(R$218-Q$218),ABS(OFFSET(Assumptions!$B$17,0,$C$1)-R$218)))*SIGN(OFFSET(Assumptions!$B$17,0,$C$1)-R$218)</f>
        <v>5.2999999999999999E-2</v>
      </c>
      <c r="T218" s="9">
        <f ca="1">S$218 +IF(T$6=OFFSET(Assumptions!$B$8,0,$C$1),ABS(OFFSET(Assumptions!$B$17,0,$C$1)-S$218)/OFFSET(Assumptions!$B$25,0,$C$1),MIN(ABS(S$218-R$218),ABS(OFFSET(Assumptions!$B$17,0,$C$1)-S$218)))*SIGN(OFFSET(Assumptions!$B$17,0,$C$1)-S$218)</f>
        <v>5.2999999999999999E-2</v>
      </c>
      <c r="U218" s="9">
        <f ca="1">T$218 +IF(U$6=OFFSET(Assumptions!$B$8,0,$C$1),ABS(OFFSET(Assumptions!$B$17,0,$C$1)-T$218)/OFFSET(Assumptions!$B$25,0,$C$1),MIN(ABS(T$218-S$218),ABS(OFFSET(Assumptions!$B$17,0,$C$1)-T$218)))*SIGN(OFFSET(Assumptions!$B$17,0,$C$1)-T$218)</f>
        <v>5.2999999999999999E-2</v>
      </c>
      <c r="V218" s="9">
        <f ca="1">U$218 +IF(V$6=OFFSET(Assumptions!$B$8,0,$C$1),ABS(OFFSET(Assumptions!$B$17,0,$C$1)-U$218)/OFFSET(Assumptions!$B$25,0,$C$1),MIN(ABS(U$218-T$218),ABS(OFFSET(Assumptions!$B$17,0,$C$1)-U$218)))*SIGN(OFFSET(Assumptions!$B$17,0,$C$1)-U$218)</f>
        <v>5.2999999999999999E-2</v>
      </c>
      <c r="W218" s="9">
        <f ca="1">V$218 +IF(W$6=OFFSET(Assumptions!$B$8,0,$C$1),ABS(OFFSET(Assumptions!$B$17,0,$C$1)-V$218)/OFFSET(Assumptions!$B$25,0,$C$1),MIN(ABS(V$218-U$218),ABS(OFFSET(Assumptions!$B$17,0,$C$1)-V$218)))*SIGN(OFFSET(Assumptions!$B$17,0,$C$1)-V$218)</f>
        <v>5.2999999999999999E-2</v>
      </c>
      <c r="X218" s="9">
        <f ca="1">W$218 +IF(X$6=OFFSET(Assumptions!$B$8,0,$C$1),ABS(OFFSET(Assumptions!$B$17,0,$C$1)-W$218)/OFFSET(Assumptions!$B$25,0,$C$1),MIN(ABS(W$218-V$218),ABS(OFFSET(Assumptions!$B$17,0,$C$1)-W$218)))*SIGN(OFFSET(Assumptions!$B$17,0,$C$1)-W$218)</f>
        <v>5.2999999999999999E-2</v>
      </c>
      <c r="Y218" s="9">
        <f ca="1">X$218 +IF(Y$6=OFFSET(Assumptions!$B$8,0,$C$1),ABS(OFFSET(Assumptions!$B$17,0,$C$1)-X$218)/OFFSET(Assumptions!$B$25,0,$C$1),MIN(ABS(X$218-W$218),ABS(OFFSET(Assumptions!$B$17,0,$C$1)-X$218)))*SIGN(OFFSET(Assumptions!$B$17,0,$C$1)-X$218)</f>
        <v>5.2999999999999999E-2</v>
      </c>
      <c r="Z218" s="9">
        <f ca="1">Y$218 +IF(Z$6=OFFSET(Assumptions!$B$8,0,$C$1),ABS(OFFSET(Assumptions!$B$17,0,$C$1)-Y$218)/OFFSET(Assumptions!$B$25,0,$C$1),MIN(ABS(Y$218-X$218),ABS(OFFSET(Assumptions!$B$17,0,$C$1)-Y$218)))*SIGN(OFFSET(Assumptions!$B$17,0,$C$1)-Y$218)</f>
        <v>5.2999999999999999E-2</v>
      </c>
      <c r="AA218" s="9">
        <f ca="1">Z$218 +IF(AA$6=OFFSET(Assumptions!$B$8,0,$C$1),ABS(OFFSET(Assumptions!$B$17,0,$C$1)-Z$218)/OFFSET(Assumptions!$B$25,0,$C$1),MIN(ABS(Z$218-Y$218),ABS(OFFSET(Assumptions!$B$17,0,$C$1)-Z$218)))*SIGN(OFFSET(Assumptions!$B$17,0,$C$1)-Z$218)</f>
        <v>5.2999999999999999E-2</v>
      </c>
      <c r="AB218" s="9">
        <f ca="1">AA$218 +IF(AB$6=OFFSET(Assumptions!$B$8,0,$C$1),ABS(OFFSET(Assumptions!$B$17,0,$C$1)-AA$218)/OFFSET(Assumptions!$B$25,0,$C$1),MIN(ABS(AA$218-Z$218),ABS(OFFSET(Assumptions!$B$17,0,$C$1)-AA$218)))*SIGN(OFFSET(Assumptions!$B$17,0,$C$1)-AA$218)</f>
        <v>5.2999999999999999E-2</v>
      </c>
      <c r="AC218" s="9">
        <f ca="1">AB$218 +IF(AC$6=OFFSET(Assumptions!$B$8,0,$C$1),ABS(OFFSET(Assumptions!$B$17,0,$C$1)-AB$218)/OFFSET(Assumptions!$B$25,0,$C$1),MIN(ABS(AB$218-AA$218),ABS(OFFSET(Assumptions!$B$17,0,$C$1)-AB$218)))*SIGN(OFFSET(Assumptions!$B$17,0,$C$1)-AB$218)</f>
        <v>5.2999999999999999E-2</v>
      </c>
      <c r="AD218" s="9">
        <f ca="1">AC$218 +IF(AD$6=OFFSET(Assumptions!$B$8,0,$C$1),ABS(OFFSET(Assumptions!$B$17,0,$C$1)-AC$218)/OFFSET(Assumptions!$B$25,0,$C$1),MIN(ABS(AC$218-AB$218),ABS(OFFSET(Assumptions!$B$17,0,$C$1)-AC$218)))*SIGN(OFFSET(Assumptions!$B$17,0,$C$1)-AC$218)</f>
        <v>5.2999999999999999E-2</v>
      </c>
      <c r="AE218" s="9">
        <f ca="1">AD$218 +IF(AE$6=OFFSET(Assumptions!$B$8,0,$C$1),ABS(OFFSET(Assumptions!$B$17,0,$C$1)-AD$218)/OFFSET(Assumptions!$B$25,0,$C$1),MIN(ABS(AD$218-AC$218),ABS(OFFSET(Assumptions!$B$17,0,$C$1)-AD$218)))*SIGN(OFFSET(Assumptions!$B$17,0,$C$1)-AD$218)</f>
        <v>5.2999999999999999E-2</v>
      </c>
      <c r="AF218" s="9">
        <f ca="1">AE$218 +IF(AF$6=OFFSET(Assumptions!$B$8,0,$C$1),ABS(OFFSET(Assumptions!$B$17,0,$C$1)-AE$218)/OFFSET(Assumptions!$B$25,0,$C$1),MIN(ABS(AE$218-AD$218),ABS(OFFSET(Assumptions!$B$17,0,$C$1)-AE$218)))*SIGN(OFFSET(Assumptions!$B$17,0,$C$1)-AE$218)</f>
        <v>5.2999999999999999E-2</v>
      </c>
      <c r="AG218" s="9">
        <f ca="1">AF$218 +IF(AG$6=OFFSET(Assumptions!$B$8,0,$C$1),ABS(OFFSET(Assumptions!$B$17,0,$C$1)-AF$218)/OFFSET(Assumptions!$B$25,0,$C$1),MIN(ABS(AF$218-AE$218),ABS(OFFSET(Assumptions!$B$17,0,$C$1)-AF$218)))*SIGN(OFFSET(Assumptions!$B$17,0,$C$1)-AF$218)</f>
        <v>5.2999999999999999E-2</v>
      </c>
      <c r="AH218" s="9">
        <f ca="1">AG$218 +IF(AH$6=OFFSET(Assumptions!$B$8,0,$C$1),ABS(OFFSET(Assumptions!$B$17,0,$C$1)-AG$218)/OFFSET(Assumptions!$B$25,0,$C$1),MIN(ABS(AG$218-AF$218),ABS(OFFSET(Assumptions!$B$17,0,$C$1)-AG$218)))*SIGN(OFFSET(Assumptions!$B$17,0,$C$1)-AG$218)</f>
        <v>5.2999999999999999E-2</v>
      </c>
      <c r="AI218" s="9">
        <f ca="1">AH$218 +IF(AI$6=OFFSET(Assumptions!$B$8,0,$C$1),ABS(OFFSET(Assumptions!$B$17,0,$C$1)-AH$218)/OFFSET(Assumptions!$B$25,0,$C$1),MIN(ABS(AH$218-AG$218),ABS(OFFSET(Assumptions!$B$17,0,$C$1)-AH$218)))*SIGN(OFFSET(Assumptions!$B$17,0,$C$1)-AH$218)</f>
        <v>5.2999999999999999E-2</v>
      </c>
      <c r="AJ218" s="9">
        <f ca="1">AI$218 +IF(AJ$6=OFFSET(Assumptions!$B$8,0,$C$1),ABS(OFFSET(Assumptions!$B$17,0,$C$1)-AI$218)/OFFSET(Assumptions!$B$25,0,$C$1),MIN(ABS(AI$218-AH$218),ABS(OFFSET(Assumptions!$B$17,0,$C$1)-AI$218)))*SIGN(OFFSET(Assumptions!$B$17,0,$C$1)-AI$218)</f>
        <v>5.2999999999999999E-2</v>
      </c>
      <c r="AK218" s="9">
        <f ca="1">AJ$218 +IF(AK$6=OFFSET(Assumptions!$B$8,0,$C$1),ABS(OFFSET(Assumptions!$B$17,0,$C$1)-AJ$218)/OFFSET(Assumptions!$B$25,0,$C$1),MIN(ABS(AJ$218-AI$218),ABS(OFFSET(Assumptions!$B$17,0,$C$1)-AJ$218)))*SIGN(OFFSET(Assumptions!$B$17,0,$C$1)-AJ$218)</f>
        <v>5.2999999999999999E-2</v>
      </c>
      <c r="AL218" s="9">
        <f ca="1">AK$218 +IF(AL$6=OFFSET(Assumptions!$B$8,0,$C$1),ABS(OFFSET(Assumptions!$B$17,0,$C$1)-AK$218)/OFFSET(Assumptions!$B$25,0,$C$1),MIN(ABS(AK$218-AJ$218),ABS(OFFSET(Assumptions!$B$17,0,$C$1)-AK$218)))*SIGN(OFFSET(Assumptions!$B$17,0,$C$1)-AK$218)</f>
        <v>5.2999999999999999E-2</v>
      </c>
      <c r="AM218" s="9">
        <f ca="1">AL$218 +IF(AM$6=OFFSET(Assumptions!$B$8,0,$C$1),ABS(OFFSET(Assumptions!$B$17,0,$C$1)-AL$218)/OFFSET(Assumptions!$B$25,0,$C$1),MIN(ABS(AL$218-AK$218),ABS(OFFSET(Assumptions!$B$17,0,$C$1)-AL$218)))*SIGN(OFFSET(Assumptions!$B$17,0,$C$1)-AL$218)</f>
        <v>5.2999999999999999E-2</v>
      </c>
      <c r="AN218" s="9">
        <f ca="1">AM$218 +IF(AN$6=OFFSET(Assumptions!$B$8,0,$C$1),ABS(OFFSET(Assumptions!$B$17,0,$C$1)-AM$218)/OFFSET(Assumptions!$B$25,0,$C$1),MIN(ABS(AM$218-AL$218),ABS(OFFSET(Assumptions!$B$17,0,$C$1)-AM$218)))*SIGN(OFFSET(Assumptions!$B$17,0,$C$1)-AM$218)</f>
        <v>5.2999999999999999E-2</v>
      </c>
      <c r="AO218" s="9">
        <f ca="1">AN$218 +IF(AO$6=OFFSET(Assumptions!$B$8,0,$C$1),ABS(OFFSET(Assumptions!$B$17,0,$C$1)-AN$218)/OFFSET(Assumptions!$B$25,0,$C$1),MIN(ABS(AN$218-AM$218),ABS(OFFSET(Assumptions!$B$17,0,$C$1)-AN$218)))*SIGN(OFFSET(Assumptions!$B$17,0,$C$1)-AN$218)</f>
        <v>5.2999999999999999E-2</v>
      </c>
      <c r="AP218" s="9">
        <f ca="1">AO$218 +IF(AP$6=OFFSET(Assumptions!$B$8,0,$C$1),ABS(OFFSET(Assumptions!$B$17,0,$C$1)-AO$218)/OFFSET(Assumptions!$B$25,0,$C$1),MIN(ABS(AO$218-AN$218),ABS(OFFSET(Assumptions!$B$17,0,$C$1)-AO$218)))*SIGN(OFFSET(Assumptions!$B$17,0,$C$1)-AO$218)</f>
        <v>5.2999999999999999E-2</v>
      </c>
      <c r="AQ218" s="9">
        <f ca="1">AP$218 +IF(AQ$6=OFFSET(Assumptions!$B$8,0,$C$1),ABS(OFFSET(Assumptions!$B$17,0,$C$1)-AP$218)/OFFSET(Assumptions!$B$25,0,$C$1),MIN(ABS(AP$218-AO$218),ABS(OFFSET(Assumptions!$B$17,0,$C$1)-AP$218)))*SIGN(OFFSET(Assumptions!$B$17,0,$C$1)-AP$218)</f>
        <v>5.2999999999999999E-2</v>
      </c>
      <c r="AR218" s="9">
        <f ca="1">AQ$218 +IF(AR$6=OFFSET(Assumptions!$B$8,0,$C$1),ABS(OFFSET(Assumptions!$B$17,0,$C$1)-AQ$218)/OFFSET(Assumptions!$B$25,0,$C$1),MIN(ABS(AQ$218-AP$218),ABS(OFFSET(Assumptions!$B$17,0,$C$1)-AQ$218)))*SIGN(OFFSET(Assumptions!$B$17,0,$C$1)-AQ$218)</f>
        <v>5.2999999999999999E-2</v>
      </c>
      <c r="AS218" s="9">
        <f ca="1">AR$218 +IF(AS$6=OFFSET(Assumptions!$B$8,0,$C$1),ABS(OFFSET(Assumptions!$B$17,0,$C$1)-AR$218)/OFFSET(Assumptions!$B$25,0,$C$1),MIN(ABS(AR$218-AQ$218),ABS(OFFSET(Assumptions!$B$17,0,$C$1)-AR$218)))*SIGN(OFFSET(Assumptions!$B$17,0,$C$1)-AR$218)</f>
        <v>5.2999999999999999E-2</v>
      </c>
      <c r="AT218" s="9">
        <f ca="1">AS$218 +IF(AT$6=OFFSET(Assumptions!$B$8,0,$C$1),ABS(OFFSET(Assumptions!$B$17,0,$C$1)-AS$218)/OFFSET(Assumptions!$B$25,0,$C$1),MIN(ABS(AS$218-AR$218),ABS(OFFSET(Assumptions!$B$17,0,$C$1)-AS$218)))*SIGN(OFFSET(Assumptions!$B$17,0,$C$1)-AS$218)</f>
        <v>5.2999999999999999E-2</v>
      </c>
      <c r="AU218" s="9">
        <f ca="1">AT$218 +IF(AU$6=OFFSET(Assumptions!$B$8,0,$C$1),ABS(OFFSET(Assumptions!$B$17,0,$C$1)-AT$218)/OFFSET(Assumptions!$B$25,0,$C$1),MIN(ABS(AT$218-AS$218),ABS(OFFSET(Assumptions!$B$17,0,$C$1)-AT$218)))*SIGN(OFFSET(Assumptions!$B$17,0,$C$1)-AT$218)</f>
        <v>5.2999999999999999E-2</v>
      </c>
      <c r="AV218" s="9">
        <f ca="1">AU$218 +IF(AV$6=OFFSET(Assumptions!$B$8,0,$C$1),ABS(OFFSET(Assumptions!$B$17,0,$C$1)-AU$218)/OFFSET(Assumptions!$B$25,0,$C$1),MIN(ABS(AU$218-AT$218),ABS(OFFSET(Assumptions!$B$17,0,$C$1)-AU$218)))*SIGN(OFFSET(Assumptions!$B$17,0,$C$1)-AU$218)</f>
        <v>5.2999999999999999E-2</v>
      </c>
      <c r="AW218" s="9">
        <f ca="1">AV$218 +IF(AW$6=OFFSET(Assumptions!$B$8,0,$C$1),ABS(OFFSET(Assumptions!$B$17,0,$C$1)-AV$218)/OFFSET(Assumptions!$B$25,0,$C$1),MIN(ABS(AV$218-AU$218),ABS(OFFSET(Assumptions!$B$17,0,$C$1)-AV$218)))*SIGN(OFFSET(Assumptions!$B$17,0,$C$1)-AV$218)</f>
        <v>5.2999999999999999E-2</v>
      </c>
    </row>
    <row r="219" spans="1:49" x14ac:dyDescent="0.2">
      <c r="A219" s="4"/>
    </row>
    <row r="220" spans="1:49" x14ac:dyDescent="0.2">
      <c r="A220" s="22" t="s">
        <v>163</v>
      </c>
    </row>
    <row r="221" spans="1:49" x14ac:dyDescent="0.2">
      <c r="A221" s="1" t="s">
        <v>324</v>
      </c>
      <c r="B221" s="4" t="str">
        <f t="shared" ref="B221:B236" si="172">$B$43</f>
        <v>From Fiscal</v>
      </c>
      <c r="D221" s="18">
        <f>Fiscal!D$160</f>
        <v>6.0000000000000001E-3</v>
      </c>
      <c r="E221" s="19">
        <f>Fiscal!E$160</f>
        <v>1E-3</v>
      </c>
      <c r="F221" s="19">
        <f>Fiscal!F$160</f>
        <v>1E-3</v>
      </c>
      <c r="G221" s="19">
        <f>Fiscal!G$160</f>
        <v>1E-3</v>
      </c>
      <c r="H221" s="19">
        <f>Fiscal!H$160</f>
        <v>5.0000000000000001E-3</v>
      </c>
      <c r="I221" s="19">
        <f>Fiscal!I$160</f>
        <v>1E-3</v>
      </c>
      <c r="J221" s="7">
        <f ca="1">IF(J$6=OFFSET(Assumptions!$B$8,0,$C$1),0,I$221)</f>
        <v>0</v>
      </c>
      <c r="K221" s="7">
        <f ca="1">IF(K$6=OFFSET(Assumptions!$B$8,0,$C$1),0,J$221)</f>
        <v>0</v>
      </c>
      <c r="L221" s="7">
        <f ca="1">IF(L$6=OFFSET(Assumptions!$B$8,0,$C$1),0,K$221)</f>
        <v>0</v>
      </c>
      <c r="M221" s="7">
        <f ca="1">IF(M$6=OFFSET(Assumptions!$B$8,0,$C$1),0,L$221)</f>
        <v>0</v>
      </c>
      <c r="N221" s="7">
        <f ca="1">IF(N$6=OFFSET(Assumptions!$B$8,0,$C$1),0,M$221)</f>
        <v>0</v>
      </c>
      <c r="O221" s="7">
        <f ca="1">IF(O$6=OFFSET(Assumptions!$B$8,0,$C$1),0,N$221)</f>
        <v>0</v>
      </c>
      <c r="P221" s="7">
        <f ca="1">IF(P$6=OFFSET(Assumptions!$B$8,0,$C$1),0,O$221)</f>
        <v>0</v>
      </c>
      <c r="Q221" s="7">
        <f ca="1">IF(Q$6=OFFSET(Assumptions!$B$8,0,$C$1),0,P$221)</f>
        <v>0</v>
      </c>
      <c r="R221" s="7">
        <f ca="1">IF(R$6=OFFSET(Assumptions!$B$8,0,$C$1),0,Q$221)</f>
        <v>0</v>
      </c>
      <c r="S221" s="7">
        <f ca="1">IF(S$6=OFFSET(Assumptions!$B$8,0,$C$1),0,R$221)</f>
        <v>0</v>
      </c>
      <c r="T221" s="7">
        <f ca="1">IF(T$6=OFFSET(Assumptions!$B$8,0,$C$1),0,S$221)</f>
        <v>0</v>
      </c>
      <c r="U221" s="7">
        <f ca="1">IF(U$6=OFFSET(Assumptions!$B$8,0,$C$1),0,T$221)</f>
        <v>0</v>
      </c>
      <c r="V221" s="7">
        <f ca="1">IF(V$6=OFFSET(Assumptions!$B$8,0,$C$1),0,U$221)</f>
        <v>0</v>
      </c>
      <c r="W221" s="7">
        <f ca="1">IF(W$6=OFFSET(Assumptions!$B$8,0,$C$1),0,V$221)</f>
        <v>0</v>
      </c>
      <c r="X221" s="7">
        <f ca="1">IF(X$6=OFFSET(Assumptions!$B$8,0,$C$1),0,W$221)</f>
        <v>0</v>
      </c>
      <c r="Y221" s="7">
        <f ca="1">IF(Y$6=OFFSET(Assumptions!$B$8,0,$C$1),0,X$221)</f>
        <v>0</v>
      </c>
      <c r="Z221" s="7">
        <f ca="1">IF(Z$6=OFFSET(Assumptions!$B$8,0,$C$1),0,Y$221)</f>
        <v>0</v>
      </c>
      <c r="AA221" s="7">
        <f ca="1">IF(AA$6=OFFSET(Assumptions!$B$8,0,$C$1),0,Z$221)</f>
        <v>0</v>
      </c>
      <c r="AB221" s="7">
        <f ca="1">IF(AB$6=OFFSET(Assumptions!$B$8,0,$C$1),0,AA$221)</f>
        <v>0</v>
      </c>
      <c r="AC221" s="7">
        <f ca="1">IF(AC$6=OFFSET(Assumptions!$B$8,0,$C$1),0,AB$221)</f>
        <v>0</v>
      </c>
      <c r="AD221" s="7">
        <f ca="1">IF(AD$6=OFFSET(Assumptions!$B$8,0,$C$1),0,AC$221)</f>
        <v>0</v>
      </c>
      <c r="AE221" s="7">
        <f ca="1">IF(AE$6=OFFSET(Assumptions!$B$8,0,$C$1),0,AD$221)</f>
        <v>0</v>
      </c>
      <c r="AF221" s="7">
        <f ca="1">IF(AF$6=OFFSET(Assumptions!$B$8,0,$C$1),0,AE$221)</f>
        <v>0</v>
      </c>
      <c r="AG221" s="7">
        <f ca="1">IF(AG$6=OFFSET(Assumptions!$B$8,0,$C$1),0,AF$221)</f>
        <v>0</v>
      </c>
      <c r="AH221" s="7">
        <f ca="1">IF(AH$6=OFFSET(Assumptions!$B$8,0,$C$1),0,AG$221)</f>
        <v>0</v>
      </c>
      <c r="AI221" s="7">
        <f ca="1">IF(AI$6=OFFSET(Assumptions!$B$8,0,$C$1),0,AH$221)</f>
        <v>0</v>
      </c>
      <c r="AJ221" s="7">
        <f ca="1">IF(AJ$6=OFFSET(Assumptions!$B$8,0,$C$1),0,AI$221)</f>
        <v>0</v>
      </c>
      <c r="AK221" s="7">
        <f ca="1">IF(AK$6=OFFSET(Assumptions!$B$8,0,$C$1),0,AJ$221)</f>
        <v>0</v>
      </c>
      <c r="AL221" s="7">
        <f ca="1">IF(AL$6=OFFSET(Assumptions!$B$8,0,$C$1),0,AK$221)</f>
        <v>0</v>
      </c>
      <c r="AM221" s="7">
        <f ca="1">IF(AM$6=OFFSET(Assumptions!$B$8,0,$C$1),0,AL$221)</f>
        <v>0</v>
      </c>
      <c r="AN221" s="7">
        <f ca="1">IF(AN$6=OFFSET(Assumptions!$B$8,0,$C$1),0,AM$221)</f>
        <v>0</v>
      </c>
      <c r="AO221" s="7">
        <f ca="1">IF(AO$6=OFFSET(Assumptions!$B$8,0,$C$1),0,AN$221)</f>
        <v>0</v>
      </c>
      <c r="AP221" s="7">
        <f ca="1">IF(AP$6=OFFSET(Assumptions!$B$8,0,$C$1),0,AO$221)</f>
        <v>0</v>
      </c>
      <c r="AQ221" s="7">
        <f ca="1">IF(AQ$6=OFFSET(Assumptions!$B$8,0,$C$1),0,AP$221)</f>
        <v>0</v>
      </c>
      <c r="AR221" s="7">
        <f ca="1">IF(AR$6=OFFSET(Assumptions!$B$8,0,$C$1),0,AQ$221)</f>
        <v>0</v>
      </c>
      <c r="AS221" s="7">
        <f ca="1">IF(AS$6=OFFSET(Assumptions!$B$8,0,$C$1),0,AR$221)</f>
        <v>0</v>
      </c>
      <c r="AT221" s="7">
        <f ca="1">IF(AT$6=OFFSET(Assumptions!$B$8,0,$C$1),0,AS$221)</f>
        <v>0</v>
      </c>
      <c r="AU221" s="7">
        <f ca="1">IF(AU$6=OFFSET(Assumptions!$B$8,0,$C$1),0,AT$221)</f>
        <v>0</v>
      </c>
      <c r="AV221" s="7">
        <f ca="1">IF(AV$6=OFFSET(Assumptions!$B$8,0,$C$1),0,AU$221)</f>
        <v>0</v>
      </c>
      <c r="AW221" s="7">
        <f ca="1">IF(AW$6=OFFSET(Assumptions!$B$8,0,$C$1),0,AV$221)</f>
        <v>0</v>
      </c>
    </row>
    <row r="222" spans="1:49" x14ac:dyDescent="0.2">
      <c r="A222" s="1" t="s">
        <v>295</v>
      </c>
      <c r="B222" s="4" t="str">
        <f t="shared" si="172"/>
        <v>From Fiscal</v>
      </c>
      <c r="D222" s="18">
        <f>Fiscal!D$189</f>
        <v>4.085</v>
      </c>
      <c r="E222" s="19">
        <f>Fiscal!E$189</f>
        <v>4.327</v>
      </c>
      <c r="F222" s="19">
        <f>Fiscal!F$189</f>
        <v>4.2309999999999999</v>
      </c>
      <c r="G222" s="19">
        <f>Fiscal!G$189</f>
        <v>4.4029999999999996</v>
      </c>
      <c r="H222" s="19">
        <f>Fiscal!H$189</f>
        <v>4.8090000000000002</v>
      </c>
      <c r="I222" s="19">
        <f>Fiscal!I$189</f>
        <v>5.09</v>
      </c>
      <c r="J222" s="7">
        <f ca="1">IF(J$6=OFFSET(Assumptions!$B$8,0,$C$1),AVERAGE(G$222/SUM(G$225:G$226),H$222/SUM(H$225:H$226),I$222/SUM(I$225:I$226)),I$222/SUM(I$225:I$226))*SUM(J$225:J$226)</f>
        <v>5.2856679548955237</v>
      </c>
      <c r="K222" s="7">
        <f ca="1">IF(K$6=OFFSET(Assumptions!$B$8,0,$C$1),AVERAGE(H$222/SUM(H$225:H$226),I$222/SUM(I$225:I$226),J$222/SUM(J$225:J$226)),J$222/SUM(J$225:J$226))*SUM(K$225:K$226)</f>
        <v>5.5314367389589414</v>
      </c>
      <c r="L222" s="7">
        <f ca="1">IF(L$6=OFFSET(Assumptions!$B$8,0,$C$1),AVERAGE(I$222/SUM(I$225:I$226),J$222/SUM(J$225:J$226),K$222/SUM(K$225:K$226)),K$222/SUM(K$225:K$226))*SUM(L$225:L$226)</f>
        <v>5.7829932530956771</v>
      </c>
      <c r="M222" s="7">
        <f ca="1">IF(M$6=OFFSET(Assumptions!$B$8,0,$C$1),AVERAGE(J$222/SUM(J$225:J$226),K$222/SUM(K$225:K$226),L$222/SUM(L$225:L$226)),L$222/SUM(L$225:L$226))*SUM(M$225:M$226)</f>
        <v>6.058642840850351</v>
      </c>
      <c r="N222" s="7">
        <f ca="1">IF(N$6=OFFSET(Assumptions!$B$8,0,$C$1),AVERAGE(K$222/SUM(K$225:K$226),L$222/SUM(L$225:L$226),M$222/SUM(M$225:M$226)),M$222/SUM(M$225:M$226))*SUM(N$225:N$226)</f>
        <v>6.3122240928741151</v>
      </c>
      <c r="O222" s="7">
        <f ca="1">IF(O$6=OFFSET(Assumptions!$B$8,0,$C$1),AVERAGE(L$222/SUM(L$225:L$226),M$222/SUM(M$225:M$226),N$222/SUM(N$225:N$226)),N$222/SUM(N$225:N$226))*SUM(O$225:O$226)</f>
        <v>6.5774545932833801</v>
      </c>
      <c r="P222" s="7">
        <f ca="1">IF(P$6=OFFSET(Assumptions!$B$8,0,$C$1),AVERAGE(M$222/SUM(M$225:M$226),N$222/SUM(N$225:N$226),O$222/SUM(O$225:O$226)),O$222/SUM(O$225:O$226))*SUM(P$225:P$226)</f>
        <v>6.8370841776950435</v>
      </c>
      <c r="Q222" s="7">
        <f ca="1">IF(Q$6=OFFSET(Assumptions!$B$8,0,$C$1),AVERAGE(N$222/SUM(N$225:N$226),O$222/SUM(O$225:O$226),P$222/SUM(P$225:P$226)),P$222/SUM(P$225:P$226))*SUM(Q$225:Q$226)</f>
        <v>7.1045795133326557</v>
      </c>
      <c r="R222" s="7">
        <f ca="1">IF(R$6=OFFSET(Assumptions!$B$8,0,$C$1),AVERAGE(O$222/SUM(O$225:O$226),P$222/SUM(P$225:P$226),Q$222/SUM(Q$225:Q$226)),Q$222/SUM(Q$225:Q$226))*SUM(R$225:R$226)</f>
        <v>7.3802616879368124</v>
      </c>
      <c r="S222" s="7">
        <f ca="1">IF(S$6=OFFSET(Assumptions!$B$8,0,$C$1),AVERAGE(P$222/SUM(P$225:P$226),Q$222/SUM(Q$225:Q$226),R$222/SUM(R$225:R$226)),R$222/SUM(R$225:R$226))*SUM(S$225:S$226)</f>
        <v>7.6645080384223609</v>
      </c>
      <c r="T222" s="7">
        <f ca="1">IF(T$6=OFFSET(Assumptions!$B$8,0,$C$1),AVERAGE(Q$222/SUM(Q$225:Q$226),R$222/SUM(R$225:R$226),S$222/SUM(S$225:S$226)),S$222/SUM(S$225:S$226))*SUM(T$225:T$226)</f>
        <v>7.9576813801722555</v>
      </c>
      <c r="U222" s="7">
        <f ca="1">IF(U$6=OFFSET(Assumptions!$B$8,0,$C$1),AVERAGE(R$222/SUM(R$225:R$226),S$222/SUM(S$225:S$226),T$222/SUM(T$225:T$226)),T$222/SUM(T$225:T$226))*SUM(U$225:U$226)</f>
        <v>8.2601972570226341</v>
      </c>
      <c r="V222" s="7">
        <f ca="1">IF(V$6=OFFSET(Assumptions!$B$8,0,$C$1),AVERAGE(S$222/SUM(S$225:S$226),T$222/SUM(T$225:T$226),U$222/SUM(U$225:U$226)),U$222/SUM(U$225:U$226))*SUM(V$225:V$226)</f>
        <v>8.5724762318072862</v>
      </c>
      <c r="W222" s="7">
        <f ca="1">IF(W$6=OFFSET(Assumptions!$B$8,0,$C$1),AVERAGE(T$222/SUM(T$225:T$226),U$222/SUM(U$225:U$226),V$222/SUM(V$225:V$226)),V$222/SUM(V$225:V$226))*SUM(W$225:W$226)</f>
        <v>8.8949626275971951</v>
      </c>
      <c r="X222" s="7">
        <f ca="1">IF(X$6=OFFSET(Assumptions!$B$8,0,$C$1),AVERAGE(U$222/SUM(U$225:U$226),V$222/SUM(V$225:V$226),W$222/SUM(W$225:W$226)),W$222/SUM(W$225:W$226))*SUM(X$225:X$226)</f>
        <v>9.2281238051951142</v>
      </c>
      <c r="Y222" s="7">
        <f ca="1">IF(Y$6=OFFSET(Assumptions!$B$8,0,$C$1),AVERAGE(V$222/SUM(V$225:V$226),W$222/SUM(W$225:W$226),X$222/SUM(X$225:X$226)),X$222/SUM(X$225:X$226))*SUM(Y$225:Y$226)</f>
        <v>9.5724051588278272</v>
      </c>
      <c r="Z222" s="7">
        <f ca="1">IF(Z$6=OFFSET(Assumptions!$B$8,0,$C$1),AVERAGE(W$222/SUM(W$225:W$226),X$222/SUM(X$225:X$226),Y$222/SUM(Y$225:Y$226)),Y$222/SUM(Y$225:Y$226))*SUM(Z$225:Z$226)</f>
        <v>9.9283420262893181</v>
      </c>
      <c r="AA222" s="7">
        <f ca="1">IF(AA$6=OFFSET(Assumptions!$B$8,0,$C$1),AVERAGE(X$222/SUM(X$225:X$226),Y$222/SUM(Y$225:Y$226),Z$222/SUM(Z$225:Z$226)),Z$222/SUM(Z$225:Z$226))*SUM(AA$225:AA$226)</f>
        <v>10.296444999996009</v>
      </c>
      <c r="AB222" s="7">
        <f ca="1">IF(AB$6=OFFSET(Assumptions!$B$8,0,$C$1),AVERAGE(Y$222/SUM(Y$225:Y$226),Z$222/SUM(Z$225:Z$226),AA$222/SUM(AA$225:AA$226)),AA$222/SUM(AA$225:AA$226))*SUM(AB$225:AB$226)</f>
        <v>10.677267871280552</v>
      </c>
      <c r="AC222" s="7">
        <f ca="1">IF(AC$6=OFFSET(Assumptions!$B$8,0,$C$1),AVERAGE(Z$222/SUM(Z$225:Z$226),AA$222/SUM(AA$225:AA$226),AB$222/SUM(AB$225:AB$226)),AB$222/SUM(AB$225:AB$226))*SUM(AC$225:AC$226)</f>
        <v>11.071401052556149</v>
      </c>
      <c r="AD222" s="7">
        <f ca="1">IF(AD$6=OFFSET(Assumptions!$B$8,0,$C$1),AVERAGE(AA$222/SUM(AA$225:AA$226),AB$222/SUM(AB$225:AB$226),AC$222/SUM(AC$225:AC$226)),AC$222/SUM(AC$225:AC$226))*SUM(AD$225:AD$226)</f>
        <v>11.479418091040113</v>
      </c>
      <c r="AE222" s="7">
        <f ca="1">IF(AE$6=OFFSET(Assumptions!$B$8,0,$C$1),AVERAGE(AB$222/SUM(AB$225:AB$226),AC$222/SUM(AC$225:AC$226),AD$222/SUM(AD$225:AD$226)),AD$222/SUM(AD$225:AD$226))*SUM(AE$225:AE$226)</f>
        <v>11.901885534498035</v>
      </c>
      <c r="AF222" s="7">
        <f ca="1">IF(AF$6=OFFSET(Assumptions!$B$8,0,$C$1),AVERAGE(AC$222/SUM(AC$225:AC$226),AD$222/SUM(AD$225:AD$226),AE$222/SUM(AE$225:AE$226)),AE$222/SUM(AE$225:AE$226))*SUM(AF$225:AF$226)</f>
        <v>12.339459458280443</v>
      </c>
      <c r="AG222" s="7">
        <f ca="1">IF(AG$6=OFFSET(Assumptions!$B$8,0,$C$1),AVERAGE(AD$222/SUM(AD$225:AD$226),AE$222/SUM(AE$225:AE$226),AF$222/SUM(AF$225:AF$226)),AF$222/SUM(AF$225:AF$226))*SUM(AG$225:AG$226)</f>
        <v>12.792785567825444</v>
      </c>
      <c r="AH222" s="7">
        <f ca="1">IF(AH$6=OFFSET(Assumptions!$B$8,0,$C$1),AVERAGE(AE$222/SUM(AE$225:AE$226),AF$222/SUM(AF$225:AF$226),AG$222/SUM(AG$225:AG$226)),AG$222/SUM(AG$225:AG$226))*SUM(AH$225:AH$226)</f>
        <v>13.262558363799297</v>
      </c>
      <c r="AI222" s="7">
        <f ca="1">IF(AI$6=OFFSET(Assumptions!$B$8,0,$C$1),AVERAGE(AF$222/SUM(AF$225:AF$226),AG$222/SUM(AG$225:AG$226),AH$222/SUM(AH$225:AH$226)),AH$222/SUM(AH$225:AH$226))*SUM(AI$225:AI$226)</f>
        <v>13.749438106295729</v>
      </c>
      <c r="AJ222" s="7">
        <f ca="1">IF(AJ$6=OFFSET(Assumptions!$B$8,0,$C$1),AVERAGE(AG$222/SUM(AG$225:AG$226),AH$222/SUM(AH$225:AH$226),AI$222/SUM(AI$225:AI$226)),AI$222/SUM(AI$225:AI$226))*SUM(AJ$225:AJ$226)</f>
        <v>14.254215713942635</v>
      </c>
      <c r="AK222" s="7">
        <f ca="1">IF(AK$6=OFFSET(Assumptions!$B$8,0,$C$1),AVERAGE(AH$222/SUM(AH$225:AH$226),AI$222/SUM(AI$225:AI$226),AJ$222/SUM(AJ$225:AJ$226)),AJ$222/SUM(AJ$225:AJ$226))*SUM(AK$225:AK$226)</f>
        <v>14.77763266681742</v>
      </c>
      <c r="AL222" s="7">
        <f ca="1">IF(AL$6=OFFSET(Assumptions!$B$8,0,$C$1),AVERAGE(AI$222/SUM(AI$225:AI$226),AJ$222/SUM(AJ$225:AJ$226),AK$222/SUM(AK$225:AK$226)),AK$222/SUM(AK$225:AK$226))*SUM(AL$225:AL$226)</f>
        <v>15.320465009947359</v>
      </c>
      <c r="AM222" s="7">
        <f ca="1">IF(AM$6=OFFSET(Assumptions!$B$8,0,$C$1),AVERAGE(AJ$222/SUM(AJ$225:AJ$226),AK$222/SUM(AK$225:AK$226),AL$222/SUM(AL$225:AL$226)),AL$222/SUM(AL$225:AL$226))*SUM(AM$225:AM$226)</f>
        <v>15.883572971064046</v>
      </c>
      <c r="AN222" s="7">
        <f ca="1">IF(AN$6=OFFSET(Assumptions!$B$8,0,$C$1),AVERAGE(AK$222/SUM(AK$225:AK$226),AL$222/SUM(AL$225:AL$226),AM$222/SUM(AM$225:AM$226)),AM$222/SUM(AM$225:AM$226))*SUM(AN$225:AN$226)</f>
        <v>16.467856148261923</v>
      </c>
      <c r="AO222" s="7">
        <f ca="1">IF(AO$6=OFFSET(Assumptions!$B$8,0,$C$1),AVERAGE(AL$222/SUM(AL$225:AL$226),AM$222/SUM(AM$225:AM$226),AN$222/SUM(AN$225:AN$226)),AN$222/SUM(AN$225:AN$226))*SUM(AO$225:AO$226)</f>
        <v>17.074125777463333</v>
      </c>
      <c r="AP222" s="7">
        <f ca="1">IF(AP$6=OFFSET(Assumptions!$B$8,0,$C$1),AVERAGE(AM$222/SUM(AM$225:AM$226),AN$222/SUM(AN$225:AN$226),AO$222/SUM(AO$225:AO$226)),AO$222/SUM(AO$225:AO$226))*SUM(AP$225:AP$226)</f>
        <v>17.703435689664932</v>
      </c>
      <c r="AQ222" s="7">
        <f ca="1">IF(AQ$6=OFFSET(Assumptions!$B$8,0,$C$1),AVERAGE(AN$222/SUM(AN$225:AN$226),AO$222/SUM(AO$225:AO$226),AP$222/SUM(AP$225:AP$226)),AP$222/SUM(AP$225:AP$226))*SUM(AQ$225:AQ$226)</f>
        <v>18.356704478123596</v>
      </c>
      <c r="AR222" s="7">
        <f ca="1">IF(AR$6=OFFSET(Assumptions!$B$8,0,$C$1),AVERAGE(AO$222/SUM(AO$225:AO$226),AP$222/SUM(AP$225:AP$226),AQ$222/SUM(AQ$225:AQ$226)),AQ$222/SUM(AQ$225:AQ$226))*SUM(AR$225:AR$226)</f>
        <v>19.034998378514469</v>
      </c>
      <c r="AS222" s="7">
        <f ca="1">IF(AS$6=OFFSET(Assumptions!$B$8,0,$C$1),AVERAGE(AP$222/SUM(AP$225:AP$226),AQ$222/SUM(AQ$225:AQ$226),AR$222/SUM(AR$225:AR$226)),AR$222/SUM(AR$225:AR$226))*SUM(AS$225:AS$226)</f>
        <v>19.739464701411123</v>
      </c>
      <c r="AT222" s="7">
        <f ca="1">IF(AT$6=OFFSET(Assumptions!$B$8,0,$C$1),AVERAGE(AQ$222/SUM(AQ$225:AQ$226),AR$222/SUM(AR$225:AR$226),AS$222/SUM(AS$225:AS$226)),AS$222/SUM(AS$225:AS$226))*SUM(AT$225:AT$226)</f>
        <v>20.467905535820055</v>
      </c>
      <c r="AU222" s="7">
        <f ca="1">IF(AU$6=OFFSET(Assumptions!$B$8,0,$C$1),AVERAGE(AR$222/SUM(AR$225:AR$226),AS$222/SUM(AS$225:AS$226),AT$222/SUM(AT$225:AT$226)),AT$222/SUM(AT$225:AT$226))*SUM(AU$225:AU$226)</f>
        <v>21.223048501059335</v>
      </c>
      <c r="AV222" s="7">
        <f ca="1">IF(AV$6=OFFSET(Assumptions!$B$8,0,$C$1),AVERAGE(AS$222/SUM(AS$225:AS$226),AT$222/SUM(AT$225:AT$226),AU$222/SUM(AU$225:AU$226)),AU$222/SUM(AU$225:AU$226))*SUM(AV$225:AV$226)</f>
        <v>22.005937010315002</v>
      </c>
      <c r="AW222" s="7">
        <f ca="1">IF(AW$6=OFFSET(Assumptions!$B$8,0,$C$1),AVERAGE(AT$222/SUM(AT$225:AT$226),AU$222/SUM(AU$225:AU$226),AV$222/SUM(AV$225:AV$226)),AV$222/SUM(AV$225:AV$226))*SUM(AW$225:AW$226)</f>
        <v>22.817539120632699</v>
      </c>
    </row>
    <row r="223" spans="1:49" x14ac:dyDescent="0.2">
      <c r="A223" s="1" t="s">
        <v>529</v>
      </c>
      <c r="B223" s="4" t="str">
        <f t="shared" si="172"/>
        <v>From Fiscal</v>
      </c>
      <c r="D223" s="18">
        <f>SUM(Fiscal!D$190:D$191)</f>
        <v>1.9E-2</v>
      </c>
      <c r="E223" s="19">
        <f>SUM(Fiscal!E$190:E$191)</f>
        <v>7.0000000000000001E-3</v>
      </c>
      <c r="F223" s="19">
        <f>SUM(Fiscal!F$190:F$191)</f>
        <v>7.0000000000000001E-3</v>
      </c>
      <c r="G223" s="19">
        <f>SUM(Fiscal!G$190:G$191)</f>
        <v>8.0000000000000002E-3</v>
      </c>
      <c r="H223" s="19">
        <f>SUM(Fiscal!H$190:H$191)</f>
        <v>4.0000000000000001E-3</v>
      </c>
      <c r="I223" s="19">
        <f>SUM(Fiscal!I$190:I$191)</f>
        <v>7.0000000000000001E-3</v>
      </c>
      <c r="J223" s="7">
        <f ca="1">SUM(J$225:J226)-J$222</f>
        <v>9.6677456912068749E-3</v>
      </c>
      <c r="K223" s="7">
        <f ca="1">SUM(K$225:K226)-K$222</f>
        <v>1.011726884011388E-2</v>
      </c>
      <c r="L223" s="7">
        <f ca="1">SUM(L$225:L226)-L$222</f>
        <v>1.0577378030927953E-2</v>
      </c>
      <c r="M223" s="7">
        <f ca="1">SUM(M$225:M226)-M$222</f>
        <v>1.1081554633968871E-2</v>
      </c>
      <c r="N223" s="7">
        <f ca="1">SUM(N$225:N226)-N$222</f>
        <v>1.1545367169592424E-2</v>
      </c>
      <c r="O223" s="7">
        <f ca="1">SUM(O$225:O226)-O$222</f>
        <v>1.2030486751335445E-2</v>
      </c>
      <c r="P223" s="7">
        <f ca="1">SUM(P$225:P226)-P$222</f>
        <v>1.2505361983269125E-2</v>
      </c>
      <c r="Q223" s="7">
        <f ca="1">SUM(Q$225:Q226)-Q$222</f>
        <v>1.2994624059622595E-2</v>
      </c>
      <c r="R223" s="7">
        <f ca="1">SUM(R$225:R226)-R$222</f>
        <v>1.3498860265607426E-2</v>
      </c>
      <c r="S223" s="7">
        <f ca="1">SUM(S$225:S226)-S$222</f>
        <v>1.4018760768930605E-2</v>
      </c>
      <c r="T223" s="7">
        <f ca="1">SUM(T$225:T226)-T$222</f>
        <v>1.4554989176705391E-2</v>
      </c>
      <c r="U223" s="7">
        <f ca="1">SUM(U$225:U226)-U$222</f>
        <v>1.5108305538969802E-2</v>
      </c>
      <c r="V223" s="7">
        <f ca="1">SUM(V$225:V226)-V$222</f>
        <v>1.5679479085754622E-2</v>
      </c>
      <c r="W223" s="7">
        <f ca="1">SUM(W$225:W226)-W$222</f>
        <v>1.6269322505729988E-2</v>
      </c>
      <c r="X223" s="7">
        <f ca="1">SUM(X$225:X226)-X$222</f>
        <v>1.6878690624704262E-2</v>
      </c>
      <c r="Y223" s="7">
        <f ca="1">SUM(Y$225:Y226)-Y$222</f>
        <v>1.7508398090543054E-2</v>
      </c>
      <c r="Z223" s="7">
        <f ca="1">SUM(Z$225:Z226)-Z$222</f>
        <v>1.8159424062304197E-2</v>
      </c>
      <c r="AA223" s="7">
        <f ca="1">SUM(AA$225:AA226)-AA$222</f>
        <v>1.883270243853552E-2</v>
      </c>
      <c r="AB223" s="7">
        <f ca="1">SUM(AB$225:AB226)-AB$222</f>
        <v>1.9529246130721489E-2</v>
      </c>
      <c r="AC223" s="7">
        <f ca="1">SUM(AC$225:AC226)-AC$222</f>
        <v>2.0250135032096495E-2</v>
      </c>
      <c r="AD223" s="7">
        <f ca="1">SUM(AD$225:AD226)-AD$222</f>
        <v>2.0996418188625299E-2</v>
      </c>
      <c r="AE223" s="7">
        <f ca="1">SUM(AE$225:AE226)-AE$222</f>
        <v>2.1769131843932144E-2</v>
      </c>
      <c r="AF223" s="7">
        <f ca="1">SUM(AF$225:AF226)-AF$222</f>
        <v>2.2569475991980781E-2</v>
      </c>
      <c r="AG223" s="7">
        <f ca="1">SUM(AG$225:AG226)-AG$222</f>
        <v>2.3398631659658164E-2</v>
      </c>
      <c r="AH223" s="7">
        <f ca="1">SUM(AH$225:AH226)-AH$222</f>
        <v>2.4257869122715547E-2</v>
      </c>
      <c r="AI223" s="7">
        <f ca="1">SUM(AI$225:AI226)-AI$222</f>
        <v>2.5148396029216258E-2</v>
      </c>
      <c r="AJ223" s="7">
        <f ca="1">SUM(AJ$225:AJ226)-AJ$222</f>
        <v>2.6071659008083614E-2</v>
      </c>
      <c r="AK223" s="7">
        <f ca="1">SUM(AK$225:AK226)-AK$222</f>
        <v>2.7029014262716089E-2</v>
      </c>
      <c r="AL223" s="7">
        <f ca="1">SUM(AL$225:AL226)-AL$222</f>
        <v>2.8021881217492606E-2</v>
      </c>
      <c r="AM223" s="7">
        <f ca="1">SUM(AM$225:AM226)-AM$222</f>
        <v>2.9051833271088512E-2</v>
      </c>
      <c r="AN223" s="7">
        <f ca="1">SUM(AN$225:AN226)-AN$222</f>
        <v>3.0120515832500416E-2</v>
      </c>
      <c r="AO223" s="7">
        <f ca="1">SUM(AO$225:AO226)-AO$222</f>
        <v>3.1229412691978098E-2</v>
      </c>
      <c r="AP223" s="7">
        <f ca="1">SUM(AP$225:AP226)-AP$222</f>
        <v>3.2380451358054785E-2</v>
      </c>
      <c r="AQ223" s="7">
        <f ca="1">SUM(AQ$225:AQ226)-AQ$222</f>
        <v>3.3575311982808387E-2</v>
      </c>
      <c r="AR223" s="7">
        <f ca="1">SUM(AR$225:AR226)-AR$222</f>
        <v>3.4815944763533224E-2</v>
      </c>
      <c r="AS223" s="7">
        <f ca="1">SUM(AS$225:AS226)-AS$222</f>
        <v>3.610444818749059E-2</v>
      </c>
      <c r="AT223" s="7">
        <f ca="1">SUM(AT$225:AT226)-AT$222</f>
        <v>3.7436802167771788E-2</v>
      </c>
      <c r="AU223" s="7">
        <f ca="1">SUM(AU$225:AU226)-AU$222</f>
        <v>3.8817995653765536E-2</v>
      </c>
      <c r="AV223" s="7">
        <f ca="1">SUM(AV$225:AV226)-AV$222</f>
        <v>4.0249937099321897E-2</v>
      </c>
      <c r="AW223" s="7">
        <f ca="1">SUM(AW$225:AW226)-AW$222</f>
        <v>4.1734397128205813E-2</v>
      </c>
    </row>
    <row r="224" spans="1:49" ht="15" x14ac:dyDescent="0.25">
      <c r="A224" s="2" t="s">
        <v>538</v>
      </c>
      <c r="D224" s="40">
        <f t="shared" ref="D224:I224" si="173">SUM(D$221:D$223)</f>
        <v>4.1100000000000003</v>
      </c>
      <c r="E224" s="39">
        <f t="shared" si="173"/>
        <v>4.335</v>
      </c>
      <c r="F224" s="39">
        <f t="shared" si="173"/>
        <v>4.2389999999999999</v>
      </c>
      <c r="G224" s="39">
        <f t="shared" si="173"/>
        <v>4.4119999999999999</v>
      </c>
      <c r="H224" s="39">
        <f t="shared" si="173"/>
        <v>4.8179999999999996</v>
      </c>
      <c r="I224" s="39">
        <f t="shared" si="173"/>
        <v>5.0979999999999999</v>
      </c>
      <c r="J224" s="43">
        <f t="shared" ref="J224:AW224" ca="1" si="174">SUM(J$221:J$223)</f>
        <v>5.2953357005867305</v>
      </c>
      <c r="K224" s="43">
        <f t="shared" ca="1" si="174"/>
        <v>5.5415540077990553</v>
      </c>
      <c r="L224" s="43">
        <f t="shared" ca="1" si="174"/>
        <v>5.7935706311266051</v>
      </c>
      <c r="M224" s="43">
        <f t="shared" ca="1" si="174"/>
        <v>6.0697243954843199</v>
      </c>
      <c r="N224" s="43">
        <f t="shared" ca="1" si="174"/>
        <v>6.3237694600437075</v>
      </c>
      <c r="O224" s="43">
        <f t="shared" ca="1" si="174"/>
        <v>6.5894850800347156</v>
      </c>
      <c r="P224" s="43">
        <f t="shared" ca="1" si="174"/>
        <v>6.8495895396783126</v>
      </c>
      <c r="Q224" s="43">
        <f t="shared" ca="1" si="174"/>
        <v>7.1175741373922783</v>
      </c>
      <c r="R224" s="43">
        <f t="shared" ca="1" si="174"/>
        <v>7.3937605482024198</v>
      </c>
      <c r="S224" s="43">
        <f t="shared" ca="1" si="174"/>
        <v>7.6785267991912916</v>
      </c>
      <c r="T224" s="43">
        <f t="shared" ca="1" si="174"/>
        <v>7.9722363693489608</v>
      </c>
      <c r="U224" s="43">
        <f t="shared" ca="1" si="174"/>
        <v>8.2753055625616039</v>
      </c>
      <c r="V224" s="43">
        <f t="shared" ca="1" si="174"/>
        <v>8.5881557108930409</v>
      </c>
      <c r="W224" s="43">
        <f t="shared" ca="1" si="174"/>
        <v>8.9112319501029251</v>
      </c>
      <c r="X224" s="43">
        <f t="shared" ca="1" si="174"/>
        <v>9.2450024958198185</v>
      </c>
      <c r="Y224" s="43">
        <f t="shared" ca="1" si="174"/>
        <v>9.5899135569183702</v>
      </c>
      <c r="Z224" s="43">
        <f t="shared" ca="1" si="174"/>
        <v>9.9465014503516223</v>
      </c>
      <c r="AA224" s="43">
        <f t="shared" ca="1" si="174"/>
        <v>10.315277702434544</v>
      </c>
      <c r="AB224" s="43">
        <f t="shared" ca="1" si="174"/>
        <v>10.696797117411274</v>
      </c>
      <c r="AC224" s="43">
        <f t="shared" ca="1" si="174"/>
        <v>11.091651187588246</v>
      </c>
      <c r="AD224" s="43">
        <f t="shared" ca="1" si="174"/>
        <v>11.500414509228738</v>
      </c>
      <c r="AE224" s="43">
        <f t="shared" ca="1" si="174"/>
        <v>11.923654666341967</v>
      </c>
      <c r="AF224" s="43">
        <f t="shared" ca="1" si="174"/>
        <v>12.362028934272423</v>
      </c>
      <c r="AG224" s="43">
        <f t="shared" ca="1" si="174"/>
        <v>12.816184199485102</v>
      </c>
      <c r="AH224" s="43">
        <f t="shared" ca="1" si="174"/>
        <v>13.286816232922012</v>
      </c>
      <c r="AI224" s="43">
        <f t="shared" ca="1" si="174"/>
        <v>13.774586502324945</v>
      </c>
      <c r="AJ224" s="43">
        <f t="shared" ca="1" si="174"/>
        <v>14.280287372950719</v>
      </c>
      <c r="AK224" s="43">
        <f t="shared" ca="1" si="174"/>
        <v>14.804661681080136</v>
      </c>
      <c r="AL224" s="43">
        <f t="shared" ca="1" si="174"/>
        <v>15.348486891164852</v>
      </c>
      <c r="AM224" s="43">
        <f t="shared" ca="1" si="174"/>
        <v>15.912624804335135</v>
      </c>
      <c r="AN224" s="43">
        <f t="shared" ca="1" si="174"/>
        <v>16.497976664094423</v>
      </c>
      <c r="AO224" s="43">
        <f t="shared" ca="1" si="174"/>
        <v>17.105355190155311</v>
      </c>
      <c r="AP224" s="43">
        <f t="shared" ca="1" si="174"/>
        <v>17.735816141022987</v>
      </c>
      <c r="AQ224" s="43">
        <f t="shared" ca="1" si="174"/>
        <v>18.390279790106405</v>
      </c>
      <c r="AR224" s="43">
        <f t="shared" ca="1" si="174"/>
        <v>19.069814323278003</v>
      </c>
      <c r="AS224" s="43">
        <f t="shared" ca="1" si="174"/>
        <v>19.775569149598613</v>
      </c>
      <c r="AT224" s="43">
        <f t="shared" ca="1" si="174"/>
        <v>20.505342337987827</v>
      </c>
      <c r="AU224" s="43">
        <f t="shared" ca="1" si="174"/>
        <v>21.2618664967131</v>
      </c>
      <c r="AV224" s="43">
        <f t="shared" ca="1" si="174"/>
        <v>22.046186947414323</v>
      </c>
      <c r="AW224" s="43">
        <f t="shared" ca="1" si="174"/>
        <v>22.859273517760904</v>
      </c>
    </row>
    <row r="225" spans="1:49" x14ac:dyDescent="0.2">
      <c r="A225" s="1" t="s">
        <v>539</v>
      </c>
      <c r="B225" s="4" t="str">
        <f t="shared" si="172"/>
        <v>From Fiscal</v>
      </c>
      <c r="D225" s="18">
        <f>Fiscal!D$259</f>
        <v>4.1040000000000001</v>
      </c>
      <c r="E225" s="19">
        <f>Fiscal!E$259</f>
        <v>4.0789999999999997</v>
      </c>
      <c r="F225" s="19">
        <f>Fiscal!F$259</f>
        <v>4.2510000000000003</v>
      </c>
      <c r="G225" s="19">
        <f>Fiscal!G$259</f>
        <v>4.2880000000000003</v>
      </c>
      <c r="H225" s="19">
        <f>Fiscal!H$259</f>
        <v>4.62</v>
      </c>
      <c r="I225" s="19">
        <f>Fiscal!I$259</f>
        <v>4.8840000000000003</v>
      </c>
      <c r="J225" s="7">
        <f>I$225*Exogenous!Q$25/Exogenous!P$25</f>
        <v>5.1023053977074149</v>
      </c>
      <c r="K225" s="7">
        <f>J$225*Exogenous!R$25/Exogenous!Q$25</f>
        <v>5.3404569304695508</v>
      </c>
      <c r="L225" s="7">
        <f>K$225*Exogenous!S$25/Exogenous!R$25</f>
        <v>5.5837569425981037</v>
      </c>
      <c r="M225" s="7">
        <f>L$225*Exogenous!T$25/Exogenous!S$25</f>
        <v>5.8508454015378888</v>
      </c>
      <c r="N225" s="7">
        <f>M$225*Exogenous!U$25/Exogenous!T$25</f>
        <v>6.0954507674260503</v>
      </c>
      <c r="O225" s="7">
        <f>N$225*Exogenous!V$25/Exogenous!U$25</f>
        <v>6.3514202083273261</v>
      </c>
      <c r="P225" s="7">
        <f>O$225*Exogenous!W$25/Exogenous!V$25</f>
        <v>6.6014571661268437</v>
      </c>
      <c r="Q225" s="7">
        <f>P$225*Exogenous!X$25/Exogenous!W$25</f>
        <v>6.8590638139929565</v>
      </c>
      <c r="R225" s="7">
        <f>Q$225*Exogenous!Y$25/Exogenous!X$25</f>
        <v>7.1245695296475304</v>
      </c>
      <c r="S225" s="7">
        <f>R$225*Exogenous!Z$25/Exogenous!Y$25</f>
        <v>7.3983183973594437</v>
      </c>
      <c r="T225" s="7">
        <f>S$225*Exogenous!AA$25/Exogenous!Z$25</f>
        <v>7.6806698784520941</v>
      </c>
      <c r="U225" s="7">
        <f>T$225*Exogenous!AB$25/Exogenous!AA$25</f>
        <v>7.9719995129294006</v>
      </c>
      <c r="V225" s="7">
        <f>U$225*Exogenous!AC$25/Exogenous!AB$25</f>
        <v>8.2726996536873898</v>
      </c>
      <c r="W225" s="7">
        <f>V$225*Exogenous!AD$25/Exogenous!AC$25</f>
        <v>8.5831802348490918</v>
      </c>
      <c r="X225" s="7">
        <f>W$225*Exogenous!AE$25/Exogenous!AD$25</f>
        <v>8.9038695758336583</v>
      </c>
      <c r="Y225" s="7">
        <f>X$225*Exogenous!AF$25/Exogenous!AE$25</f>
        <v>9.2352152228479909</v>
      </c>
      <c r="Z225" s="7">
        <f>Y$225*Exogenous!AG$25/Exogenous!AF$25</f>
        <v>9.5776848295701225</v>
      </c>
      <c r="AA225" s="7">
        <f>Z$225*Exogenous!AH$25/Exogenous!AG$25</f>
        <v>9.9317670788784369</v>
      </c>
      <c r="AB225" s="7">
        <f>AA$225*Exogenous!AI$25/Exogenous!AH$25</f>
        <v>10.297972647569726</v>
      </c>
      <c r="AC225" s="7">
        <f>AB$225*Exogenous!AJ$25/Exogenous!AI$25</f>
        <v>10.676835216102576</v>
      </c>
      <c r="AD225" s="7">
        <f>AC$225*Exogenous!AK$25/Exogenous!AJ$25</f>
        <v>11.068912525500263</v>
      </c>
      <c r="AE225" s="7">
        <f>AD$225*Exogenous!AL$25/Exogenous!AK$25</f>
        <v>11.474787483650232</v>
      </c>
      <c r="AF225" s="7">
        <f>AE$225*Exogenous!AM$25/Exogenous!AL$25</f>
        <v>11.895069323344483</v>
      </c>
      <c r="AG225" s="7">
        <f>AF$225*Exogenous!AN$25/Exogenous!AM$25</f>
        <v>12.330394814518684</v>
      </c>
      <c r="AH225" s="7">
        <f>AG$225*Exogenous!AO$25/Exogenous!AN$25</f>
        <v>12.781429533265646</v>
      </c>
      <c r="AI225" s="7">
        <f>AH$225*Exogenous!AP$25/Exogenous!AO$25</f>
        <v>13.248869190323294</v>
      </c>
      <c r="AJ225" s="7">
        <f>AI$225*Exogenous!AQ$25/Exogenous!AP$25</f>
        <v>13.73344102186771</v>
      </c>
      <c r="AK225" s="7">
        <f>AJ$225*Exogenous!AR$25/Exogenous!AQ$25</f>
        <v>14.235905245578095</v>
      </c>
      <c r="AL225" s="7">
        <f>AK$225*Exogenous!AS$25/Exogenous!AR$25</f>
        <v>14.757056585084062</v>
      </c>
      <c r="AM225" s="7">
        <f>AL$225*Exogenous!AT$25/Exogenous!AS$25</f>
        <v>15.297725866056069</v>
      </c>
      <c r="AN225" s="7">
        <f>AM$225*Exogenous!AU$25/Exogenous!AT$25</f>
        <v>15.858781687357439</v>
      </c>
      <c r="AO225" s="7">
        <f>AN$225*Exogenous!AV$25/Exogenous!AU$25</f>
        <v>16.441132170841833</v>
      </c>
      <c r="AP225" s="7">
        <f>AO$225*Exogenous!AW$25/Exogenous!AV$25</f>
        <v>17.045726793553815</v>
      </c>
      <c r="AQ225" s="7">
        <f>AP$225*Exogenous!AX$25/Exogenous!AW$25</f>
        <v>17.673558306272206</v>
      </c>
      <c r="AR225" s="7">
        <f>AQ$225*Exogenous!AY$25/Exogenous!AX$25</f>
        <v>18.325664742526666</v>
      </c>
      <c r="AS225" s="7">
        <f>AR$225*Exogenous!AZ$25/Exogenous!AY$25</f>
        <v>19.003131522419061</v>
      </c>
      <c r="AT225" s="7">
        <f>AS$225*Exogenous!BA$25/Exogenous!AZ$25</f>
        <v>19.70373412213242</v>
      </c>
      <c r="AU225" s="7">
        <f>AT$225*Exogenous!BB$25/Exogenous!BA$25</f>
        <v>20.43016635956344</v>
      </c>
      <c r="AV225" s="7">
        <f>AU$225*Exogenous!BC$25/Exogenous!BB$25</f>
        <v>21.183380515198799</v>
      </c>
      <c r="AW225" s="7">
        <f>AV$225*Exogenous!BD$25/Exogenous!BC$25</f>
        <v>21.964363977958957</v>
      </c>
    </row>
    <row r="226" spans="1:49" x14ac:dyDescent="0.2">
      <c r="A226" s="1" t="s">
        <v>540</v>
      </c>
      <c r="B226" s="4" t="str">
        <f t="shared" si="172"/>
        <v>From Fiscal</v>
      </c>
      <c r="D226" s="18">
        <f>SUM(Fiscal!D$260:D$261)</f>
        <v>6.0000000000000053E-3</v>
      </c>
      <c r="E226" s="19">
        <f>SUM(Fiscal!E$260:E$261)</f>
        <v>0.25600000000000001</v>
      </c>
      <c r="F226" s="19">
        <f>SUM(Fiscal!F$260:F$261)</f>
        <v>-1.1999999999999997E-2</v>
      </c>
      <c r="G226" s="19">
        <f>SUM(Fiscal!G$260:G$261)</f>
        <v>0.12399999999999999</v>
      </c>
      <c r="H226" s="19">
        <f>SUM(Fiscal!H$260:H$261)</f>
        <v>0.19800000000000001</v>
      </c>
      <c r="I226" s="19">
        <f>SUM(Fiscal!I$260:I$261)</f>
        <v>0.214</v>
      </c>
      <c r="J226" s="7">
        <f ca="1">IF(J$6=OFFSET(Assumptions!$B$8,0,$C$1),AVERAGE(G$226/G$14,H$226/H$14,I$226/I$14),I$226/I$14) *J$14</f>
        <v>0.19303030287931575</v>
      </c>
      <c r="K226" s="7">
        <f ca="1">IF(K$6=OFFSET(Assumptions!$B$8,0,$C$1),AVERAGE(H$226/H$14,I$226/I$14,J$226/J$14),J$226/J$14) *K$14</f>
        <v>0.20109707732950469</v>
      </c>
      <c r="L226" s="7">
        <f ca="1">IF(L$6=OFFSET(Assumptions!$B$8,0,$C$1),AVERAGE(I$226/I$14,J$226/J$14,K$226/K$14),K$226/K$14) *L$14</f>
        <v>0.20981368852850157</v>
      </c>
      <c r="M226" s="7">
        <f ca="1">IF(M$6=OFFSET(Assumptions!$B$8,0,$C$1),AVERAGE(J$226/J$14,K$226/K$14,L$226/L$14),L$226/L$14) *M$14</f>
        <v>0.21887899394643087</v>
      </c>
      <c r="N226" s="7">
        <f ca="1">IF(N$6=OFFSET(Assumptions!$B$8,0,$C$1),AVERAGE(K$226/K$14,L$226/L$14,M$226/M$14),M$226/M$14) *N$14</f>
        <v>0.22831869261765722</v>
      </c>
      <c r="O226" s="7">
        <f ca="1">IF(O$6=OFFSET(Assumptions!$B$8,0,$C$1),AVERAGE(L$226/L$14,M$226/M$14,N$226/N$14),N$226/N$14) *O$14</f>
        <v>0.2380648717073891</v>
      </c>
      <c r="P226" s="7">
        <f ca="1">IF(P$6=OFFSET(Assumptions!$B$8,0,$C$1),AVERAGE(M$226/M$14,N$226/N$14,O$226/O$14),O$226/O$14) *P$14</f>
        <v>0.24813237355146844</v>
      </c>
      <c r="Q226" s="7">
        <f ca="1">IF(Q$6=OFFSET(Assumptions!$B$8,0,$C$1),AVERAGE(N$226/N$14,O$226/O$14,P$226/P$14),P$226/P$14) *Q$14</f>
        <v>0.25851032339932134</v>
      </c>
      <c r="R226" s="7">
        <f ca="1">IF(R$6=OFFSET(Assumptions!$B$8,0,$C$1),AVERAGE(O$226/O$14,P$226/P$14,Q$226/Q$14),Q$226/Q$14) *R$14</f>
        <v>0.26919101855488914</v>
      </c>
      <c r="S226" s="7">
        <f ca="1">IF(S$6=OFFSET(Assumptions!$B$8,0,$C$1),AVERAGE(P$226/P$14,Q$226/Q$14,R$226/R$14),R$226/R$14) *S$14</f>
        <v>0.28020840183184803</v>
      </c>
      <c r="T226" s="7">
        <f ca="1">IF(T$6=OFFSET(Assumptions!$B$8,0,$C$1),AVERAGE(Q$226/Q$14,R$226/R$14,S$226/S$14),S$226/S$14) *T$14</f>
        <v>0.29156649089686648</v>
      </c>
      <c r="U226" s="7">
        <f ca="1">IF(U$6=OFFSET(Assumptions!$B$8,0,$C$1),AVERAGE(R$226/R$14,S$226/S$14,T$226/T$14),T$226/T$14) *U$14</f>
        <v>0.30330604963220342</v>
      </c>
      <c r="V226" s="7">
        <f ca="1">IF(V$6=OFFSET(Assumptions!$B$8,0,$C$1),AVERAGE(S$226/S$14,T$226/T$14,U$226/U$14),U$226/U$14) *V$14</f>
        <v>0.31545605720565056</v>
      </c>
      <c r="W226" s="7">
        <f ca="1">IF(W$6=OFFSET(Assumptions!$B$8,0,$C$1),AVERAGE(T$226/T$14,U$226/U$14,V$226/V$14),V$226/V$14) *W$14</f>
        <v>0.32805171525383403</v>
      </c>
      <c r="X226" s="7">
        <f ca="1">IF(X$6=OFFSET(Assumptions!$B$8,0,$C$1),AVERAGE(U$226/U$14,V$226/V$14,W$226/W$14),W$226/W$14) *X$14</f>
        <v>0.34113291998616102</v>
      </c>
      <c r="Y226" s="7">
        <f ca="1">IF(Y$6=OFFSET(Assumptions!$B$8,0,$C$1),AVERAGE(V$226/V$14,W$226/W$14,X$226/X$14),X$226/X$14) *Y$14</f>
        <v>0.35469833407037865</v>
      </c>
      <c r="Z226" s="7">
        <f ca="1">IF(Z$6=OFFSET(Assumptions!$B$8,0,$C$1),AVERAGE(W$226/W$14,X$226/X$14,Y$226/Y$14),Y$226/Y$14) *Z$14</f>
        <v>0.36881662078149924</v>
      </c>
      <c r="AA226" s="7">
        <f ca="1">IF(AA$6=OFFSET(Assumptions!$B$8,0,$C$1),AVERAGE(X$226/X$14,Y$226/Y$14,Z$226/Z$14),Z$226/Z$14) *AA$14</f>
        <v>0.38351062355610827</v>
      </c>
      <c r="AB226" s="7">
        <f ca="1">IF(AB$6=OFFSET(Assumptions!$B$8,0,$C$1),AVERAGE(Y$226/Y$14,Z$226/Z$14,AA$226/AA$14),AA$226/AA$14) *AB$14</f>
        <v>0.39882446984154746</v>
      </c>
      <c r="AC226" s="7">
        <f ca="1">IF(AC$6=OFFSET(Assumptions!$B$8,0,$C$1),AVERAGE(Z$226/Z$14,AA$226/AA$14,AB$226/AB$14),AB$226/AB$14) *AC$14</f>
        <v>0.41481597148566995</v>
      </c>
      <c r="AD226" s="7">
        <f ca="1">IF(AD$6=OFFSET(Assumptions!$B$8,0,$C$1),AVERAGE(AA$226/AA$14,AB$226/AB$14,AC$226/AC$14),AC$226/AC$14) *AD$14</f>
        <v>0.43150198372847504</v>
      </c>
      <c r="AE226" s="7">
        <f ca="1">IF(AE$6=OFFSET(Assumptions!$B$8,0,$C$1),AVERAGE(AB$226/AB$14,AC$226/AC$14,AD$226/AD$14),AD$226/AD$14) *AE$14</f>
        <v>0.44886718269173592</v>
      </c>
      <c r="AF226" s="7">
        <f ca="1">IF(AF$6=OFFSET(Assumptions!$B$8,0,$C$1),AVERAGE(AC$226/AC$14,AD$226/AD$14,AE$226/AE$14),AE$226/AE$14) *AF$14</f>
        <v>0.46695961092794108</v>
      </c>
      <c r="AG226" s="7">
        <f ca="1">IF(AG$6=OFFSET(Assumptions!$B$8,0,$C$1),AVERAGE(AD$226/AD$14,AE$226/AE$14,AF$226/AF$14),AF$226/AF$14) *AG$14</f>
        <v>0.48578938496641788</v>
      </c>
      <c r="AH226" s="7">
        <f ca="1">IF(AH$6=OFFSET(Assumptions!$B$8,0,$C$1),AVERAGE(AE$226/AE$14,AF$226/AF$14,AG$226/AG$14),AG$226/AG$14) *AH$14</f>
        <v>0.50538669965636551</v>
      </c>
      <c r="AI226" s="7">
        <f ca="1">IF(AI$6=OFFSET(Assumptions!$B$8,0,$C$1),AVERAGE(AF$226/AF$14,AG$226/AG$14,AH$226/AH$14),AH$226/AH$14) *AI$14</f>
        <v>0.52571731200165128</v>
      </c>
      <c r="AJ226" s="7">
        <f ca="1">IF(AJ$6=OFFSET(Assumptions!$B$8,0,$C$1),AVERAGE(AG$226/AG$14,AH$226/AH$14,AI$226/AI$14),AI$226/AI$14) *AJ$14</f>
        <v>0.54684635108300916</v>
      </c>
      <c r="AK226" s="7">
        <f ca="1">IF(AK$6=OFFSET(Assumptions!$B$8,0,$C$1),AVERAGE(AH$226/AH$14,AI$226/AI$14,AJ$226/AJ$14),AJ$226/AJ$14) *AK$14</f>
        <v>0.5687564355020408</v>
      </c>
      <c r="AL226" s="7">
        <f ca="1">IF(AL$6=OFFSET(Assumptions!$B$8,0,$C$1),AVERAGE(AI$226/AI$14,AJ$226/AJ$14,AK$226/AK$14),AK$226/AK$14) *AL$14</f>
        <v>0.59143030608079028</v>
      </c>
      <c r="AM226" s="7">
        <f ca="1">IF(AM$6=OFFSET(Assumptions!$B$8,0,$C$1),AVERAGE(AJ$226/AJ$14,AK$226/AK$14,AL$226/AL$14),AL$226/AL$14) *AM$14</f>
        <v>0.61489893827906583</v>
      </c>
      <c r="AN226" s="7">
        <f ca="1">IF(AN$6=OFFSET(Assumptions!$B$8,0,$C$1),AVERAGE(AK$226/AK$14,AL$226/AL$14,AM$226/AM$14),AM$226/AM$14) *AN$14</f>
        <v>0.639194976736983</v>
      </c>
      <c r="AO226" s="7">
        <f ca="1">IF(AO$6=OFFSET(Assumptions!$B$8,0,$C$1),AVERAGE(AL$226/AL$14,AM$226/AM$14,AN$226/AN$14),AN$226/AN$14) *AO$14</f>
        <v>0.66422301931347716</v>
      </c>
      <c r="AP226" s="7">
        <f ca="1">IF(AP$6=OFFSET(Assumptions!$B$8,0,$C$1),AVERAGE(AM$226/AM$14,AN$226/AN$14,AO$226/AO$14),AO$226/AO$14) *AP$14</f>
        <v>0.69008934746917139</v>
      </c>
      <c r="AQ226" s="7">
        <f ca="1">IF(AQ$6=OFFSET(Assumptions!$B$8,0,$C$1),AVERAGE(AN$226/AN$14,AO$226/AO$14,AP$226/AP$14),AP$226/AP$14) *AQ$14</f>
        <v>0.71672148383420042</v>
      </c>
      <c r="AR226" s="7">
        <f ca="1">IF(AR$6=OFFSET(Assumptions!$B$8,0,$C$1),AVERAGE(AO$226/AO$14,AP$226/AP$14,AQ$226/AQ$14),AQ$226/AQ$14) *AR$14</f>
        <v>0.74414958075133553</v>
      </c>
      <c r="AS226" s="7">
        <f ca="1">IF(AS$6=OFFSET(Assumptions!$B$8,0,$C$1),AVERAGE(AP$226/AP$14,AQ$226/AQ$14,AR$226/AR$14),AR$226/AR$14) *AS$14</f>
        <v>0.77243762717955133</v>
      </c>
      <c r="AT226" s="7">
        <f ca="1">IF(AT$6=OFFSET(Assumptions!$B$8,0,$C$1),AVERAGE(AQ$226/AQ$14,AR$226/AR$14,AS$226/AS$14),AS$226/AS$14) *AT$14</f>
        <v>0.80160821585540487</v>
      </c>
      <c r="AU226" s="7">
        <f ca="1">IF(AU$6=OFFSET(Assumptions!$B$8,0,$C$1),AVERAGE(AR$226/AR$14,AS$226/AS$14,AT$226/AT$14),AT$226/AT$14) *AU$14</f>
        <v>0.83170013714965851</v>
      </c>
      <c r="AV226" s="7">
        <f ca="1">IF(AV$6=OFFSET(Assumptions!$B$8,0,$C$1),AVERAGE(AS$226/AS$14,AT$226/AT$14,AU$226/AU$14),AU$226/AU$14) *AV$14</f>
        <v>0.86280643221552344</v>
      </c>
      <c r="AW226" s="7">
        <f ca="1">IF(AW$6=OFFSET(Assumptions!$B$8,0,$C$1),AVERAGE(AT$226/AT$14,AU$226/AU$14,AV$226/AV$14),AV$226/AV$14) *AW$14</f>
        <v>0.89490953980194554</v>
      </c>
    </row>
    <row r="227" spans="1:49" x14ac:dyDescent="0.2">
      <c r="B227" s="4"/>
      <c r="D227" s="18"/>
      <c r="E227" s="19"/>
      <c r="F227" s="19"/>
      <c r="G227" s="19"/>
      <c r="H227" s="19"/>
      <c r="I227" s="19"/>
      <c r="J227" s="7"/>
      <c r="K227" s="7"/>
      <c r="L227" s="7"/>
      <c r="M227" s="7"/>
      <c r="N227" s="7"/>
      <c r="O227" s="7"/>
      <c r="P227" s="7"/>
      <c r="Q227" s="7"/>
      <c r="R227" s="7"/>
      <c r="S227" s="7"/>
    </row>
    <row r="228" spans="1:49" x14ac:dyDescent="0.2">
      <c r="A228" s="22" t="s">
        <v>620</v>
      </c>
    </row>
    <row r="229" spans="1:49" ht="15" x14ac:dyDescent="0.25">
      <c r="A229" s="2" t="s">
        <v>541</v>
      </c>
      <c r="B229" s="4" t="str">
        <f t="shared" si="172"/>
        <v>From Fiscal</v>
      </c>
      <c r="C229" s="69">
        <f ca="1">OFFSET(Assumptions!$B$9,0,$C$1)</f>
        <v>0</v>
      </c>
      <c r="D229" s="47">
        <f>Fiscal!D$21</f>
        <v>0</v>
      </c>
      <c r="E229" s="44">
        <f ca="1">IF(OR(OFFSET(Assumptions!$B$72,0,$C$1)="BU",OFFSET(Assumptions!$B$113,0,$C$1)="SND"),0,Fiscal!E$21)</f>
        <v>0</v>
      </c>
      <c r="F229" s="44">
        <f ca="1">IF(OR(OFFSET(Assumptions!$B$72,0,$C$1)="BU",OFFSET(Assumptions!$B$113,0,$C$1)="SND"),0,Fiscal!F$21)</f>
        <v>0</v>
      </c>
      <c r="G229" s="44">
        <f ca="1">IF(OR(OFFSET(Assumptions!$B$72,0,$C$1)="BU",OFFSET(Assumptions!$B$113,0,$C$1)="SND"),0,Fiscal!G$21)</f>
        <v>0</v>
      </c>
      <c r="H229" s="44">
        <f ca="1">IF(OR(OFFSET(Assumptions!$B$72,0,$C$1)="BU",OFFSET(Assumptions!$B$113,0,$C$1)="SND"),0,Fiscal!H$21)</f>
        <v>0</v>
      </c>
      <c r="I229" s="44">
        <f ca="1">IF(OR(OFFSET(Assumptions!$B$72,0,$C$1)="BU",OFFSET(Assumptions!$B$113,0,$C$1)="SND"),0,Fiscal!I$21)</f>
        <v>0</v>
      </c>
      <c r="J229" s="8">
        <f ca="1">IF(OR(OFFSET(Assumptions!$B$72,0,$C$1)="BU",OFFSET(Assumptions!$B$113,0,$C$1)="SND"),0,I$229+IF(J$6=OFFSET(Assumptions!$B$8,0,$C$1),OFFSET(Assumptions!$B$52,0,$C$1),(I$229-H$229)*(1+OFFSET(Assumptions!$B$53,0,$C$1))))</f>
        <v>0</v>
      </c>
      <c r="K229" s="8">
        <f ca="1">IF(OR(OFFSET(Assumptions!$B$72,0,$C$1)="BU",OFFSET(Assumptions!$B$113,0,$C$1)="SND"),0,J$229+IF(K$6=OFFSET(Assumptions!$B$8,0,$C$1),OFFSET(Assumptions!$B$52,0,$C$1),(J$229-I$229)*(1+OFFSET(Assumptions!$B$53,0,$C$1))))</f>
        <v>0</v>
      </c>
      <c r="L229" s="8">
        <f ca="1">IF(OR(OFFSET(Assumptions!$B$72,0,$C$1)="BU",OFFSET(Assumptions!$B$113,0,$C$1)="SND"),0,K$229+IF(L$6=OFFSET(Assumptions!$B$8,0,$C$1),OFFSET(Assumptions!$B$52,0,$C$1),(K$229-J$229)*(1+OFFSET(Assumptions!$B$53,0,$C$1))))</f>
        <v>0</v>
      </c>
      <c r="M229" s="8">
        <f ca="1">IF(OR(OFFSET(Assumptions!$B$72,0,$C$1)="BU",OFFSET(Assumptions!$B$113,0,$C$1)="SND"),0,L$229+IF(M$6=OFFSET(Assumptions!$B$8,0,$C$1),OFFSET(Assumptions!$B$52,0,$C$1),(L$229-K$229)*(1+OFFSET(Assumptions!$B$53,0,$C$1))))</f>
        <v>0</v>
      </c>
      <c r="N229" s="8">
        <f ca="1">IF(OR(OFFSET(Assumptions!$B$72,0,$C$1)="BU",OFFSET(Assumptions!$B$113,0,$C$1)="SND"),0,M$229+IF(N$6=OFFSET(Assumptions!$B$8,0,$C$1),OFFSET(Assumptions!$B$52,0,$C$1),(M$229-L$229)*(1+OFFSET(Assumptions!$B$53,0,$C$1))))</f>
        <v>0</v>
      </c>
      <c r="O229" s="8">
        <f ca="1">IF(OR(OFFSET(Assumptions!$B$72,0,$C$1)="BU",OFFSET(Assumptions!$B$113,0,$C$1)="SND"),0,N$229+IF(O$6=OFFSET(Assumptions!$B$8,0,$C$1),OFFSET(Assumptions!$B$52,0,$C$1),(N$229-M$229)*(1+OFFSET(Assumptions!$B$53,0,$C$1))))</f>
        <v>0</v>
      </c>
      <c r="P229" s="8">
        <f ca="1">IF(OR(OFFSET(Assumptions!$B$72,0,$C$1)="BU",OFFSET(Assumptions!$B$113,0,$C$1)="SND"),0,O$229+IF(P$6=OFFSET(Assumptions!$B$8,0,$C$1),OFFSET(Assumptions!$B$52,0,$C$1),(O$229-N$229)*(1+OFFSET(Assumptions!$B$53,0,$C$1))))</f>
        <v>0</v>
      </c>
      <c r="Q229" s="8">
        <f ca="1">IF(OR(OFFSET(Assumptions!$B$72,0,$C$1)="BU",OFFSET(Assumptions!$B$113,0,$C$1)="SND"),0,P$229+IF(Q$6=OFFSET(Assumptions!$B$8,0,$C$1),OFFSET(Assumptions!$B$52,0,$C$1),(P$229-O$229)*(1+OFFSET(Assumptions!$B$53,0,$C$1))))</f>
        <v>0</v>
      </c>
      <c r="R229" s="8">
        <f ca="1">IF(OR(OFFSET(Assumptions!$B$72,0,$C$1)="BU",OFFSET(Assumptions!$B$113,0,$C$1)="SND"),0,Q$229+IF(R$6=OFFSET(Assumptions!$B$8,0,$C$1),OFFSET(Assumptions!$B$52,0,$C$1),(Q$229-P$229)*(1+OFFSET(Assumptions!$B$53,0,$C$1))))</f>
        <v>0</v>
      </c>
      <c r="S229" s="8">
        <f ca="1">IF(OR(OFFSET(Assumptions!$B$72,0,$C$1)="BU",OFFSET(Assumptions!$B$113,0,$C$1)="SND"),0,R$229+IF(S$6=OFFSET(Assumptions!$B$8,0,$C$1),OFFSET(Assumptions!$B$52,0,$C$1),(R$229-Q$229)*(1+OFFSET(Assumptions!$B$53,0,$C$1))))</f>
        <v>0</v>
      </c>
      <c r="T229" s="8">
        <f ca="1">IF(OR(OFFSET(Assumptions!$B$72,0,$C$1)="BU",OFFSET(Assumptions!$B$113,0,$C$1)="SND"),0,S$229+IF(T$6=OFFSET(Assumptions!$B$8,0,$C$1),OFFSET(Assumptions!$B$52,0,$C$1),(S$229-R$229)*(1+OFFSET(Assumptions!$B$53,0,$C$1))))</f>
        <v>0</v>
      </c>
      <c r="U229" s="8">
        <f ca="1">IF(OR(OFFSET(Assumptions!$B$72,0,$C$1)="BU",OFFSET(Assumptions!$B$113,0,$C$1)="SND"),0,T$229+IF(U$6=OFFSET(Assumptions!$B$8,0,$C$1),OFFSET(Assumptions!$B$52,0,$C$1),(T$229-S$229)*(1+OFFSET(Assumptions!$B$53,0,$C$1))))</f>
        <v>0</v>
      </c>
      <c r="V229" s="8">
        <f ca="1">IF(OR(OFFSET(Assumptions!$B$72,0,$C$1)="BU",OFFSET(Assumptions!$B$113,0,$C$1)="SND"),0,U$229+IF(V$6=OFFSET(Assumptions!$B$8,0,$C$1),OFFSET(Assumptions!$B$52,0,$C$1),(U$229-T$229)*(1+OFFSET(Assumptions!$B$53,0,$C$1))))</f>
        <v>0</v>
      </c>
      <c r="W229" s="8">
        <f ca="1">IF(OR(OFFSET(Assumptions!$B$72,0,$C$1)="BU",OFFSET(Assumptions!$B$113,0,$C$1)="SND"),0,V$229+IF(W$6=OFFSET(Assumptions!$B$8,0,$C$1),OFFSET(Assumptions!$B$52,0,$C$1),(V$229-U$229)*(1+OFFSET(Assumptions!$B$53,0,$C$1))))</f>
        <v>0</v>
      </c>
      <c r="X229" s="8">
        <f ca="1">IF(OR(OFFSET(Assumptions!$B$72,0,$C$1)="BU",OFFSET(Assumptions!$B$113,0,$C$1)="SND"),0,W$229+IF(X$6=OFFSET(Assumptions!$B$8,0,$C$1),OFFSET(Assumptions!$B$52,0,$C$1),(W$229-V$229)*(1+OFFSET(Assumptions!$B$53,0,$C$1))))</f>
        <v>0</v>
      </c>
      <c r="Y229" s="8">
        <f ca="1">IF(OR(OFFSET(Assumptions!$B$72,0,$C$1)="BU",OFFSET(Assumptions!$B$113,0,$C$1)="SND"),0,X$229+IF(Y$6=OFFSET(Assumptions!$B$8,0,$C$1),OFFSET(Assumptions!$B$52,0,$C$1),(X$229-W$229)*(1+OFFSET(Assumptions!$B$53,0,$C$1))))</f>
        <v>0</v>
      </c>
      <c r="Z229" s="8">
        <f ca="1">IF(OR(OFFSET(Assumptions!$B$72,0,$C$1)="BU",OFFSET(Assumptions!$B$113,0,$C$1)="SND"),0,Y$229+IF(Z$6=OFFSET(Assumptions!$B$8,0,$C$1),OFFSET(Assumptions!$B$52,0,$C$1),(Y$229-X$229)*(1+OFFSET(Assumptions!$B$53,0,$C$1))))</f>
        <v>0</v>
      </c>
      <c r="AA229" s="8">
        <f ca="1">IF(OR(OFFSET(Assumptions!$B$72,0,$C$1)="BU",OFFSET(Assumptions!$B$113,0,$C$1)="SND"),0,Z$229+IF(AA$6=OFFSET(Assumptions!$B$8,0,$C$1),OFFSET(Assumptions!$B$52,0,$C$1),(Z$229-Y$229)*(1+OFFSET(Assumptions!$B$53,0,$C$1))))</f>
        <v>0</v>
      </c>
      <c r="AB229" s="8">
        <f ca="1">IF(OR(OFFSET(Assumptions!$B$72,0,$C$1)="BU",OFFSET(Assumptions!$B$113,0,$C$1)="SND"),0,AA$229+IF(AB$6=OFFSET(Assumptions!$B$8,0,$C$1),OFFSET(Assumptions!$B$52,0,$C$1),(AA$229-Z$229)*(1+OFFSET(Assumptions!$B$53,0,$C$1))))</f>
        <v>0</v>
      </c>
      <c r="AC229" s="8">
        <f ca="1">IF(OR(OFFSET(Assumptions!$B$72,0,$C$1)="BU",OFFSET(Assumptions!$B$113,0,$C$1)="SND"),0,AB$229+IF(AC$6=OFFSET(Assumptions!$B$8,0,$C$1),OFFSET(Assumptions!$B$52,0,$C$1),(AB$229-AA$229)*(1+OFFSET(Assumptions!$B$53,0,$C$1))))</f>
        <v>0</v>
      </c>
      <c r="AD229" s="8">
        <f ca="1">IF(OR(OFFSET(Assumptions!$B$72,0,$C$1)="BU",OFFSET(Assumptions!$B$113,0,$C$1)="SND"),0,AC$229+IF(AD$6=OFFSET(Assumptions!$B$8,0,$C$1),OFFSET(Assumptions!$B$52,0,$C$1),(AC$229-AB$229)*(1+OFFSET(Assumptions!$B$53,0,$C$1))))</f>
        <v>0</v>
      </c>
      <c r="AE229" s="8">
        <f ca="1">IF(OR(OFFSET(Assumptions!$B$72,0,$C$1)="BU",OFFSET(Assumptions!$B$113,0,$C$1)="SND"),0,AD$229+IF(AE$6=OFFSET(Assumptions!$B$8,0,$C$1),OFFSET(Assumptions!$B$52,0,$C$1),(AD$229-AC$229)*(1+OFFSET(Assumptions!$B$53,0,$C$1))))</f>
        <v>0</v>
      </c>
      <c r="AF229" s="8">
        <f ca="1">IF(OR(OFFSET(Assumptions!$B$72,0,$C$1)="BU",OFFSET(Assumptions!$B$113,0,$C$1)="SND"),0,AE$229+IF(AF$6=OFFSET(Assumptions!$B$8,0,$C$1),OFFSET(Assumptions!$B$52,0,$C$1),(AE$229-AD$229)*(1+OFFSET(Assumptions!$B$53,0,$C$1))))</f>
        <v>0</v>
      </c>
      <c r="AG229" s="8">
        <f ca="1">IF(OR(OFFSET(Assumptions!$B$72,0,$C$1)="BU",OFFSET(Assumptions!$B$113,0,$C$1)="SND"),0,AF$229+IF(AG$6=OFFSET(Assumptions!$B$8,0,$C$1),OFFSET(Assumptions!$B$52,0,$C$1),(AF$229-AE$229)*(1+OFFSET(Assumptions!$B$53,0,$C$1))))</f>
        <v>0</v>
      </c>
      <c r="AH229" s="8">
        <f ca="1">IF(OR(OFFSET(Assumptions!$B$72,0,$C$1)="BU",OFFSET(Assumptions!$B$113,0,$C$1)="SND"),0,AG$229+IF(AH$6=OFFSET(Assumptions!$B$8,0,$C$1),OFFSET(Assumptions!$B$52,0,$C$1),(AG$229-AF$229)*(1+OFFSET(Assumptions!$B$53,0,$C$1))))</f>
        <v>0</v>
      </c>
      <c r="AI229" s="8">
        <f ca="1">IF(OR(OFFSET(Assumptions!$B$72,0,$C$1)="BU",OFFSET(Assumptions!$B$113,0,$C$1)="SND"),0,AH$229+IF(AI$6=OFFSET(Assumptions!$B$8,0,$C$1),OFFSET(Assumptions!$B$52,0,$C$1),(AH$229-AG$229)*(1+OFFSET(Assumptions!$B$53,0,$C$1))))</f>
        <v>0</v>
      </c>
      <c r="AJ229" s="8">
        <f ca="1">IF(OR(OFFSET(Assumptions!$B$72,0,$C$1)="BU",OFFSET(Assumptions!$B$113,0,$C$1)="SND"),0,AI$229+IF(AJ$6=OFFSET(Assumptions!$B$8,0,$C$1),OFFSET(Assumptions!$B$52,0,$C$1),(AI$229-AH$229)*(1+OFFSET(Assumptions!$B$53,0,$C$1))))</f>
        <v>0</v>
      </c>
      <c r="AK229" s="8">
        <f ca="1">IF(OR(OFFSET(Assumptions!$B$72,0,$C$1)="BU",OFFSET(Assumptions!$B$113,0,$C$1)="SND"),0,AJ$229+IF(AK$6=OFFSET(Assumptions!$B$8,0,$C$1),OFFSET(Assumptions!$B$52,0,$C$1),(AJ$229-AI$229)*(1+OFFSET(Assumptions!$B$53,0,$C$1))))</f>
        <v>0</v>
      </c>
      <c r="AL229" s="8">
        <f ca="1">IF(OR(OFFSET(Assumptions!$B$72,0,$C$1)="BU",OFFSET(Assumptions!$B$113,0,$C$1)="SND"),0,AK$229+IF(AL$6=OFFSET(Assumptions!$B$8,0,$C$1),OFFSET(Assumptions!$B$52,0,$C$1),(AK$229-AJ$229)*(1+OFFSET(Assumptions!$B$53,0,$C$1))))</f>
        <v>0</v>
      </c>
      <c r="AM229" s="8">
        <f ca="1">IF(OR(OFFSET(Assumptions!$B$72,0,$C$1)="BU",OFFSET(Assumptions!$B$113,0,$C$1)="SND"),0,AL$229+IF(AM$6=OFFSET(Assumptions!$B$8,0,$C$1),OFFSET(Assumptions!$B$52,0,$C$1),(AL$229-AK$229)*(1+OFFSET(Assumptions!$B$53,0,$C$1))))</f>
        <v>0</v>
      </c>
      <c r="AN229" s="8">
        <f ca="1">IF(OR(OFFSET(Assumptions!$B$72,0,$C$1)="BU",OFFSET(Assumptions!$B$113,0,$C$1)="SND"),0,AM$229+IF(AN$6=OFFSET(Assumptions!$B$8,0,$C$1),OFFSET(Assumptions!$B$52,0,$C$1),(AM$229-AL$229)*(1+OFFSET(Assumptions!$B$53,0,$C$1))))</f>
        <v>0</v>
      </c>
      <c r="AO229" s="8">
        <f ca="1">IF(OR(OFFSET(Assumptions!$B$72,0,$C$1)="BU",OFFSET(Assumptions!$B$113,0,$C$1)="SND"),0,AN$229+IF(AO$6=OFFSET(Assumptions!$B$8,0,$C$1),OFFSET(Assumptions!$B$52,0,$C$1),(AN$229-AM$229)*(1+OFFSET(Assumptions!$B$53,0,$C$1))))</f>
        <v>0</v>
      </c>
      <c r="AP229" s="8">
        <f ca="1">IF(OR(OFFSET(Assumptions!$B$72,0,$C$1)="BU",OFFSET(Assumptions!$B$113,0,$C$1)="SND"),0,AO$229+IF(AP$6=OFFSET(Assumptions!$B$8,0,$C$1),OFFSET(Assumptions!$B$52,0,$C$1),(AO$229-AN$229)*(1+OFFSET(Assumptions!$B$53,0,$C$1))))</f>
        <v>0</v>
      </c>
      <c r="AQ229" s="8">
        <f ca="1">IF(OR(OFFSET(Assumptions!$B$72,0,$C$1)="BU",OFFSET(Assumptions!$B$113,0,$C$1)="SND"),0,AP$229+IF(AQ$6=OFFSET(Assumptions!$B$8,0,$C$1),OFFSET(Assumptions!$B$52,0,$C$1),(AP$229-AO$229)*(1+OFFSET(Assumptions!$B$53,0,$C$1))))</f>
        <v>0</v>
      </c>
      <c r="AR229" s="8">
        <f ca="1">IF(OR(OFFSET(Assumptions!$B$72,0,$C$1)="BU",OFFSET(Assumptions!$B$113,0,$C$1)="SND"),0,AQ$229+IF(AR$6=OFFSET(Assumptions!$B$8,0,$C$1),OFFSET(Assumptions!$B$52,0,$C$1),(AQ$229-AP$229)*(1+OFFSET(Assumptions!$B$53,0,$C$1))))</f>
        <v>0</v>
      </c>
      <c r="AS229" s="8">
        <f ca="1">IF(OR(OFFSET(Assumptions!$B$72,0,$C$1)="BU",OFFSET(Assumptions!$B$113,0,$C$1)="SND"),0,AR$229+IF(AS$6=OFFSET(Assumptions!$B$8,0,$C$1),OFFSET(Assumptions!$B$52,0,$C$1),(AR$229-AQ$229)*(1+OFFSET(Assumptions!$B$53,0,$C$1))))</f>
        <v>0</v>
      </c>
      <c r="AT229" s="8">
        <f ca="1">IF(OR(OFFSET(Assumptions!$B$72,0,$C$1)="BU",OFFSET(Assumptions!$B$113,0,$C$1)="SND"),0,AS$229+IF(AT$6=OFFSET(Assumptions!$B$8,0,$C$1),OFFSET(Assumptions!$B$52,0,$C$1),(AS$229-AR$229)*(1+OFFSET(Assumptions!$B$53,0,$C$1))))</f>
        <v>0</v>
      </c>
      <c r="AU229" s="8">
        <f ca="1">IF(OR(OFFSET(Assumptions!$B$72,0,$C$1)="BU",OFFSET(Assumptions!$B$113,0,$C$1)="SND"),0,AT$229+IF(AU$6=OFFSET(Assumptions!$B$8,0,$C$1),OFFSET(Assumptions!$B$52,0,$C$1),(AT$229-AS$229)*(1+OFFSET(Assumptions!$B$53,0,$C$1))))</f>
        <v>0</v>
      </c>
      <c r="AV229" s="8">
        <f ca="1">IF(OR(OFFSET(Assumptions!$B$72,0,$C$1)="BU",OFFSET(Assumptions!$B$113,0,$C$1)="SND"),0,AU$229+IF(AV$6=OFFSET(Assumptions!$B$8,0,$C$1),OFFSET(Assumptions!$B$52,0,$C$1),(AU$229-AT$229)*(1+OFFSET(Assumptions!$B$53,0,$C$1))))</f>
        <v>0</v>
      </c>
      <c r="AW229" s="8">
        <f ca="1">IF(OR(OFFSET(Assumptions!$B$72,0,$C$1)="BU",OFFSET(Assumptions!$B$113,0,$C$1)="SND"),0,AV$229+IF(AW$6=OFFSET(Assumptions!$B$8,0,$C$1),OFFSET(Assumptions!$B$52,0,$C$1),(AV$229-AU$229)*(1+OFFSET(Assumptions!$B$53,0,$C$1))))</f>
        <v>0</v>
      </c>
    </row>
    <row r="230" spans="1:49" x14ac:dyDescent="0.2">
      <c r="A230" s="1" t="s">
        <v>542</v>
      </c>
      <c r="D230" s="18">
        <f ca="1">D$229-C$229</f>
        <v>0</v>
      </c>
      <c r="E230" s="19">
        <f t="shared" ref="E230:AW230" ca="1" si="175">E$229-D$229</f>
        <v>0</v>
      </c>
      <c r="F230" s="19">
        <f t="shared" ca="1" si="175"/>
        <v>0</v>
      </c>
      <c r="G230" s="19">
        <f t="shared" ca="1" si="175"/>
        <v>0</v>
      </c>
      <c r="H230" s="19">
        <f t="shared" ca="1" si="175"/>
        <v>0</v>
      </c>
      <c r="I230" s="19">
        <f t="shared" ca="1" si="175"/>
        <v>0</v>
      </c>
      <c r="J230" s="7">
        <f t="shared" ca="1" si="175"/>
        <v>0</v>
      </c>
      <c r="K230" s="7">
        <f t="shared" ca="1" si="175"/>
        <v>0</v>
      </c>
      <c r="L230" s="7">
        <f t="shared" ca="1" si="175"/>
        <v>0</v>
      </c>
      <c r="M230" s="7">
        <f t="shared" ca="1" si="175"/>
        <v>0</v>
      </c>
      <c r="N230" s="7">
        <f t="shared" ca="1" si="175"/>
        <v>0</v>
      </c>
      <c r="O230" s="7">
        <f t="shared" ca="1" si="175"/>
        <v>0</v>
      </c>
      <c r="P230" s="7">
        <f t="shared" ca="1" si="175"/>
        <v>0</v>
      </c>
      <c r="Q230" s="7">
        <f t="shared" ca="1" si="175"/>
        <v>0</v>
      </c>
      <c r="R230" s="7">
        <f t="shared" ca="1" si="175"/>
        <v>0</v>
      </c>
      <c r="S230" s="7">
        <f t="shared" ca="1" si="175"/>
        <v>0</v>
      </c>
      <c r="T230" s="7">
        <f t="shared" ca="1" si="175"/>
        <v>0</v>
      </c>
      <c r="U230" s="7">
        <f t="shared" ca="1" si="175"/>
        <v>0</v>
      </c>
      <c r="V230" s="7">
        <f t="shared" ca="1" si="175"/>
        <v>0</v>
      </c>
      <c r="W230" s="7">
        <f t="shared" ca="1" si="175"/>
        <v>0</v>
      </c>
      <c r="X230" s="7">
        <f t="shared" ca="1" si="175"/>
        <v>0</v>
      </c>
      <c r="Y230" s="7">
        <f t="shared" ca="1" si="175"/>
        <v>0</v>
      </c>
      <c r="Z230" s="7">
        <f t="shared" ca="1" si="175"/>
        <v>0</v>
      </c>
      <c r="AA230" s="7">
        <f t="shared" ca="1" si="175"/>
        <v>0</v>
      </c>
      <c r="AB230" s="7">
        <f t="shared" ca="1" si="175"/>
        <v>0</v>
      </c>
      <c r="AC230" s="7">
        <f t="shared" ca="1" si="175"/>
        <v>0</v>
      </c>
      <c r="AD230" s="7">
        <f t="shared" ca="1" si="175"/>
        <v>0</v>
      </c>
      <c r="AE230" s="7">
        <f t="shared" ca="1" si="175"/>
        <v>0</v>
      </c>
      <c r="AF230" s="7">
        <f t="shared" ca="1" si="175"/>
        <v>0</v>
      </c>
      <c r="AG230" s="7">
        <f t="shared" ca="1" si="175"/>
        <v>0</v>
      </c>
      <c r="AH230" s="7">
        <f t="shared" ca="1" si="175"/>
        <v>0</v>
      </c>
      <c r="AI230" s="7">
        <f t="shared" ca="1" si="175"/>
        <v>0</v>
      </c>
      <c r="AJ230" s="7">
        <f t="shared" ca="1" si="175"/>
        <v>0</v>
      </c>
      <c r="AK230" s="7">
        <f t="shared" ca="1" si="175"/>
        <v>0</v>
      </c>
      <c r="AL230" s="7">
        <f t="shared" ca="1" si="175"/>
        <v>0</v>
      </c>
      <c r="AM230" s="7">
        <f t="shared" ca="1" si="175"/>
        <v>0</v>
      </c>
      <c r="AN230" s="7">
        <f t="shared" ca="1" si="175"/>
        <v>0</v>
      </c>
      <c r="AO230" s="7">
        <f t="shared" ca="1" si="175"/>
        <v>0</v>
      </c>
      <c r="AP230" s="7">
        <f t="shared" ca="1" si="175"/>
        <v>0</v>
      </c>
      <c r="AQ230" s="7">
        <f t="shared" ca="1" si="175"/>
        <v>0</v>
      </c>
      <c r="AR230" s="7">
        <f t="shared" ca="1" si="175"/>
        <v>0</v>
      </c>
      <c r="AS230" s="7">
        <f t="shared" ca="1" si="175"/>
        <v>0</v>
      </c>
      <c r="AT230" s="7">
        <f t="shared" ca="1" si="175"/>
        <v>0</v>
      </c>
      <c r="AU230" s="7">
        <f t="shared" ca="1" si="175"/>
        <v>0</v>
      </c>
      <c r="AV230" s="7">
        <f t="shared" ca="1" si="175"/>
        <v>0</v>
      </c>
      <c r="AW230" s="7">
        <f t="shared" ca="1" si="175"/>
        <v>0</v>
      </c>
    </row>
    <row r="231" spans="1:49" x14ac:dyDescent="0.2">
      <c r="A231" s="1" t="s">
        <v>165</v>
      </c>
      <c r="B231" s="4" t="str">
        <f t="shared" si="172"/>
        <v>From Fiscal</v>
      </c>
      <c r="D231" s="18">
        <f>Fiscal!D$22</f>
        <v>0</v>
      </c>
      <c r="E231" s="19">
        <f ca="1">IF(OR(OFFSET(Assumptions!$B$72,0,$C$1)="BU",OFFSET(Assumptions!$B$113,0,$C$1)="SND"),0,Fiscal!E$22)</f>
        <v>0</v>
      </c>
      <c r="F231" s="19">
        <f ca="1">IF(OR(OFFSET(Assumptions!$B$72,0,$C$1)="BU",OFFSET(Assumptions!$B$113,0,$C$1)="SND"),0,Fiscal!F$22)</f>
        <v>0</v>
      </c>
      <c r="G231" s="19">
        <f ca="1">IF(OR(OFFSET(Assumptions!$B$72,0,$C$1)="BU",OFFSET(Assumptions!$B$113,0,$C$1)="SND"),0,Fiscal!G$22)</f>
        <v>0</v>
      </c>
      <c r="H231" s="19">
        <f ca="1">IF(OR(OFFSET(Assumptions!$B$72,0,$C$1)="BU",OFFSET(Assumptions!$B$113,0,$C$1)="SND"),0,Fiscal!H$22)</f>
        <v>0</v>
      </c>
      <c r="I231" s="19">
        <f ca="1">IF(OR(OFFSET(Assumptions!$B$72,0,$C$1)="BU",OFFSET(Assumptions!$B$113,0,$C$1)="SND"),0,Fiscal!I$22)</f>
        <v>0</v>
      </c>
      <c r="J231" s="7">
        <f ca="1">I$231*(1+OFFSET(Assumptions!$B$53,0,$C$1))</f>
        <v>0</v>
      </c>
      <c r="K231" s="7">
        <f ca="1">J$231*(1+OFFSET(Assumptions!$B$53,0,$C$1))</f>
        <v>0</v>
      </c>
      <c r="L231" s="7">
        <f ca="1">K$231*(1+OFFSET(Assumptions!$B$53,0,$C$1))</f>
        <v>0</v>
      </c>
      <c r="M231" s="7">
        <f ca="1">L$231*(1+OFFSET(Assumptions!$B$53,0,$C$1))</f>
        <v>0</v>
      </c>
      <c r="N231" s="7">
        <f ca="1">M$231*(1+OFFSET(Assumptions!$B$53,0,$C$1))</f>
        <v>0</v>
      </c>
      <c r="O231" s="7">
        <f ca="1">N$231*(1+OFFSET(Assumptions!$B$53,0,$C$1))</f>
        <v>0</v>
      </c>
      <c r="P231" s="7">
        <f ca="1">O$231*(1+OFFSET(Assumptions!$B$53,0,$C$1))</f>
        <v>0</v>
      </c>
      <c r="Q231" s="7">
        <f ca="1">P$231*(1+OFFSET(Assumptions!$B$53,0,$C$1))</f>
        <v>0</v>
      </c>
      <c r="R231" s="7">
        <f ca="1">Q$231*(1+OFFSET(Assumptions!$B$53,0,$C$1))</f>
        <v>0</v>
      </c>
      <c r="S231" s="7">
        <f ca="1">R$231*(1+OFFSET(Assumptions!$B$53,0,$C$1))</f>
        <v>0</v>
      </c>
      <c r="T231" s="7">
        <f ca="1">S$231*(1+OFFSET(Assumptions!$B$53,0,$C$1))</f>
        <v>0</v>
      </c>
      <c r="U231" s="7">
        <f ca="1">T$231*(1+OFFSET(Assumptions!$B$53,0,$C$1))</f>
        <v>0</v>
      </c>
      <c r="V231" s="7">
        <f ca="1">U$231*(1+OFFSET(Assumptions!$B$53,0,$C$1))</f>
        <v>0</v>
      </c>
      <c r="W231" s="7">
        <f ca="1">V$231*(1+OFFSET(Assumptions!$B$53,0,$C$1))</f>
        <v>0</v>
      </c>
      <c r="X231" s="7">
        <f ca="1">W$231*(1+OFFSET(Assumptions!$B$53,0,$C$1))</f>
        <v>0</v>
      </c>
      <c r="Y231" s="7">
        <f ca="1">X$231*(1+OFFSET(Assumptions!$B$53,0,$C$1))</f>
        <v>0</v>
      </c>
      <c r="Z231" s="7">
        <f ca="1">Y$231*(1+OFFSET(Assumptions!$B$53,0,$C$1))</f>
        <v>0</v>
      </c>
      <c r="AA231" s="7">
        <f ca="1">Z$231*(1+OFFSET(Assumptions!$B$53,0,$C$1))</f>
        <v>0</v>
      </c>
      <c r="AB231" s="7">
        <f ca="1">AA$231*(1+OFFSET(Assumptions!$B$53,0,$C$1))</f>
        <v>0</v>
      </c>
      <c r="AC231" s="7">
        <f ca="1">AB$231*(1+OFFSET(Assumptions!$B$53,0,$C$1))</f>
        <v>0</v>
      </c>
      <c r="AD231" s="7">
        <f ca="1">AC$231*(1+OFFSET(Assumptions!$B$53,0,$C$1))</f>
        <v>0</v>
      </c>
      <c r="AE231" s="7">
        <f ca="1">AD$231*(1+OFFSET(Assumptions!$B$53,0,$C$1))</f>
        <v>0</v>
      </c>
      <c r="AF231" s="7">
        <f ca="1">AE$231*(1+OFFSET(Assumptions!$B$53,0,$C$1))</f>
        <v>0</v>
      </c>
      <c r="AG231" s="7">
        <f ca="1">AF$231*(1+OFFSET(Assumptions!$B$53,0,$C$1))</f>
        <v>0</v>
      </c>
      <c r="AH231" s="7">
        <f ca="1">AG$231*(1+OFFSET(Assumptions!$B$53,0,$C$1))</f>
        <v>0</v>
      </c>
      <c r="AI231" s="7">
        <f ca="1">AH$231*(1+OFFSET(Assumptions!$B$53,0,$C$1))</f>
        <v>0</v>
      </c>
      <c r="AJ231" s="7">
        <f ca="1">AI$231*(1+OFFSET(Assumptions!$B$53,0,$C$1))</f>
        <v>0</v>
      </c>
      <c r="AK231" s="7">
        <f ca="1">AJ$231*(1+OFFSET(Assumptions!$B$53,0,$C$1))</f>
        <v>0</v>
      </c>
      <c r="AL231" s="7">
        <f ca="1">AK$231*(1+OFFSET(Assumptions!$B$53,0,$C$1))</f>
        <v>0</v>
      </c>
      <c r="AM231" s="7">
        <f ca="1">AL$231*(1+OFFSET(Assumptions!$B$53,0,$C$1))</f>
        <v>0</v>
      </c>
      <c r="AN231" s="7">
        <f ca="1">AM$231*(1+OFFSET(Assumptions!$B$53,0,$C$1))</f>
        <v>0</v>
      </c>
      <c r="AO231" s="7">
        <f ca="1">AN$231*(1+OFFSET(Assumptions!$B$53,0,$C$1))</f>
        <v>0</v>
      </c>
      <c r="AP231" s="7">
        <f ca="1">AO$231*(1+OFFSET(Assumptions!$B$53,0,$C$1))</f>
        <v>0</v>
      </c>
      <c r="AQ231" s="7">
        <f ca="1">AP$231*(1+OFFSET(Assumptions!$B$53,0,$C$1))</f>
        <v>0</v>
      </c>
      <c r="AR231" s="7">
        <f ca="1">AQ$231*(1+OFFSET(Assumptions!$B$53,0,$C$1))</f>
        <v>0</v>
      </c>
      <c r="AS231" s="7">
        <f ca="1">AR$231*(1+OFFSET(Assumptions!$B$53,0,$C$1))</f>
        <v>0</v>
      </c>
      <c r="AT231" s="7">
        <f ca="1">AS$231*(1+OFFSET(Assumptions!$B$53,0,$C$1))</f>
        <v>0</v>
      </c>
      <c r="AU231" s="7">
        <f ca="1">AT$231*(1+OFFSET(Assumptions!$B$53,0,$C$1))</f>
        <v>0</v>
      </c>
      <c r="AV231" s="7">
        <f ca="1">AU$231*(1+OFFSET(Assumptions!$B$53,0,$C$1))</f>
        <v>0</v>
      </c>
      <c r="AW231" s="7">
        <f ca="1">AV$231*(1+OFFSET(Assumptions!$B$53,0,$C$1))</f>
        <v>0</v>
      </c>
    </row>
    <row r="232" spans="1:49" ht="15" x14ac:dyDescent="0.25">
      <c r="A232" s="1" t="s">
        <v>931</v>
      </c>
      <c r="B232" s="4" t="str">
        <f t="shared" si="172"/>
        <v>From Fiscal</v>
      </c>
      <c r="D232" s="78">
        <f>(Fiscal!D$21-Fiscal!C$21)/D$14</f>
        <v>0</v>
      </c>
      <c r="E232" s="77">
        <f>(Fiscal!E$21-Fiscal!D$21)/E$14</f>
        <v>7.9959700311043227E-6</v>
      </c>
      <c r="F232" s="77">
        <f>(Fiscal!F$21-Fiscal!E$21)/F$14</f>
        <v>2.0524057899447548E-3</v>
      </c>
      <c r="G232" s="77">
        <f>(Fiscal!G$21-Fiscal!F$21)/G$14</f>
        <v>4.7986609068116862E-3</v>
      </c>
      <c r="H232" s="77">
        <f>(Fiscal!H$21-Fiscal!G$21)/H$14</f>
        <v>5.3400777181343475E-3</v>
      </c>
      <c r="I232" s="77">
        <f>(Fiscal!I$21-Fiscal!H$21)/I$14</f>
        <v>4.9934824024867146E-3</v>
      </c>
      <c r="J232" s="80">
        <f ca="1">IF(I$82/I$14-OFFSET(Assumptions!$B$114,0,$C$1)&gt;OFFSET(Assumptions!$B$118,0,$C$1),OFFSET(Assumptions!$B$115,0,$C$1),IF(I$82/I$14-OFFSET(Assumptions!$B$114,0,$C$1)&lt;-OFFSET(Assumptions!$B$118,0,$C$1),OFFSET(Assumptions!$B$117,0,$C$1),OFFSET(Assumptions!$B$116,0,$C$1)))</f>
        <v>5.0000000000000001E-3</v>
      </c>
      <c r="K232" s="80">
        <f ca="1">IF(J$82/J$14-OFFSET(Assumptions!$B$114,0,$C$1)&gt;OFFSET(Assumptions!$B$118,0,$C$1),OFFSET(Assumptions!$B$115,0,$C$1),IF(J$82/J$14-OFFSET(Assumptions!$B$114,0,$C$1)&lt;-OFFSET(Assumptions!$B$118,0,$C$1),OFFSET(Assumptions!$B$117,0,$C$1),OFFSET(Assumptions!$B$116,0,$C$1)))</f>
        <v>5.0000000000000001E-3</v>
      </c>
      <c r="L232" s="80">
        <f ca="1">IF(K$82/K$14-OFFSET(Assumptions!$B$114,0,$C$1)&gt;OFFSET(Assumptions!$B$118,0,$C$1),OFFSET(Assumptions!$B$115,0,$C$1),IF(K$82/K$14-OFFSET(Assumptions!$B$114,0,$C$1)&lt;-OFFSET(Assumptions!$B$118,0,$C$1),OFFSET(Assumptions!$B$117,0,$C$1),OFFSET(Assumptions!$B$116,0,$C$1)))</f>
        <v>5.0000000000000001E-3</v>
      </c>
      <c r="M232" s="80">
        <f ca="1">IF(L$82/L$14-OFFSET(Assumptions!$B$114,0,$C$1)&gt;OFFSET(Assumptions!$B$118,0,$C$1),OFFSET(Assumptions!$B$115,0,$C$1),IF(L$82/L$14-OFFSET(Assumptions!$B$114,0,$C$1)&lt;-OFFSET(Assumptions!$B$118,0,$C$1),OFFSET(Assumptions!$B$117,0,$C$1),OFFSET(Assumptions!$B$116,0,$C$1)))</f>
        <v>5.0000000000000001E-3</v>
      </c>
      <c r="N232" s="80">
        <f ca="1">IF(M$82/M$14-OFFSET(Assumptions!$B$114,0,$C$1)&gt;OFFSET(Assumptions!$B$118,0,$C$1),OFFSET(Assumptions!$B$115,0,$C$1),IF(M$82/M$14-OFFSET(Assumptions!$B$114,0,$C$1)&lt;-OFFSET(Assumptions!$B$118,0,$C$1),OFFSET(Assumptions!$B$117,0,$C$1),OFFSET(Assumptions!$B$116,0,$C$1)))</f>
        <v>5.0000000000000001E-3</v>
      </c>
      <c r="O232" s="80">
        <f ca="1">IF(N$82/N$14-OFFSET(Assumptions!$B$114,0,$C$1)&gt;OFFSET(Assumptions!$B$118,0,$C$1),OFFSET(Assumptions!$B$115,0,$C$1),IF(N$82/N$14-OFFSET(Assumptions!$B$114,0,$C$1)&lt;-OFFSET(Assumptions!$B$118,0,$C$1),OFFSET(Assumptions!$B$117,0,$C$1),OFFSET(Assumptions!$B$116,0,$C$1)))</f>
        <v>5.0000000000000001E-3</v>
      </c>
      <c r="P232" s="80">
        <f ca="1">IF(O$82/O$14-OFFSET(Assumptions!$B$114,0,$C$1)&gt;OFFSET(Assumptions!$B$118,0,$C$1),OFFSET(Assumptions!$B$115,0,$C$1),IF(O$82/O$14-OFFSET(Assumptions!$B$114,0,$C$1)&lt;-OFFSET(Assumptions!$B$118,0,$C$1),OFFSET(Assumptions!$B$117,0,$C$1),OFFSET(Assumptions!$B$116,0,$C$1)))</f>
        <v>7.4999999999999997E-3</v>
      </c>
      <c r="Q232" s="80">
        <f ca="1">IF(P$82/P$14-OFFSET(Assumptions!$B$114,0,$C$1)&gt;OFFSET(Assumptions!$B$118,0,$C$1),OFFSET(Assumptions!$B$115,0,$C$1),IF(P$82/P$14-OFFSET(Assumptions!$B$114,0,$C$1)&lt;-OFFSET(Assumptions!$B$118,0,$C$1),OFFSET(Assumptions!$B$117,0,$C$1),OFFSET(Assumptions!$B$116,0,$C$1)))</f>
        <v>7.4999999999999997E-3</v>
      </c>
      <c r="R232" s="80">
        <f ca="1">IF(Q$82/Q$14-OFFSET(Assumptions!$B$114,0,$C$1)&gt;OFFSET(Assumptions!$B$118,0,$C$1),OFFSET(Assumptions!$B$115,0,$C$1),IF(Q$82/Q$14-OFFSET(Assumptions!$B$114,0,$C$1)&lt;-OFFSET(Assumptions!$B$118,0,$C$1),OFFSET(Assumptions!$B$117,0,$C$1),OFFSET(Assumptions!$B$116,0,$C$1)))</f>
        <v>7.4999999999999997E-3</v>
      </c>
      <c r="S232" s="80">
        <f ca="1">IF(R$82/R$14-OFFSET(Assumptions!$B$114,0,$C$1)&gt;OFFSET(Assumptions!$B$118,0,$C$1),OFFSET(Assumptions!$B$115,0,$C$1),IF(R$82/R$14-OFFSET(Assumptions!$B$114,0,$C$1)&lt;-OFFSET(Assumptions!$B$118,0,$C$1),OFFSET(Assumptions!$B$117,0,$C$1),OFFSET(Assumptions!$B$116,0,$C$1)))</f>
        <v>7.4999999999999997E-3</v>
      </c>
      <c r="T232" s="80">
        <f ca="1">IF(S$82/S$14-OFFSET(Assumptions!$B$114,0,$C$1)&gt;OFFSET(Assumptions!$B$118,0,$C$1),OFFSET(Assumptions!$B$115,0,$C$1),IF(S$82/S$14-OFFSET(Assumptions!$B$114,0,$C$1)&lt;-OFFSET(Assumptions!$B$118,0,$C$1),OFFSET(Assumptions!$B$117,0,$C$1),OFFSET(Assumptions!$B$116,0,$C$1)))</f>
        <v>7.4999999999999997E-3</v>
      </c>
      <c r="U232" s="80">
        <f ca="1">IF(T$82/T$14-OFFSET(Assumptions!$B$114,0,$C$1)&gt;OFFSET(Assumptions!$B$118,0,$C$1),OFFSET(Assumptions!$B$115,0,$C$1),IF(T$82/T$14-OFFSET(Assumptions!$B$114,0,$C$1)&lt;-OFFSET(Assumptions!$B$118,0,$C$1),OFFSET(Assumptions!$B$117,0,$C$1),OFFSET(Assumptions!$B$116,0,$C$1)))</f>
        <v>7.4999999999999997E-3</v>
      </c>
      <c r="V232" s="80">
        <f ca="1">IF(U$82/U$14-OFFSET(Assumptions!$B$114,0,$C$1)&gt;OFFSET(Assumptions!$B$118,0,$C$1),OFFSET(Assumptions!$B$115,0,$C$1),IF(U$82/U$14-OFFSET(Assumptions!$B$114,0,$C$1)&lt;-OFFSET(Assumptions!$B$118,0,$C$1),OFFSET(Assumptions!$B$117,0,$C$1),OFFSET(Assumptions!$B$116,0,$C$1)))</f>
        <v>7.4999999999999997E-3</v>
      </c>
      <c r="W232" s="80">
        <f ca="1">IF(V$82/V$14-OFFSET(Assumptions!$B$114,0,$C$1)&gt;OFFSET(Assumptions!$B$118,0,$C$1),OFFSET(Assumptions!$B$115,0,$C$1),IF(V$82/V$14-OFFSET(Assumptions!$B$114,0,$C$1)&lt;-OFFSET(Assumptions!$B$118,0,$C$1),OFFSET(Assumptions!$B$117,0,$C$1),OFFSET(Assumptions!$B$116,0,$C$1)))</f>
        <v>7.4999999999999997E-3</v>
      </c>
      <c r="X232" s="80">
        <f ca="1">IF(W$82/W$14-OFFSET(Assumptions!$B$114,0,$C$1)&gt;OFFSET(Assumptions!$B$118,0,$C$1),OFFSET(Assumptions!$B$115,0,$C$1),IF(W$82/W$14-OFFSET(Assumptions!$B$114,0,$C$1)&lt;-OFFSET(Assumptions!$B$118,0,$C$1),OFFSET(Assumptions!$B$117,0,$C$1),OFFSET(Assumptions!$B$116,0,$C$1)))</f>
        <v>7.4999999999999997E-3</v>
      </c>
      <c r="Y232" s="80">
        <f ca="1">IF(X$82/X$14-OFFSET(Assumptions!$B$114,0,$C$1)&gt;OFFSET(Assumptions!$B$118,0,$C$1),OFFSET(Assumptions!$B$115,0,$C$1),IF(X$82/X$14-OFFSET(Assumptions!$B$114,0,$C$1)&lt;-OFFSET(Assumptions!$B$118,0,$C$1),OFFSET(Assumptions!$B$117,0,$C$1),OFFSET(Assumptions!$B$116,0,$C$1)))</f>
        <v>7.4999999999999997E-3</v>
      </c>
      <c r="Z232" s="80">
        <f ca="1">IF(Y$82/Y$14-OFFSET(Assumptions!$B$114,0,$C$1)&gt;OFFSET(Assumptions!$B$118,0,$C$1),OFFSET(Assumptions!$B$115,0,$C$1),IF(Y$82/Y$14-OFFSET(Assumptions!$B$114,0,$C$1)&lt;-OFFSET(Assumptions!$B$118,0,$C$1),OFFSET(Assumptions!$B$117,0,$C$1),OFFSET(Assumptions!$B$116,0,$C$1)))</f>
        <v>7.4999999999999997E-3</v>
      </c>
      <c r="AA232" s="80">
        <f ca="1">IF(Z$82/Z$14-OFFSET(Assumptions!$B$114,0,$C$1)&gt;OFFSET(Assumptions!$B$118,0,$C$1),OFFSET(Assumptions!$B$115,0,$C$1),IF(Z$82/Z$14-OFFSET(Assumptions!$B$114,0,$C$1)&lt;-OFFSET(Assumptions!$B$118,0,$C$1),OFFSET(Assumptions!$B$117,0,$C$1),OFFSET(Assumptions!$B$116,0,$C$1)))</f>
        <v>5.0000000000000001E-3</v>
      </c>
      <c r="AB232" s="80">
        <f ca="1">IF(AA$82/AA$14-OFFSET(Assumptions!$B$114,0,$C$1)&gt;OFFSET(Assumptions!$B$118,0,$C$1),OFFSET(Assumptions!$B$115,0,$C$1),IF(AA$82/AA$14-OFFSET(Assumptions!$B$114,0,$C$1)&lt;-OFFSET(Assumptions!$B$118,0,$C$1),OFFSET(Assumptions!$B$117,0,$C$1),OFFSET(Assumptions!$B$116,0,$C$1)))</f>
        <v>5.0000000000000001E-3</v>
      </c>
      <c r="AC232" s="80">
        <f ca="1">IF(AB$82/AB$14-OFFSET(Assumptions!$B$114,0,$C$1)&gt;OFFSET(Assumptions!$B$118,0,$C$1),OFFSET(Assumptions!$B$115,0,$C$1),IF(AB$82/AB$14-OFFSET(Assumptions!$B$114,0,$C$1)&lt;-OFFSET(Assumptions!$B$118,0,$C$1),OFFSET(Assumptions!$B$117,0,$C$1),OFFSET(Assumptions!$B$116,0,$C$1)))</f>
        <v>5.0000000000000001E-3</v>
      </c>
      <c r="AD232" s="80">
        <f ca="1">IF(AC$82/AC$14-OFFSET(Assumptions!$B$114,0,$C$1)&gt;OFFSET(Assumptions!$B$118,0,$C$1),OFFSET(Assumptions!$B$115,0,$C$1),IF(AC$82/AC$14-OFFSET(Assumptions!$B$114,0,$C$1)&lt;-OFFSET(Assumptions!$B$118,0,$C$1),OFFSET(Assumptions!$B$117,0,$C$1),OFFSET(Assumptions!$B$116,0,$C$1)))</f>
        <v>5.0000000000000001E-3</v>
      </c>
      <c r="AE232" s="80">
        <f ca="1">IF(AD$82/AD$14-OFFSET(Assumptions!$B$114,0,$C$1)&gt;OFFSET(Assumptions!$B$118,0,$C$1),OFFSET(Assumptions!$B$115,0,$C$1),IF(AD$82/AD$14-OFFSET(Assumptions!$B$114,0,$C$1)&lt;-OFFSET(Assumptions!$B$118,0,$C$1),OFFSET(Assumptions!$B$117,0,$C$1),OFFSET(Assumptions!$B$116,0,$C$1)))</f>
        <v>5.0000000000000001E-3</v>
      </c>
      <c r="AF232" s="80">
        <f ca="1">IF(AE$82/AE$14-OFFSET(Assumptions!$B$114,0,$C$1)&gt;OFFSET(Assumptions!$B$118,0,$C$1),OFFSET(Assumptions!$B$115,0,$C$1),IF(AE$82/AE$14-OFFSET(Assumptions!$B$114,0,$C$1)&lt;-OFFSET(Assumptions!$B$118,0,$C$1),OFFSET(Assumptions!$B$117,0,$C$1),OFFSET(Assumptions!$B$116,0,$C$1)))</f>
        <v>5.0000000000000001E-3</v>
      </c>
      <c r="AG232" s="80">
        <f ca="1">IF(AF$82/AF$14-OFFSET(Assumptions!$B$114,0,$C$1)&gt;OFFSET(Assumptions!$B$118,0,$C$1),OFFSET(Assumptions!$B$115,0,$C$1),IF(AF$82/AF$14-OFFSET(Assumptions!$B$114,0,$C$1)&lt;-OFFSET(Assumptions!$B$118,0,$C$1),OFFSET(Assumptions!$B$117,0,$C$1),OFFSET(Assumptions!$B$116,0,$C$1)))</f>
        <v>5.0000000000000001E-3</v>
      </c>
      <c r="AH232" s="80">
        <f ca="1">IF(AG$82/AG$14-OFFSET(Assumptions!$B$114,0,$C$1)&gt;OFFSET(Assumptions!$B$118,0,$C$1),OFFSET(Assumptions!$B$115,0,$C$1),IF(AG$82/AG$14-OFFSET(Assumptions!$B$114,0,$C$1)&lt;-OFFSET(Assumptions!$B$118,0,$C$1),OFFSET(Assumptions!$B$117,0,$C$1),OFFSET(Assumptions!$B$116,0,$C$1)))</f>
        <v>5.0000000000000001E-3</v>
      </c>
      <c r="AI232" s="80">
        <f ca="1">IF(AH$82/AH$14-OFFSET(Assumptions!$B$114,0,$C$1)&gt;OFFSET(Assumptions!$B$118,0,$C$1),OFFSET(Assumptions!$B$115,0,$C$1),IF(AH$82/AH$14-OFFSET(Assumptions!$B$114,0,$C$1)&lt;-OFFSET(Assumptions!$B$118,0,$C$1),OFFSET(Assumptions!$B$117,0,$C$1),OFFSET(Assumptions!$B$116,0,$C$1)))</f>
        <v>5.0000000000000001E-3</v>
      </c>
      <c r="AJ232" s="80">
        <f ca="1">IF(AI$82/AI$14-OFFSET(Assumptions!$B$114,0,$C$1)&gt;OFFSET(Assumptions!$B$118,0,$C$1),OFFSET(Assumptions!$B$115,0,$C$1),IF(AI$82/AI$14-OFFSET(Assumptions!$B$114,0,$C$1)&lt;-OFFSET(Assumptions!$B$118,0,$C$1),OFFSET(Assumptions!$B$117,0,$C$1),OFFSET(Assumptions!$B$116,0,$C$1)))</f>
        <v>5.0000000000000001E-3</v>
      </c>
      <c r="AK232" s="80">
        <f ca="1">IF(AJ$82/AJ$14-OFFSET(Assumptions!$B$114,0,$C$1)&gt;OFFSET(Assumptions!$B$118,0,$C$1),OFFSET(Assumptions!$B$115,0,$C$1),IF(AJ$82/AJ$14-OFFSET(Assumptions!$B$114,0,$C$1)&lt;-OFFSET(Assumptions!$B$118,0,$C$1),OFFSET(Assumptions!$B$117,0,$C$1),OFFSET(Assumptions!$B$116,0,$C$1)))</f>
        <v>5.0000000000000001E-3</v>
      </c>
      <c r="AL232" s="80">
        <f ca="1">IF(AK$82/AK$14-OFFSET(Assumptions!$B$114,0,$C$1)&gt;OFFSET(Assumptions!$B$118,0,$C$1),OFFSET(Assumptions!$B$115,0,$C$1),IF(AK$82/AK$14-OFFSET(Assumptions!$B$114,0,$C$1)&lt;-OFFSET(Assumptions!$B$118,0,$C$1),OFFSET(Assumptions!$B$117,0,$C$1),OFFSET(Assumptions!$B$116,0,$C$1)))</f>
        <v>5.0000000000000001E-3</v>
      </c>
      <c r="AM232" s="80">
        <f ca="1">IF(AL$82/AL$14-OFFSET(Assumptions!$B$114,0,$C$1)&gt;OFFSET(Assumptions!$B$118,0,$C$1),OFFSET(Assumptions!$B$115,0,$C$1),IF(AL$82/AL$14-OFFSET(Assumptions!$B$114,0,$C$1)&lt;-OFFSET(Assumptions!$B$118,0,$C$1),OFFSET(Assumptions!$B$117,0,$C$1),OFFSET(Assumptions!$B$116,0,$C$1)))</f>
        <v>5.0000000000000001E-3</v>
      </c>
      <c r="AN232" s="80">
        <f ca="1">IF(AM$82/AM$14-OFFSET(Assumptions!$B$114,0,$C$1)&gt;OFFSET(Assumptions!$B$118,0,$C$1),OFFSET(Assumptions!$B$115,0,$C$1),IF(AM$82/AM$14-OFFSET(Assumptions!$B$114,0,$C$1)&lt;-OFFSET(Assumptions!$B$118,0,$C$1),OFFSET(Assumptions!$B$117,0,$C$1),OFFSET(Assumptions!$B$116,0,$C$1)))</f>
        <v>5.0000000000000001E-3</v>
      </c>
      <c r="AO232" s="80">
        <f ca="1">IF(AN$82/AN$14-OFFSET(Assumptions!$B$114,0,$C$1)&gt;OFFSET(Assumptions!$B$118,0,$C$1),OFFSET(Assumptions!$B$115,0,$C$1),IF(AN$82/AN$14-OFFSET(Assumptions!$B$114,0,$C$1)&lt;-OFFSET(Assumptions!$B$118,0,$C$1),OFFSET(Assumptions!$B$117,0,$C$1),OFFSET(Assumptions!$B$116,0,$C$1)))</f>
        <v>5.0000000000000001E-3</v>
      </c>
      <c r="AP232" s="80">
        <f ca="1">IF(AO$82/AO$14-OFFSET(Assumptions!$B$114,0,$C$1)&gt;OFFSET(Assumptions!$B$118,0,$C$1),OFFSET(Assumptions!$B$115,0,$C$1),IF(AO$82/AO$14-OFFSET(Assumptions!$B$114,0,$C$1)&lt;-OFFSET(Assumptions!$B$118,0,$C$1),OFFSET(Assumptions!$B$117,0,$C$1),OFFSET(Assumptions!$B$116,0,$C$1)))</f>
        <v>5.0000000000000001E-3</v>
      </c>
      <c r="AQ232" s="80">
        <f ca="1">IF(AP$82/AP$14-OFFSET(Assumptions!$B$114,0,$C$1)&gt;OFFSET(Assumptions!$B$118,0,$C$1),OFFSET(Assumptions!$B$115,0,$C$1),IF(AP$82/AP$14-OFFSET(Assumptions!$B$114,0,$C$1)&lt;-OFFSET(Assumptions!$B$118,0,$C$1),OFFSET(Assumptions!$B$117,0,$C$1),OFFSET(Assumptions!$B$116,0,$C$1)))</f>
        <v>5.0000000000000001E-3</v>
      </c>
      <c r="AR232" s="80">
        <f ca="1">IF(AQ$82/AQ$14-OFFSET(Assumptions!$B$114,0,$C$1)&gt;OFFSET(Assumptions!$B$118,0,$C$1),OFFSET(Assumptions!$B$115,0,$C$1),IF(AQ$82/AQ$14-OFFSET(Assumptions!$B$114,0,$C$1)&lt;-OFFSET(Assumptions!$B$118,0,$C$1),OFFSET(Assumptions!$B$117,0,$C$1),OFFSET(Assumptions!$B$116,0,$C$1)))</f>
        <v>5.0000000000000001E-3</v>
      </c>
      <c r="AS232" s="80">
        <f ca="1">IF(AR$82/AR$14-OFFSET(Assumptions!$B$114,0,$C$1)&gt;OFFSET(Assumptions!$B$118,0,$C$1),OFFSET(Assumptions!$B$115,0,$C$1),IF(AR$82/AR$14-OFFSET(Assumptions!$B$114,0,$C$1)&lt;-OFFSET(Assumptions!$B$118,0,$C$1),OFFSET(Assumptions!$B$117,0,$C$1),OFFSET(Assumptions!$B$116,0,$C$1)))</f>
        <v>5.0000000000000001E-3</v>
      </c>
      <c r="AT232" s="80">
        <f ca="1">IF(AS$82/AS$14-OFFSET(Assumptions!$B$114,0,$C$1)&gt;OFFSET(Assumptions!$B$118,0,$C$1),OFFSET(Assumptions!$B$115,0,$C$1),IF(AS$82/AS$14-OFFSET(Assumptions!$B$114,0,$C$1)&lt;-OFFSET(Assumptions!$B$118,0,$C$1),OFFSET(Assumptions!$B$117,0,$C$1),OFFSET(Assumptions!$B$116,0,$C$1)))</f>
        <v>5.0000000000000001E-3</v>
      </c>
      <c r="AU232" s="80">
        <f ca="1">IF(AT$82/AT$14-OFFSET(Assumptions!$B$114,0,$C$1)&gt;OFFSET(Assumptions!$B$118,0,$C$1),OFFSET(Assumptions!$B$115,0,$C$1),IF(AT$82/AT$14-OFFSET(Assumptions!$B$114,0,$C$1)&lt;-OFFSET(Assumptions!$B$118,0,$C$1),OFFSET(Assumptions!$B$117,0,$C$1),OFFSET(Assumptions!$B$116,0,$C$1)))</f>
        <v>5.0000000000000001E-3</v>
      </c>
      <c r="AV232" s="80">
        <f ca="1">IF(AU$82/AU$14-OFFSET(Assumptions!$B$114,0,$C$1)&gt;OFFSET(Assumptions!$B$118,0,$C$1),OFFSET(Assumptions!$B$115,0,$C$1),IF(AU$82/AU$14-OFFSET(Assumptions!$B$114,0,$C$1)&lt;-OFFSET(Assumptions!$B$118,0,$C$1),OFFSET(Assumptions!$B$117,0,$C$1),OFFSET(Assumptions!$B$116,0,$C$1)))</f>
        <v>5.0000000000000001E-3</v>
      </c>
      <c r="AW232" s="80">
        <f ca="1">IF(AV$82/AV$14-OFFSET(Assumptions!$B$114,0,$C$1)&gt;OFFSET(Assumptions!$B$118,0,$C$1),OFFSET(Assumptions!$B$115,0,$C$1),IF(AV$82/AV$14-OFFSET(Assumptions!$B$114,0,$C$1)&lt;-OFFSET(Assumptions!$B$118,0,$C$1),OFFSET(Assumptions!$B$117,0,$C$1),OFFSET(Assumptions!$B$116,0,$C$1)))</f>
        <v>5.0000000000000001E-3</v>
      </c>
    </row>
    <row r="233" spans="1:49" x14ac:dyDescent="0.2">
      <c r="B233" s="4"/>
      <c r="D233" s="18"/>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row>
    <row r="234" spans="1:49" x14ac:dyDescent="0.2">
      <c r="A234" s="22" t="s">
        <v>621</v>
      </c>
    </row>
    <row r="235" spans="1:49" ht="15" x14ac:dyDescent="0.25">
      <c r="A235" s="2" t="s">
        <v>622</v>
      </c>
      <c r="B235" s="4" t="str">
        <f t="shared" si="172"/>
        <v>From Fiscal</v>
      </c>
      <c r="D235" s="47">
        <f>Fiscal!D$54</f>
        <v>0.35799999999999998</v>
      </c>
      <c r="E235" s="44">
        <f>Fiscal!E$54</f>
        <v>0.27200000000000002</v>
      </c>
      <c r="F235" s="44">
        <f>Fiscal!F$54</f>
        <v>0.21199999999999999</v>
      </c>
      <c r="G235" s="44">
        <f>Fiscal!G$54</f>
        <v>0.22</v>
      </c>
      <c r="H235" s="44">
        <f>Fiscal!H$54</f>
        <v>0.23200000000000001</v>
      </c>
      <c r="I235" s="44">
        <f>Fiscal!I$54</f>
        <v>0.24299999999999999</v>
      </c>
      <c r="J235" s="8">
        <f>I$235*Exogenous!Q$32/Exogenous!P$32</f>
        <v>0.23637272727272726</v>
      </c>
      <c r="K235" s="8">
        <f>J$235*Exogenous!R$32/Exogenous!Q$32</f>
        <v>0.22808863636363633</v>
      </c>
      <c r="L235" s="8">
        <f>K$235*Exogenous!S$32/Exogenous!R$32</f>
        <v>0.22422272727272727</v>
      </c>
      <c r="M235" s="8">
        <f>L$235*Exogenous!T$32/Exogenous!S$32</f>
        <v>0.22587954545454542</v>
      </c>
      <c r="N235" s="8">
        <f>M$235*Exogenous!U$32/Exogenous!T$32</f>
        <v>0.22698409090909089</v>
      </c>
      <c r="O235" s="8">
        <f>N$235*Exogenous!V$32/Exogenous!U$32</f>
        <v>0.22808863636363635</v>
      </c>
      <c r="P235" s="8">
        <f>O$235*Exogenous!W$32/Exogenous!V$32</f>
        <v>0.22864090909090909</v>
      </c>
      <c r="Q235" s="8">
        <f>P$235*Exogenous!X$32/Exogenous!W$32</f>
        <v>0.22587954545454544</v>
      </c>
      <c r="R235" s="8">
        <f>Q$235*Exogenous!Y$32/Exogenous!X$32</f>
        <v>0.21704318181818183</v>
      </c>
      <c r="S235" s="8">
        <f>R$235*Exogenous!Z$32/Exogenous!Y$32</f>
        <v>0.20875909090909089</v>
      </c>
      <c r="T235" s="8">
        <f>S$235*Exogenous!AA$32/Exogenous!Z$32</f>
        <v>0.19937045454545452</v>
      </c>
      <c r="U235" s="8">
        <f>T$235*Exogenous!AB$32/Exogenous!AA$32</f>
        <v>0.18998181818181817</v>
      </c>
      <c r="V235" s="8">
        <f>U$235*Exogenous!AC$32/Exogenous!AB$32</f>
        <v>0.18059318181818182</v>
      </c>
      <c r="W235" s="8">
        <f>V$235*Exogenous!AD$32/Exogenous!AC$32</f>
        <v>0.17120454545454544</v>
      </c>
      <c r="X235" s="8">
        <f>W$235*Exogenous!AE$32/Exogenous!AD$32</f>
        <v>0.16126363636363633</v>
      </c>
      <c r="Y235" s="8">
        <f>X$235*Exogenous!AF$32/Exogenous!AE$32</f>
        <v>0.15242727272727272</v>
      </c>
      <c r="Z235" s="8">
        <f>Y$235*Exogenous!AG$32/Exogenous!AF$32</f>
        <v>0.14359090909090907</v>
      </c>
      <c r="AA235" s="8">
        <f>Z$235*Exogenous!AH$32/Exogenous!AG$32</f>
        <v>0.1342022727272727</v>
      </c>
      <c r="AB235" s="8">
        <f>AA$235*Exogenous!AI$32/Exogenous!AH$32</f>
        <v>0.12481363636363633</v>
      </c>
      <c r="AC235" s="8">
        <f>AB$235*Exogenous!AJ$32/Exogenous!AI$32</f>
        <v>0.11652954545454543</v>
      </c>
      <c r="AD235" s="8">
        <f>AC$235*Exogenous!AK$32/Exogenous!AJ$32</f>
        <v>0.10824545454545453</v>
      </c>
      <c r="AE235" s="8">
        <f>AD$235*Exogenous!AL$32/Exogenous!AK$32</f>
        <v>9.9961363636363626E-2</v>
      </c>
      <c r="AF235" s="8">
        <f>AE$235*Exogenous!AM$32/Exogenous!AL$32</f>
        <v>9.2229545454545453E-2</v>
      </c>
      <c r="AG235" s="8">
        <f>AF$235*Exogenous!AN$32/Exogenous!AM$32</f>
        <v>8.3945454545454545E-2</v>
      </c>
      <c r="AH235" s="8">
        <f>AG$235*Exogenous!AO$32/Exogenous!AN$32</f>
        <v>7.7318181818181828E-2</v>
      </c>
      <c r="AI235" s="8">
        <f>AH$235*Exogenous!AP$32/Exogenous!AO$32</f>
        <v>7.0138636363636361E-2</v>
      </c>
      <c r="AJ235" s="8">
        <f>AI$235*Exogenous!AQ$32/Exogenous!AP$32</f>
        <v>6.351136363636363E-2</v>
      </c>
      <c r="AK235" s="8">
        <f>AJ$235*Exogenous!AR$32/Exogenous!AQ$32</f>
        <v>5.7436363636363626E-2</v>
      </c>
      <c r="AL235" s="8">
        <f>AK$235*Exogenous!AS$32/Exogenous!AR$32</f>
        <v>5.1913636363636356E-2</v>
      </c>
      <c r="AM235" s="8">
        <f>AL$235*Exogenous!AT$32/Exogenous!AS$32</f>
        <v>4.6390909090909087E-2</v>
      </c>
      <c r="AN235" s="8">
        <f>AM$235*Exogenous!AU$32/Exogenous!AT$32</f>
        <v>4.1420454545454538E-2</v>
      </c>
      <c r="AO235" s="8">
        <f>AN$235*Exogenous!AV$32/Exogenous!AU$32</f>
        <v>3.7002272727272724E-2</v>
      </c>
      <c r="AP235" s="8">
        <f>AO$235*Exogenous!AW$32/Exogenous!AV$32</f>
        <v>3.313636363636363E-2</v>
      </c>
      <c r="AQ235" s="8">
        <f>AP$235*Exogenous!AX$32/Exogenous!AW$32</f>
        <v>2.927045454545454E-2</v>
      </c>
      <c r="AR235" s="8">
        <f>AQ$235*Exogenous!AY$32/Exogenous!AX$32</f>
        <v>2.540454545454545E-2</v>
      </c>
      <c r="AS235" s="8">
        <f>AR$235*Exogenous!AZ$32/Exogenous!AY$32</f>
        <v>2.2090909090909088E-2</v>
      </c>
      <c r="AT235" s="8">
        <f>AS$235*Exogenous!BA$32/Exogenous!AZ$32</f>
        <v>1.9329545454545453E-2</v>
      </c>
      <c r="AU235" s="8">
        <f>AT$235*Exogenous!BB$32/Exogenous!BA$32</f>
        <v>1.7120454545454543E-2</v>
      </c>
      <c r="AV235" s="8">
        <f>AU$235*Exogenous!BC$32/Exogenous!BB$32</f>
        <v>1.4359090909090906E-2</v>
      </c>
      <c r="AW235" s="8">
        <f>AV$235*Exogenous!BD$32/Exogenous!BC$32</f>
        <v>1.2702272727272727E-2</v>
      </c>
    </row>
    <row r="236" spans="1:49" ht="15" x14ac:dyDescent="0.25">
      <c r="A236" s="2" t="s">
        <v>623</v>
      </c>
      <c r="B236" s="4" t="str">
        <f t="shared" si="172"/>
        <v>From Fiscal</v>
      </c>
      <c r="D236" s="47">
        <f>Fiscal!D$37</f>
        <v>0.373</v>
      </c>
      <c r="E236" s="44">
        <f>Fiscal!E$37</f>
        <v>0.28999999999999998</v>
      </c>
      <c r="F236" s="44">
        <f>Fiscal!F$37</f>
        <v>0.23100000000000001</v>
      </c>
      <c r="G236" s="44">
        <f>Fiscal!G$37</f>
        <v>0.23899999999999999</v>
      </c>
      <c r="H236" s="44">
        <f>Fiscal!H$37</f>
        <v>0.251</v>
      </c>
      <c r="I236" s="44">
        <f>Fiscal!I$37</f>
        <v>0.26300000000000001</v>
      </c>
      <c r="J236" s="8">
        <f>I$236*Exogenous!Q$32/Exogenous!P$32</f>
        <v>0.25582727272727274</v>
      </c>
      <c r="K236" s="8">
        <f>J$236*Exogenous!R$32/Exogenous!Q$32</f>
        <v>0.24686136363636366</v>
      </c>
      <c r="L236" s="8">
        <f>K$236*Exogenous!S$32/Exogenous!R$32</f>
        <v>0.24267727272727277</v>
      </c>
      <c r="M236" s="8">
        <f>L$236*Exogenous!T$32/Exogenous!S$32</f>
        <v>0.24447045454545455</v>
      </c>
      <c r="N236" s="8">
        <f>M$236*Exogenous!U$32/Exogenous!T$32</f>
        <v>0.2456659090909091</v>
      </c>
      <c r="O236" s="8">
        <f>N$236*Exogenous!V$32/Exogenous!U$32</f>
        <v>0.24686136363636366</v>
      </c>
      <c r="P236" s="8">
        <f>O$236*Exogenous!W$32/Exogenous!V$32</f>
        <v>0.24745909090909091</v>
      </c>
      <c r="Q236" s="8">
        <f>P$236*Exogenous!X$32/Exogenous!W$32</f>
        <v>0.24447045454545455</v>
      </c>
      <c r="R236" s="8">
        <f>Q$236*Exogenous!Y$32/Exogenous!X$32</f>
        <v>0.23490681818181822</v>
      </c>
      <c r="S236" s="8">
        <f>R$236*Exogenous!Z$32/Exogenous!Y$32</f>
        <v>0.22594090909090914</v>
      </c>
      <c r="T236" s="8">
        <f>S$236*Exogenous!AA$32/Exogenous!Z$32</f>
        <v>0.21577954545454547</v>
      </c>
      <c r="U236" s="8">
        <f>T$236*Exogenous!AB$32/Exogenous!AA$32</f>
        <v>0.20561818181818184</v>
      </c>
      <c r="V236" s="8">
        <f>U$236*Exogenous!AC$32/Exogenous!AB$32</f>
        <v>0.19545681818181823</v>
      </c>
      <c r="W236" s="8">
        <f>V$236*Exogenous!AD$32/Exogenous!AC$32</f>
        <v>0.1852954545454546</v>
      </c>
      <c r="X236" s="8">
        <f>W$236*Exogenous!AE$32/Exogenous!AD$32</f>
        <v>0.17453636363636368</v>
      </c>
      <c r="Y236" s="8">
        <f>X$236*Exogenous!AF$32/Exogenous!AE$32</f>
        <v>0.16497272727272733</v>
      </c>
      <c r="Z236" s="8">
        <f>Y$236*Exogenous!AG$32/Exogenous!AF$32</f>
        <v>0.15540909090909094</v>
      </c>
      <c r="AA236" s="8">
        <f>Z$236*Exogenous!AH$32/Exogenous!AG$32</f>
        <v>0.14524772727272731</v>
      </c>
      <c r="AB236" s="8">
        <f>AA$236*Exogenous!AI$32/Exogenous!AH$32</f>
        <v>0.13508636363636367</v>
      </c>
      <c r="AC236" s="8">
        <f>AB$236*Exogenous!AJ$32/Exogenous!AI$32</f>
        <v>0.12612045454545456</v>
      </c>
      <c r="AD236" s="8">
        <f>AC$236*Exogenous!AK$32/Exogenous!AJ$32</f>
        <v>0.11715454545454548</v>
      </c>
      <c r="AE236" s="8">
        <f>AD$236*Exogenous!AL$32/Exogenous!AK$32</f>
        <v>0.10818863636363638</v>
      </c>
      <c r="AF236" s="8">
        <f>AE$236*Exogenous!AM$32/Exogenous!AL$32</f>
        <v>9.9820454545454573E-2</v>
      </c>
      <c r="AG236" s="8">
        <f>AF$236*Exogenous!AN$32/Exogenous!AM$32</f>
        <v>9.0854545454545466E-2</v>
      </c>
      <c r="AH236" s="8">
        <f>AG$236*Exogenous!AO$32/Exogenous!AN$32</f>
        <v>8.3681818181818204E-2</v>
      </c>
      <c r="AI236" s="8">
        <f>AH$236*Exogenous!AP$32/Exogenous!AO$32</f>
        <v>7.5911363636363652E-2</v>
      </c>
      <c r="AJ236" s="8">
        <f>AI$236*Exogenous!AQ$32/Exogenous!AP$32</f>
        <v>6.8738636363636377E-2</v>
      </c>
      <c r="AK236" s="8">
        <f>AJ$236*Exogenous!AR$32/Exogenous!AQ$32</f>
        <v>6.2163636363636372E-2</v>
      </c>
      <c r="AL236" s="8">
        <f>AK$236*Exogenous!AS$32/Exogenous!AR$32</f>
        <v>5.6186363636363645E-2</v>
      </c>
      <c r="AM236" s="8">
        <f>AL$236*Exogenous!AT$32/Exogenous!AS$32</f>
        <v>5.0209090909090918E-2</v>
      </c>
      <c r="AN236" s="8">
        <f>AM$236*Exogenous!AU$32/Exogenous!AT$32</f>
        <v>4.4829545454545455E-2</v>
      </c>
      <c r="AO236" s="8">
        <f>AN$236*Exogenous!AV$32/Exogenous!AU$32</f>
        <v>4.0047727272727277E-2</v>
      </c>
      <c r="AP236" s="8">
        <f>AO$236*Exogenous!AW$32/Exogenous!AV$32</f>
        <v>3.5863636363636361E-2</v>
      </c>
      <c r="AQ236" s="8">
        <f>AP$236*Exogenous!AX$32/Exogenous!AW$32</f>
        <v>3.1679545454545453E-2</v>
      </c>
      <c r="AR236" s="8">
        <f>AQ$236*Exogenous!AY$32/Exogenous!AX$32</f>
        <v>2.7495454545454545E-2</v>
      </c>
      <c r="AS236" s="8">
        <f>AR$236*Exogenous!AZ$32/Exogenous!AY$32</f>
        <v>2.3909090909090911E-2</v>
      </c>
      <c r="AT236" s="8">
        <f>AS$236*Exogenous!BA$32/Exogenous!AZ$32</f>
        <v>2.0920454545454548E-2</v>
      </c>
      <c r="AU236" s="8">
        <f>AT$236*Exogenous!BB$32/Exogenous!BA$32</f>
        <v>1.8529545454545455E-2</v>
      </c>
      <c r="AV236" s="8">
        <f>AU$236*Exogenous!BC$32/Exogenous!BB$32</f>
        <v>1.5540909090909091E-2</v>
      </c>
      <c r="AW236" s="8">
        <f>AV$236*Exogenous!BD$32/Exogenous!BC$32</f>
        <v>1.3747727272727274E-2</v>
      </c>
    </row>
    <row r="237" spans="1:49" ht="15" x14ac:dyDescent="0.25">
      <c r="A237" s="2"/>
      <c r="B237" s="4"/>
      <c r="D237" s="47"/>
      <c r="E237" s="44"/>
      <c r="F237" s="44"/>
      <c r="G237" s="44"/>
      <c r="H237" s="44"/>
      <c r="I237" s="44"/>
      <c r="J237" s="8"/>
      <c r="K237" s="8"/>
      <c r="L237" s="8"/>
      <c r="M237" s="8"/>
      <c r="N237" s="8"/>
      <c r="O237" s="8"/>
      <c r="P237" s="8"/>
      <c r="Q237" s="8"/>
      <c r="R237" s="8"/>
      <c r="S237" s="8"/>
    </row>
    <row r="238" spans="1:49" x14ac:dyDescent="0.2">
      <c r="A238" s="22" t="s">
        <v>544</v>
      </c>
    </row>
    <row r="239" spans="1:49" x14ac:dyDescent="0.2">
      <c r="A239" s="1" t="s">
        <v>324</v>
      </c>
      <c r="B239" s="4" t="str">
        <f t="shared" ref="B239:B241" si="176">$B$43</f>
        <v>From Fiscal</v>
      </c>
      <c r="D239" s="18">
        <f>Fiscal!D$55</f>
        <v>15.058</v>
      </c>
      <c r="E239" s="19">
        <f ca="1">Fiscal!E$55  +IF(OR(OFFSET(Assumptions!$B$72,0,$C$1)="BU",OFFSET(Assumptions!$B$113,0,$C$1)="SND"),Allocate!C$15,0)</f>
        <v>15.429</v>
      </c>
      <c r="F239" s="19">
        <f ca="1">Fiscal!F$55  +IF(OR(OFFSET(Assumptions!$B$72,0,$C$1)="BU",OFFSET(Assumptions!$B$113,0,$C$1)="SND"),Allocate!D$15,0)</f>
        <v>16.043999999999997</v>
      </c>
      <c r="G239" s="19">
        <f ca="1">Fiscal!G$55  +IF(OR(OFFSET(Assumptions!$B$72,0,$C$1)="BU",OFFSET(Assumptions!$B$113,0,$C$1)="SND"),Allocate!E$15,0)</f>
        <v>16.672000000000001</v>
      </c>
      <c r="H239" s="19">
        <f ca="1">Fiscal!H$55  +IF(OR(OFFSET(Assumptions!$B$72,0,$C$1)="BU",OFFSET(Assumptions!$B$113,0,$C$1)="SND"),Allocate!F$15,0)</f>
        <v>17.335000000000001</v>
      </c>
      <c r="I239" s="19">
        <f ca="1">Fiscal!I$55  +IF(OR(OFFSET(Assumptions!$B$72,0,$C$1)="BU",OFFSET(Assumptions!$B$113,0,$C$1)="SND"),Allocate!G$15,0)</f>
        <v>17.856999999999999</v>
      </c>
      <c r="J239" s="7">
        <f ca="1">IF(OFFSET(Assumptions!$B$72,0,$C$1)="BU",IF(J$6&lt;=OFFSET(Assumptions!$B$89,0,$C$1),J$14*(I$239/I$14+MIN(ABS(OFFSET(Assumptions!$B$91,0,$C$1)-I$239/I$14),OFFSET(Assumptions!$B$90,0,$C$1))*SIGN(OFFSET(Assumptions!$B$91,0,$C$1)-I$239/I$14)),I$239*(1+J$244/J$246+J$245/J$247)*(1+J$243)),I$239+IF(OFFSET(Assumptions!$B$113,0,$C$1)="SND",Allocate!$B$15*J$232*J$14,0))</f>
        <v>18.394849845440479</v>
      </c>
      <c r="K239" s="7">
        <f ca="1">IF(OFFSET(Assumptions!$B$72,0,$C$1)="BU",IF(K$6&lt;=OFFSET(Assumptions!$B$89,0,$C$1),K$14*(J$239/J$14+MIN(ABS(OFFSET(Assumptions!$B$91,0,$C$1)-J$239/J$14),OFFSET(Assumptions!$B$90,0,$C$1))*SIGN(OFFSET(Assumptions!$B$91,0,$C$1)-J$239/J$14)),J$239*(1+K$244/K$246+K$245/K$247)*(1+K$243)),J$239+IF(OFFSET(Assumptions!$B$113,0,$C$1)="SND",Allocate!$B$15*K$232*K$14,0))</f>
        <v>18.955176542061938</v>
      </c>
      <c r="L239" s="7">
        <f ca="1">IF(OFFSET(Assumptions!$B$72,0,$C$1)="BU",IF(L$6&lt;=OFFSET(Assumptions!$B$89,0,$C$1),L$14*(K$239/K$14+MIN(ABS(OFFSET(Assumptions!$B$91,0,$C$1)-K$239/K$14),OFFSET(Assumptions!$B$90,0,$C$1))*SIGN(OFFSET(Assumptions!$B$91,0,$C$1)-K$239/K$14)),K$239*(1+L$244/L$246+L$245/L$247)*(1+L$243)),K$239+IF(OFFSET(Assumptions!$B$113,0,$C$1)="SND",Allocate!$B$15*L$232*L$14,0))</f>
        <v>19.539790762021514</v>
      </c>
      <c r="M239" s="7">
        <f ca="1">IF(OFFSET(Assumptions!$B$72,0,$C$1)="BU",IF(M$6&lt;=OFFSET(Assumptions!$B$89,0,$C$1),M$14*(L$239/L$14+MIN(ABS(OFFSET(Assumptions!$B$91,0,$C$1)-L$239/L$14),OFFSET(Assumptions!$B$90,0,$C$1))*SIGN(OFFSET(Assumptions!$B$91,0,$C$1)-L$239/L$14)),L$239*(1+M$244/M$246+M$245/M$247)*(1+M$243)),L$239+IF(OFFSET(Assumptions!$B$113,0,$C$1)="SND",Allocate!$B$15*M$232*M$14,0))</f>
        <v>20.149664089205061</v>
      </c>
      <c r="N239" s="7">
        <f ca="1">IF(OFFSET(Assumptions!$B$72,0,$C$1)="BU",IF(N$6&lt;=OFFSET(Assumptions!$B$89,0,$C$1),N$14*(M$239/M$14+MIN(ABS(OFFSET(Assumptions!$B$91,0,$C$1)-M$239/M$14),OFFSET(Assumptions!$B$90,0,$C$1))*SIGN(OFFSET(Assumptions!$B$91,0,$C$1)-M$239/M$14)),M$239*(1+N$244/N$246+N$245/N$247)*(1+N$243)),M$239+IF(OFFSET(Assumptions!$B$113,0,$C$1)="SND",Allocate!$B$15*N$232*N$14,0))</f>
        <v>20.785839713984327</v>
      </c>
      <c r="O239" s="7">
        <f ca="1">IF(OFFSET(Assumptions!$B$72,0,$C$1)="BU",IF(O$6&lt;=OFFSET(Assumptions!$B$89,0,$C$1),O$14*(N$239/N$14+MIN(ABS(OFFSET(Assumptions!$B$91,0,$C$1)-N$239/N$14),OFFSET(Assumptions!$B$90,0,$C$1))*SIGN(OFFSET(Assumptions!$B$91,0,$C$1)-N$239/N$14)),N$239*(1+O$244/O$246+O$245/O$247)*(1+O$243)),N$239+IF(OFFSET(Assumptions!$B$113,0,$C$1)="SND",Allocate!$B$15*O$232*O$14,0))</f>
        <v>21.44917159785274</v>
      </c>
      <c r="P239" s="7">
        <f ca="1">IF(OFFSET(Assumptions!$B$72,0,$C$1)="BU",IF(P$6&lt;=OFFSET(Assumptions!$B$89,0,$C$1),P$14*(O$239/O$14+MIN(ABS(OFFSET(Assumptions!$B$91,0,$C$1)-O$239/O$14),OFFSET(Assumptions!$B$90,0,$C$1))*SIGN(OFFSET(Assumptions!$B$91,0,$C$1)-O$239/O$14)),O$239*(1+P$244/P$246+P$245/P$247)*(1+P$243)),O$239+IF(OFFSET(Assumptions!$B$113,0,$C$1)="SND",Allocate!$B$15*P$232*P$14,0))</f>
        <v>22.486246788426904</v>
      </c>
      <c r="Q239" s="7">
        <f ca="1">IF(OFFSET(Assumptions!$B$72,0,$C$1)="BU",IF(Q$6&lt;=OFFSET(Assumptions!$B$89,0,$C$1),Q$14*(P$239/P$14+MIN(ABS(OFFSET(Assumptions!$B$91,0,$C$1)-P$239/P$14),OFFSET(Assumptions!$B$90,0,$C$1))*SIGN(OFFSET(Assumptions!$B$91,0,$C$1)-P$239/P$14)),P$239*(1+Q$244/Q$246+Q$245/Q$247)*(1+Q$243)),P$239+IF(OFFSET(Assumptions!$B$113,0,$C$1)="SND",Allocate!$B$15*Q$232*Q$14,0))</f>
        <v>23.566696868630288</v>
      </c>
      <c r="R239" s="7">
        <f ca="1">IF(OFFSET(Assumptions!$B$72,0,$C$1)="BU",IF(R$6&lt;=OFFSET(Assumptions!$B$89,0,$C$1),R$14*(Q$239/Q$14+MIN(ABS(OFFSET(Assumptions!$B$91,0,$C$1)-Q$239/Q$14),OFFSET(Assumptions!$B$90,0,$C$1))*SIGN(OFFSET(Assumptions!$B$91,0,$C$1)-Q$239/Q$14)),Q$239*(1+R$244/R$246+R$245/R$247)*(1+R$243)),Q$239+IF(OFFSET(Assumptions!$B$113,0,$C$1)="SND",Allocate!$B$15*R$232*R$14,0))</f>
        <v>24.69178716971814</v>
      </c>
      <c r="S239" s="7">
        <f ca="1">IF(OFFSET(Assumptions!$B$72,0,$C$1)="BU",IF(S$6&lt;=OFFSET(Assumptions!$B$89,0,$C$1),S$14*(R$239/R$14+MIN(ABS(OFFSET(Assumptions!$B$91,0,$C$1)-R$239/R$14),OFFSET(Assumptions!$B$90,0,$C$1))*SIGN(OFFSET(Assumptions!$B$91,0,$C$1)-R$239/R$14)),R$239*(1+S$244/S$246+S$245/S$247)*(1+S$243)),R$239+IF(OFFSET(Assumptions!$B$113,0,$C$1)="SND",Allocate!$B$15*S$232*S$14,0))</f>
        <v>25.862924887747383</v>
      </c>
      <c r="T239" s="7">
        <f ca="1">IF(OFFSET(Assumptions!$B$72,0,$C$1)="BU",IF(T$6&lt;=OFFSET(Assumptions!$B$89,0,$C$1),T$14*(S$239/S$14+MIN(ABS(OFFSET(Assumptions!$B$91,0,$C$1)-S$239/S$14),OFFSET(Assumptions!$B$90,0,$C$1))*SIGN(OFFSET(Assumptions!$B$91,0,$C$1)-S$239/S$14)),S$239*(1+T$244/T$246+T$245/T$247)*(1+T$243)),S$239+IF(OFFSET(Assumptions!$B$113,0,$C$1)="SND",Allocate!$B$15*T$232*T$14,0))</f>
        <v>27.081534010708875</v>
      </c>
      <c r="U239" s="7">
        <f ca="1">IF(OFFSET(Assumptions!$B$72,0,$C$1)="BU",IF(U$6&lt;=OFFSET(Assumptions!$B$89,0,$C$1),U$14*(T$239/T$14+MIN(ABS(OFFSET(Assumptions!$B$91,0,$C$1)-T$239/T$14),OFFSET(Assumptions!$B$90,0,$C$1))*SIGN(OFFSET(Assumptions!$B$91,0,$C$1)-T$239/T$14)),T$239*(1+U$244/U$246+U$245/U$247)*(1+U$243)),T$239+IF(OFFSET(Assumptions!$B$113,0,$C$1)="SND",Allocate!$B$15*U$232*U$14,0))</f>
        <v>28.349208900214453</v>
      </c>
      <c r="V239" s="7">
        <f ca="1">IF(OFFSET(Assumptions!$B$72,0,$C$1)="BU",IF(V$6&lt;=OFFSET(Assumptions!$B$89,0,$C$1),V$14*(U$239/U$14+MIN(ABS(OFFSET(Assumptions!$B$91,0,$C$1)-U$239/U$14),OFFSET(Assumptions!$B$90,0,$C$1))*SIGN(OFFSET(Assumptions!$B$91,0,$C$1)-U$239/U$14)),U$239*(1+V$244/V$246+V$245/V$247)*(1+V$243)),U$239+IF(OFFSET(Assumptions!$B$113,0,$C$1)="SND",Allocate!$B$15*V$232*V$14,0))</f>
        <v>29.667665037000916</v>
      </c>
      <c r="W239" s="7">
        <f ca="1">IF(OFFSET(Assumptions!$B$72,0,$C$1)="BU",IF(W$6&lt;=OFFSET(Assumptions!$B$89,0,$C$1),W$14*(V$239/V$14+MIN(ABS(OFFSET(Assumptions!$B$91,0,$C$1)-V$239/V$14),OFFSET(Assumptions!$B$90,0,$C$1))*SIGN(OFFSET(Assumptions!$B$91,0,$C$1)-V$239/V$14)),V$239*(1+W$244/W$246+W$245/W$247)*(1+W$243)),V$239+IF(OFFSET(Assumptions!$B$113,0,$C$1)="SND",Allocate!$B$15*W$232*W$14,0))</f>
        <v>31.038765027887365</v>
      </c>
      <c r="X239" s="7">
        <f ca="1">IF(OFFSET(Assumptions!$B$72,0,$C$1)="BU",IF(X$6&lt;=OFFSET(Assumptions!$B$89,0,$C$1),X$14*(W$239/W$14+MIN(ABS(OFFSET(Assumptions!$B$91,0,$C$1)-W$239/W$14),OFFSET(Assumptions!$B$90,0,$C$1))*SIGN(OFFSET(Assumptions!$B$91,0,$C$1)-W$239/W$14)),W$239*(1+X$244/X$246+X$245/X$247)*(1+X$243)),W$239+IF(OFFSET(Assumptions!$B$113,0,$C$1)="SND",Allocate!$B$15*X$232*X$14,0))</f>
        <v>32.464538226854437</v>
      </c>
      <c r="Y239" s="7">
        <f ca="1">IF(OFFSET(Assumptions!$B$72,0,$C$1)="BU",IF(Y$6&lt;=OFFSET(Assumptions!$B$89,0,$C$1),Y$14*(X$239/X$14+MIN(ABS(OFFSET(Assumptions!$B$91,0,$C$1)-X$239/X$14),OFFSET(Assumptions!$B$90,0,$C$1))*SIGN(OFFSET(Assumptions!$B$91,0,$C$1)-X$239/X$14)),X$239*(1+Y$244/Y$246+Y$245/Y$247)*(1+Y$243)),X$239+IF(OFFSET(Assumptions!$B$113,0,$C$1)="SND",Allocate!$B$15*Y$232*Y$14,0))</f>
        <v>33.947008398470622</v>
      </c>
      <c r="Z239" s="7">
        <f ca="1">IF(OFFSET(Assumptions!$B$72,0,$C$1)="BU",IF(Z$6&lt;=OFFSET(Assumptions!$B$89,0,$C$1),Z$14*(Y$239/Y$14+MIN(ABS(OFFSET(Assumptions!$B$91,0,$C$1)-Y$239/Y$14),OFFSET(Assumptions!$B$90,0,$C$1))*SIGN(OFFSET(Assumptions!$B$91,0,$C$1)-Y$239/Y$14)),Y$239*(1+Z$244/Z$246+Z$245/Z$247)*(1+Z$243)),Y$239+IF(OFFSET(Assumptions!$B$113,0,$C$1)="SND",Allocate!$B$15*Z$232*Z$14,0))</f>
        <v>35.488486287104756</v>
      </c>
      <c r="AA239" s="7">
        <f ca="1">IF(OFFSET(Assumptions!$B$72,0,$C$1)="BU",IF(AA$6&lt;=OFFSET(Assumptions!$B$89,0,$C$1),AA$14*(Z$239/Z$14+MIN(ABS(OFFSET(Assumptions!$B$91,0,$C$1)-Z$239/Z$14),OFFSET(Assumptions!$B$90,0,$C$1))*SIGN(OFFSET(Assumptions!$B$91,0,$C$1)-Z$239/Z$14)),Z$239*(1+AA$244/AA$246+AA$245/AA$247)*(1+AA$243)),Z$239+IF(OFFSET(Assumptions!$B$113,0,$C$1)="SND",Allocate!$B$15*AA$232*AA$14,0))</f>
        <v>36.557080836911773</v>
      </c>
      <c r="AB239" s="7">
        <f ca="1">IF(OFFSET(Assumptions!$B$72,0,$C$1)="BU",IF(AB$6&lt;=OFFSET(Assumptions!$B$89,0,$C$1),AB$14*(AA$239/AA$14+MIN(ABS(OFFSET(Assumptions!$B$91,0,$C$1)-AA$239/AA$14),OFFSET(Assumptions!$B$90,0,$C$1))*SIGN(OFFSET(Assumptions!$B$91,0,$C$1)-AA$239/AA$14)),AA$239*(1+AB$244/AB$246+AB$245/AB$247)*(1+AB$243)),AA$239+IF(OFFSET(Assumptions!$B$113,0,$C$1)="SND",Allocate!$B$15*AB$232*AB$14,0))</f>
        <v>37.668345111289824</v>
      </c>
      <c r="AC239" s="7">
        <f ca="1">IF(OFFSET(Assumptions!$B$72,0,$C$1)="BU",IF(AC$6&lt;=OFFSET(Assumptions!$B$89,0,$C$1),AC$14*(AB$239/AB$14+MIN(ABS(OFFSET(Assumptions!$B$91,0,$C$1)-AB$239/AB$14),OFFSET(Assumptions!$B$90,0,$C$1))*SIGN(OFFSET(Assumptions!$B$91,0,$C$1)-AB$239/AB$14)),AB$239*(1+AC$244/AC$246+AC$245/AC$247)*(1+AC$243)),AB$239+IF(OFFSET(Assumptions!$B$113,0,$C$1)="SND",Allocate!$B$15*AC$232*AC$14,0))</f>
        <v>38.82416729475964</v>
      </c>
      <c r="AD239" s="7">
        <f ca="1">IF(OFFSET(Assumptions!$B$72,0,$C$1)="BU",IF(AD$6&lt;=OFFSET(Assumptions!$B$89,0,$C$1),AD$14*(AC$239/AC$14+MIN(ABS(OFFSET(Assumptions!$B$91,0,$C$1)-AC$239/AC$14),OFFSET(Assumptions!$B$90,0,$C$1))*SIGN(OFFSET(Assumptions!$B$91,0,$C$1)-AC$239/AC$14)),AC$239*(1+AD$244/AD$246+AD$245/AD$247)*(1+AD$243)),AC$239+IF(OFFSET(Assumptions!$B$113,0,$C$1)="SND",Allocate!$B$15*AD$232*AD$14,0))</f>
        <v>40.026482536427793</v>
      </c>
      <c r="AE239" s="7">
        <f ca="1">IF(OFFSET(Assumptions!$B$72,0,$C$1)="BU",IF(AE$6&lt;=OFFSET(Assumptions!$B$89,0,$C$1),AE$14*(AD$239/AD$14+MIN(ABS(OFFSET(Assumptions!$B$91,0,$C$1)-AD$239/AD$14),OFFSET(Assumptions!$B$90,0,$C$1))*SIGN(OFFSET(Assumptions!$B$91,0,$C$1)-AD$239/AD$14)),AD$239*(1+AE$244/AE$246+AE$245/AE$247)*(1+AE$243)),AD$239+IF(OFFSET(Assumptions!$B$113,0,$C$1)="SND",Allocate!$B$15*AE$232*AE$14,0))</f>
        <v>41.277183287723787</v>
      </c>
      <c r="AF239" s="7">
        <f ca="1">IF(OFFSET(Assumptions!$B$72,0,$C$1)="BU",IF(AF$6&lt;=OFFSET(Assumptions!$B$89,0,$C$1),AF$14*(AE$239/AE$14+MIN(ABS(OFFSET(Assumptions!$B$91,0,$C$1)-AE$239/AE$14),OFFSET(Assumptions!$B$90,0,$C$1))*SIGN(OFFSET(Assumptions!$B$91,0,$C$1)-AE$239/AE$14)),AE$239*(1+AF$244/AF$246+AF$245/AF$247)*(1+AF$243)),AE$239+IF(OFFSET(Assumptions!$B$113,0,$C$1)="SND",Allocate!$B$15*AF$232*AF$14,0))</f>
        <v>42.57829586340867</v>
      </c>
      <c r="AG239" s="7">
        <f ca="1">IF(OFFSET(Assumptions!$B$72,0,$C$1)="BU",IF(AG$6&lt;=OFFSET(Assumptions!$B$89,0,$C$1),AG$14*(AF$239/AF$14+MIN(ABS(OFFSET(Assumptions!$B$91,0,$C$1)-AF$239/AF$14),OFFSET(Assumptions!$B$90,0,$C$1))*SIGN(OFFSET(Assumptions!$B$91,0,$C$1)-AF$239/AF$14)),AF$239*(1+AG$244/AG$246+AG$245/AG$247)*(1+AG$243)),AF$239+IF(OFFSET(Assumptions!$B$113,0,$C$1)="SND",Allocate!$B$15*AG$232*AG$14,0))</f>
        <v>43.93187476642769</v>
      </c>
      <c r="AH239" s="7">
        <f ca="1">IF(OFFSET(Assumptions!$B$72,0,$C$1)="BU",IF(AH$6&lt;=OFFSET(Assumptions!$B$89,0,$C$1),AH$14*(AG$239/AG$14+MIN(ABS(OFFSET(Assumptions!$B$91,0,$C$1)-AG$239/AG$14),OFFSET(Assumptions!$B$90,0,$C$1))*SIGN(OFFSET(Assumptions!$B$91,0,$C$1)-AG$239/AG$14)),AG$239*(1+AH$244/AH$246+AH$245/AH$247)*(1+AH$243)),AG$239+IF(OFFSET(Assumptions!$B$113,0,$C$1)="SND",Allocate!$B$15*AH$232*AH$14,0))</f>
        <v>45.340058633122425</v>
      </c>
      <c r="AI239" s="7">
        <f ca="1">IF(OFFSET(Assumptions!$B$72,0,$C$1)="BU",IF(AI$6&lt;=OFFSET(Assumptions!$B$89,0,$C$1),AI$14*(AH$239/AH$14+MIN(ABS(OFFSET(Assumptions!$B$91,0,$C$1)-AH$239/AH$14),OFFSET(Assumptions!$B$90,0,$C$1))*SIGN(OFFSET(Assumptions!$B$91,0,$C$1)-AH$239/AH$14)),AH$239*(1+AI$244/AI$246+AI$245/AI$247)*(1+AI$243)),AH$239+IF(OFFSET(Assumptions!$B$113,0,$C$1)="SND",Allocate!$B$15*AI$232*AI$14,0))</f>
        <v>46.804890686886829</v>
      </c>
      <c r="AJ239" s="7">
        <f ca="1">IF(OFFSET(Assumptions!$B$72,0,$C$1)="BU",IF(AJ$6&lt;=OFFSET(Assumptions!$B$89,0,$C$1),AJ$14*(AI$239/AI$14+MIN(ABS(OFFSET(Assumptions!$B$91,0,$C$1)-AI$239/AI$14),OFFSET(Assumptions!$B$90,0,$C$1))*SIGN(OFFSET(Assumptions!$B$91,0,$C$1)-AI$239/AI$14)),AI$239*(1+AJ$244/AJ$246+AJ$245/AJ$247)*(1+AJ$243)),AI$239+IF(OFFSET(Assumptions!$B$113,0,$C$1)="SND",Allocate!$B$15*AJ$232*AJ$14,0))</f>
        <v>48.328595623482066</v>
      </c>
      <c r="AK239" s="7">
        <f ca="1">IF(OFFSET(Assumptions!$B$72,0,$C$1)="BU",IF(AK$6&lt;=OFFSET(Assumptions!$B$89,0,$C$1),AK$14*(AJ$239/AJ$14+MIN(ABS(OFFSET(Assumptions!$B$91,0,$C$1)-AJ$239/AJ$14),OFFSET(Assumptions!$B$90,0,$C$1))*SIGN(OFFSET(Assumptions!$B$91,0,$C$1)-AJ$239/AJ$14)),AJ$239*(1+AK$244/AK$246+AK$245/AK$247)*(1+AK$243)),AJ$239+IF(OFFSET(Assumptions!$B$113,0,$C$1)="SND",Allocate!$B$15*AK$232*AK$14,0))</f>
        <v>49.913349708022388</v>
      </c>
      <c r="AL239" s="7">
        <f ca="1">IF(OFFSET(Assumptions!$B$72,0,$C$1)="BU",IF(AL$6&lt;=OFFSET(Assumptions!$B$89,0,$C$1),AL$14*(AK$239/AK$14+MIN(ABS(OFFSET(Assumptions!$B$91,0,$C$1)-AK$239/AK$14),OFFSET(Assumptions!$B$90,0,$C$1))*SIGN(OFFSET(Assumptions!$B$91,0,$C$1)-AK$239/AK$14)),AK$239*(1+AL$244/AL$246+AL$245/AL$247)*(1+AL$243)),AK$239+IF(OFFSET(Assumptions!$B$113,0,$C$1)="SND",Allocate!$B$15*AL$232*AL$14,0))</f>
        <v>51.561281115523975</v>
      </c>
      <c r="AM239" s="7">
        <f ca="1">IF(OFFSET(Assumptions!$B$72,0,$C$1)="BU",IF(AM$6&lt;=OFFSET(Assumptions!$B$89,0,$C$1),AM$14*(AL$239/AL$14+MIN(ABS(OFFSET(Assumptions!$B$91,0,$C$1)-AL$239/AL$14),OFFSET(Assumptions!$B$90,0,$C$1))*SIGN(OFFSET(Assumptions!$B$91,0,$C$1)-AL$239/AL$14)),AL$239*(1+AM$244/AM$246+AM$245/AM$247)*(1+AM$243)),AL$239+IF(OFFSET(Assumptions!$B$113,0,$C$1)="SND",Allocate!$B$15*AM$232*AM$14,0))</f>
        <v>53.274604329453147</v>
      </c>
      <c r="AN239" s="7">
        <f ca="1">IF(OFFSET(Assumptions!$B$72,0,$C$1)="BU",IF(AN$6&lt;=OFFSET(Assumptions!$B$89,0,$C$1),AN$14*(AM$239/AM$14+MIN(ABS(OFFSET(Assumptions!$B$91,0,$C$1)-AM$239/AM$14),OFFSET(Assumptions!$B$90,0,$C$1))*SIGN(OFFSET(Assumptions!$B$91,0,$C$1)-AM$239/AM$14)),AM$239*(1+AN$244/AN$246+AN$245/AN$247)*(1+AN$243)),AM$239+IF(OFFSET(Assumptions!$B$113,0,$C$1)="SND",Allocate!$B$15*AN$232*AN$14,0))</f>
        <v>55.055624792645702</v>
      </c>
      <c r="AO239" s="7">
        <f ca="1">IF(OFFSET(Assumptions!$B$72,0,$C$1)="BU",IF(AO$6&lt;=OFFSET(Assumptions!$B$89,0,$C$1),AO$14*(AN$239/AN$14+MIN(ABS(OFFSET(Assumptions!$B$91,0,$C$1)-AN$239/AN$14),OFFSET(Assumptions!$B$90,0,$C$1))*SIGN(OFFSET(Assumptions!$B$91,0,$C$1)-AN$239/AN$14)),AN$239*(1+AO$244/AO$246+AO$245/AO$247)*(1+AO$243)),AN$239+IF(OFFSET(Assumptions!$B$113,0,$C$1)="SND",Allocate!$B$15*AO$232*AO$14,0))</f>
        <v>56.906382124250371</v>
      </c>
      <c r="AP239" s="7">
        <f ca="1">IF(OFFSET(Assumptions!$B$72,0,$C$1)="BU",IF(AP$6&lt;=OFFSET(Assumptions!$B$89,0,$C$1),AP$14*(AO$239/AO$14+MIN(ABS(OFFSET(Assumptions!$B$91,0,$C$1)-AO$239/AO$14),OFFSET(Assumptions!$B$90,0,$C$1))*SIGN(OFFSET(Assumptions!$B$91,0,$C$1)-AO$239/AO$14)),AO$239*(1+AP$244/AP$246+AP$245/AP$247)*(1+AP$243)),AO$239+IF(OFFSET(Assumptions!$B$113,0,$C$1)="SND",Allocate!$B$15*AP$232*AP$14,0))</f>
        <v>58.829212080687164</v>
      </c>
      <c r="AQ239" s="7">
        <f ca="1">IF(OFFSET(Assumptions!$B$72,0,$C$1)="BU",IF(AQ$6&lt;=OFFSET(Assumptions!$B$89,0,$C$1),AQ$14*(AP$239/AP$14+MIN(ABS(OFFSET(Assumptions!$B$91,0,$C$1)-AP$239/AP$14),OFFSET(Assumptions!$B$90,0,$C$1))*SIGN(OFFSET(Assumptions!$B$91,0,$C$1)-AP$239/AP$14)),AP$239*(1+AQ$244/AQ$246+AQ$245/AQ$247)*(1+AQ$243)),AP$239+IF(OFFSET(Assumptions!$B$113,0,$C$1)="SND",Allocate!$B$15*AQ$232*AQ$14,0))</f>
        <v>60.826248471108762</v>
      </c>
      <c r="AR239" s="7">
        <f ca="1">IF(OFFSET(Assumptions!$B$72,0,$C$1)="BU",IF(AR$6&lt;=OFFSET(Assumptions!$B$89,0,$C$1),AR$14*(AQ$239/AQ$14+MIN(ABS(OFFSET(Assumptions!$B$91,0,$C$1)-AQ$239/AQ$14),OFFSET(Assumptions!$B$90,0,$C$1))*SIGN(OFFSET(Assumptions!$B$91,0,$C$1)-AQ$239/AQ$14)),AQ$239*(1+AR$244/AR$246+AR$245/AR$247)*(1+AR$243)),AQ$239+IF(OFFSET(Assumptions!$B$113,0,$C$1)="SND",Allocate!$B$15*AR$232*AR$14,0))</f>
        <v>62.899709119626408</v>
      </c>
      <c r="AS239" s="7">
        <f ca="1">IF(OFFSET(Assumptions!$B$72,0,$C$1)="BU",IF(AS$6&lt;=OFFSET(Assumptions!$B$89,0,$C$1),AS$14*(AR$239/AR$14+MIN(ABS(OFFSET(Assumptions!$B$91,0,$C$1)-AR$239/AR$14),OFFSET(Assumptions!$B$90,0,$C$1))*SIGN(OFFSET(Assumptions!$B$91,0,$C$1)-AR$239/AR$14)),AR$239*(1+AS$244/AS$246+AS$245/AS$247)*(1+AS$243)),AR$239+IF(OFFSET(Assumptions!$B$113,0,$C$1)="SND",Allocate!$B$15*AS$232*AS$14,0))</f>
        <v>65.051990145941119</v>
      </c>
      <c r="AT239" s="7">
        <f ca="1">IF(OFFSET(Assumptions!$B$72,0,$C$1)="BU",IF(AT$6&lt;=OFFSET(Assumptions!$B$89,0,$C$1),AT$14*(AS$239/AS$14+MIN(ABS(OFFSET(Assumptions!$B$91,0,$C$1)-AS$239/AS$14),OFFSET(Assumptions!$B$90,0,$C$1))*SIGN(OFFSET(Assumptions!$B$91,0,$C$1)-AS$239/AS$14)),AS$239*(1+AT$244/AT$246+AT$245/AT$247)*(1+AT$243)),AS$239+IF(OFFSET(Assumptions!$B$113,0,$C$1)="SND",Allocate!$B$15*AT$232*AT$14,0))</f>
        <v>67.285550621009136</v>
      </c>
      <c r="AU239" s="7">
        <f ca="1">IF(OFFSET(Assumptions!$B$72,0,$C$1)="BU",IF(AU$6&lt;=OFFSET(Assumptions!$B$89,0,$C$1),AU$14*(AT$239/AT$14+MIN(ABS(OFFSET(Assumptions!$B$91,0,$C$1)-AT$239/AT$14),OFFSET(Assumptions!$B$90,0,$C$1))*SIGN(OFFSET(Assumptions!$B$91,0,$C$1)-AT$239/AT$14)),AT$239*(1+AU$244/AU$246+AU$245/AU$247)*(1+AU$243)),AT$239+IF(OFFSET(Assumptions!$B$113,0,$C$1)="SND",Allocate!$B$15*AU$232*AU$14,0))</f>
        <v>69.602957699308362</v>
      </c>
      <c r="AV239" s="7">
        <f ca="1">IF(OFFSET(Assumptions!$B$72,0,$C$1)="BU",IF(AV$6&lt;=OFFSET(Assumptions!$B$89,0,$C$1),AV$14*(AU$239/AU$14+MIN(ABS(OFFSET(Assumptions!$B$91,0,$C$1)-AU$239/AU$14),OFFSET(Assumptions!$B$90,0,$C$1))*SIGN(OFFSET(Assumptions!$B$91,0,$C$1)-AU$239/AU$14)),AU$239*(1+AV$244/AV$246+AV$245/AV$247)*(1+AV$243)),AU$239+IF(OFFSET(Assumptions!$B$113,0,$C$1)="SND",Allocate!$B$15*AV$232*AV$14,0))</f>
        <v>72.007037780466945</v>
      </c>
      <c r="AW239" s="7">
        <f ca="1">IF(OFFSET(Assumptions!$B$72,0,$C$1)="BU",IF(AW$6&lt;=OFFSET(Assumptions!$B$89,0,$C$1),AW$14*(AV$239/AV$14+MIN(ABS(OFFSET(Assumptions!$B$91,0,$C$1)-AV$239/AV$14),OFFSET(Assumptions!$B$90,0,$C$1))*SIGN(OFFSET(Assumptions!$B$91,0,$C$1)-AV$239/AV$14)),AV$239*(1+AW$244/AW$246+AW$245/AW$247)*(1+AW$243)),AV$239+IF(OFFSET(Assumptions!$B$113,0,$C$1)="SND",Allocate!$B$15*AW$232*AW$14,0))</f>
        <v>74.500568332333813</v>
      </c>
    </row>
    <row r="240" spans="1:49" x14ac:dyDescent="0.2">
      <c r="A240" s="1" t="s">
        <v>295</v>
      </c>
      <c r="B240" s="4" t="str">
        <f t="shared" si="176"/>
        <v>From Fiscal</v>
      </c>
      <c r="D240" s="18">
        <f>Fiscal!D$194</f>
        <v>12.922000000000001</v>
      </c>
      <c r="E240" s="19">
        <f>Fiscal!E$194</f>
        <v>13.233000000000001</v>
      </c>
      <c r="F240" s="19">
        <f>Fiscal!F$194</f>
        <v>13.653</v>
      </c>
      <c r="G240" s="19">
        <f>Fiscal!G$194</f>
        <v>13.66</v>
      </c>
      <c r="H240" s="19">
        <f>Fiscal!H$194</f>
        <v>13.69</v>
      </c>
      <c r="I240" s="19">
        <f>Fiscal!I$194</f>
        <v>13.72</v>
      </c>
      <c r="J240" s="7">
        <f ca="1">IF(J$6=OFFSET(Assumptions!$B$8,0,$C$1),AVERAGE(G$240/(G$240+G$241),H$240/(H$240+H$241),I$240/(I$240+I$241))*AVERAGE((G$240+G$241)/G$14,(H$240+H$241)/H$14,(I$240+I$241)/I$14),I$240/I$14)*J$14</f>
        <v>14.92201445420385</v>
      </c>
      <c r="K240" s="7">
        <f ca="1">IF(K$6=OFFSET(Assumptions!$B$8,0,$C$1),AVERAGE(H$240/(H$240+H$241),I$240/(I$240+I$241),J$240/(J$240+J$241))*AVERAGE((H$240+H$241)/H$14,(I$240+I$241)/I$14,(J$240+J$241)/J$14),J$240/J$14)*K$14</f>
        <v>15.545608382975646</v>
      </c>
      <c r="L240" s="7">
        <f ca="1">IF(L$6=OFFSET(Assumptions!$B$8,0,$C$1),AVERAGE(I$240/(I$240+I$241),J$240/(J$240+J$241),K$240/(K$240+K$241))*AVERAGE((I$240+I$241)/I$14,(J$240+J$241)/J$14,(K$240+K$241)/K$14),K$240/K$14)*L$14</f>
        <v>16.219437291509387</v>
      </c>
      <c r="M240" s="7">
        <f ca="1">IF(M$6=OFFSET(Assumptions!$B$8,0,$C$1),AVERAGE(J$240/(J$240+J$241),K$240/(K$240+K$241),L$240/(L$240+L$241))*AVERAGE((J$240+J$241)/J$14,(K$240+K$241)/K$14,(L$240+L$241)/L$14),L$240/L$14)*M$14</f>
        <v>16.920221657799726</v>
      </c>
      <c r="N240" s="7">
        <f ca="1">IF(N$6=OFFSET(Assumptions!$B$8,0,$C$1),AVERAGE(K$240/(K$240+K$241),L$240/(L$240+L$241),M$240/(M$240+M$241))*AVERAGE((K$240+K$241)/K$14,(L$240+L$241)/L$14,(M$240+M$241)/M$14),M$240/M$14)*N$14</f>
        <v>17.64994811998859</v>
      </c>
      <c r="O240" s="7">
        <f ca="1">IF(O$6=OFFSET(Assumptions!$B$8,0,$C$1),AVERAGE(L$240/(L$240+L$241),M$240/(M$240+M$241),N$240/(N$240+N$241))*AVERAGE((L$240+L$241)/L$14,(M$240+M$241)/M$14,(N$240+N$241)/N$14),N$240/N$14)*O$14</f>
        <v>18.403366744323261</v>
      </c>
      <c r="P240" s="7">
        <f ca="1">IF(P$6=OFFSET(Assumptions!$B$8,0,$C$1),AVERAGE(M$240/(M$240+M$241),N$240/(N$240+N$241),O$240/(O$240+O$241))*AVERAGE((M$240+M$241)/M$14,(N$240+N$241)/N$14,(O$240+O$241)/O$14),O$240/O$14)*P$14</f>
        <v>19.181624902727535</v>
      </c>
      <c r="Q240" s="7">
        <f ca="1">IF(Q$6=OFFSET(Assumptions!$B$8,0,$C$1),AVERAGE(N$240/(N$240+N$241),O$240/(O$240+O$241),P$240/(P$240+P$241))*AVERAGE((N$240+N$241)/N$14,(O$240+O$241)/O$14,(P$240+P$241)/P$14),P$240/P$14)*Q$14</f>
        <v>19.983881933487538</v>
      </c>
      <c r="R240" s="7">
        <f ca="1">IF(R$6=OFFSET(Assumptions!$B$8,0,$C$1),AVERAGE(O$240/(O$240+O$241),P$240/(P$240+P$241),Q$240/(Q$240+Q$241))*AVERAGE((O$240+O$241)/O$14,(P$240+P$241)/P$14,(Q$240+Q$241)/Q$14),Q$240/Q$14)*R$14</f>
        <v>20.809542387390326</v>
      </c>
      <c r="S240" s="7">
        <f ca="1">IF(S$6=OFFSET(Assumptions!$B$8,0,$C$1),AVERAGE(P$240/(P$240+P$241),Q$240/(Q$240+Q$241),R$240/(R$240+R$241))*AVERAGE((P$240+P$241)/P$14,(Q$240+Q$241)/Q$14,(R$240+R$241)/R$14),R$240/R$14)*S$14</f>
        <v>21.661230179690325</v>
      </c>
      <c r="T240" s="7">
        <f ca="1">IF(T$6=OFFSET(Assumptions!$B$8,0,$C$1),AVERAGE(Q$240/(Q$240+Q$241),R$240/(R$240+R$241),S$240/(S$240+S$241))*AVERAGE((Q$240+Q$241)/Q$14,(R$240+R$241)/R$14,(S$240+S$241)/S$14),S$240/S$14)*T$14</f>
        <v>22.539255892090022</v>
      </c>
      <c r="U240" s="7">
        <f ca="1">IF(U$6=OFFSET(Assumptions!$B$8,0,$C$1),AVERAGE(R$240/(R$240+R$241),S$240/(S$240+S$241),T$240/(T$240+T$241))*AVERAGE((R$240+R$241)/R$14,(S$240+S$241)/S$14,(T$240+T$241)/T$14),T$240/T$14)*U$14</f>
        <v>23.446770735726751</v>
      </c>
      <c r="V240" s="7">
        <f ca="1">IF(V$6=OFFSET(Assumptions!$B$8,0,$C$1),AVERAGE(S$240/(S$240+S$241),T$240/(T$240+T$241),U$240/(U$240+U$241))*AVERAGE((S$240+S$241)/S$14,(T$240+T$241)/T$14,(U$240+U$241)/U$14),U$240/U$14)*V$14</f>
        <v>24.38601491617554</v>
      </c>
      <c r="W240" s="7">
        <f ca="1">IF(W$6=OFFSET(Assumptions!$B$8,0,$C$1),AVERAGE(T$240/(T$240+T$241),U$240/(U$240+U$241),V$240/(V$240+V$241))*AVERAGE((T$240+T$241)/T$14,(U$240+U$241)/U$14,(V$240+V$241)/V$14),V$240/V$14)*W$14</f>
        <v>25.359709660739622</v>
      </c>
      <c r="X240" s="7">
        <f ca="1">IF(X$6=OFFSET(Assumptions!$B$8,0,$C$1),AVERAGE(U$240/(U$240+U$241),V$240/(V$240+V$241),W$240/(W$240+W$241))*AVERAGE((U$240+U$241)/U$14,(V$240+V$241)/V$14,(W$240+W$241)/W$14),W$240/W$14)*X$14</f>
        <v>26.370939105974568</v>
      </c>
      <c r="Y240" s="7">
        <f ca="1">IF(Y$6=OFFSET(Assumptions!$B$8,0,$C$1),AVERAGE(V$240/(V$240+V$241),W$240/(W$240+W$241),X$240/(X$240+X$241))*AVERAGE((V$240+V$241)/V$14,(W$240+W$241)/W$14,(X$240+X$241)/X$14),X$240/X$14)*Y$14</f>
        <v>27.419599870748442</v>
      </c>
      <c r="Z240" s="7">
        <f ca="1">IF(Z$6=OFFSET(Assumptions!$B$8,0,$C$1),AVERAGE(W$240/(W$240+W$241),X$240/(X$240+X$241),Y$240/(Y$240+Y$241))*AVERAGE((W$240+W$241)/W$14,(X$240+X$241)/X$14,(Y$240+Y$241)/Y$14),Y$240/Y$14)*Z$14</f>
        <v>28.510999900844496</v>
      </c>
      <c r="AA240" s="7">
        <f ca="1">IF(AA$6=OFFSET(Assumptions!$B$8,0,$C$1),AVERAGE(X$240/(X$240+X$241),Y$240/(Y$240+Y$241),Z$240/(Z$240+Z$241))*AVERAGE((X$240+X$241)/X$14,(Y$240+Y$241)/Y$14,(Z$240+Z$241)/Z$14),Z$240/Z$14)*AA$14</f>
        <v>29.646905085275112</v>
      </c>
      <c r="AB240" s="7">
        <f ca="1">IF(AB$6=OFFSET(Assumptions!$B$8,0,$C$1),AVERAGE(Y$240/(Y$240+Y$241),Z$240/(Z$240+Z$241),AA$240/(AA$240+AA$241))*AVERAGE((Y$240+Y$241)/Y$14,(Z$240+Z$241)/Z$14,(AA$240+AA$241)/AA$14),AA$240/AA$14)*AB$14</f>
        <v>30.830726652211411</v>
      </c>
      <c r="AC240" s="7">
        <f ca="1">IF(AC$6=OFFSET(Assumptions!$B$8,0,$C$1),AVERAGE(Z$240/(Z$240+Z$241),AA$240/(AA$240+AA$241),AB$240/(AB$240+AB$241))*AVERAGE((Z$240+Z$241)/Z$14,(AA$240+AA$241)/AA$14,(AB$240+AB$241)/AB$14),AB$240/AB$14)*AC$14</f>
        <v>32.066933688715991</v>
      </c>
      <c r="AD240" s="7">
        <f ca="1">IF(AD$6=OFFSET(Assumptions!$B$8,0,$C$1),AVERAGE(AA$240/(AA$240+AA$241),AB$240/(AB$240+AB$241),AC$240/(AC$240+AC$241))*AVERAGE((AA$240+AA$241)/AA$14,(AB$240+AB$241)/AB$14,(AC$240+AC$241)/AC$14),AC$240/AC$14)*AD$14</f>
        <v>33.356829172254812</v>
      </c>
      <c r="AE240" s="7">
        <f ca="1">IF(AE$6=OFFSET(Assumptions!$B$8,0,$C$1),AVERAGE(AB$240/(AB$240+AB$241),AC$240/(AC$240+AC$241),AD$240/(AD$240+AD$241))*AVERAGE((AB$240+AB$241)/AB$14,(AC$240+AC$241)/AC$14,(AD$240+AD$241)/AD$14),AD$240/AD$14)*AE$14</f>
        <v>34.699228505751748</v>
      </c>
      <c r="AF240" s="7">
        <f ca="1">IF(AF$6=OFFSET(Assumptions!$B$8,0,$C$1),AVERAGE(AC$240/(AC$240+AC$241),AD$240/(AD$240+AD$241),AE$240/(AE$240+AE$241))*AVERAGE((AC$240+AC$241)/AC$14,(AD$240+AD$241)/AD$14,(AE$240+AE$241)/AE$14),AE$240/AE$14)*AF$14</f>
        <v>36.09784557066456</v>
      </c>
      <c r="AG240" s="7">
        <f ca="1">IF(AG$6=OFFSET(Assumptions!$B$8,0,$C$1),AVERAGE(AD$240/(AD$240+AD$241),AE$240/(AE$240+AE$241),AF$240/(AF$240+AF$241))*AVERAGE((AD$240+AD$241)/AD$14,(AE$240+AE$241)/AE$14,(AF$240+AF$241)/AF$14),AF$240/AF$14)*AG$14</f>
        <v>37.553462415172206</v>
      </c>
      <c r="AH240" s="7">
        <f ca="1">IF(AH$6=OFFSET(Assumptions!$B$8,0,$C$1),AVERAGE(AE$240/(AE$240+AE$241),AF$240/(AF$240+AF$241),AG$240/(AG$240+AG$241))*AVERAGE((AE$240+AE$241)/AE$14,(AF$240+AF$241)/AF$14,(AG$240+AG$241)/AG$14),AG$240/AG$14)*AH$14</f>
        <v>39.068413221884718</v>
      </c>
      <c r="AI240" s="7">
        <f ca="1">IF(AI$6=OFFSET(Assumptions!$B$8,0,$C$1),AVERAGE(AF$240/(AF$240+AF$241),AG$240/(AG$240+AG$241),AH$240/(AH$240+AH$241))*AVERAGE((AF$240+AF$241)/AF$14,(AG$240+AG$241)/AG$14,(AH$240+AH$241)/AH$14),AH$240/AH$14)*AI$14</f>
        <v>40.640050870243179</v>
      </c>
      <c r="AJ240" s="7">
        <f ca="1">IF(AJ$6=OFFSET(Assumptions!$B$8,0,$C$1),AVERAGE(AG$240/(AG$240+AG$241),AH$240/(AH$240+AH$241),AI$240/(AI$240+AI$241))*AVERAGE((AG$240+AG$241)/AG$14,(AH$240+AH$241)/AH$14,(AI$240+AI$241)/AI$14),AI$240/AI$14)*AJ$14</f>
        <v>42.2734100986778</v>
      </c>
      <c r="AK240" s="7">
        <f ca="1">IF(AK$6=OFFSET(Assumptions!$B$8,0,$C$1),AVERAGE(AH$240/(AH$240+AH$241),AI$240/(AI$240+AI$241),AJ$240/(AJ$240+AJ$241))*AVERAGE((AH$240+AH$241)/AH$14,(AI$240+AI$241)/AI$14,(AJ$240+AJ$241)/AJ$14),AJ$240/AJ$14)*AK$14</f>
        <v>43.96714725557397</v>
      </c>
      <c r="AL240" s="7">
        <f ca="1">IF(AL$6=OFFSET(Assumptions!$B$8,0,$C$1),AVERAGE(AI$240/(AI$240+AI$241),AJ$240/(AJ$240+AJ$241),AK$240/(AK$240+AK$241))*AVERAGE((AI$240+AI$241)/AI$14,(AJ$240+AJ$241)/AJ$14,(AK$240+AK$241)/AK$14),AK$240/AK$14)*AL$14</f>
        <v>45.719928137446075</v>
      </c>
      <c r="AM240" s="7">
        <f ca="1">IF(AM$6=OFFSET(Assumptions!$B$8,0,$C$1),AVERAGE(AJ$240/(AJ$240+AJ$241),AK$240/(AK$240+AK$241),AL$240/(AL$240+AL$241))*AVERAGE((AJ$240+AJ$241)/AJ$14,(AK$240+AK$241)/AK$14,(AL$240+AL$241)/AL$14),AL$240/AL$14)*AM$14</f>
        <v>47.534147271226381</v>
      </c>
      <c r="AN240" s="7">
        <f ca="1">IF(AN$6=OFFSET(Assumptions!$B$8,0,$C$1),AVERAGE(AK$240/(AK$240+AK$241),AL$240/(AL$240+AL$241),AM$240/(AM$240+AM$241))*AVERAGE((AK$240+AK$241)/AK$14,(AL$240+AL$241)/AL$14,(AM$240+AM$241)/AM$14),AM$240/AM$14)*AN$14</f>
        <v>49.412328218160923</v>
      </c>
      <c r="AO240" s="7">
        <f ca="1">IF(AO$6=OFFSET(Assumptions!$B$8,0,$C$1),AVERAGE(AL$240/(AL$240+AL$241),AM$240/(AM$240+AM$241),AN$240/(AN$240+AN$241))*AVERAGE((AL$240+AL$241)/AL$14,(AM$240+AM$241)/AM$14,(AN$240+AN$241)/AN$14),AN$240/AN$14)*AO$14</f>
        <v>51.347096011176149</v>
      </c>
      <c r="AP240" s="7">
        <f ca="1">IF(AP$6=OFFSET(Assumptions!$B$8,0,$C$1),AVERAGE(AM$240/(AM$240+AM$241),AN$240/(AN$240+AN$241),AO$240/(AO$240+AO$241))*AVERAGE((AM$240+AM$241)/AM$14,(AN$240+AN$241)/AN$14,(AO$240+AO$241)/AO$14),AO$240/AO$14)*AP$14</f>
        <v>53.346666632260273</v>
      </c>
      <c r="AQ240" s="7">
        <f ca="1">IF(AQ$6=OFFSET(Assumptions!$B$8,0,$C$1),AVERAGE(AN$240/(AN$240+AN$241),AO$240/(AO$240+AO$241),AP$240/(AP$240+AP$241))*AVERAGE((AN$240+AN$241)/AN$14,(AO$240+AO$241)/AO$14,(AP$240+AP$241)/AP$14),AP$240/AP$14)*AQ$14</f>
        <v>55.405437290843103</v>
      </c>
      <c r="AR240" s="7">
        <f ca="1">IF(AR$6=OFFSET(Assumptions!$B$8,0,$C$1),AVERAGE(AO$240/(AO$240+AO$241),AP$240/(AP$240+AP$241),AQ$240/(AQ$240+AQ$241))*AVERAGE((AO$240+AO$241)/AO$14,(AP$240+AP$241)/AP$14,(AQ$240+AQ$241)/AQ$14),AQ$240/AQ$14)*AR$14</f>
        <v>57.525738883617791</v>
      </c>
      <c r="AS240" s="7">
        <f ca="1">IF(AS$6=OFFSET(Assumptions!$B$8,0,$C$1),AVERAGE(AP$240/(AP$240+AP$241),AQ$240/(AQ$240+AQ$241),AR$240/(AR$240+AR$241))*AVERAGE((AP$240+AP$241)/AP$14,(AQ$240+AQ$241)/AQ$14,(AR$240+AR$241)/AR$14),AR$240/AR$14)*AS$14</f>
        <v>59.712518013042541</v>
      </c>
      <c r="AT240" s="7">
        <f ca="1">IF(AT$6=OFFSET(Assumptions!$B$8,0,$C$1),AVERAGE(AQ$240/(AQ$240+AQ$241),AR$240/(AR$240+AR$241),AS$240/(AS$240+AS$241))*AVERAGE((AQ$240+AQ$241)/AQ$14,(AR$240+AR$241)/AR$14,(AS$240+AS$241)/AS$14),AS$240/AS$14)*AT$14</f>
        <v>61.96752118801485</v>
      </c>
      <c r="AU240" s="7">
        <f ca="1">IF(AU$6=OFFSET(Assumptions!$B$8,0,$C$1),AVERAGE(AR$240/(AR$240+AR$241),AS$240/(AS$240+AS$241),AT$240/(AT$240+AT$241))*AVERAGE((AR$240+AR$241)/AR$14,(AS$240+AS$241)/AS$14,(AT$240+AT$241)/AT$14),AT$240/AT$14)*AU$14</f>
        <v>64.29374705934012</v>
      </c>
      <c r="AV240" s="7">
        <f ca="1">IF(AV$6=OFFSET(Assumptions!$B$8,0,$C$1),AVERAGE(AS$240/(AS$240+AS$241),AT$240/(AT$240+AT$241),AU$240/(AU$240+AU$241))*AVERAGE((AS$240+AS$241)/AS$14,(AT$240+AT$241)/AT$14,(AU$240+AU$241)/AU$14),AU$240/AU$14)*AV$14</f>
        <v>66.698388080287842</v>
      </c>
      <c r="AW240" s="7">
        <f ca="1">IF(AW$6=OFFSET(Assumptions!$B$8,0,$C$1),AVERAGE(AT$240/(AT$240+AT$241),AU$240/(AU$240+AU$241),AV$240/(AV$240+AV$241))*AVERAGE((AT$240+AT$241)/AT$14,(AU$240+AU$241)/AU$14,(AV$240+AV$241)/AV$14),AV$240/AV$14)*AW$14</f>
        <v>69.180086695913772</v>
      </c>
    </row>
    <row r="241" spans="1:49" x14ac:dyDescent="0.2">
      <c r="A241" s="1" t="s">
        <v>530</v>
      </c>
      <c r="B241" s="4" t="str">
        <f t="shared" si="176"/>
        <v>From Fiscal</v>
      </c>
      <c r="D241" s="18">
        <f>Fiscal!D$38-SUM(D$239:D$240)</f>
        <v>-13.284000000000001</v>
      </c>
      <c r="E241" s="19">
        <f ca="1">Fiscal!E$38-SUM(E$239:E$240)  +IF(OR(OFFSET(Assumptions!$B$72,0,$C$1)="BU",OFFSET(Assumptions!$B$113,0,$C$1)="SND"),Allocate!C$15,0)</f>
        <v>-13.711999999999998</v>
      </c>
      <c r="F241" s="19">
        <f ca="1">Fiscal!F$38-SUM(F$239:F$240)  +IF(OR(OFFSET(Assumptions!$B$72,0,$C$1)="BU",OFFSET(Assumptions!$B$113,0,$C$1)="SND"),Allocate!D$15,0)</f>
        <v>-14.299999999999995</v>
      </c>
      <c r="G241" s="19">
        <f ca="1">Fiscal!G$38-SUM(G$239:G$240)  +IF(OR(OFFSET(Assumptions!$B$72,0,$C$1)="BU",OFFSET(Assumptions!$B$113,0,$C$1)="SND"),Allocate!E$15,0)</f>
        <v>-14.345000000000001</v>
      </c>
      <c r="H241" s="19">
        <f ca="1">Fiscal!H$38-SUM(H$239:H$240)  +IF(OR(OFFSET(Assumptions!$B$72,0,$C$1)="BU",OFFSET(Assumptions!$B$113,0,$C$1)="SND"),Allocate!F$15,0)</f>
        <v>-14.446</v>
      </c>
      <c r="I241" s="19">
        <f ca="1">Fiscal!I$38-SUM(I$239:I$240)  +IF(OR(OFFSET(Assumptions!$B$72,0,$C$1)="BU",OFFSET(Assumptions!$B$113,0,$C$1)="SND"),Allocate!G$15,0)</f>
        <v>-14.427</v>
      </c>
      <c r="J241" s="7">
        <f ca="1">IF(J$6=OFFSET(Assumptions!$B$8,0,$C$1),AVERAGE(G$241/(G$240+G$241),H$241/(H$240+H$241),I$241/(I$240+I$241))*AVERAGE((G$240+G$241)/G$14,(H$240+H$241)/H$14,(I$240+I$241)/I$14),I$241/I$14)*J$14</f>
        <v>-15.701150383964061</v>
      </c>
      <c r="K241" s="7">
        <f ca="1">IF(K$6=OFFSET(Assumptions!$B$8,0,$C$1),AVERAGE(H$241/(H$240+H$241),I$241/(I$240+I$241),J$241/(J$240+J$241))*AVERAGE((H$240+H$241)/H$14,(I$240+I$241)/I$14,(J$240+J$241)/J$14),J$241/J$14)*K$14</f>
        <v>-16.357304556996276</v>
      </c>
      <c r="L241" s="7">
        <f ca="1">IF(L$6=OFFSET(Assumptions!$B$8,0,$C$1),AVERAGE(I$241/(I$240+I$241),J$241/(J$240+J$241),K$241/(K$240+K$241))*AVERAGE((I$240+I$241)/I$14,(J$240+J$241)/J$14,(K$240+K$241)/K$14),K$241/K$14)*L$14</f>
        <v>-17.066316671843147</v>
      </c>
      <c r="M241" s="7">
        <f ca="1">IF(M$6=OFFSET(Assumptions!$B$8,0,$C$1),AVERAGE(J$241/(J$240+J$241),K$241/(K$240+K$241),L$241/(L$240+L$241))*AVERAGE((J$240+J$241)/J$14,(K$240+K$241)/K$14,(L$240+L$241)/L$14),L$241/L$14)*M$14</f>
        <v>-17.803691692864909</v>
      </c>
      <c r="N241" s="7">
        <f ca="1">IF(N$6=OFFSET(Assumptions!$B$8,0,$C$1),AVERAGE(K$241/(K$240+K$241),L$241/(L$240+L$241),M$241/(M$240+M$241))*AVERAGE((K$240+K$241)/K$14,(L$240+L$241)/L$14,(M$240+M$241)/M$14),M$241/M$14)*N$14</f>
        <v>-18.571519988243463</v>
      </c>
      <c r="O241" s="7">
        <f ca="1">IF(O$6=OFFSET(Assumptions!$B$8,0,$C$1),AVERAGE(L$241/(L$240+L$241),M$241/(M$240+M$241),N$241/(N$240+N$241))*AVERAGE((L$240+L$241)/L$14,(M$240+M$241)/M$14,(N$240+N$241)/N$14),N$241/N$14)*O$14</f>
        <v>-19.364277504935544</v>
      </c>
      <c r="P241" s="7">
        <f ca="1">IF(P$6=OFFSET(Assumptions!$B$8,0,$C$1),AVERAGE(M$241/(M$240+M$241),N$241/(N$240+N$241),O$241/(O$240+O$241))*AVERAGE((M$240+M$241)/M$14,(N$240+N$241)/N$14,(O$240+O$241)/O$14),O$241/O$14)*P$14</f>
        <v>-20.183171523578576</v>
      </c>
      <c r="Q241" s="7">
        <f ca="1">IF(Q$6=OFFSET(Assumptions!$B$8,0,$C$1),AVERAGE(N$241/(N$240+N$241),O$241/(O$240+O$241),P$241/(P$240+P$241))*AVERAGE((N$240+N$241)/N$14,(O$240+O$241)/O$14,(P$240+P$241)/P$14),P$241/P$14)*Q$14</f>
        <v>-21.027317488268125</v>
      </c>
      <c r="R241" s="7">
        <f ca="1">IF(R$6=OFFSET(Assumptions!$B$8,0,$C$1),AVERAGE(O$241/(O$240+O$241),P$241/(P$240+P$241),Q$241/(Q$240+Q$241))*AVERAGE((O$240+O$241)/O$14,(P$240+P$241)/P$14,(Q$240+Q$241)/Q$14),Q$241/Q$14)*R$14</f>
        <v>-21.896088859091151</v>
      </c>
      <c r="S241" s="7">
        <f ca="1">IF(S$6=OFFSET(Assumptions!$B$8,0,$C$1),AVERAGE(P$241/(P$240+P$241),Q$241/(Q$240+Q$241),R$241/(R$240+R$241))*AVERAGE((P$240+P$241)/P$14,(Q$240+Q$241)/Q$14,(R$240+R$241)/R$14),R$241/R$14)*S$14</f>
        <v>-22.792246556038112</v>
      </c>
      <c r="T241" s="7">
        <f ca="1">IF(T$6=OFFSET(Assumptions!$B$8,0,$C$1),AVERAGE(Q$241/(Q$240+Q$241),R$241/(R$240+R$241),S$241/(S$240+S$241))*AVERAGE((Q$240+Q$241)/Q$14,(R$240+R$241)/R$14,(S$240+S$241)/S$14),S$241/S$14)*T$14</f>
        <v>-23.716117377480117</v>
      </c>
      <c r="U241" s="7">
        <f ca="1">IF(U$6=OFFSET(Assumptions!$B$8,0,$C$1),AVERAGE(R$241/(R$240+R$241),S$241/(S$240+S$241),T$241/(T$240+T$241))*AVERAGE((R$240+R$241)/R$14,(S$240+S$241)/S$14,(T$240+T$241)/T$14),T$241/T$14)*U$14</f>
        <v>-24.671017071442392</v>
      </c>
      <c r="V241" s="7">
        <f ca="1">IF(V$6=OFFSET(Assumptions!$B$8,0,$C$1),AVERAGE(S$241/(S$240+S$241),T$241/(T$240+T$241),U$241/(U$240+U$241))*AVERAGE((S$240+S$241)/S$14,(T$240+T$241)/T$14,(U$240+U$241)/U$14),U$241/U$14)*V$14</f>
        <v>-25.659302813273644</v>
      </c>
      <c r="W241" s="7">
        <f ca="1">IF(W$6=OFFSET(Assumptions!$B$8,0,$C$1),AVERAGE(T$241/(T$240+T$241),U$241/(U$240+U$241),V$241/(V$240+V$241))*AVERAGE((T$240+T$241)/T$14,(U$240+U$241)/U$14,(V$240+V$241)/V$14),V$241/V$14)*W$14</f>
        <v>-26.683837916050546</v>
      </c>
      <c r="X241" s="7">
        <f ca="1">IF(X$6=OFFSET(Assumptions!$B$8,0,$C$1),AVERAGE(U$241/(U$240+U$241),V$241/(V$240+V$241),W$241/(W$240+W$241))*AVERAGE((U$240+U$241)/U$14,(V$240+V$241)/V$14,(W$240+W$241)/W$14),W$241/W$14)*X$14</f>
        <v>-27.747867550993927</v>
      </c>
      <c r="Y241" s="7">
        <f ca="1">IF(Y$6=OFFSET(Assumptions!$B$8,0,$C$1),AVERAGE(V$241/(V$240+V$241),W$241/(W$240+W$241),X$241/(X$240+X$241))*AVERAGE((V$240+V$241)/V$14,(W$240+W$241)/W$14,(X$240+X$241)/X$14),X$241/X$14)*Y$14</f>
        <v>-28.851282939044218</v>
      </c>
      <c r="Z241" s="7">
        <f ca="1">IF(Z$6=OFFSET(Assumptions!$B$8,0,$C$1),AVERAGE(W$241/(W$240+W$241),X$241/(X$240+X$241),Y$241/(Y$240+Y$241))*AVERAGE((W$240+W$241)/W$14,(X$240+X$241)/X$14,(Y$240+Y$241)/Y$14),Y$241/Y$14)*Z$14</f>
        <v>-29.999669174307073</v>
      </c>
      <c r="AA241" s="7">
        <f ca="1">IF(AA$6=OFFSET(Assumptions!$B$8,0,$C$1),AVERAGE(X$241/(X$240+X$241),Y$241/(Y$240+Y$241),Z$241/(Z$240+Z$241))*AVERAGE((X$240+X$241)/X$14,(Y$240+Y$241)/Y$14,(Z$240+Z$241)/Z$14),Z$241/Z$14)*AA$14</f>
        <v>-31.194884349671351</v>
      </c>
      <c r="AB241" s="7">
        <f ca="1">IF(AB$6=OFFSET(Assumptions!$B$8,0,$C$1),AVERAGE(Y$241/(Y$240+Y$241),Z$241/(Z$240+Z$241),AA$241/(AA$240+AA$241))*AVERAGE((Y$240+Y$241)/Y$14,(Z$240+Z$241)/Z$14,(AA$240+AA$241)/AA$14),AA$241/AA$14)*AB$14</f>
        <v>-32.440517806688298</v>
      </c>
      <c r="AC241" s="7">
        <f ca="1">IF(AC$6=OFFSET(Assumptions!$B$8,0,$C$1),AVERAGE(Z$241/(Z$240+Z$241),AA$241/(AA$240+AA$241),AB$241/(AB$240+AB$241))*AVERAGE((Z$240+Z$241)/Z$14,(AA$240+AA$241)/AA$14,(AB$240+AB$241)/AB$14),AB$241/AB$14)*AC$14</f>
        <v>-33.74127198069359</v>
      </c>
      <c r="AD241" s="7">
        <f ca="1">IF(AD$6=OFFSET(Assumptions!$B$8,0,$C$1),AVERAGE(AA$241/(AA$240+AA$241),AB$241/(AB$240+AB$241),AC$241/(AC$240+AC$241))*AVERAGE((AA$240+AA$241)/AA$14,(AB$240+AB$241)/AB$14,(AC$240+AC$241)/AC$14),AC$241/AC$14)*AD$14</f>
        <v>-35.098517882632343</v>
      </c>
      <c r="AE241" s="7">
        <f ca="1">IF(AE$6=OFFSET(Assumptions!$B$8,0,$C$1),AVERAGE(AB$241/(AB$240+AB$241),AC$241/(AC$240+AC$241),AD$241/(AD$240+AD$241))*AVERAGE((AB$240+AB$241)/AB$14,(AC$240+AC$241)/AC$14,(AD$240+AD$241)/AD$14),AD$241/AD$14)*AE$14</f>
        <v>-36.511009063046025</v>
      </c>
      <c r="AF241" s="7">
        <f ca="1">IF(AF$6=OFFSET(Assumptions!$B$8,0,$C$1),AVERAGE(AC$241/(AC$240+AC$241),AD$241/(AD$240+AD$241),AE$241/(AE$240+AE$241))*AVERAGE((AC$240+AC$241)/AC$14,(AD$240+AD$241)/AD$14,(AE$240+AE$241)/AE$14),AE$241/AE$14)*AF$14</f>
        <v>-37.982653319467971</v>
      </c>
      <c r="AG241" s="7">
        <f ca="1">IF(AG$6=OFFSET(Assumptions!$B$8,0,$C$1),AVERAGE(AD$241/(AD$240+AD$241),AE$241/(AE$240+AE$241),AF$241/(AF$240+AF$241))*AVERAGE((AD$240+AD$241)/AD$14,(AE$240+AE$241)/AE$14,(AF$240+AF$241)/AF$14),AF$241/AF$14)*AG$14</f>
        <v>-39.51427353382897</v>
      </c>
      <c r="AH241" s="7">
        <f ca="1">IF(AH$6=OFFSET(Assumptions!$B$8,0,$C$1),AVERAGE(AE$241/(AE$240+AE$241),AF$241/(AF$240+AF$241),AG$241/(AG$240+AG$241))*AVERAGE((AE$240+AE$241)/AE$14,(AF$240+AF$241)/AF$14,(AG$240+AG$241)/AG$14),AG$241/AG$14)*AH$14</f>
        <v>-41.108325765416218</v>
      </c>
      <c r="AI241" s="7">
        <f ca="1">IF(AI$6=OFFSET(Assumptions!$B$8,0,$C$1),AVERAGE(AF$241/(AF$240+AF$241),AG$241/(AG$240+AG$241),AH$241/(AH$240+AH$241))*AVERAGE((AF$240+AF$241)/AF$14,(AG$240+AG$241)/AG$14,(AH$240+AH$241)/AH$14),AH$241/AH$14)*AI$14</f>
        <v>-42.762024677296303</v>
      </c>
      <c r="AJ241" s="7">
        <f ca="1">IF(AJ$6=OFFSET(Assumptions!$B$8,0,$C$1),AVERAGE(AG$241/(AG$240+AG$241),AH$241/(AH$240+AH$241),AI$241/(AI$240+AI$241))*AVERAGE((AG$240+AG$241)/AG$14,(AH$240+AH$241)/AH$14,(AI$240+AI$241)/AI$14),AI$241/AI$14)*AJ$14</f>
        <v>-44.480667891012168</v>
      </c>
      <c r="AK241" s="7">
        <f ca="1">IF(AK$6=OFFSET(Assumptions!$B$8,0,$C$1),AVERAGE(AH$241/(AH$240+AH$241),AI$241/(AI$240+AI$241),AJ$241/(AJ$240+AJ$241))*AVERAGE((AH$240+AH$241)/AH$14,(AI$240+AI$241)/AI$14,(AJ$240+AJ$241)/AJ$14),AJ$241/AJ$14)*AK$14</f>
        <v>-46.262841597715848</v>
      </c>
      <c r="AL241" s="7">
        <f ca="1">IF(AL$6=OFFSET(Assumptions!$B$8,0,$C$1),AVERAGE(AI$241/(AI$240+AI$241),AJ$241/(AJ$240+AJ$241),AK$241/(AK$240+AK$241))*AVERAGE((AI$240+AI$241)/AI$14,(AJ$240+AJ$241)/AJ$14,(AK$240+AK$241)/AK$14),AK$241/AK$14)*AL$14</f>
        <v>-48.107141930011657</v>
      </c>
      <c r="AM241" s="7">
        <f ca="1">IF(AM$6=OFFSET(Assumptions!$B$8,0,$C$1),AVERAGE(AJ$241/(AJ$240+AJ$241),AK$241/(AK$240+AK$241),AL$241/(AL$240+AL$241))*AVERAGE((AJ$240+AJ$241)/AJ$14,(AK$240+AK$241)/AK$14,(AL$240+AL$241)/AL$14),AL$241/AL$14)*AM$14</f>
        <v>-50.016088442318832</v>
      </c>
      <c r="AN241" s="7">
        <f ca="1">IF(AN$6=OFFSET(Assumptions!$B$8,0,$C$1),AVERAGE(AK$241/(AK$240+AK$241),AL$241/(AL$240+AL$241),AM$241/(AM$240+AM$241))*AVERAGE((AK$240+AK$241)/AK$14,(AL$240+AL$241)/AL$14,(AM$240+AM$241)/AM$14),AM$241/AM$14)*AN$14</f>
        <v>-51.99233646074957</v>
      </c>
      <c r="AO241" s="7">
        <f ca="1">IF(AO$6=OFFSET(Assumptions!$B$8,0,$C$1),AVERAGE(AL$241/(AL$240+AL$241),AM$241/(AM$240+AM$241),AN$241/(AN$240+AN$241))*AVERAGE((AL$240+AL$241)/AL$14,(AM$240+AM$241)/AM$14,(AN$240+AN$241)/AN$14),AN$241/AN$14)*AO$14</f>
        <v>-54.028125942753739</v>
      </c>
      <c r="AP241" s="7">
        <f ca="1">IF(AP$6=OFFSET(Assumptions!$B$8,0,$C$1),AVERAGE(AM$241/(AM$240+AM$241),AN$241/(AN$240+AN$241),AO$241/(AO$240+AO$241))*AVERAGE((AM$240+AM$241)/AM$14,(AN$240+AN$241)/AN$14,(AO$240+AO$241)/AO$14),AO$241/AO$14)*AP$14</f>
        <v>-56.132101858428669</v>
      </c>
      <c r="AQ241" s="7">
        <f ca="1">IF(AQ$6=OFFSET(Assumptions!$B$8,0,$C$1),AVERAGE(AN$241/(AN$240+AN$241),AO$241/(AO$240+AO$241),AP$241/(AP$240+AP$241))*AVERAGE((AN$240+AN$241)/AN$14,(AO$240+AO$241)/AO$14,(AP$240+AP$241)/AP$14),AP$241/AP$14)*AQ$14</f>
        <v>-58.298368873898227</v>
      </c>
      <c r="AR241" s="7">
        <f ca="1">IF(AR$6=OFFSET(Assumptions!$B$8,0,$C$1),AVERAGE(AO$241/(AO$240+AO$241),AP$241/(AP$240+AP$241),AQ$241/(AQ$240+AQ$241))*AVERAGE((AO$240+AO$241)/AO$14,(AP$240+AP$241)/AP$14,(AQ$240+AQ$241)/AQ$14),AQ$241/AQ$14)*AR$14</f>
        <v>-60.529379590962307</v>
      </c>
      <c r="AS241" s="7">
        <f ca="1">IF(AS$6=OFFSET(Assumptions!$B$8,0,$C$1),AVERAGE(AP$241/(AP$240+AP$241),AQ$241/(AQ$240+AQ$241),AR$241/(AR$240+AR$241))*AVERAGE((AP$240+AP$241)/AP$14,(AQ$240+AQ$241)/AQ$14,(AR$240+AR$241)/AR$14),AR$241/AR$14)*AS$14</f>
        <v>-62.830338893272803</v>
      </c>
      <c r="AT241" s="7">
        <f ca="1">IF(AT$6=OFFSET(Assumptions!$B$8,0,$C$1),AVERAGE(AQ$241/(AQ$240+AQ$241),AR$241/(AR$240+AR$241),AS$241/(AS$240+AS$241))*AVERAGE((AQ$240+AQ$241)/AQ$14,(AR$240+AR$241)/AR$14,(AS$240+AS$241)/AS$14),AS$241/AS$14)*AT$14</f>
        <v>-65.203084481693125</v>
      </c>
      <c r="AU241" s="7">
        <f ca="1">IF(AU$6=OFFSET(Assumptions!$B$8,0,$C$1),AVERAGE(AR$241/(AR$240+AR$241),AS$241/(AS$240+AS$241),AT$241/(AT$240+AT$241))*AVERAGE((AR$240+AR$241)/AR$14,(AS$240+AS$241)/AS$14,(AT$240+AT$241)/AT$14),AT$241/AT$14)*AU$14</f>
        <v>-67.65077157815324</v>
      </c>
      <c r="AV241" s="7">
        <f ca="1">IF(AV$6=OFFSET(Assumptions!$B$8,0,$C$1),AVERAGE(AS$241/(AS$240+AS$241),AT$241/(AT$240+AT$241),AU$241/(AU$240+AU$241))*AVERAGE((AS$240+AS$241)/AS$14,(AT$240+AT$241)/AT$14,(AU$240+AU$241)/AU$14),AU$241/AU$14)*AV$14</f>
        <v>-70.180968181649519</v>
      </c>
      <c r="AW241" s="7">
        <f ca="1">IF(AW$6=OFFSET(Assumptions!$B$8,0,$C$1),AVERAGE(AT$241/(AT$240+AT$241),AU$241/(AU$240+AU$241),AV$241/(AV$240+AV$241))*AVERAGE((AT$240+AT$241)/AT$14,(AU$240+AU$241)/AU$14,(AV$240+AV$241)/AV$14),AV$241/AV$14)*AW$14</f>
        <v>-72.792245854057924</v>
      </c>
    </row>
    <row r="242" spans="1:49" ht="15" x14ac:dyDescent="0.25">
      <c r="A242" s="2" t="s">
        <v>545</v>
      </c>
      <c r="D242" s="40">
        <f t="shared" ref="D242" si="177">SUM(D$239:D$241)</f>
        <v>14.696</v>
      </c>
      <c r="E242" s="39">
        <f t="shared" ref="E242:AW242" ca="1" si="178">SUM(E$239:E$241)</f>
        <v>14.950000000000001</v>
      </c>
      <c r="F242" s="39">
        <f t="shared" ca="1" si="178"/>
        <v>15.397</v>
      </c>
      <c r="G242" s="39">
        <f t="shared" ca="1" si="178"/>
        <v>15.987</v>
      </c>
      <c r="H242" s="39">
        <f t="shared" ca="1" si="178"/>
        <v>16.579000000000001</v>
      </c>
      <c r="I242" s="39">
        <f t="shared" ca="1" si="178"/>
        <v>17.149999999999999</v>
      </c>
      <c r="J242" s="43">
        <f t="shared" ca="1" si="178"/>
        <v>17.615713915680267</v>
      </c>
      <c r="K242" s="43">
        <f t="shared" ca="1" si="178"/>
        <v>18.14348036804131</v>
      </c>
      <c r="L242" s="43">
        <f t="shared" ca="1" si="178"/>
        <v>18.692911381687757</v>
      </c>
      <c r="M242" s="43">
        <f t="shared" ca="1" si="178"/>
        <v>19.266194054139881</v>
      </c>
      <c r="N242" s="43">
        <f t="shared" ca="1" si="178"/>
        <v>19.864267845729454</v>
      </c>
      <c r="O242" s="43">
        <f t="shared" ca="1" si="178"/>
        <v>20.48826083724046</v>
      </c>
      <c r="P242" s="43">
        <f t="shared" ca="1" si="178"/>
        <v>21.484700167575863</v>
      </c>
      <c r="Q242" s="43">
        <f t="shared" ca="1" si="178"/>
        <v>22.523261313849702</v>
      </c>
      <c r="R242" s="43">
        <f t="shared" ca="1" si="178"/>
        <v>23.605240698017312</v>
      </c>
      <c r="S242" s="43">
        <f t="shared" ca="1" si="178"/>
        <v>24.731908511399592</v>
      </c>
      <c r="T242" s="43">
        <f t="shared" ca="1" si="178"/>
        <v>25.90467252531878</v>
      </c>
      <c r="U242" s="43">
        <f t="shared" ca="1" si="178"/>
        <v>27.124962564498816</v>
      </c>
      <c r="V242" s="43">
        <f t="shared" ca="1" si="178"/>
        <v>28.394377139902812</v>
      </c>
      <c r="W242" s="43">
        <f t="shared" ca="1" si="178"/>
        <v>29.714636772576444</v>
      </c>
      <c r="X242" s="43">
        <f t="shared" ca="1" si="178"/>
        <v>31.087609781835074</v>
      </c>
      <c r="Y242" s="43">
        <f t="shared" ca="1" si="178"/>
        <v>32.515325330174846</v>
      </c>
      <c r="Z242" s="43">
        <f t="shared" ca="1" si="178"/>
        <v>33.999817013642179</v>
      </c>
      <c r="AA242" s="43">
        <f t="shared" ca="1" si="178"/>
        <v>35.009101572515533</v>
      </c>
      <c r="AB242" s="43">
        <f t="shared" ca="1" si="178"/>
        <v>36.058553956812936</v>
      </c>
      <c r="AC242" s="43">
        <f t="shared" ca="1" si="178"/>
        <v>37.149829002782049</v>
      </c>
      <c r="AD242" s="43">
        <f t="shared" ca="1" si="178"/>
        <v>38.284793826050269</v>
      </c>
      <c r="AE242" s="43">
        <f t="shared" ca="1" si="178"/>
        <v>39.46540273042951</v>
      </c>
      <c r="AF242" s="43">
        <f t="shared" ca="1" si="178"/>
        <v>40.693488114605259</v>
      </c>
      <c r="AG242" s="43">
        <f t="shared" ca="1" si="178"/>
        <v>41.971063647770933</v>
      </c>
      <c r="AH242" s="43">
        <f t="shared" ca="1" si="178"/>
        <v>43.300146089590932</v>
      </c>
      <c r="AI242" s="43">
        <f t="shared" ca="1" si="178"/>
        <v>44.682916879833705</v>
      </c>
      <c r="AJ242" s="43">
        <f t="shared" ca="1" si="178"/>
        <v>46.121337831147706</v>
      </c>
      <c r="AK242" s="43">
        <f t="shared" ca="1" si="178"/>
        <v>47.617655365880509</v>
      </c>
      <c r="AL242" s="43">
        <f t="shared" ca="1" si="178"/>
        <v>49.1740673229584</v>
      </c>
      <c r="AM242" s="43">
        <f t="shared" ca="1" si="178"/>
        <v>50.792663158360696</v>
      </c>
      <c r="AN242" s="43">
        <f t="shared" ca="1" si="178"/>
        <v>52.475616550057055</v>
      </c>
      <c r="AO242" s="43">
        <f t="shared" ca="1" si="178"/>
        <v>54.22535219267278</v>
      </c>
      <c r="AP242" s="43">
        <f t="shared" ca="1" si="178"/>
        <v>56.043776854518768</v>
      </c>
      <c r="AQ242" s="43">
        <f t="shared" ca="1" si="178"/>
        <v>57.933316888053639</v>
      </c>
      <c r="AR242" s="43">
        <f t="shared" ca="1" si="178"/>
        <v>59.896068412281892</v>
      </c>
      <c r="AS242" s="43">
        <f t="shared" ca="1" si="178"/>
        <v>61.934169265710857</v>
      </c>
      <c r="AT242" s="43">
        <f t="shared" ca="1" si="178"/>
        <v>64.049987327330868</v>
      </c>
      <c r="AU242" s="43">
        <f t="shared" ca="1" si="178"/>
        <v>66.245933180495228</v>
      </c>
      <c r="AV242" s="43">
        <f t="shared" ca="1" si="178"/>
        <v>68.524457679105268</v>
      </c>
      <c r="AW242" s="43">
        <f t="shared" ca="1" si="178"/>
        <v>70.888409174189675</v>
      </c>
    </row>
    <row r="243" spans="1:49" ht="15" x14ac:dyDescent="0.25">
      <c r="A243" s="1" t="s">
        <v>885</v>
      </c>
      <c r="B243" s="4" t="str">
        <f>$B$65</f>
        <v>Projected Years only</v>
      </c>
      <c r="D243" s="55"/>
      <c r="E243" s="56"/>
      <c r="F243" s="56"/>
      <c r="G243" s="56"/>
      <c r="H243" s="56"/>
      <c r="I243" s="56"/>
      <c r="J243" s="72">
        <f ca="1">(1+OFFSET(Assumptions!$B$92,0,$C$1)*J$34)*(1+OFFSET(Assumptions!$B$93,0,$C$1)*J$29)/(1+OFFSET(Assumptions!$B$94,0,$C$1))-1</f>
        <v>4.2020124999999853E-2</v>
      </c>
      <c r="K243" s="72">
        <f ca="1">(1+OFFSET(Assumptions!$B$92,0,$C$1)*K$34)*(1+OFFSET(Assumptions!$B$93,0,$C$1)*K$29)/(1+OFFSET(Assumptions!$B$94,0,$C$1))-1</f>
        <v>4.4787624999999887E-2</v>
      </c>
      <c r="L243" s="72">
        <f ca="1">(1+OFFSET(Assumptions!$B$92,0,$C$1)*L$34)*(1+OFFSET(Assumptions!$B$93,0,$C$1)*L$29)/(1+OFFSET(Assumptions!$B$94,0,$C$1))-1</f>
        <v>4.5756249999999943E-2</v>
      </c>
      <c r="M243" s="72">
        <f ca="1">(1+OFFSET(Assumptions!$B$92,0,$C$1)*M$34)*(1+OFFSET(Assumptions!$B$93,0,$C$1)*M$29)/(1+OFFSET(Assumptions!$B$94,0,$C$1))-1</f>
        <v>4.5756249999999943E-2</v>
      </c>
      <c r="N243" s="72">
        <f ca="1">(1+OFFSET(Assumptions!$B$92,0,$C$1)*N$34)*(1+OFFSET(Assumptions!$B$93,0,$C$1)*N$29)/(1+OFFSET(Assumptions!$B$94,0,$C$1))-1</f>
        <v>4.5756249999999943E-2</v>
      </c>
      <c r="O243" s="72">
        <f ca="1">(1+OFFSET(Assumptions!$B$92,0,$C$1)*O$34)*(1+OFFSET(Assumptions!$B$93,0,$C$1)*O$29)/(1+OFFSET(Assumptions!$B$94,0,$C$1))-1</f>
        <v>4.5756249999999943E-2</v>
      </c>
      <c r="P243" s="72">
        <f ca="1">(1+OFFSET(Assumptions!$B$92,0,$C$1)*P$34)*(1+OFFSET(Assumptions!$B$93,0,$C$1)*P$29)/(1+OFFSET(Assumptions!$B$94,0,$C$1))-1</f>
        <v>4.5756249999999943E-2</v>
      </c>
      <c r="Q243" s="72">
        <f ca="1">(1+OFFSET(Assumptions!$B$92,0,$C$1)*Q$34)*(1+OFFSET(Assumptions!$B$93,0,$C$1)*Q$29)/(1+OFFSET(Assumptions!$B$94,0,$C$1))-1</f>
        <v>4.5756249999999943E-2</v>
      </c>
      <c r="R243" s="72">
        <f ca="1">(1+OFFSET(Assumptions!$B$92,0,$C$1)*R$34)*(1+OFFSET(Assumptions!$B$93,0,$C$1)*R$29)/(1+OFFSET(Assumptions!$B$94,0,$C$1))-1</f>
        <v>4.5756249999999943E-2</v>
      </c>
      <c r="S243" s="72">
        <f ca="1">(1+OFFSET(Assumptions!$B$92,0,$C$1)*S$34)*(1+OFFSET(Assumptions!$B$93,0,$C$1)*S$29)/(1+OFFSET(Assumptions!$B$94,0,$C$1))-1</f>
        <v>4.5756249999999943E-2</v>
      </c>
      <c r="T243" s="72">
        <f ca="1">(1+OFFSET(Assumptions!$B$92,0,$C$1)*T$34)*(1+OFFSET(Assumptions!$B$93,0,$C$1)*T$29)/(1+OFFSET(Assumptions!$B$94,0,$C$1))-1</f>
        <v>4.5756249999999943E-2</v>
      </c>
      <c r="U243" s="72">
        <f ca="1">(1+OFFSET(Assumptions!$B$92,0,$C$1)*U$34)*(1+OFFSET(Assumptions!$B$93,0,$C$1)*U$29)/(1+OFFSET(Assumptions!$B$94,0,$C$1))-1</f>
        <v>4.5756249999999943E-2</v>
      </c>
      <c r="V243" s="72">
        <f ca="1">(1+OFFSET(Assumptions!$B$92,0,$C$1)*V$34)*(1+OFFSET(Assumptions!$B$93,0,$C$1)*V$29)/(1+OFFSET(Assumptions!$B$94,0,$C$1))-1</f>
        <v>4.5756249999999943E-2</v>
      </c>
      <c r="W243" s="72">
        <f ca="1">(1+OFFSET(Assumptions!$B$92,0,$C$1)*W$34)*(1+OFFSET(Assumptions!$B$93,0,$C$1)*W$29)/(1+OFFSET(Assumptions!$B$94,0,$C$1))-1</f>
        <v>4.5756249999999943E-2</v>
      </c>
      <c r="X243" s="72">
        <f ca="1">(1+OFFSET(Assumptions!$B$92,0,$C$1)*X$34)*(1+OFFSET(Assumptions!$B$93,0,$C$1)*X$29)/(1+OFFSET(Assumptions!$B$94,0,$C$1))-1</f>
        <v>4.5756249999999943E-2</v>
      </c>
      <c r="Y243" s="72">
        <f ca="1">(1+OFFSET(Assumptions!$B$92,0,$C$1)*Y$34)*(1+OFFSET(Assumptions!$B$93,0,$C$1)*Y$29)/(1+OFFSET(Assumptions!$B$94,0,$C$1))-1</f>
        <v>4.5756249999999943E-2</v>
      </c>
      <c r="Z243" s="72">
        <f ca="1">(1+OFFSET(Assumptions!$B$92,0,$C$1)*Z$34)*(1+OFFSET(Assumptions!$B$93,0,$C$1)*Z$29)/(1+OFFSET(Assumptions!$B$94,0,$C$1))-1</f>
        <v>4.5756249999999943E-2</v>
      </c>
      <c r="AA243" s="72">
        <f ca="1">(1+OFFSET(Assumptions!$B$92,0,$C$1)*AA$34)*(1+OFFSET(Assumptions!$B$93,0,$C$1)*AA$29)/(1+OFFSET(Assumptions!$B$94,0,$C$1))-1</f>
        <v>4.5756249999999943E-2</v>
      </c>
      <c r="AB243" s="72">
        <f ca="1">(1+OFFSET(Assumptions!$B$92,0,$C$1)*AB$34)*(1+OFFSET(Assumptions!$B$93,0,$C$1)*AB$29)/(1+OFFSET(Assumptions!$B$94,0,$C$1))-1</f>
        <v>4.5756249999999943E-2</v>
      </c>
      <c r="AC243" s="72">
        <f ca="1">(1+OFFSET(Assumptions!$B$92,0,$C$1)*AC$34)*(1+OFFSET(Assumptions!$B$93,0,$C$1)*AC$29)/(1+OFFSET(Assumptions!$B$94,0,$C$1))-1</f>
        <v>4.5756249999999943E-2</v>
      </c>
      <c r="AD243" s="72">
        <f ca="1">(1+OFFSET(Assumptions!$B$92,0,$C$1)*AD$34)*(1+OFFSET(Assumptions!$B$93,0,$C$1)*AD$29)/(1+OFFSET(Assumptions!$B$94,0,$C$1))-1</f>
        <v>4.5756249999999943E-2</v>
      </c>
      <c r="AE243" s="72">
        <f ca="1">(1+OFFSET(Assumptions!$B$92,0,$C$1)*AE$34)*(1+OFFSET(Assumptions!$B$93,0,$C$1)*AE$29)/(1+OFFSET(Assumptions!$B$94,0,$C$1))-1</f>
        <v>4.5756249999999943E-2</v>
      </c>
      <c r="AF243" s="72">
        <f ca="1">(1+OFFSET(Assumptions!$B$92,0,$C$1)*AF$34)*(1+OFFSET(Assumptions!$B$93,0,$C$1)*AF$29)/(1+OFFSET(Assumptions!$B$94,0,$C$1))-1</f>
        <v>4.5756249999999943E-2</v>
      </c>
      <c r="AG243" s="72">
        <f ca="1">(1+OFFSET(Assumptions!$B$92,0,$C$1)*AG$34)*(1+OFFSET(Assumptions!$B$93,0,$C$1)*AG$29)/(1+OFFSET(Assumptions!$B$94,0,$C$1))-1</f>
        <v>4.5756249999999943E-2</v>
      </c>
      <c r="AH243" s="72">
        <f ca="1">(1+OFFSET(Assumptions!$B$92,0,$C$1)*AH$34)*(1+OFFSET(Assumptions!$B$93,0,$C$1)*AH$29)/(1+OFFSET(Assumptions!$B$94,0,$C$1))-1</f>
        <v>4.5756249999999943E-2</v>
      </c>
      <c r="AI243" s="72">
        <f ca="1">(1+OFFSET(Assumptions!$B$92,0,$C$1)*AI$34)*(1+OFFSET(Assumptions!$B$93,0,$C$1)*AI$29)/(1+OFFSET(Assumptions!$B$94,0,$C$1))-1</f>
        <v>4.5756249999999943E-2</v>
      </c>
      <c r="AJ243" s="72">
        <f ca="1">(1+OFFSET(Assumptions!$B$92,0,$C$1)*AJ$34)*(1+OFFSET(Assumptions!$B$93,0,$C$1)*AJ$29)/(1+OFFSET(Assumptions!$B$94,0,$C$1))-1</f>
        <v>4.5756249999999943E-2</v>
      </c>
      <c r="AK243" s="72">
        <f ca="1">(1+OFFSET(Assumptions!$B$92,0,$C$1)*AK$34)*(1+OFFSET(Assumptions!$B$93,0,$C$1)*AK$29)/(1+OFFSET(Assumptions!$B$94,0,$C$1))-1</f>
        <v>4.5756249999999943E-2</v>
      </c>
      <c r="AL243" s="72">
        <f ca="1">(1+OFFSET(Assumptions!$B$92,0,$C$1)*AL$34)*(1+OFFSET(Assumptions!$B$93,0,$C$1)*AL$29)/(1+OFFSET(Assumptions!$B$94,0,$C$1))-1</f>
        <v>4.5756249999999943E-2</v>
      </c>
      <c r="AM243" s="72">
        <f ca="1">(1+OFFSET(Assumptions!$B$92,0,$C$1)*AM$34)*(1+OFFSET(Assumptions!$B$93,0,$C$1)*AM$29)/(1+OFFSET(Assumptions!$B$94,0,$C$1))-1</f>
        <v>4.5756249999999943E-2</v>
      </c>
      <c r="AN243" s="72">
        <f ca="1">(1+OFFSET(Assumptions!$B$92,0,$C$1)*AN$34)*(1+OFFSET(Assumptions!$B$93,0,$C$1)*AN$29)/(1+OFFSET(Assumptions!$B$94,0,$C$1))-1</f>
        <v>4.5756249999999943E-2</v>
      </c>
      <c r="AO243" s="72">
        <f ca="1">(1+OFFSET(Assumptions!$B$92,0,$C$1)*AO$34)*(1+OFFSET(Assumptions!$B$93,0,$C$1)*AO$29)/(1+OFFSET(Assumptions!$B$94,0,$C$1))-1</f>
        <v>4.5756249999999943E-2</v>
      </c>
      <c r="AP243" s="72">
        <f ca="1">(1+OFFSET(Assumptions!$B$92,0,$C$1)*AP$34)*(1+OFFSET(Assumptions!$B$93,0,$C$1)*AP$29)/(1+OFFSET(Assumptions!$B$94,0,$C$1))-1</f>
        <v>4.5756249999999943E-2</v>
      </c>
      <c r="AQ243" s="72">
        <f ca="1">(1+OFFSET(Assumptions!$B$92,0,$C$1)*AQ$34)*(1+OFFSET(Assumptions!$B$93,0,$C$1)*AQ$29)/(1+OFFSET(Assumptions!$B$94,0,$C$1))-1</f>
        <v>4.5756249999999943E-2</v>
      </c>
      <c r="AR243" s="72">
        <f ca="1">(1+OFFSET(Assumptions!$B$92,0,$C$1)*AR$34)*(1+OFFSET(Assumptions!$B$93,0,$C$1)*AR$29)/(1+OFFSET(Assumptions!$B$94,0,$C$1))-1</f>
        <v>4.5756249999999943E-2</v>
      </c>
      <c r="AS243" s="72">
        <f ca="1">(1+OFFSET(Assumptions!$B$92,0,$C$1)*AS$34)*(1+OFFSET(Assumptions!$B$93,0,$C$1)*AS$29)/(1+OFFSET(Assumptions!$B$94,0,$C$1))-1</f>
        <v>4.5756249999999943E-2</v>
      </c>
      <c r="AT243" s="72">
        <f ca="1">(1+OFFSET(Assumptions!$B$92,0,$C$1)*AT$34)*(1+OFFSET(Assumptions!$B$93,0,$C$1)*AT$29)/(1+OFFSET(Assumptions!$B$94,0,$C$1))-1</f>
        <v>4.5756249999999943E-2</v>
      </c>
      <c r="AU243" s="72">
        <f ca="1">(1+OFFSET(Assumptions!$B$92,0,$C$1)*AU$34)*(1+OFFSET(Assumptions!$B$93,0,$C$1)*AU$29)/(1+OFFSET(Assumptions!$B$94,0,$C$1))-1</f>
        <v>4.5756249999999943E-2</v>
      </c>
      <c r="AV243" s="72">
        <f ca="1">(1+OFFSET(Assumptions!$B$92,0,$C$1)*AV$34)*(1+OFFSET(Assumptions!$B$93,0,$C$1)*AV$29)/(1+OFFSET(Assumptions!$B$94,0,$C$1))-1</f>
        <v>4.5756249999999943E-2</v>
      </c>
      <c r="AW243" s="72">
        <f ca="1">(1+OFFSET(Assumptions!$B$92,0,$C$1)*AW$34)*(1+OFFSET(Assumptions!$B$93,0,$C$1)*AW$29)/(1+OFFSET(Assumptions!$B$94,0,$C$1))-1</f>
        <v>4.5756249999999943E-2</v>
      </c>
    </row>
    <row r="244" spans="1:49" x14ac:dyDescent="0.2">
      <c r="A244" s="1" t="s">
        <v>1185</v>
      </c>
      <c r="B244" s="4"/>
      <c r="D244" s="73">
        <f>SUM(Exogenous!$B$50*SUM(Popn!K$10:K$24)/SUM(Popn!J$10:J$24),Exogenous!$B$51*SUM(Popn!K$25:K$34)/SUM(Popn!J$25:J$34),Exogenous!$B$52*SUM(Popn!K$35:K$54)/SUM(Popn!J$35:J$54),Exogenous!$B$53*SUM(Popn!K$55:K$74)/SUM(Popn!J$55:J$74),Exogenous!$B$54*SUM(Popn!K$75:K$94)/SUM(Popn!J$75:J$94),Exogenous!$B$55*SUM(Popn!K$95:K$100)/SUM(Popn!J$95:J$100))-SUM(Exogenous!$B$50:$B$55)</f>
        <v>1.2460658049093021E-2</v>
      </c>
      <c r="E244" s="74">
        <f>SUM(Exogenous!$B$50*SUM(Popn!L$10:L$24)/SUM(Popn!K$10:K$24),Exogenous!$B$51*SUM(Popn!L$25:L$34)/SUM(Popn!K$25:K$34),Exogenous!$B$52*SUM(Popn!L$35:L$54)/SUM(Popn!K$35:K$54),Exogenous!$B$53*SUM(Popn!L$55:L$74)/SUM(Popn!K$55:K$74),Exogenous!$B$54*SUM(Popn!L$75:L$94)/SUM(Popn!K$75:K$94),Exogenous!$B$55*SUM(Popn!L$95:L$100)/SUM(Popn!K$95:K$100))-SUM(Exogenous!$B$50:$B$55)</f>
        <v>1.0545952636582645E-2</v>
      </c>
      <c r="F244" s="74">
        <f>SUM(Exogenous!$B$50*SUM(Popn!M$10:M$24)/SUM(Popn!L$10:L$24),Exogenous!$B$51*SUM(Popn!M$25:M$34)/SUM(Popn!L$25:L$34),Exogenous!$B$52*SUM(Popn!M$35:M$54)/SUM(Popn!L$35:L$54),Exogenous!$B$53*SUM(Popn!M$55:M$74)/SUM(Popn!L$55:L$74),Exogenous!$B$54*SUM(Popn!M$75:M$94)/SUM(Popn!L$75:L$94),Exogenous!$B$55*SUM(Popn!M$95:M$100)/SUM(Popn!L$95:L$100))-SUM(Exogenous!$B$50:$B$55)</f>
        <v>8.2860108535108834E-3</v>
      </c>
      <c r="G244" s="74">
        <f>SUM(Exogenous!$B$50*SUM(Popn!N$10:N$24)/SUM(Popn!M$10:M$24),Exogenous!$B$51*SUM(Popn!N$25:N$34)/SUM(Popn!M$25:M$34),Exogenous!$B$52*SUM(Popn!N$35:N$54)/SUM(Popn!M$35:M$54),Exogenous!$B$53*SUM(Popn!N$55:N$74)/SUM(Popn!M$55:M$74),Exogenous!$B$54*SUM(Popn!N$75:N$94)/SUM(Popn!M$75:M$94),Exogenous!$B$55*SUM(Popn!N$95:N$100)/SUM(Popn!M$95:M$100))-SUM(Exogenous!$B$50:$B$55)</f>
        <v>8.1010180437907087E-3</v>
      </c>
      <c r="H244" s="74">
        <f>SUM(Exogenous!$B$50*SUM(Popn!O$10:O$24)/SUM(Popn!N$10:N$24),Exogenous!$B$51*SUM(Popn!O$25:O$34)/SUM(Popn!N$25:N$34),Exogenous!$B$52*SUM(Popn!O$35:O$54)/SUM(Popn!N$35:N$54),Exogenous!$B$53*SUM(Popn!O$55:O$74)/SUM(Popn!N$55:N$74),Exogenous!$B$54*SUM(Popn!O$75:O$94)/SUM(Popn!N$75:N$94),Exogenous!$B$55*SUM(Popn!O$95:O$100)/SUM(Popn!N$95:N$100))-SUM(Exogenous!$B$50:$B$55)</f>
        <v>8.0555842709731929E-3</v>
      </c>
      <c r="I244" s="74">
        <f>SUM(Exogenous!$B$50*SUM(Popn!P$10:P$24)/SUM(Popn!O$10:O$24),Exogenous!$B$51*SUM(Popn!P$25:P$34)/SUM(Popn!O$25:O$34),Exogenous!$B$52*SUM(Popn!P$35:P$54)/SUM(Popn!O$35:O$54),Exogenous!$B$53*SUM(Popn!P$55:P$74)/SUM(Popn!O$55:O$74),Exogenous!$B$54*SUM(Popn!P$75:P$94)/SUM(Popn!O$75:O$94),Exogenous!$B$55*SUM(Popn!P$95:P$100)/SUM(Popn!O$95:O$100))-SUM(Exogenous!$B$50:$B$55)</f>
        <v>7.8163617735782509E-3</v>
      </c>
      <c r="J244" s="72">
        <f>SUM(Exogenous!$B$50*SUM(Popn!Q$10:Q$24)/SUM(Popn!P$10:P$24),Exogenous!$B$51*SUM(Popn!Q$25:Q$34)/SUM(Popn!P$25:P$34),Exogenous!$B$52*SUM(Popn!Q$35:Q$54)/SUM(Popn!P$35:P$54),Exogenous!$B$53*SUM(Popn!Q$55:Q$74)/SUM(Popn!P$55:P$74),Exogenous!$B$54*SUM(Popn!Q$75:Q$94)/SUM(Popn!P$75:P$94),Exogenous!$B$55*SUM(Popn!Q$95:Q$100)/SUM(Popn!P$95:P$100))-SUM(Exogenous!$B$50:$B$55)</f>
        <v>7.9896775267691567E-3</v>
      </c>
      <c r="K244" s="72">
        <f>SUM(Exogenous!$B$50*SUM(Popn!R$10:R$24)/SUM(Popn!Q$10:Q$24),Exogenous!$B$51*SUM(Popn!R$25:R$34)/SUM(Popn!Q$25:Q$34),Exogenous!$B$52*SUM(Popn!R$35:R$54)/SUM(Popn!Q$35:Q$54),Exogenous!$B$53*SUM(Popn!R$55:R$74)/SUM(Popn!Q$55:Q$74),Exogenous!$B$54*SUM(Popn!R$75:R$94)/SUM(Popn!Q$75:Q$94),Exogenous!$B$55*SUM(Popn!R$95:R$100)/SUM(Popn!Q$95:Q$100))-SUM(Exogenous!$B$50:$B$55)</f>
        <v>8.2466482223453319E-3</v>
      </c>
      <c r="L244" s="72">
        <f>SUM(Exogenous!$B$50*SUM(Popn!S$10:S$24)/SUM(Popn!R$10:R$24),Exogenous!$B$51*SUM(Popn!S$25:S$34)/SUM(Popn!R$25:R$34),Exogenous!$B$52*SUM(Popn!S$35:S$54)/SUM(Popn!R$35:R$54),Exogenous!$B$53*SUM(Popn!S$55:S$74)/SUM(Popn!R$55:R$74),Exogenous!$B$54*SUM(Popn!S$75:S$94)/SUM(Popn!R$75:R$94),Exogenous!$B$55*SUM(Popn!S$95:S$100)/SUM(Popn!R$95:R$100))-SUM(Exogenous!$B$50:$B$55)</f>
        <v>8.1515793955648785E-3</v>
      </c>
      <c r="M244" s="72">
        <f>SUM(Exogenous!$B$50*SUM(Popn!T$10:T$24)/SUM(Popn!S$10:S$24),Exogenous!$B$51*SUM(Popn!T$25:T$34)/SUM(Popn!S$25:S$34),Exogenous!$B$52*SUM(Popn!T$35:T$54)/SUM(Popn!S$35:S$54),Exogenous!$B$53*SUM(Popn!T$55:T$74)/SUM(Popn!S$55:S$74),Exogenous!$B$54*SUM(Popn!T$75:T$94)/SUM(Popn!S$75:S$94),Exogenous!$B$55*SUM(Popn!T$95:T$100)/SUM(Popn!S$95:S$100))-SUM(Exogenous!$B$50:$B$55)</f>
        <v>8.2632313050964301E-3</v>
      </c>
      <c r="N244" s="72">
        <f>SUM(Exogenous!$B$50*SUM(Popn!U$10:U$24)/SUM(Popn!T$10:T$24),Exogenous!$B$51*SUM(Popn!U$25:U$34)/SUM(Popn!T$25:T$34),Exogenous!$B$52*SUM(Popn!U$35:U$54)/SUM(Popn!T$35:T$54),Exogenous!$B$53*SUM(Popn!U$55:U$74)/SUM(Popn!T$55:T$74),Exogenous!$B$54*SUM(Popn!U$75:U$94)/SUM(Popn!T$75:T$94),Exogenous!$B$55*SUM(Popn!U$95:U$100)/SUM(Popn!T$95:T$100))-SUM(Exogenous!$B$50:$B$55)</f>
        <v>8.5261782416546916E-3</v>
      </c>
      <c r="O244" s="72">
        <f>SUM(Exogenous!$B$50*SUM(Popn!V$10:V$24)/SUM(Popn!U$10:U$24),Exogenous!$B$51*SUM(Popn!V$25:V$34)/SUM(Popn!U$25:U$34),Exogenous!$B$52*SUM(Popn!V$35:V$54)/SUM(Popn!U$35:U$54),Exogenous!$B$53*SUM(Popn!V$55:V$74)/SUM(Popn!U$55:U$74),Exogenous!$B$54*SUM(Popn!V$75:V$94)/SUM(Popn!U$75:U$94),Exogenous!$B$55*SUM(Popn!V$95:V$100)/SUM(Popn!U$95:U$100))-SUM(Exogenous!$B$50:$B$55)</f>
        <v>8.6972125076864026E-3</v>
      </c>
      <c r="P244" s="72">
        <f>SUM(Exogenous!$B$50*SUM(Popn!W$10:W$24)/SUM(Popn!V$10:V$24),Exogenous!$B$51*SUM(Popn!W$25:W$34)/SUM(Popn!V$25:V$34),Exogenous!$B$52*SUM(Popn!W$35:W$54)/SUM(Popn!V$35:V$54),Exogenous!$B$53*SUM(Popn!W$55:W$74)/SUM(Popn!V$55:V$74),Exogenous!$B$54*SUM(Popn!W$75:W$94)/SUM(Popn!V$75:V$94),Exogenous!$B$55*SUM(Popn!W$95:W$100)/SUM(Popn!V$95:V$100))-SUM(Exogenous!$B$50:$B$55)</f>
        <v>8.4269736261241013E-3</v>
      </c>
      <c r="Q244" s="72">
        <f>SUM(Exogenous!$B$50*SUM(Popn!X$10:X$24)/SUM(Popn!W$10:W$24),Exogenous!$B$51*SUM(Popn!X$25:X$34)/SUM(Popn!W$25:W$34),Exogenous!$B$52*SUM(Popn!X$35:X$54)/SUM(Popn!W$35:W$54),Exogenous!$B$53*SUM(Popn!X$55:X$74)/SUM(Popn!W$55:W$74),Exogenous!$B$54*SUM(Popn!X$75:X$94)/SUM(Popn!W$75:W$94),Exogenous!$B$55*SUM(Popn!X$95:X$100)/SUM(Popn!W$95:W$100))-SUM(Exogenous!$B$50:$B$55)</f>
        <v>7.1756218521428217E-3</v>
      </c>
      <c r="R244" s="72">
        <f>SUM(Exogenous!$B$50*SUM(Popn!Y$10:Y$24)/SUM(Popn!X$10:X$24),Exogenous!$B$51*SUM(Popn!Y$25:Y$34)/SUM(Popn!X$25:X$34),Exogenous!$B$52*SUM(Popn!Y$35:Y$54)/SUM(Popn!X$35:X$54),Exogenous!$B$53*SUM(Popn!Y$55:Y$74)/SUM(Popn!X$55:X$74),Exogenous!$B$54*SUM(Popn!Y$75:Y$94)/SUM(Popn!X$75:X$94),Exogenous!$B$55*SUM(Popn!Y$95:Y$100)/SUM(Popn!X$95:X$100))-SUM(Exogenous!$B$50:$B$55)</f>
        <v>7.346560736096297E-3</v>
      </c>
      <c r="S244" s="72">
        <f>SUM(Exogenous!$B$50*SUM(Popn!Z$10:Z$24)/SUM(Popn!Y$10:Y$24),Exogenous!$B$51*SUM(Popn!Z$25:Z$34)/SUM(Popn!Y$25:Y$34),Exogenous!$B$52*SUM(Popn!Z$35:Z$54)/SUM(Popn!Y$35:Y$54),Exogenous!$B$53*SUM(Popn!Z$55:Z$74)/SUM(Popn!Y$55:Y$74),Exogenous!$B$54*SUM(Popn!Z$75:Z$94)/SUM(Popn!Y$75:Y$94),Exogenous!$B$55*SUM(Popn!Z$95:Z$100)/SUM(Popn!Y$95:Y$100))-SUM(Exogenous!$B$50:$B$55)</f>
        <v>6.9597696336850534E-3</v>
      </c>
      <c r="T244" s="72">
        <f>SUM(Exogenous!$B$50*SUM(Popn!AA$10:AA$24)/SUM(Popn!Z$10:Z$24),Exogenous!$B$51*SUM(Popn!AA$25:AA$34)/SUM(Popn!Z$25:Z$34),Exogenous!$B$52*SUM(Popn!AA$35:AA$54)/SUM(Popn!Z$35:Z$54),Exogenous!$B$53*SUM(Popn!AA$55:AA$74)/SUM(Popn!Z$55:Z$74),Exogenous!$B$54*SUM(Popn!AA$75:AA$94)/SUM(Popn!Z$75:Z$94),Exogenous!$B$55*SUM(Popn!AA$95:AA$100)/SUM(Popn!Z$95:Z$100))-SUM(Exogenous!$B$50:$B$55)</f>
        <v>6.8655864934492605E-3</v>
      </c>
      <c r="U244" s="72">
        <f>SUM(Exogenous!$B$50*SUM(Popn!AB$10:AB$24)/SUM(Popn!AA$10:AA$24),Exogenous!$B$51*SUM(Popn!AB$25:AB$34)/SUM(Popn!AA$25:AA$34),Exogenous!$B$52*SUM(Popn!AB$35:AB$54)/SUM(Popn!AA$35:AA$54),Exogenous!$B$53*SUM(Popn!AB$55:AB$74)/SUM(Popn!AA$55:AA$74),Exogenous!$B$54*SUM(Popn!AB$75:AB$94)/SUM(Popn!AA$75:AA$94),Exogenous!$B$55*SUM(Popn!AB$95:AB$100)/SUM(Popn!AA$95:AA$100))-SUM(Exogenous!$B$50:$B$55)</f>
        <v>7.569858611153446E-3</v>
      </c>
      <c r="V244" s="72">
        <f>SUM(Exogenous!$B$50*SUM(Popn!AC$10:AC$24)/SUM(Popn!AB$10:AB$24),Exogenous!$B$51*SUM(Popn!AC$25:AC$34)/SUM(Popn!AB$25:AB$34),Exogenous!$B$52*SUM(Popn!AC$35:AC$54)/SUM(Popn!AB$35:AB$54),Exogenous!$B$53*SUM(Popn!AC$55:AC$74)/SUM(Popn!AB$55:AB$74),Exogenous!$B$54*SUM(Popn!AC$75:AC$94)/SUM(Popn!AB$75:AB$94),Exogenous!$B$55*SUM(Popn!AC$95:AC$100)/SUM(Popn!AB$95:AB$100))-SUM(Exogenous!$B$50:$B$55)</f>
        <v>6.9877891582275087E-3</v>
      </c>
      <c r="W244" s="72">
        <f>SUM(Exogenous!$B$50*SUM(Popn!AD$10:AD$24)/SUM(Popn!AC$10:AC$24),Exogenous!$B$51*SUM(Popn!AD$25:AD$34)/SUM(Popn!AC$25:AC$34),Exogenous!$B$52*SUM(Popn!AD$35:AD$54)/SUM(Popn!AC$35:AC$54),Exogenous!$B$53*SUM(Popn!AD$55:AD$74)/SUM(Popn!AC$55:AC$74),Exogenous!$B$54*SUM(Popn!AD$75:AD$94)/SUM(Popn!AC$75:AC$94),Exogenous!$B$55*SUM(Popn!AD$95:AD$100)/SUM(Popn!AC$95:AC$100))-SUM(Exogenous!$B$50:$B$55)</f>
        <v>6.3125150959085774E-3</v>
      </c>
      <c r="X244" s="72">
        <f>SUM(Exogenous!$B$50*SUM(Popn!AE$10:AE$24)/SUM(Popn!AD$10:AD$24),Exogenous!$B$51*SUM(Popn!AE$25:AE$34)/SUM(Popn!AD$25:AD$34),Exogenous!$B$52*SUM(Popn!AE$35:AE$54)/SUM(Popn!AD$35:AD$54),Exogenous!$B$53*SUM(Popn!AE$55:AE$74)/SUM(Popn!AD$55:AD$74),Exogenous!$B$54*SUM(Popn!AE$75:AE$94)/SUM(Popn!AD$75:AD$94),Exogenous!$B$55*SUM(Popn!AE$95:AE$100)/SUM(Popn!AD$95:AD$100))-SUM(Exogenous!$B$50:$B$55)</f>
        <v>6.0143525229778838E-3</v>
      </c>
      <c r="Y244" s="72">
        <f>SUM(Exogenous!$B$50*SUM(Popn!AF$10:AF$24)/SUM(Popn!AE$10:AE$24),Exogenous!$B$51*SUM(Popn!AF$25:AF$34)/SUM(Popn!AE$25:AE$34),Exogenous!$B$52*SUM(Popn!AF$35:AF$54)/SUM(Popn!AE$35:AE$54),Exogenous!$B$53*SUM(Popn!AF$55:AF$74)/SUM(Popn!AE$55:AE$74),Exogenous!$B$54*SUM(Popn!AF$75:AF$94)/SUM(Popn!AE$75:AE$94),Exogenous!$B$55*SUM(Popn!AF$95:AF$100)/SUM(Popn!AE$95:AE$100))-SUM(Exogenous!$B$50:$B$55)</f>
        <v>5.583834975612656E-3</v>
      </c>
      <c r="Z244" s="72">
        <f>SUM(Exogenous!$B$50*SUM(Popn!AG$10:AG$24)/SUM(Popn!AF$10:AF$24),Exogenous!$B$51*SUM(Popn!AG$25:AG$34)/SUM(Popn!AF$25:AF$34),Exogenous!$B$52*SUM(Popn!AG$35:AG$54)/SUM(Popn!AF$35:AF$54),Exogenous!$B$53*SUM(Popn!AG$55:AG$74)/SUM(Popn!AF$55:AF$74),Exogenous!$B$54*SUM(Popn!AG$75:AG$94)/SUM(Popn!AF$75:AF$94),Exogenous!$B$55*SUM(Popn!AG$95:AG$100)/SUM(Popn!AF$95:AF$100))-SUM(Exogenous!$B$50:$B$55)</f>
        <v>5.2260150913603365E-3</v>
      </c>
      <c r="AA244" s="72">
        <f>SUM(Exogenous!$B$50*SUM(Popn!AH$10:AH$24)/SUM(Popn!AG$10:AG$24),Exogenous!$B$51*SUM(Popn!AH$25:AH$34)/SUM(Popn!AG$25:AG$34),Exogenous!$B$52*SUM(Popn!AH$35:AH$54)/SUM(Popn!AG$35:AG$54),Exogenous!$B$53*SUM(Popn!AH$55:AH$74)/SUM(Popn!AG$55:AG$74),Exogenous!$B$54*SUM(Popn!AH$75:AH$94)/SUM(Popn!AG$75:AG$94),Exogenous!$B$55*SUM(Popn!AH$95:AH$100)/SUM(Popn!AG$95:AG$100))-SUM(Exogenous!$B$50:$B$55)</f>
        <v>4.8569288637005936E-3</v>
      </c>
      <c r="AB244" s="72">
        <f>SUM(Exogenous!$B$50*SUM(Popn!AI$10:AI$24)/SUM(Popn!AH$10:AH$24),Exogenous!$B$51*SUM(Popn!AI$25:AI$34)/SUM(Popn!AH$25:AH$34),Exogenous!$B$52*SUM(Popn!AI$35:AI$54)/SUM(Popn!AH$35:AH$54),Exogenous!$B$53*SUM(Popn!AI$55:AI$74)/SUM(Popn!AH$55:AH$74),Exogenous!$B$54*SUM(Popn!AI$75:AI$94)/SUM(Popn!AH$75:AH$94),Exogenous!$B$55*SUM(Popn!AI$95:AI$100)/SUM(Popn!AH$95:AH$100))-SUM(Exogenous!$B$50:$B$55)</f>
        <v>4.4632748192260374E-3</v>
      </c>
      <c r="AC244" s="72">
        <f>SUM(Exogenous!$B$50*SUM(Popn!AJ$10:AJ$24)/SUM(Popn!AI$10:AI$24),Exogenous!$B$51*SUM(Popn!AJ$25:AJ$34)/SUM(Popn!AI$25:AI$34),Exogenous!$B$52*SUM(Popn!AJ$35:AJ$54)/SUM(Popn!AI$35:AI$54),Exogenous!$B$53*SUM(Popn!AJ$55:AJ$74)/SUM(Popn!AI$55:AI$74),Exogenous!$B$54*SUM(Popn!AJ$75:AJ$94)/SUM(Popn!AI$75:AI$94),Exogenous!$B$55*SUM(Popn!AJ$95:AJ$100)/SUM(Popn!AI$95:AI$100))-SUM(Exogenous!$B$50:$B$55)</f>
        <v>4.1436733059666553E-3</v>
      </c>
      <c r="AD244" s="72">
        <f>SUM(Exogenous!$B$50*SUM(Popn!AK$10:AK$24)/SUM(Popn!AJ$10:AJ$24),Exogenous!$B$51*SUM(Popn!AK$25:AK$34)/SUM(Popn!AJ$25:AJ$34),Exogenous!$B$52*SUM(Popn!AK$35:AK$54)/SUM(Popn!AJ$35:AJ$54),Exogenous!$B$53*SUM(Popn!AK$55:AK$74)/SUM(Popn!AJ$55:AJ$74),Exogenous!$B$54*SUM(Popn!AK$75:AK$94)/SUM(Popn!AJ$75:AJ$94),Exogenous!$B$55*SUM(Popn!AK$95:AK$100)/SUM(Popn!AJ$95:AJ$100))-SUM(Exogenous!$B$50:$B$55)</f>
        <v>3.8255249785615897E-3</v>
      </c>
      <c r="AE244" s="72">
        <f>SUM(Exogenous!$B$50*SUM(Popn!AL$10:AL$24)/SUM(Popn!AK$10:AK$24),Exogenous!$B$51*SUM(Popn!AL$25:AL$34)/SUM(Popn!AK$25:AK$34),Exogenous!$B$52*SUM(Popn!AL$35:AL$54)/SUM(Popn!AK$35:AK$54),Exogenous!$B$53*SUM(Popn!AL$55:AL$74)/SUM(Popn!AK$55:AK$74),Exogenous!$B$54*SUM(Popn!AL$75:AL$94)/SUM(Popn!AK$75:AK$94),Exogenous!$B$55*SUM(Popn!AL$95:AL$100)/SUM(Popn!AK$95:AK$100))-SUM(Exogenous!$B$50:$B$55)</f>
        <v>3.5939424420290411E-3</v>
      </c>
      <c r="AF244" s="72">
        <f>SUM(Exogenous!$B$50*SUM(Popn!AM$10:AM$24)/SUM(Popn!AL$10:AL$24),Exogenous!$B$51*SUM(Popn!AM$25:AM$34)/SUM(Popn!AL$25:AL$34),Exogenous!$B$52*SUM(Popn!AM$35:AM$54)/SUM(Popn!AL$35:AL$54),Exogenous!$B$53*SUM(Popn!AM$55:AM$74)/SUM(Popn!AL$55:AL$74),Exogenous!$B$54*SUM(Popn!AM$75:AM$94)/SUM(Popn!AL$75:AL$94),Exogenous!$B$55*SUM(Popn!AM$95:AM$100)/SUM(Popn!AL$95:AL$100))-SUM(Exogenous!$B$50:$B$55)</f>
        <v>3.3606548200445507E-3</v>
      </c>
      <c r="AG244" s="72">
        <f>SUM(Exogenous!$B$50*SUM(Popn!AN$10:AN$24)/SUM(Popn!AM$10:AM$24),Exogenous!$B$51*SUM(Popn!AN$25:AN$34)/SUM(Popn!AM$25:AM$34),Exogenous!$B$52*SUM(Popn!AN$35:AN$54)/SUM(Popn!AM$35:AM$54),Exogenous!$B$53*SUM(Popn!AN$55:AN$74)/SUM(Popn!AM$55:AM$74),Exogenous!$B$54*SUM(Popn!AN$75:AN$94)/SUM(Popn!AM$75:AM$94),Exogenous!$B$55*SUM(Popn!AN$95:AN$100)/SUM(Popn!AM$95:AM$100))-SUM(Exogenous!$B$50:$B$55)</f>
        <v>3.3296571726209034E-3</v>
      </c>
      <c r="AH244" s="72">
        <f>SUM(Exogenous!$B$50*SUM(Popn!AO$10:AO$24)/SUM(Popn!AN$10:AN$24),Exogenous!$B$51*SUM(Popn!AO$25:AO$34)/SUM(Popn!AN$25:AN$34),Exogenous!$B$52*SUM(Popn!AO$35:AO$54)/SUM(Popn!AN$35:AN$54),Exogenous!$B$53*SUM(Popn!AO$55:AO$74)/SUM(Popn!AN$55:AN$74),Exogenous!$B$54*SUM(Popn!AO$75:AO$94)/SUM(Popn!AN$75:AN$94),Exogenous!$B$55*SUM(Popn!AO$95:AO$100)/SUM(Popn!AN$95:AN$100))-SUM(Exogenous!$B$50:$B$55)</f>
        <v>3.1014570792607943E-3</v>
      </c>
      <c r="AI244" s="72">
        <f>SUM(Exogenous!$B$50*SUM(Popn!AP$10:AP$24)/SUM(Popn!AO$10:AO$24),Exogenous!$B$51*SUM(Popn!AP$25:AP$34)/SUM(Popn!AO$25:AO$34),Exogenous!$B$52*SUM(Popn!AP$35:AP$54)/SUM(Popn!AO$35:AO$54),Exogenous!$B$53*SUM(Popn!AP$55:AP$74)/SUM(Popn!AO$55:AO$74),Exogenous!$B$54*SUM(Popn!AP$75:AP$94)/SUM(Popn!AO$75:AO$94),Exogenous!$B$55*SUM(Popn!AP$95:AP$100)/SUM(Popn!AO$95:AO$100))-SUM(Exogenous!$B$50:$B$55)</f>
        <v>2.9803704636550687E-3</v>
      </c>
      <c r="AJ244" s="72">
        <f>SUM(Exogenous!$B$50*SUM(Popn!AQ$10:AQ$24)/SUM(Popn!AP$10:AP$24),Exogenous!$B$51*SUM(Popn!AQ$25:AQ$34)/SUM(Popn!AP$25:AP$34),Exogenous!$B$52*SUM(Popn!AQ$35:AQ$54)/SUM(Popn!AP$35:AP$54),Exogenous!$B$53*SUM(Popn!AQ$55:AQ$74)/SUM(Popn!AP$55:AP$74),Exogenous!$B$54*SUM(Popn!AQ$75:AQ$94)/SUM(Popn!AP$75:AP$94),Exogenous!$B$55*SUM(Popn!AQ$95:AQ$100)/SUM(Popn!AP$95:AP$100))-SUM(Exogenous!$B$50:$B$55)</f>
        <v>2.8358706612787721E-3</v>
      </c>
      <c r="AK244" s="72">
        <f>SUM(Exogenous!$B$50*SUM(Popn!AR$10:AR$24)/SUM(Popn!AQ$10:AQ$24),Exogenous!$B$51*SUM(Popn!AR$25:AR$34)/SUM(Popn!AQ$25:AQ$34),Exogenous!$B$52*SUM(Popn!AR$35:AR$54)/SUM(Popn!AQ$35:AQ$54),Exogenous!$B$53*SUM(Popn!AR$55:AR$74)/SUM(Popn!AQ$55:AQ$74),Exogenous!$B$54*SUM(Popn!AR$75:AR$94)/SUM(Popn!AQ$75:AQ$94),Exogenous!$B$55*SUM(Popn!AR$95:AR$100)/SUM(Popn!AQ$95:AQ$100))-SUM(Exogenous!$B$50:$B$55)</f>
        <v>2.7305826734094207E-3</v>
      </c>
      <c r="AL244" s="72">
        <f>SUM(Exogenous!$B$50*SUM(Popn!AS$10:AS$24)/SUM(Popn!AR$10:AR$24),Exogenous!$B$51*SUM(Popn!AS$25:AS$34)/SUM(Popn!AR$25:AR$34),Exogenous!$B$52*SUM(Popn!AS$35:AS$54)/SUM(Popn!AR$35:AR$54),Exogenous!$B$53*SUM(Popn!AS$55:AS$74)/SUM(Popn!AR$55:AR$74),Exogenous!$B$54*SUM(Popn!AS$75:AS$94)/SUM(Popn!AR$75:AR$94),Exogenous!$B$55*SUM(Popn!AS$95:AS$100)/SUM(Popn!AR$95:AR$100))-SUM(Exogenous!$B$50:$B$55)</f>
        <v>2.467873373492635E-3</v>
      </c>
      <c r="AM244" s="72">
        <f>SUM(Exogenous!$B$50*SUM(Popn!AT$10:AT$24)/SUM(Popn!AS$10:AS$24),Exogenous!$B$51*SUM(Popn!AT$25:AT$34)/SUM(Popn!AS$25:AS$34),Exogenous!$B$52*SUM(Popn!AT$35:AT$54)/SUM(Popn!AS$35:AS$54),Exogenous!$B$53*SUM(Popn!AT$55:AT$74)/SUM(Popn!AS$55:AS$74),Exogenous!$B$54*SUM(Popn!AT$75:AT$94)/SUM(Popn!AS$75:AS$94),Exogenous!$B$55*SUM(Popn!AT$95:AT$100)/SUM(Popn!AS$95:AS$100))-SUM(Exogenous!$B$50:$B$55)</f>
        <v>2.2403191120413668E-3</v>
      </c>
      <c r="AN244" s="72">
        <f>SUM(Exogenous!$B$50*SUM(Popn!AU$10:AU$24)/SUM(Popn!AT$10:AT$24),Exogenous!$B$51*SUM(Popn!AU$25:AU$34)/SUM(Popn!AT$25:AT$34),Exogenous!$B$52*SUM(Popn!AU$35:AU$54)/SUM(Popn!AT$35:AT$54),Exogenous!$B$53*SUM(Popn!AU$55:AU$74)/SUM(Popn!AT$55:AT$74),Exogenous!$B$54*SUM(Popn!AU$75:AU$94)/SUM(Popn!AT$75:AT$94),Exogenous!$B$55*SUM(Popn!AU$95:AU$100)/SUM(Popn!AT$95:AT$100))-SUM(Exogenous!$B$50:$B$55)</f>
        <v>2.1662519094557409E-3</v>
      </c>
      <c r="AO244" s="72">
        <f>SUM(Exogenous!$B$50*SUM(Popn!AV$10:AV$24)/SUM(Popn!AU$10:AU$24),Exogenous!$B$51*SUM(Popn!AV$25:AV$34)/SUM(Popn!AU$25:AU$34),Exogenous!$B$52*SUM(Popn!AV$35:AV$54)/SUM(Popn!AU$35:AU$54),Exogenous!$B$53*SUM(Popn!AV$55:AV$74)/SUM(Popn!AU$55:AU$74),Exogenous!$B$54*SUM(Popn!AV$75:AV$94)/SUM(Popn!AU$75:AU$94),Exogenous!$B$55*SUM(Popn!AV$95:AV$100)/SUM(Popn!AU$95:AU$100))-SUM(Exogenous!$B$50:$B$55)</f>
        <v>2.1133544668816562E-3</v>
      </c>
      <c r="AP244" s="72">
        <f>SUM(Exogenous!$B$50*SUM(Popn!AW$10:AW$24)/SUM(Popn!AV$10:AV$24),Exogenous!$B$51*SUM(Popn!AW$25:AW$34)/SUM(Popn!AV$25:AV$34),Exogenous!$B$52*SUM(Popn!AW$35:AW$54)/SUM(Popn!AV$35:AV$54),Exogenous!$B$53*SUM(Popn!AW$55:AW$74)/SUM(Popn!AV$55:AV$74),Exogenous!$B$54*SUM(Popn!AW$75:AW$94)/SUM(Popn!AV$75:AV$94),Exogenous!$B$55*SUM(Popn!AW$95:AW$100)/SUM(Popn!AV$95:AV$100))-SUM(Exogenous!$B$50:$B$55)</f>
        <v>2.1653765638076639E-3</v>
      </c>
      <c r="AQ244" s="72">
        <f>SUM(Exogenous!$B$50*SUM(Popn!AX$10:AX$24)/SUM(Popn!AW$10:AW$24),Exogenous!$B$51*SUM(Popn!AX$25:AX$34)/SUM(Popn!AW$25:AW$34),Exogenous!$B$52*SUM(Popn!AX$35:AX$54)/SUM(Popn!AW$35:AW$54),Exogenous!$B$53*SUM(Popn!AX$55:AX$74)/SUM(Popn!AW$55:AW$74),Exogenous!$B$54*SUM(Popn!AX$75:AX$94)/SUM(Popn!AW$75:AW$94),Exogenous!$B$55*SUM(Popn!AX$95:AX$100)/SUM(Popn!AW$95:AW$100))-SUM(Exogenous!$B$50:$B$55)</f>
        <v>2.1584848234211806E-3</v>
      </c>
      <c r="AR244" s="72">
        <f>SUM(Exogenous!$B$50*SUM(Popn!AY$10:AY$24)/SUM(Popn!AX$10:AX$24),Exogenous!$B$51*SUM(Popn!AY$25:AY$34)/SUM(Popn!AX$25:AX$34),Exogenous!$B$52*SUM(Popn!AY$35:AY$54)/SUM(Popn!AX$35:AX$54),Exogenous!$B$53*SUM(Popn!AY$55:AY$74)/SUM(Popn!AX$55:AX$74),Exogenous!$B$54*SUM(Popn!AY$75:AY$94)/SUM(Popn!AX$75:AX$94),Exogenous!$B$55*SUM(Popn!AY$95:AY$100)/SUM(Popn!AX$95:AX$100))-SUM(Exogenous!$B$50:$B$55)</f>
        <v>2.2268766306418053E-3</v>
      </c>
      <c r="AS244" s="72">
        <f>SUM(Exogenous!$B$50*SUM(Popn!AZ$10:AZ$24)/SUM(Popn!AY$10:AY$24),Exogenous!$B$51*SUM(Popn!AZ$25:AZ$34)/SUM(Popn!AY$25:AY$34),Exogenous!$B$52*SUM(Popn!AZ$35:AZ$54)/SUM(Popn!AY$35:AY$54),Exogenous!$B$53*SUM(Popn!AZ$55:AZ$74)/SUM(Popn!AY$55:AY$74),Exogenous!$B$54*SUM(Popn!AZ$75:AZ$94)/SUM(Popn!AY$75:AY$94),Exogenous!$B$55*SUM(Popn!AZ$95:AZ$100)/SUM(Popn!AY$95:AY$100))-SUM(Exogenous!$B$50:$B$55)</f>
        <v>2.2547531572842949E-3</v>
      </c>
      <c r="AT244" s="72">
        <f>SUM(Exogenous!$B$50*SUM(Popn!BA$10:BA$24)/SUM(Popn!AZ$10:AZ$24),Exogenous!$B$51*SUM(Popn!BA$25:BA$34)/SUM(Popn!AZ$25:AZ$34),Exogenous!$B$52*SUM(Popn!BA$35:BA$54)/SUM(Popn!AZ$35:AZ$54),Exogenous!$B$53*SUM(Popn!BA$55:BA$74)/SUM(Popn!AZ$55:AZ$74),Exogenous!$B$54*SUM(Popn!BA$75:BA$94)/SUM(Popn!AZ$75:AZ$94),Exogenous!$B$55*SUM(Popn!BA$95:BA$100)/SUM(Popn!AZ$95:AZ$100))-SUM(Exogenous!$B$50:$B$55)</f>
        <v>2.1353561294438217E-3</v>
      </c>
      <c r="AU244" s="72">
        <f>SUM(Exogenous!$B$50*SUM(Popn!BB$10:BB$24)/SUM(Popn!BA$10:BA$24),Exogenous!$B$51*SUM(Popn!BB$25:BB$34)/SUM(Popn!BA$25:BA$34),Exogenous!$B$52*SUM(Popn!BB$35:BB$54)/SUM(Popn!BA$35:BA$54),Exogenous!$B$53*SUM(Popn!BB$55:BB$74)/SUM(Popn!BA$55:BA$74),Exogenous!$B$54*SUM(Popn!BB$75:BB$94)/SUM(Popn!BA$75:BA$94),Exogenous!$B$55*SUM(Popn!BB$95:BB$100)/SUM(Popn!BA$95:BA$100))-SUM(Exogenous!$B$50:$B$55)</f>
        <v>2.0452162764471593E-3</v>
      </c>
      <c r="AV244" s="72">
        <f>SUM(Exogenous!$B$50*SUM(Popn!BC$10:BC$24)/SUM(Popn!BB$10:BB$24),Exogenous!$B$51*SUM(Popn!BC$25:BC$34)/SUM(Popn!BB$25:BB$34),Exogenous!$B$52*SUM(Popn!BC$35:BC$54)/SUM(Popn!BB$35:BB$54),Exogenous!$B$53*SUM(Popn!BC$55:BC$74)/SUM(Popn!BB$55:BB$74),Exogenous!$B$54*SUM(Popn!BC$75:BC$94)/SUM(Popn!BB$75:BB$94),Exogenous!$B$55*SUM(Popn!BC$95:BC$100)/SUM(Popn!BB$95:BB$100))-SUM(Exogenous!$B$50:$B$55)</f>
        <v>1.8972402994579252E-3</v>
      </c>
      <c r="AW244" s="72">
        <f>SUM(Exogenous!$B$50*SUM(Popn!BD$10:BD$24)/SUM(Popn!BC$10:BC$24),Exogenous!$B$51*SUM(Popn!BD$25:BD$34)/SUM(Popn!BC$25:BC$34),Exogenous!$B$52*SUM(Popn!BD$35:BD$54)/SUM(Popn!BC$35:BC$54),Exogenous!$B$53*SUM(Popn!BD$55:BD$74)/SUM(Popn!BC$55:BC$74),Exogenous!$B$54*SUM(Popn!BD$75:BD$94)/SUM(Popn!BC$75:BC$94),Exogenous!$B$55*SUM(Popn!BD$95:BD$100)/SUM(Popn!BC$95:BC$100))-SUM(Exogenous!$B$50:$B$55)</f>
        <v>1.8653337428294892E-3</v>
      </c>
    </row>
    <row r="245" spans="1:49" x14ac:dyDescent="0.2">
      <c r="A245" s="1" t="s">
        <v>1186</v>
      </c>
      <c r="B245" s="4"/>
      <c r="D245" s="73">
        <f>SUM(Exogenous!$C$50*SUM(Popn!K$110:K$124)/SUM(Popn!J$110:J$124),Exogenous!$C$51*SUM(Popn!K$125:K$134)/SUM(Popn!J$125:J$134),Exogenous!$C$52*SUM(Popn!K$135:K$154)/SUM(Popn!J$135:J$154),Exogenous!$C$53*SUM(Popn!K$155:K$174)/SUM(Popn!J$155:J$174),Exogenous!$C$54*SUM(Popn!K$175:K$194)/SUM(Popn!J$175:J$194),Exogenous!$C$55*SUM(Popn!K$195:K$200)/SUM(Popn!J$195:J$200))-SUM(Exogenous!$C$50:$C$55)</f>
        <v>1.1245190014366635E-2</v>
      </c>
      <c r="E245" s="74">
        <f>SUM(Exogenous!$C$50*SUM(Popn!L$110:L$124)/SUM(Popn!K$110:K$124),Exogenous!$C$51*SUM(Popn!L$125:L$134)/SUM(Popn!K$125:K$134),Exogenous!$C$52*SUM(Popn!L$135:L$154)/SUM(Popn!K$135:K$154),Exogenous!$C$53*SUM(Popn!L$155:L$174)/SUM(Popn!K$155:K$174),Exogenous!$C$54*SUM(Popn!L$175:L$194)/SUM(Popn!K$175:K$194),Exogenous!$C$55*SUM(Popn!L$195:L$200)/SUM(Popn!K$195:K$200))-SUM(Exogenous!$C$50:$C$55)</f>
        <v>9.464373274531368E-3</v>
      </c>
      <c r="F245" s="74">
        <f>SUM(Exogenous!$C$50*SUM(Popn!M$110:M$124)/SUM(Popn!L$110:L$124),Exogenous!$C$51*SUM(Popn!M$125:M$134)/SUM(Popn!L$125:L$134),Exogenous!$C$52*SUM(Popn!M$135:M$154)/SUM(Popn!L$135:L$154),Exogenous!$C$53*SUM(Popn!M$155:M$174)/SUM(Popn!L$155:L$174),Exogenous!$C$54*SUM(Popn!M$175:M$194)/SUM(Popn!L$175:L$194),Exogenous!$C$55*SUM(Popn!M$195:M$200)/SUM(Popn!L$195:L$200))-SUM(Exogenous!$C$50:$C$55)</f>
        <v>7.5968575291144314E-3</v>
      </c>
      <c r="G245" s="74">
        <f>SUM(Exogenous!$C$50*SUM(Popn!N$110:N$124)/SUM(Popn!M$110:M$124),Exogenous!$C$51*SUM(Popn!N$125:N$134)/SUM(Popn!M$125:M$134),Exogenous!$C$52*SUM(Popn!N$135:N$154)/SUM(Popn!M$135:M$154),Exogenous!$C$53*SUM(Popn!N$155:N$174)/SUM(Popn!M$155:M$174),Exogenous!$C$54*SUM(Popn!N$175:N$194)/SUM(Popn!M$175:M$194),Exogenous!$C$55*SUM(Popn!N$195:N$200)/SUM(Popn!M$195:M$200))-SUM(Exogenous!$C$50:$C$55)</f>
        <v>7.0890718796434715E-3</v>
      </c>
      <c r="H245" s="74">
        <f>SUM(Exogenous!$C$50*SUM(Popn!O$110:O$124)/SUM(Popn!N$110:N$124),Exogenous!$C$51*SUM(Popn!O$125:O$134)/SUM(Popn!N$125:N$134),Exogenous!$C$52*SUM(Popn!O$135:O$154)/SUM(Popn!N$135:N$154),Exogenous!$C$53*SUM(Popn!O$155:O$174)/SUM(Popn!N$155:N$174),Exogenous!$C$54*SUM(Popn!O$175:O$194)/SUM(Popn!N$175:N$194),Exogenous!$C$55*SUM(Popn!O$195:O$200)/SUM(Popn!N$195:N$200))-SUM(Exogenous!$C$50:$C$55)</f>
        <v>6.9998099111529544E-3</v>
      </c>
      <c r="I245" s="74">
        <f>SUM(Exogenous!$C$50*SUM(Popn!P$110:P$124)/SUM(Popn!O$110:O$124),Exogenous!$C$51*SUM(Popn!P$125:P$134)/SUM(Popn!O$125:O$134),Exogenous!$C$52*SUM(Popn!P$135:P$154)/SUM(Popn!O$135:O$154),Exogenous!$C$53*SUM(Popn!P$155:P$174)/SUM(Popn!O$155:O$174),Exogenous!$C$54*SUM(Popn!P$175:P$194)/SUM(Popn!O$175:O$194),Exogenous!$C$55*SUM(Popn!P$195:P$200)/SUM(Popn!O$195:O$200))-SUM(Exogenous!$C$50:$C$55)</f>
        <v>6.7088312689755902E-3</v>
      </c>
      <c r="J245" s="72">
        <f>SUM(Exogenous!$C$50*SUM(Popn!Q$110:Q$124)/SUM(Popn!P$110:P$124),Exogenous!$C$51*SUM(Popn!Q$125:Q$134)/SUM(Popn!P$125:P$134),Exogenous!$C$52*SUM(Popn!Q$135:Q$154)/SUM(Popn!P$135:P$154),Exogenous!$C$53*SUM(Popn!Q$155:Q$174)/SUM(Popn!P$155:P$174),Exogenous!$C$54*SUM(Popn!Q$175:Q$194)/SUM(Popn!P$175:P$194),Exogenous!$C$55*SUM(Popn!Q$195:Q$200)/SUM(Popn!P$195:P$200))-SUM(Exogenous!$C$50:$C$55)</f>
        <v>6.6431455827823949E-3</v>
      </c>
      <c r="K245" s="72">
        <f>SUM(Exogenous!$C$50*SUM(Popn!R$110:R$124)/SUM(Popn!Q$110:Q$124),Exogenous!$C$51*SUM(Popn!R$125:R$134)/SUM(Popn!Q$125:Q$134),Exogenous!$C$52*SUM(Popn!R$135:R$154)/SUM(Popn!Q$135:Q$154),Exogenous!$C$53*SUM(Popn!R$155:R$174)/SUM(Popn!Q$155:Q$174),Exogenous!$C$54*SUM(Popn!R$175:R$194)/SUM(Popn!Q$175:Q$194),Exogenous!$C$55*SUM(Popn!R$195:R$200)/SUM(Popn!Q$195:Q$200))-SUM(Exogenous!$C$50:$C$55)</f>
        <v>6.4056061950623078E-3</v>
      </c>
      <c r="L245" s="72">
        <f>SUM(Exogenous!$C$50*SUM(Popn!S$110:S$124)/SUM(Popn!R$110:R$124),Exogenous!$C$51*SUM(Popn!S$125:S$134)/SUM(Popn!R$125:R$134),Exogenous!$C$52*SUM(Popn!S$135:S$154)/SUM(Popn!R$135:R$154),Exogenous!$C$53*SUM(Popn!S$155:S$174)/SUM(Popn!R$155:R$174),Exogenous!$C$54*SUM(Popn!S$175:S$194)/SUM(Popn!R$175:R$194),Exogenous!$C$55*SUM(Popn!S$195:S$200)/SUM(Popn!R$195:R$200))-SUM(Exogenous!$C$50:$C$55)</f>
        <v>6.1660227154490821E-3</v>
      </c>
      <c r="M245" s="72">
        <f>SUM(Exogenous!$C$50*SUM(Popn!T$110:T$124)/SUM(Popn!S$110:S$124),Exogenous!$C$51*SUM(Popn!T$125:T$134)/SUM(Popn!S$125:S$134),Exogenous!$C$52*SUM(Popn!T$135:T$154)/SUM(Popn!S$135:S$154),Exogenous!$C$53*SUM(Popn!T$155:T$174)/SUM(Popn!S$155:S$174),Exogenous!$C$54*SUM(Popn!T$175:T$194)/SUM(Popn!S$175:S$194),Exogenous!$C$55*SUM(Popn!T$195:T$200)/SUM(Popn!S$195:S$200))-SUM(Exogenous!$C$50:$C$55)</f>
        <v>6.1120808637413204E-3</v>
      </c>
      <c r="N245" s="72">
        <f>SUM(Exogenous!$C$50*SUM(Popn!U$110:U$124)/SUM(Popn!T$110:T$124),Exogenous!$C$51*SUM(Popn!U$125:U$134)/SUM(Popn!T$125:T$134),Exogenous!$C$52*SUM(Popn!U$135:U$154)/SUM(Popn!T$135:T$154),Exogenous!$C$53*SUM(Popn!U$155:U$174)/SUM(Popn!T$155:T$174),Exogenous!$C$54*SUM(Popn!U$175:U$194)/SUM(Popn!T$175:T$194),Exogenous!$C$55*SUM(Popn!U$195:U$200)/SUM(Popn!T$195:T$200))-SUM(Exogenous!$C$50:$C$55)</f>
        <v>6.1198467583789551E-3</v>
      </c>
      <c r="O245" s="72">
        <f>SUM(Exogenous!$C$50*SUM(Popn!V$110:V$124)/SUM(Popn!U$110:U$124),Exogenous!$C$51*SUM(Popn!V$125:V$134)/SUM(Popn!U$125:U$134),Exogenous!$C$52*SUM(Popn!V$135:V$154)/SUM(Popn!U$135:U$154),Exogenous!$C$53*SUM(Popn!V$155:V$174)/SUM(Popn!U$155:U$174),Exogenous!$C$54*SUM(Popn!V$175:V$194)/SUM(Popn!U$175:U$194),Exogenous!$C$55*SUM(Popn!V$195:V$200)/SUM(Popn!U$195:U$200))-SUM(Exogenous!$C$50:$C$55)</f>
        <v>6.090147826931458E-3</v>
      </c>
      <c r="P245" s="72">
        <f>SUM(Exogenous!$C$50*SUM(Popn!W$110:W$124)/SUM(Popn!V$110:V$124),Exogenous!$C$51*SUM(Popn!W$125:W$134)/SUM(Popn!V$125:V$134),Exogenous!$C$52*SUM(Popn!W$135:W$154)/SUM(Popn!V$135:V$154),Exogenous!$C$53*SUM(Popn!W$155:W$174)/SUM(Popn!V$155:V$174),Exogenous!$C$54*SUM(Popn!W$175:W$194)/SUM(Popn!V$175:V$194),Exogenous!$C$55*SUM(Popn!W$195:W$200)/SUM(Popn!V$195:V$200))-SUM(Exogenous!$C$50:$C$55)</f>
        <v>5.9692528252318633E-3</v>
      </c>
      <c r="Q245" s="72">
        <f>SUM(Exogenous!$C$50*SUM(Popn!X$110:X$124)/SUM(Popn!W$110:W$124),Exogenous!$C$51*SUM(Popn!X$125:X$134)/SUM(Popn!W$125:W$134),Exogenous!$C$52*SUM(Popn!X$135:X$154)/SUM(Popn!W$135:W$154),Exogenous!$C$53*SUM(Popn!X$155:X$174)/SUM(Popn!W$155:W$174),Exogenous!$C$54*SUM(Popn!X$175:X$194)/SUM(Popn!W$175:W$194),Exogenous!$C$55*SUM(Popn!X$195:X$200)/SUM(Popn!W$195:W$200))-SUM(Exogenous!$C$50:$C$55)</f>
        <v>5.4429771928071746E-3</v>
      </c>
      <c r="R245" s="72">
        <f>SUM(Exogenous!$C$50*SUM(Popn!Y$110:Y$124)/SUM(Popn!X$110:X$124),Exogenous!$C$51*SUM(Popn!Y$125:Y$134)/SUM(Popn!X$125:X$134),Exogenous!$C$52*SUM(Popn!Y$135:Y$154)/SUM(Popn!X$135:X$154),Exogenous!$C$53*SUM(Popn!Y$155:Y$174)/SUM(Popn!X$155:X$174),Exogenous!$C$54*SUM(Popn!Y$175:Y$194)/SUM(Popn!X$175:X$194),Exogenous!$C$55*SUM(Popn!Y$195:Y$200)/SUM(Popn!X$195:X$200))-SUM(Exogenous!$C$50:$C$55)</f>
        <v>5.3708164498267874E-3</v>
      </c>
      <c r="S245" s="72">
        <f>SUM(Exogenous!$C$50*SUM(Popn!Z$110:Z$124)/SUM(Popn!Y$110:Y$124),Exogenous!$C$51*SUM(Popn!Z$125:Z$134)/SUM(Popn!Y$125:Y$134),Exogenous!$C$52*SUM(Popn!Z$135:Z$154)/SUM(Popn!Y$135:Y$154),Exogenous!$C$53*SUM(Popn!Z$155:Z$174)/SUM(Popn!Y$155:Y$174),Exogenous!$C$54*SUM(Popn!Z$175:Z$194)/SUM(Popn!Y$175:Y$194),Exogenous!$C$55*SUM(Popn!Z$195:Z$200)/SUM(Popn!Y$195:Y$200))-SUM(Exogenous!$C$50:$C$55)</f>
        <v>5.0683843293766184E-3</v>
      </c>
      <c r="T245" s="72">
        <f>SUM(Exogenous!$C$50*SUM(Popn!AA$110:AA$124)/SUM(Popn!Z$110:Z$124),Exogenous!$C$51*SUM(Popn!AA$125:AA$134)/SUM(Popn!Z$125:Z$134),Exogenous!$C$52*SUM(Popn!AA$135:AA$154)/SUM(Popn!Z$135:Z$154),Exogenous!$C$53*SUM(Popn!AA$155:AA$174)/SUM(Popn!Z$155:Z$174),Exogenous!$C$54*SUM(Popn!AA$175:AA$194)/SUM(Popn!Z$175:Z$194),Exogenous!$C$55*SUM(Popn!AA$195:AA$200)/SUM(Popn!Z$195:Z$200))-SUM(Exogenous!$C$50:$C$55)</f>
        <v>4.8499740361788168E-3</v>
      </c>
      <c r="U245" s="72">
        <f>SUM(Exogenous!$C$50*SUM(Popn!AB$110:AB$124)/SUM(Popn!AA$110:AA$124),Exogenous!$C$51*SUM(Popn!AB$125:AB$134)/SUM(Popn!AA$125:AA$134),Exogenous!$C$52*SUM(Popn!AB$135:AB$154)/SUM(Popn!AA$135:AA$154),Exogenous!$C$53*SUM(Popn!AB$155:AB$174)/SUM(Popn!AA$155:AA$174),Exogenous!$C$54*SUM(Popn!AB$175:AB$194)/SUM(Popn!AA$175:AA$194),Exogenous!$C$55*SUM(Popn!AB$195:AB$200)/SUM(Popn!AA$195:AA$200))-SUM(Exogenous!$C$50:$C$55)</f>
        <v>4.8718768312707161E-3</v>
      </c>
      <c r="V245" s="72">
        <f>SUM(Exogenous!$C$50*SUM(Popn!AC$110:AC$124)/SUM(Popn!AB$110:AB$124),Exogenous!$C$51*SUM(Popn!AC$125:AC$134)/SUM(Popn!AB$125:AB$134),Exogenous!$C$52*SUM(Popn!AC$135:AC$154)/SUM(Popn!AB$135:AB$154),Exogenous!$C$53*SUM(Popn!AC$155:AC$174)/SUM(Popn!AB$155:AB$174),Exogenous!$C$54*SUM(Popn!AC$175:AC$194)/SUM(Popn!AB$175:AB$194),Exogenous!$C$55*SUM(Popn!AC$195:AC$200)/SUM(Popn!AB$195:AB$200))-SUM(Exogenous!$C$50:$C$55)</f>
        <v>4.6900306118894952E-3</v>
      </c>
      <c r="W245" s="72">
        <f>SUM(Exogenous!$C$50*SUM(Popn!AD$110:AD$124)/SUM(Popn!AC$110:AC$124),Exogenous!$C$51*SUM(Popn!AD$125:AD$134)/SUM(Popn!AC$125:AC$134),Exogenous!$C$52*SUM(Popn!AD$135:AD$154)/SUM(Popn!AC$135:AC$154),Exogenous!$C$53*SUM(Popn!AD$155:AD$174)/SUM(Popn!AC$155:AC$174),Exogenous!$C$54*SUM(Popn!AD$175:AD$194)/SUM(Popn!AC$175:AC$194),Exogenous!$C$55*SUM(Popn!AD$195:AD$200)/SUM(Popn!AC$195:AC$200))-SUM(Exogenous!$C$50:$C$55)</f>
        <v>4.5464072003442157E-3</v>
      </c>
      <c r="X245" s="72">
        <f>SUM(Exogenous!$C$50*SUM(Popn!AE$110:AE$124)/SUM(Popn!AD$110:AD$124),Exogenous!$C$51*SUM(Popn!AE$125:AE$134)/SUM(Popn!AD$125:AD$134),Exogenous!$C$52*SUM(Popn!AE$135:AE$154)/SUM(Popn!AD$135:AD$154),Exogenous!$C$53*SUM(Popn!AE$155:AE$174)/SUM(Popn!AD$155:AD$174),Exogenous!$C$54*SUM(Popn!AE$175:AE$194)/SUM(Popn!AD$175:AD$194),Exogenous!$C$55*SUM(Popn!AE$195:AE$200)/SUM(Popn!AD$195:AD$200))-SUM(Exogenous!$C$50:$C$55)</f>
        <v>4.4332212279730165E-3</v>
      </c>
      <c r="Y245" s="72">
        <f>SUM(Exogenous!$C$50*SUM(Popn!AF$110:AF$124)/SUM(Popn!AE$110:AE$124),Exogenous!$C$51*SUM(Popn!AF$125:AF$134)/SUM(Popn!AE$125:AE$134),Exogenous!$C$52*SUM(Popn!AF$135:AF$154)/SUM(Popn!AE$135:AE$154),Exogenous!$C$53*SUM(Popn!AF$155:AF$174)/SUM(Popn!AE$155:AE$174),Exogenous!$C$54*SUM(Popn!AF$175:AF$194)/SUM(Popn!AE$175:AE$194),Exogenous!$C$55*SUM(Popn!AF$195:AF$200)/SUM(Popn!AE$195:AE$200))-SUM(Exogenous!$C$50:$C$55)</f>
        <v>4.393377889530925E-3</v>
      </c>
      <c r="Z245" s="72">
        <f>SUM(Exogenous!$C$50*SUM(Popn!AG$110:AG$124)/SUM(Popn!AF$110:AF$124),Exogenous!$C$51*SUM(Popn!AG$125:AG$134)/SUM(Popn!AF$125:AF$134),Exogenous!$C$52*SUM(Popn!AG$135:AG$154)/SUM(Popn!AF$135:AF$154),Exogenous!$C$53*SUM(Popn!AG$155:AG$174)/SUM(Popn!AF$155:AF$174),Exogenous!$C$54*SUM(Popn!AG$175:AG$194)/SUM(Popn!AF$175:AF$194),Exogenous!$C$55*SUM(Popn!AG$195:AG$200)/SUM(Popn!AF$195:AF$200))-SUM(Exogenous!$C$50:$C$55)</f>
        <v>4.1209767375017248E-3</v>
      </c>
      <c r="AA245" s="72">
        <f>SUM(Exogenous!$C$50*SUM(Popn!AH$110:AH$124)/SUM(Popn!AG$110:AG$124),Exogenous!$C$51*SUM(Popn!AH$125:AH$134)/SUM(Popn!AG$125:AG$134),Exogenous!$C$52*SUM(Popn!AH$135:AH$154)/SUM(Popn!AG$135:AG$154),Exogenous!$C$53*SUM(Popn!AH$155:AH$174)/SUM(Popn!AG$155:AG$174),Exogenous!$C$54*SUM(Popn!AH$175:AH$194)/SUM(Popn!AG$175:AG$194),Exogenous!$C$55*SUM(Popn!AH$195:AH$200)/SUM(Popn!AG$195:AG$200))-SUM(Exogenous!$C$50:$C$55)</f>
        <v>3.8799701238428908E-3</v>
      </c>
      <c r="AB245" s="72">
        <f>SUM(Exogenous!$C$50*SUM(Popn!AI$110:AI$124)/SUM(Popn!AH$110:AH$124),Exogenous!$C$51*SUM(Popn!AI$125:AI$134)/SUM(Popn!AH$125:AH$134),Exogenous!$C$52*SUM(Popn!AI$135:AI$154)/SUM(Popn!AH$135:AH$154),Exogenous!$C$53*SUM(Popn!AI$155:AI$174)/SUM(Popn!AH$155:AH$174),Exogenous!$C$54*SUM(Popn!AI$175:AI$194)/SUM(Popn!AH$175:AH$194),Exogenous!$C$55*SUM(Popn!AI$195:AI$200)/SUM(Popn!AH$195:AH$200))-SUM(Exogenous!$C$50:$C$55)</f>
        <v>3.5907416693753968E-3</v>
      </c>
      <c r="AC245" s="72">
        <f>SUM(Exogenous!$C$50*SUM(Popn!AJ$110:AJ$124)/SUM(Popn!AI$110:AI$124),Exogenous!$C$51*SUM(Popn!AJ$125:AJ$134)/SUM(Popn!AI$125:AI$134),Exogenous!$C$52*SUM(Popn!AJ$135:AJ$154)/SUM(Popn!AI$135:AI$154),Exogenous!$C$53*SUM(Popn!AJ$155:AJ$174)/SUM(Popn!AI$155:AI$174),Exogenous!$C$54*SUM(Popn!AJ$175:AJ$194)/SUM(Popn!AI$175:AI$194),Exogenous!$C$55*SUM(Popn!AJ$195:AJ$200)/SUM(Popn!AI$195:AI$200))-SUM(Exogenous!$C$50:$C$55)</f>
        <v>3.3242963482453258E-3</v>
      </c>
      <c r="AD245" s="72">
        <f>SUM(Exogenous!$C$50*SUM(Popn!AK$110:AK$124)/SUM(Popn!AJ$110:AJ$124),Exogenous!$C$51*SUM(Popn!AK$125:AK$134)/SUM(Popn!AJ$125:AJ$134),Exogenous!$C$52*SUM(Popn!AK$135:AK$154)/SUM(Popn!AJ$135:AJ$154),Exogenous!$C$53*SUM(Popn!AK$155:AK$174)/SUM(Popn!AJ$155:AJ$174),Exogenous!$C$54*SUM(Popn!AK$175:AK$194)/SUM(Popn!AJ$175:AJ$194),Exogenous!$C$55*SUM(Popn!AK$195:AK$200)/SUM(Popn!AJ$195:AJ$200))-SUM(Exogenous!$C$50:$C$55)</f>
        <v>3.0306203455009451E-3</v>
      </c>
      <c r="AE245" s="72">
        <f>SUM(Exogenous!$C$50*SUM(Popn!AL$110:AL$124)/SUM(Popn!AK$110:AK$124),Exogenous!$C$51*SUM(Popn!AL$125:AL$134)/SUM(Popn!AK$125:AK$134),Exogenous!$C$52*SUM(Popn!AL$135:AL$154)/SUM(Popn!AK$135:AK$154),Exogenous!$C$53*SUM(Popn!AL$155:AL$174)/SUM(Popn!AK$155:AK$174),Exogenous!$C$54*SUM(Popn!AL$175:AL$194)/SUM(Popn!AK$175:AK$194),Exogenous!$C$55*SUM(Popn!AL$195:AL$200)/SUM(Popn!AK$195:AK$200))-SUM(Exogenous!$C$50:$C$55)</f>
        <v>2.8309428976153184E-3</v>
      </c>
      <c r="AF245" s="72">
        <f>SUM(Exogenous!$C$50*SUM(Popn!AM$110:AM$124)/SUM(Popn!AL$110:AL$124),Exogenous!$C$51*SUM(Popn!AM$125:AM$134)/SUM(Popn!AL$125:AL$134),Exogenous!$C$52*SUM(Popn!AM$135:AM$154)/SUM(Popn!AL$135:AL$154),Exogenous!$C$53*SUM(Popn!AM$155:AM$174)/SUM(Popn!AL$155:AL$174),Exogenous!$C$54*SUM(Popn!AM$175:AM$194)/SUM(Popn!AL$175:AL$194),Exogenous!$C$55*SUM(Popn!AM$195:AM$200)/SUM(Popn!AL$195:AL$200))-SUM(Exogenous!$C$50:$C$55)</f>
        <v>2.5560893343017366E-3</v>
      </c>
      <c r="AG245" s="72">
        <f>SUM(Exogenous!$C$50*SUM(Popn!AN$110:AN$124)/SUM(Popn!AM$110:AM$124),Exogenous!$C$51*SUM(Popn!AN$125:AN$134)/SUM(Popn!AM$125:AM$134),Exogenous!$C$52*SUM(Popn!AN$135:AN$154)/SUM(Popn!AM$135:AM$154),Exogenous!$C$53*SUM(Popn!AN$155:AN$174)/SUM(Popn!AM$155:AM$174),Exogenous!$C$54*SUM(Popn!AN$175:AN$194)/SUM(Popn!AM$175:AM$194),Exogenous!$C$55*SUM(Popn!AN$195:AN$200)/SUM(Popn!AM$195:AM$200))-SUM(Exogenous!$C$50:$C$55)</f>
        <v>2.4079978996664475E-3</v>
      </c>
      <c r="AH245" s="72">
        <f>SUM(Exogenous!$C$50*SUM(Popn!AO$110:AO$124)/SUM(Popn!AN$110:AN$124),Exogenous!$C$51*SUM(Popn!AO$125:AO$134)/SUM(Popn!AN$125:AN$134),Exogenous!$C$52*SUM(Popn!AO$135:AO$154)/SUM(Popn!AN$135:AN$154),Exogenous!$C$53*SUM(Popn!AO$155:AO$174)/SUM(Popn!AN$155:AN$174),Exogenous!$C$54*SUM(Popn!AO$175:AO$194)/SUM(Popn!AN$175:AN$194),Exogenous!$C$55*SUM(Popn!AO$195:AO$200)/SUM(Popn!AN$195:AN$200))-SUM(Exogenous!$C$50:$C$55)</f>
        <v>2.3674960061077499E-3</v>
      </c>
      <c r="AI245" s="72">
        <f>SUM(Exogenous!$C$50*SUM(Popn!AP$110:AP$124)/SUM(Popn!AO$110:AO$124),Exogenous!$C$51*SUM(Popn!AP$125:AP$134)/SUM(Popn!AO$125:AO$134),Exogenous!$C$52*SUM(Popn!AP$135:AP$154)/SUM(Popn!AO$135:AO$154),Exogenous!$C$53*SUM(Popn!AP$155:AP$174)/SUM(Popn!AO$155:AO$174),Exogenous!$C$54*SUM(Popn!AP$175:AP$194)/SUM(Popn!AO$175:AO$194),Exogenous!$C$55*SUM(Popn!AP$195:AP$200)/SUM(Popn!AO$195:AO$200))-SUM(Exogenous!$C$50:$C$55)</f>
        <v>2.2265566707354578E-3</v>
      </c>
      <c r="AJ245" s="72">
        <f>SUM(Exogenous!$C$50*SUM(Popn!AQ$110:AQ$124)/SUM(Popn!AP$110:AP$124),Exogenous!$C$51*SUM(Popn!AQ$125:AQ$134)/SUM(Popn!AP$125:AP$134),Exogenous!$C$52*SUM(Popn!AQ$135:AQ$154)/SUM(Popn!AP$135:AP$154),Exogenous!$C$53*SUM(Popn!AQ$155:AQ$174)/SUM(Popn!AP$155:AP$174),Exogenous!$C$54*SUM(Popn!AQ$175:AQ$194)/SUM(Popn!AP$175:AP$194),Exogenous!$C$55*SUM(Popn!AQ$195:AQ$200)/SUM(Popn!AP$195:AP$200))-SUM(Exogenous!$C$50:$C$55)</f>
        <v>2.0098959708813036E-3</v>
      </c>
      <c r="AK245" s="72">
        <f>SUM(Exogenous!$C$50*SUM(Popn!AR$110:AR$124)/SUM(Popn!AQ$110:AQ$124),Exogenous!$C$51*SUM(Popn!AR$125:AR$134)/SUM(Popn!AQ$125:AQ$134),Exogenous!$C$52*SUM(Popn!AR$135:AR$154)/SUM(Popn!AQ$135:AQ$154),Exogenous!$C$53*SUM(Popn!AR$155:AR$174)/SUM(Popn!AQ$155:AQ$174),Exogenous!$C$54*SUM(Popn!AR$175:AR$194)/SUM(Popn!AQ$175:AQ$194),Exogenous!$C$55*SUM(Popn!AR$195:AR$200)/SUM(Popn!AQ$195:AQ$200))-SUM(Exogenous!$C$50:$C$55)</f>
        <v>2.0575543018829245E-3</v>
      </c>
      <c r="AL245" s="72">
        <f>SUM(Exogenous!$C$50*SUM(Popn!AS$110:AS$124)/SUM(Popn!AR$110:AR$124),Exogenous!$C$51*SUM(Popn!AS$125:AS$134)/SUM(Popn!AR$125:AR$134),Exogenous!$C$52*SUM(Popn!AS$135:AS$154)/SUM(Popn!AR$135:AR$154),Exogenous!$C$53*SUM(Popn!AS$155:AS$174)/SUM(Popn!AR$155:AR$174),Exogenous!$C$54*SUM(Popn!AS$175:AS$194)/SUM(Popn!AR$175:AR$194),Exogenous!$C$55*SUM(Popn!AS$195:AS$200)/SUM(Popn!AR$195:AR$200))-SUM(Exogenous!$C$50:$C$55)</f>
        <v>2.0761732850373971E-3</v>
      </c>
      <c r="AM245" s="72">
        <f>SUM(Exogenous!$C$50*SUM(Popn!AT$110:AT$124)/SUM(Popn!AS$110:AS$124),Exogenous!$C$51*SUM(Popn!AT$125:AT$134)/SUM(Popn!AS$125:AS$134),Exogenous!$C$52*SUM(Popn!AT$135:AT$154)/SUM(Popn!AS$135:AS$154),Exogenous!$C$53*SUM(Popn!AT$155:AT$174)/SUM(Popn!AS$155:AS$174),Exogenous!$C$54*SUM(Popn!AT$175:AT$194)/SUM(Popn!AS$175:AS$194),Exogenous!$C$55*SUM(Popn!AT$195:AT$200)/SUM(Popn!AS$195:AS$200))-SUM(Exogenous!$C$50:$C$55)</f>
        <v>2.1137721862451997E-3</v>
      </c>
      <c r="AN245" s="72">
        <f>SUM(Exogenous!$C$50*SUM(Popn!AU$110:AU$124)/SUM(Popn!AT$110:AT$124),Exogenous!$C$51*SUM(Popn!AU$125:AU$134)/SUM(Popn!AT$125:AT$134),Exogenous!$C$52*SUM(Popn!AU$135:AU$154)/SUM(Popn!AT$135:AT$154),Exogenous!$C$53*SUM(Popn!AU$155:AU$174)/SUM(Popn!AT$155:AT$174),Exogenous!$C$54*SUM(Popn!AU$175:AU$194)/SUM(Popn!AT$175:AT$194),Exogenous!$C$55*SUM(Popn!AU$195:AU$200)/SUM(Popn!AT$195:AT$200))-SUM(Exogenous!$C$50:$C$55)</f>
        <v>2.2451483004493067E-3</v>
      </c>
      <c r="AO245" s="72">
        <f>SUM(Exogenous!$C$50*SUM(Popn!AV$110:AV$124)/SUM(Popn!AU$110:AU$124),Exogenous!$C$51*SUM(Popn!AV$125:AV$134)/SUM(Popn!AU$125:AU$134),Exogenous!$C$52*SUM(Popn!AV$135:AV$154)/SUM(Popn!AU$135:AU$154),Exogenous!$C$53*SUM(Popn!AV$155:AV$174)/SUM(Popn!AU$155:AU$174),Exogenous!$C$54*SUM(Popn!AV$175:AV$194)/SUM(Popn!AU$175:AU$194),Exogenous!$C$55*SUM(Popn!AV$195:AV$200)/SUM(Popn!AU$195:AU$200))-SUM(Exogenous!$C$50:$C$55)</f>
        <v>2.4302305163145244E-3</v>
      </c>
      <c r="AP245" s="72">
        <f>SUM(Exogenous!$C$50*SUM(Popn!AW$110:AW$124)/SUM(Popn!AV$110:AV$124),Exogenous!$C$51*SUM(Popn!AW$125:AW$134)/SUM(Popn!AV$125:AV$134),Exogenous!$C$52*SUM(Popn!AW$135:AW$154)/SUM(Popn!AV$135:AV$154),Exogenous!$C$53*SUM(Popn!AW$155:AW$174)/SUM(Popn!AV$155:AV$174),Exogenous!$C$54*SUM(Popn!AW$175:AW$194)/SUM(Popn!AV$175:AV$194),Exogenous!$C$55*SUM(Popn!AW$195:AW$200)/SUM(Popn!AV$195:AV$200))-SUM(Exogenous!$C$50:$C$55)</f>
        <v>2.6241687169309968E-3</v>
      </c>
      <c r="AQ245" s="72">
        <f>SUM(Exogenous!$C$50*SUM(Popn!AX$110:AX$124)/SUM(Popn!AW$110:AW$124),Exogenous!$C$51*SUM(Popn!AX$125:AX$134)/SUM(Popn!AW$125:AW$134),Exogenous!$C$52*SUM(Popn!AX$135:AX$154)/SUM(Popn!AW$135:AW$154),Exogenous!$C$53*SUM(Popn!AX$155:AX$174)/SUM(Popn!AW$155:AW$174),Exogenous!$C$54*SUM(Popn!AX$175:AX$194)/SUM(Popn!AW$175:AW$194),Exogenous!$C$55*SUM(Popn!AX$195:AX$200)/SUM(Popn!AW$195:AW$200))-SUM(Exogenous!$C$50:$C$55)</f>
        <v>2.7742635187417153E-3</v>
      </c>
      <c r="AR245" s="72">
        <f>SUM(Exogenous!$C$50*SUM(Popn!AY$110:AY$124)/SUM(Popn!AX$110:AX$124),Exogenous!$C$51*SUM(Popn!AY$125:AY$134)/SUM(Popn!AX$125:AX$134),Exogenous!$C$52*SUM(Popn!AY$135:AY$154)/SUM(Popn!AX$135:AX$154),Exogenous!$C$53*SUM(Popn!AY$155:AY$174)/SUM(Popn!AX$155:AX$174),Exogenous!$C$54*SUM(Popn!AY$175:AY$194)/SUM(Popn!AX$175:AX$194),Exogenous!$C$55*SUM(Popn!AY$195:AY$200)/SUM(Popn!AX$195:AX$200))-SUM(Exogenous!$C$50:$C$55)</f>
        <v>2.9433855249487162E-3</v>
      </c>
      <c r="AS245" s="72">
        <f>SUM(Exogenous!$C$50*SUM(Popn!AZ$110:AZ$124)/SUM(Popn!AY$110:AY$124),Exogenous!$C$51*SUM(Popn!AZ$125:AZ$134)/SUM(Popn!AY$125:AY$134),Exogenous!$C$52*SUM(Popn!AZ$135:AZ$154)/SUM(Popn!AY$135:AY$154),Exogenous!$C$53*SUM(Popn!AZ$155:AZ$174)/SUM(Popn!AY$155:AY$174),Exogenous!$C$54*SUM(Popn!AZ$175:AZ$194)/SUM(Popn!AY$175:AY$194),Exogenous!$C$55*SUM(Popn!AZ$195:AZ$200)/SUM(Popn!AY$195:AY$200))-SUM(Exogenous!$C$50:$C$55)</f>
        <v>3.0062700205590875E-3</v>
      </c>
      <c r="AT245" s="72">
        <f>SUM(Exogenous!$C$50*SUM(Popn!BA$110:BA$124)/SUM(Popn!AZ$110:AZ$124),Exogenous!$C$51*SUM(Popn!BA$125:BA$134)/SUM(Popn!AZ$125:AZ$134),Exogenous!$C$52*SUM(Popn!BA$135:BA$154)/SUM(Popn!AZ$135:AZ$154),Exogenous!$C$53*SUM(Popn!BA$155:BA$174)/SUM(Popn!AZ$155:AZ$174),Exogenous!$C$54*SUM(Popn!BA$175:BA$194)/SUM(Popn!AZ$175:AZ$194),Exogenous!$C$55*SUM(Popn!BA$195:BA$200)/SUM(Popn!AZ$195:AZ$200))-SUM(Exogenous!$C$50:$C$55)</f>
        <v>2.9130213982574982E-3</v>
      </c>
      <c r="AU245" s="72">
        <f>SUM(Exogenous!$C$50*SUM(Popn!BB$110:BB$124)/SUM(Popn!BA$110:BA$124),Exogenous!$C$51*SUM(Popn!BB$125:BB$134)/SUM(Popn!BA$125:BA$134),Exogenous!$C$52*SUM(Popn!BB$135:BB$154)/SUM(Popn!BA$135:BA$154),Exogenous!$C$53*SUM(Popn!BB$155:BB$174)/SUM(Popn!BA$155:BA$174),Exogenous!$C$54*SUM(Popn!BB$175:BB$194)/SUM(Popn!BA$175:BA$194),Exogenous!$C$55*SUM(Popn!BB$195:BB$200)/SUM(Popn!BA$195:BA$200))-SUM(Exogenous!$C$50:$C$55)</f>
        <v>2.9324963566145223E-3</v>
      </c>
      <c r="AV245" s="72">
        <f>SUM(Exogenous!$C$50*SUM(Popn!BC$110:BC$124)/SUM(Popn!BB$110:BB$124),Exogenous!$C$51*SUM(Popn!BC$125:BC$134)/SUM(Popn!BB$125:BB$134),Exogenous!$C$52*SUM(Popn!BC$135:BC$154)/SUM(Popn!BB$135:BB$154),Exogenous!$C$53*SUM(Popn!BC$155:BC$174)/SUM(Popn!BB$155:BB$174),Exogenous!$C$54*SUM(Popn!BC$175:BC$194)/SUM(Popn!BB$175:BB$194),Exogenous!$C$55*SUM(Popn!BC$195:BC$200)/SUM(Popn!BB$195:BB$200))-SUM(Exogenous!$C$50:$C$55)</f>
        <v>2.8915733894036011E-3</v>
      </c>
      <c r="AW245" s="72">
        <f>SUM(Exogenous!$C$50*SUM(Popn!BD$110:BD$124)/SUM(Popn!BC$110:BC$124),Exogenous!$C$51*SUM(Popn!BD$125:BD$134)/SUM(Popn!BC$125:BC$134),Exogenous!$C$52*SUM(Popn!BD$135:BD$154)/SUM(Popn!BC$135:BC$154),Exogenous!$C$53*SUM(Popn!BD$155:BD$174)/SUM(Popn!BC$155:BC$174),Exogenous!$C$54*SUM(Popn!BD$175:BD$194)/SUM(Popn!BC$175:BC$194),Exogenous!$C$55*SUM(Popn!BD$195:BD$200)/SUM(Popn!BC$195:BC$200))-SUM(Exogenous!$C$50:$C$55)</f>
        <v>2.8998679333935851E-3</v>
      </c>
    </row>
    <row r="246" spans="1:49" ht="15" x14ac:dyDescent="0.25">
      <c r="A246" s="1" t="s">
        <v>1187</v>
      </c>
      <c r="B246" s="4" t="str">
        <f>$B$65</f>
        <v>Projected Years only</v>
      </c>
      <c r="D246" s="55"/>
      <c r="E246" s="56"/>
      <c r="F246" s="56"/>
      <c r="G246" s="56"/>
      <c r="H246" s="56"/>
      <c r="I246" s="56"/>
      <c r="J246" s="7">
        <f ca="1">OFFSET(Assumptions!$B$95,0,$C$1)*Popn!Q$104/OFFSET(Popn!$A$104,0,MATCH(OFFSET(Assumptions!$B$8,0,$C$1),Popn!$B$5:$BD$5,0)-1) +OFFSET(Assumptions!$B$10,0,$C$1)-OFFSET(Assumptions!$B$95,0,$C$1)</f>
        <v>1.0033185840707963</v>
      </c>
      <c r="K246" s="7">
        <f ca="1">OFFSET(Assumptions!$B$95,0,$C$1)*Popn!R$104/OFFSET(Popn!$A$104,0,MATCH(OFFSET(Assumptions!$B$8,0,$C$1),Popn!$B$5:$BD$5,0)-1) +OFFSET(Assumptions!$B$10,0,$C$1)-OFFSET(Assumptions!$B$95,0,$C$1)</f>
        <v>1.0099557522123892</v>
      </c>
      <c r="L246" s="7">
        <f ca="1">OFFSET(Assumptions!$B$95,0,$C$1)*Popn!S$104/OFFSET(Popn!$A$104,0,MATCH(OFFSET(Assumptions!$B$8,0,$C$1),Popn!$B$5:$BD$5,0)-1) +OFFSET(Assumptions!$B$10,0,$C$1)-OFFSET(Assumptions!$B$95,0,$C$1)</f>
        <v>1.0132743362831858</v>
      </c>
      <c r="M246" s="7">
        <f ca="1">OFFSET(Assumptions!$B$95,0,$C$1)*Popn!T$104/OFFSET(Popn!$A$104,0,MATCH(OFFSET(Assumptions!$B$8,0,$C$1),Popn!$B$5:$BD$5,0)-1) +OFFSET(Assumptions!$B$10,0,$C$1)-OFFSET(Assumptions!$B$95,0,$C$1)</f>
        <v>1.0165929203539825</v>
      </c>
      <c r="N246" s="7">
        <f ca="1">OFFSET(Assumptions!$B$95,0,$C$1)*Popn!U$104/OFFSET(Popn!$A$104,0,MATCH(OFFSET(Assumptions!$B$8,0,$C$1),Popn!$B$5:$BD$5,0)-1) +OFFSET(Assumptions!$B$10,0,$C$1)-OFFSET(Assumptions!$B$95,0,$C$1)</f>
        <v>1.0232300884955752</v>
      </c>
      <c r="O246" s="7">
        <f ca="1">OFFSET(Assumptions!$B$95,0,$C$1)*Popn!V$104/OFFSET(Popn!$A$104,0,MATCH(OFFSET(Assumptions!$B$8,0,$C$1),Popn!$B$5:$BD$5,0)-1) +OFFSET(Assumptions!$B$10,0,$C$1)-OFFSET(Assumptions!$B$95,0,$C$1)</f>
        <v>1.0265486725663715</v>
      </c>
      <c r="P246" s="7">
        <f ca="1">OFFSET(Assumptions!$B$95,0,$C$1)*Popn!W$104/OFFSET(Popn!$A$104,0,MATCH(OFFSET(Assumptions!$B$8,0,$C$1),Popn!$B$5:$BD$5,0)-1) +OFFSET(Assumptions!$B$10,0,$C$1)-OFFSET(Assumptions!$B$95,0,$C$1)</f>
        <v>1.029867256637168</v>
      </c>
      <c r="Q246" s="7">
        <f ca="1">OFFSET(Assumptions!$B$95,0,$C$1)*Popn!X$104/OFFSET(Popn!$A$104,0,MATCH(OFFSET(Assumptions!$B$8,0,$C$1),Popn!$B$5:$BD$5,0)-1) +OFFSET(Assumptions!$B$10,0,$C$1)-OFFSET(Assumptions!$B$95,0,$C$1)</f>
        <v>1.0331858407079646</v>
      </c>
      <c r="R246" s="7">
        <f ca="1">OFFSET(Assumptions!$B$95,0,$C$1)*Popn!Y$104/OFFSET(Popn!$A$104,0,MATCH(OFFSET(Assumptions!$B$8,0,$C$1),Popn!$B$5:$BD$5,0)-1) +OFFSET(Assumptions!$B$10,0,$C$1)-OFFSET(Assumptions!$B$95,0,$C$1)</f>
        <v>1.0365044247787609</v>
      </c>
      <c r="S246" s="7">
        <f ca="1">OFFSET(Assumptions!$B$95,0,$C$1)*Popn!Z$104/OFFSET(Popn!$A$104,0,MATCH(OFFSET(Assumptions!$B$8,0,$C$1),Popn!$B$5:$BD$5,0)-1) +OFFSET(Assumptions!$B$10,0,$C$1)-OFFSET(Assumptions!$B$95,0,$C$1)</f>
        <v>1.0431415929203538</v>
      </c>
      <c r="T246" s="7">
        <f ca="1">OFFSET(Assumptions!$B$95,0,$C$1)*Popn!AA$104/OFFSET(Popn!$A$104,0,MATCH(OFFSET(Assumptions!$B$8,0,$C$1),Popn!$B$5:$BD$5,0)-1) +OFFSET(Assumptions!$B$10,0,$C$1)-OFFSET(Assumptions!$B$95,0,$C$1)</f>
        <v>1.0464601769911503</v>
      </c>
      <c r="U246" s="7">
        <f ca="1">OFFSET(Assumptions!$B$95,0,$C$1)*Popn!AB$104/OFFSET(Popn!$A$104,0,MATCH(OFFSET(Assumptions!$B$8,0,$C$1),Popn!$B$5:$BD$5,0)-1) +OFFSET(Assumptions!$B$10,0,$C$1)-OFFSET(Assumptions!$B$95,0,$C$1)</f>
        <v>1.0497787610619471</v>
      </c>
      <c r="V246" s="7">
        <f ca="1">OFFSET(Assumptions!$B$95,0,$C$1)*Popn!AC$104/OFFSET(Popn!$A$104,0,MATCH(OFFSET(Assumptions!$B$8,0,$C$1),Popn!$B$5:$BD$5,0)-1) +OFFSET(Assumptions!$B$10,0,$C$1)-OFFSET(Assumptions!$B$95,0,$C$1)</f>
        <v>1.0530973451327432</v>
      </c>
      <c r="W246" s="7">
        <f ca="1">OFFSET(Assumptions!$B$95,0,$C$1)*Popn!AD$104/OFFSET(Popn!$A$104,0,MATCH(OFFSET(Assumptions!$B$8,0,$C$1),Popn!$B$5:$BD$5,0)-1) +OFFSET(Assumptions!$B$10,0,$C$1)-OFFSET(Assumptions!$B$95,0,$C$1)</f>
        <v>1.0564159292035398</v>
      </c>
      <c r="X246" s="7">
        <f ca="1">OFFSET(Assumptions!$B$95,0,$C$1)*Popn!AE$104/OFFSET(Popn!$A$104,0,MATCH(OFFSET(Assumptions!$B$8,0,$C$1),Popn!$B$5:$BD$5,0)-1) +OFFSET(Assumptions!$B$10,0,$C$1)-OFFSET(Assumptions!$B$95,0,$C$1)</f>
        <v>1.0597345132743361</v>
      </c>
      <c r="Y246" s="7">
        <f ca="1">OFFSET(Assumptions!$B$95,0,$C$1)*Popn!AF$104/OFFSET(Popn!$A$104,0,MATCH(OFFSET(Assumptions!$B$8,0,$C$1),Popn!$B$5:$BD$5,0)-1) +OFFSET(Assumptions!$B$10,0,$C$1)-OFFSET(Assumptions!$B$95,0,$C$1)</f>
        <v>1.0630530973451326</v>
      </c>
      <c r="Z246" s="7">
        <f ca="1">OFFSET(Assumptions!$B$95,0,$C$1)*Popn!AG$104/OFFSET(Popn!$A$104,0,MATCH(OFFSET(Assumptions!$B$8,0,$C$1),Popn!$B$5:$BD$5,0)-1) +OFFSET(Assumptions!$B$10,0,$C$1)-OFFSET(Assumptions!$B$95,0,$C$1)</f>
        <v>1.0663716814159292</v>
      </c>
      <c r="AA246" s="7">
        <f ca="1">OFFSET(Assumptions!$B$95,0,$C$1)*Popn!AH$104/OFFSET(Popn!$A$104,0,MATCH(OFFSET(Assumptions!$B$8,0,$C$1),Popn!$B$5:$BD$5,0)-1) +OFFSET(Assumptions!$B$10,0,$C$1)-OFFSET(Assumptions!$B$95,0,$C$1)</f>
        <v>1.0696902654867255</v>
      </c>
      <c r="AB246" s="7">
        <f ca="1">OFFSET(Assumptions!$B$95,0,$C$1)*Popn!AI$104/OFFSET(Popn!$A$104,0,MATCH(OFFSET(Assumptions!$B$8,0,$C$1),Popn!$B$5:$BD$5,0)-1) +OFFSET(Assumptions!$B$10,0,$C$1)-OFFSET(Assumptions!$B$95,0,$C$1)</f>
        <v>1.0730088495575223</v>
      </c>
      <c r="AC246" s="7">
        <f ca="1">OFFSET(Assumptions!$B$95,0,$C$1)*Popn!AJ$104/OFFSET(Popn!$A$104,0,MATCH(OFFSET(Assumptions!$B$8,0,$C$1),Popn!$B$5:$BD$5,0)-1) +OFFSET(Assumptions!$B$10,0,$C$1)-OFFSET(Assumptions!$B$95,0,$C$1)</f>
        <v>1.0796460176991149</v>
      </c>
      <c r="AD246" s="7">
        <f ca="1">OFFSET(Assumptions!$B$95,0,$C$1)*Popn!AK$104/OFFSET(Popn!$A$104,0,MATCH(OFFSET(Assumptions!$B$8,0,$C$1),Popn!$B$5:$BD$5,0)-1) +OFFSET(Assumptions!$B$10,0,$C$1)-OFFSET(Assumptions!$B$95,0,$C$1)</f>
        <v>1.0829646017699117</v>
      </c>
      <c r="AE246" s="7">
        <f ca="1">OFFSET(Assumptions!$B$95,0,$C$1)*Popn!AL$104/OFFSET(Popn!$A$104,0,MATCH(OFFSET(Assumptions!$B$8,0,$C$1),Popn!$B$5:$BD$5,0)-1) +OFFSET(Assumptions!$B$10,0,$C$1)-OFFSET(Assumptions!$B$95,0,$C$1)</f>
        <v>1.0862831858407078</v>
      </c>
      <c r="AF246" s="7">
        <f ca="1">OFFSET(Assumptions!$B$95,0,$C$1)*Popn!AM$104/OFFSET(Popn!$A$104,0,MATCH(OFFSET(Assumptions!$B$8,0,$C$1),Popn!$B$5:$BD$5,0)-1) +OFFSET(Assumptions!$B$10,0,$C$1)-OFFSET(Assumptions!$B$95,0,$C$1)</f>
        <v>1.0896017699115044</v>
      </c>
      <c r="AG246" s="7">
        <f ca="1">OFFSET(Assumptions!$B$95,0,$C$1)*Popn!AN$104/OFFSET(Popn!$A$104,0,MATCH(OFFSET(Assumptions!$B$8,0,$C$1),Popn!$B$5:$BD$5,0)-1) +OFFSET(Assumptions!$B$10,0,$C$1)-OFFSET(Assumptions!$B$95,0,$C$1)</f>
        <v>1.0929203539823007</v>
      </c>
      <c r="AH246" s="7">
        <f ca="1">OFFSET(Assumptions!$B$95,0,$C$1)*Popn!AO$104/OFFSET(Popn!$A$104,0,MATCH(OFFSET(Assumptions!$B$8,0,$C$1),Popn!$B$5:$BD$5,0)-1) +OFFSET(Assumptions!$B$10,0,$C$1)-OFFSET(Assumptions!$B$95,0,$C$1)</f>
        <v>1.0962389380530972</v>
      </c>
      <c r="AI246" s="7">
        <f ca="1">OFFSET(Assumptions!$B$95,0,$C$1)*Popn!AP$104/OFFSET(Popn!$A$104,0,MATCH(OFFSET(Assumptions!$B$8,0,$C$1),Popn!$B$5:$BD$5,0)-1) +OFFSET(Assumptions!$B$10,0,$C$1)-OFFSET(Assumptions!$B$95,0,$C$1)</f>
        <v>1.0995575221238938</v>
      </c>
      <c r="AJ246" s="7">
        <f ca="1">OFFSET(Assumptions!$B$95,0,$C$1)*Popn!AQ$104/OFFSET(Popn!$A$104,0,MATCH(OFFSET(Assumptions!$B$8,0,$C$1),Popn!$B$5:$BD$5,0)-1) +OFFSET(Assumptions!$B$10,0,$C$1)-OFFSET(Assumptions!$B$95,0,$C$1)</f>
        <v>1.0995575221238938</v>
      </c>
      <c r="AK246" s="7">
        <f ca="1">OFFSET(Assumptions!$B$95,0,$C$1)*Popn!AR$104/OFFSET(Popn!$A$104,0,MATCH(OFFSET(Assumptions!$B$8,0,$C$1),Popn!$B$5:$BD$5,0)-1) +OFFSET(Assumptions!$B$10,0,$C$1)-OFFSET(Assumptions!$B$95,0,$C$1)</f>
        <v>1.1028761061946901</v>
      </c>
      <c r="AL246" s="7">
        <f ca="1">OFFSET(Assumptions!$B$95,0,$C$1)*Popn!AS$104/OFFSET(Popn!$A$104,0,MATCH(OFFSET(Assumptions!$B$8,0,$C$1),Popn!$B$5:$BD$5,0)-1) +OFFSET(Assumptions!$B$10,0,$C$1)-OFFSET(Assumptions!$B$95,0,$C$1)</f>
        <v>1.1061946902654869</v>
      </c>
      <c r="AM246" s="7">
        <f ca="1">OFFSET(Assumptions!$B$95,0,$C$1)*Popn!AT$104/OFFSET(Popn!$A$104,0,MATCH(OFFSET(Assumptions!$B$8,0,$C$1),Popn!$B$5:$BD$5,0)-1) +OFFSET(Assumptions!$B$10,0,$C$1)-OFFSET(Assumptions!$B$95,0,$C$1)</f>
        <v>1.109513274336283</v>
      </c>
      <c r="AN246" s="7">
        <f ca="1">OFFSET(Assumptions!$B$95,0,$C$1)*Popn!AU$104/OFFSET(Popn!$A$104,0,MATCH(OFFSET(Assumptions!$B$8,0,$C$1),Popn!$B$5:$BD$5,0)-1) +OFFSET(Assumptions!$B$10,0,$C$1)-OFFSET(Assumptions!$B$95,0,$C$1)</f>
        <v>1.1128318584070795</v>
      </c>
      <c r="AO246" s="7">
        <f ca="1">OFFSET(Assumptions!$B$95,0,$C$1)*Popn!AV$104/OFFSET(Popn!$A$104,0,MATCH(OFFSET(Assumptions!$B$8,0,$C$1),Popn!$B$5:$BD$5,0)-1) +OFFSET(Assumptions!$B$10,0,$C$1)-OFFSET(Assumptions!$B$95,0,$C$1)</f>
        <v>1.1161504424778763</v>
      </c>
      <c r="AP246" s="7">
        <f ca="1">OFFSET(Assumptions!$B$95,0,$C$1)*Popn!AW$104/OFFSET(Popn!$A$104,0,MATCH(OFFSET(Assumptions!$B$8,0,$C$1),Popn!$B$5:$BD$5,0)-1) +OFFSET(Assumptions!$B$10,0,$C$1)-OFFSET(Assumptions!$B$95,0,$C$1)</f>
        <v>1.1194690265486724</v>
      </c>
      <c r="AQ246" s="7">
        <f ca="1">OFFSET(Assumptions!$B$95,0,$C$1)*Popn!AX$104/OFFSET(Popn!$A$104,0,MATCH(OFFSET(Assumptions!$B$8,0,$C$1),Popn!$B$5:$BD$5,0)-1) +OFFSET(Assumptions!$B$10,0,$C$1)-OFFSET(Assumptions!$B$95,0,$C$1)</f>
        <v>1.122787610619469</v>
      </c>
      <c r="AR246" s="7">
        <f ca="1">OFFSET(Assumptions!$B$95,0,$C$1)*Popn!AY$104/OFFSET(Popn!$A$104,0,MATCH(OFFSET(Assumptions!$B$8,0,$C$1),Popn!$B$5:$BD$5,0)-1) +OFFSET(Assumptions!$B$10,0,$C$1)-OFFSET(Assumptions!$B$95,0,$C$1)</f>
        <v>1.1261061946902653</v>
      </c>
      <c r="AS246" s="7">
        <f ca="1">OFFSET(Assumptions!$B$95,0,$C$1)*Popn!AZ$104/OFFSET(Popn!$A$104,0,MATCH(OFFSET(Assumptions!$B$8,0,$C$1),Popn!$B$5:$BD$5,0)-1) +OFFSET(Assumptions!$B$10,0,$C$1)-OFFSET(Assumptions!$B$95,0,$C$1)</f>
        <v>1.1294247787610618</v>
      </c>
      <c r="AT246" s="7">
        <f ca="1">OFFSET(Assumptions!$B$95,0,$C$1)*Popn!BA$104/OFFSET(Popn!$A$104,0,MATCH(OFFSET(Assumptions!$B$8,0,$C$1),Popn!$B$5:$BD$5,0)-1) +OFFSET(Assumptions!$B$10,0,$C$1)-OFFSET(Assumptions!$B$95,0,$C$1)</f>
        <v>1.1294247787610618</v>
      </c>
      <c r="AU246" s="7">
        <f ca="1">OFFSET(Assumptions!$B$95,0,$C$1)*Popn!BB$104/OFFSET(Popn!$A$104,0,MATCH(OFFSET(Assumptions!$B$8,0,$C$1),Popn!$B$5:$BD$5,0)-1) +OFFSET(Assumptions!$B$10,0,$C$1)-OFFSET(Assumptions!$B$95,0,$C$1)</f>
        <v>1.1327433628318584</v>
      </c>
      <c r="AV246" s="7">
        <f ca="1">OFFSET(Assumptions!$B$95,0,$C$1)*Popn!BC$104/OFFSET(Popn!$A$104,0,MATCH(OFFSET(Assumptions!$B$8,0,$C$1),Popn!$B$5:$BD$5,0)-1) +OFFSET(Assumptions!$B$10,0,$C$1)-OFFSET(Assumptions!$B$95,0,$C$1)</f>
        <v>1.1360619469026547</v>
      </c>
      <c r="AW246" s="7">
        <f ca="1">OFFSET(Assumptions!$B$95,0,$C$1)*Popn!BD$104/OFFSET(Popn!$A$104,0,MATCH(OFFSET(Assumptions!$B$8,0,$C$1),Popn!$B$5:$BD$5,0)-1) +OFFSET(Assumptions!$B$10,0,$C$1)-OFFSET(Assumptions!$B$95,0,$C$1)</f>
        <v>1.1393805309734515</v>
      </c>
    </row>
    <row r="247" spans="1:49" x14ac:dyDescent="0.2">
      <c r="A247" s="1" t="s">
        <v>1188</v>
      </c>
      <c r="B247" s="4" t="str">
        <f>$B$65</f>
        <v>Projected Years only</v>
      </c>
      <c r="J247" s="7">
        <f ca="1">OFFSET(Assumptions!$B$95,0,$C$1)*Popn!Q$204/OFFSET(Popn!$A$204,0,MATCH(OFFSET(Assumptions!$B$8,0,$C$1),Popn!$B$5:$BD$5,0)-1) +OFFSET(Assumptions!$B$10,0,$C$1)-OFFSET(Assumptions!$B$95,0,$C$1)</f>
        <v>1.0037688442211055</v>
      </c>
      <c r="K247" s="7">
        <f ca="1">OFFSET(Assumptions!$B$95,0,$C$1)*Popn!R$204/OFFSET(Popn!$A$204,0,MATCH(OFFSET(Assumptions!$B$8,0,$C$1),Popn!$B$5:$BD$5,0)-1) +OFFSET(Assumptions!$B$10,0,$C$1)-OFFSET(Assumptions!$B$95,0,$C$1)</f>
        <v>1.0113065326633166</v>
      </c>
      <c r="L247" s="7">
        <f ca="1">OFFSET(Assumptions!$B$95,0,$C$1)*Popn!S$204/OFFSET(Popn!$A$204,0,MATCH(OFFSET(Assumptions!$B$8,0,$C$1),Popn!$B$5:$BD$5,0)-1) +OFFSET(Assumptions!$B$10,0,$C$1)-OFFSET(Assumptions!$B$95,0,$C$1)</f>
        <v>1.0150753768844223</v>
      </c>
      <c r="M247" s="7">
        <f ca="1">OFFSET(Assumptions!$B$95,0,$C$1)*Popn!T$204/OFFSET(Popn!$A$204,0,MATCH(OFFSET(Assumptions!$B$8,0,$C$1),Popn!$B$5:$BD$5,0)-1) +OFFSET(Assumptions!$B$10,0,$C$1)-OFFSET(Assumptions!$B$95,0,$C$1)</f>
        <v>1.0226130653266332</v>
      </c>
      <c r="N247" s="7">
        <f ca="1">OFFSET(Assumptions!$B$95,0,$C$1)*Popn!U$204/OFFSET(Popn!$A$204,0,MATCH(OFFSET(Assumptions!$B$8,0,$C$1),Popn!$B$5:$BD$5,0)-1) +OFFSET(Assumptions!$B$10,0,$C$1)-OFFSET(Assumptions!$B$95,0,$C$1)</f>
        <v>1.0263819095477387</v>
      </c>
      <c r="O247" s="7">
        <f ca="1">OFFSET(Assumptions!$B$95,0,$C$1)*Popn!V$204/OFFSET(Popn!$A$204,0,MATCH(OFFSET(Assumptions!$B$8,0,$C$1),Popn!$B$5:$BD$5,0)-1) +OFFSET(Assumptions!$B$10,0,$C$1)-OFFSET(Assumptions!$B$95,0,$C$1)</f>
        <v>1.0301507537688441</v>
      </c>
      <c r="P247" s="7">
        <f ca="1">OFFSET(Assumptions!$B$95,0,$C$1)*Popn!W$204/OFFSET(Popn!$A$204,0,MATCH(OFFSET(Assumptions!$B$8,0,$C$1),Popn!$B$5:$BD$5,0)-1) +OFFSET(Assumptions!$B$10,0,$C$1)-OFFSET(Assumptions!$B$95,0,$C$1)</f>
        <v>1.0376884422110553</v>
      </c>
      <c r="Q247" s="7">
        <f ca="1">OFFSET(Assumptions!$B$95,0,$C$1)*Popn!X$204/OFFSET(Popn!$A$204,0,MATCH(OFFSET(Assumptions!$B$8,0,$C$1),Popn!$B$5:$BD$5,0)-1) +OFFSET(Assumptions!$B$10,0,$C$1)-OFFSET(Assumptions!$B$95,0,$C$1)</f>
        <v>1.041457286432161</v>
      </c>
      <c r="R247" s="7">
        <f ca="1">OFFSET(Assumptions!$B$95,0,$C$1)*Popn!Y$204/OFFSET(Popn!$A$204,0,MATCH(OFFSET(Assumptions!$B$8,0,$C$1),Popn!$B$5:$BD$5,0)-1) +OFFSET(Assumptions!$B$10,0,$C$1)-OFFSET(Assumptions!$B$95,0,$C$1)</f>
        <v>1.0452261306532664</v>
      </c>
      <c r="S247" s="7">
        <f ca="1">OFFSET(Assumptions!$B$95,0,$C$1)*Popn!Z$204/OFFSET(Popn!$A$204,0,MATCH(OFFSET(Assumptions!$B$8,0,$C$1),Popn!$B$5:$BD$5,0)-1) +OFFSET(Assumptions!$B$10,0,$C$1)-OFFSET(Assumptions!$B$95,0,$C$1)</f>
        <v>1.0527638190954776</v>
      </c>
      <c r="T247" s="7">
        <f ca="1">OFFSET(Assumptions!$B$95,0,$C$1)*Popn!AA$204/OFFSET(Popn!$A$204,0,MATCH(OFFSET(Assumptions!$B$8,0,$C$1),Popn!$B$5:$BD$5,0)-1) +OFFSET(Assumptions!$B$10,0,$C$1)-OFFSET(Assumptions!$B$95,0,$C$1)</f>
        <v>1.0565326633165828</v>
      </c>
      <c r="U247" s="7">
        <f ca="1">OFFSET(Assumptions!$B$95,0,$C$1)*Popn!AB$204/OFFSET(Popn!$A$204,0,MATCH(OFFSET(Assumptions!$B$8,0,$C$1),Popn!$B$5:$BD$5,0)-1) +OFFSET(Assumptions!$B$10,0,$C$1)-OFFSET(Assumptions!$B$95,0,$C$1)</f>
        <v>1.0603015075376885</v>
      </c>
      <c r="V247" s="7">
        <f ca="1">OFFSET(Assumptions!$B$95,0,$C$1)*Popn!AC$204/OFFSET(Popn!$A$204,0,MATCH(OFFSET(Assumptions!$B$8,0,$C$1),Popn!$B$5:$BD$5,0)-1) +OFFSET(Assumptions!$B$10,0,$C$1)-OFFSET(Assumptions!$B$95,0,$C$1)</f>
        <v>1.0640703517587942</v>
      </c>
      <c r="W247" s="7">
        <f ca="1">OFFSET(Assumptions!$B$95,0,$C$1)*Popn!AD$204/OFFSET(Popn!$A$204,0,MATCH(OFFSET(Assumptions!$B$8,0,$C$1),Popn!$B$5:$BD$5,0)-1) +OFFSET(Assumptions!$B$10,0,$C$1)-OFFSET(Assumptions!$B$95,0,$C$1)</f>
        <v>1.0716080402010051</v>
      </c>
      <c r="X247" s="7">
        <f ca="1">OFFSET(Assumptions!$B$95,0,$C$1)*Popn!AE$204/OFFSET(Popn!$A$204,0,MATCH(OFFSET(Assumptions!$B$8,0,$C$1),Popn!$B$5:$BD$5,0)-1) +OFFSET(Assumptions!$B$10,0,$C$1)-OFFSET(Assumptions!$B$95,0,$C$1)</f>
        <v>1.0753768844221105</v>
      </c>
      <c r="Y247" s="7">
        <f ca="1">OFFSET(Assumptions!$B$95,0,$C$1)*Popn!AF$204/OFFSET(Popn!$A$204,0,MATCH(OFFSET(Assumptions!$B$8,0,$C$1),Popn!$B$5:$BD$5,0)-1) +OFFSET(Assumptions!$B$10,0,$C$1)-OFFSET(Assumptions!$B$95,0,$C$1)</f>
        <v>1.079145728643216</v>
      </c>
      <c r="Z247" s="7">
        <f ca="1">OFFSET(Assumptions!$B$95,0,$C$1)*Popn!AG$204/OFFSET(Popn!$A$204,0,MATCH(OFFSET(Assumptions!$B$8,0,$C$1),Popn!$B$5:$BD$5,0)-1) +OFFSET(Assumptions!$B$10,0,$C$1)-OFFSET(Assumptions!$B$95,0,$C$1)</f>
        <v>1.0829145728643219</v>
      </c>
      <c r="AA247" s="7">
        <f ca="1">OFFSET(Assumptions!$B$95,0,$C$1)*Popn!AH$204/OFFSET(Popn!$A$204,0,MATCH(OFFSET(Assumptions!$B$8,0,$C$1),Popn!$B$5:$BD$5,0)-1) +OFFSET(Assumptions!$B$10,0,$C$1)-OFFSET(Assumptions!$B$95,0,$C$1)</f>
        <v>1.0904522613065328</v>
      </c>
      <c r="AB247" s="7">
        <f ca="1">OFFSET(Assumptions!$B$95,0,$C$1)*Popn!AI$204/OFFSET(Popn!$A$204,0,MATCH(OFFSET(Assumptions!$B$8,0,$C$1),Popn!$B$5:$BD$5,0)-1) +OFFSET(Assumptions!$B$10,0,$C$1)-OFFSET(Assumptions!$B$95,0,$C$1)</f>
        <v>1.0942211055276381</v>
      </c>
      <c r="AC247" s="7">
        <f ca="1">OFFSET(Assumptions!$B$95,0,$C$1)*Popn!AJ$204/OFFSET(Popn!$A$204,0,MATCH(OFFSET(Assumptions!$B$8,0,$C$1),Popn!$B$5:$BD$5,0)-1) +OFFSET(Assumptions!$B$10,0,$C$1)-OFFSET(Assumptions!$B$95,0,$C$1)</f>
        <v>1.0979899497487438</v>
      </c>
      <c r="AD247" s="7">
        <f ca="1">OFFSET(Assumptions!$B$95,0,$C$1)*Popn!AK$204/OFFSET(Popn!$A$204,0,MATCH(OFFSET(Assumptions!$B$8,0,$C$1),Popn!$B$5:$BD$5,0)-1) +OFFSET(Assumptions!$B$10,0,$C$1)-OFFSET(Assumptions!$B$95,0,$C$1)</f>
        <v>1.1017587939698494</v>
      </c>
      <c r="AE247" s="7">
        <f ca="1">OFFSET(Assumptions!$B$95,0,$C$1)*Popn!AL$204/OFFSET(Popn!$A$204,0,MATCH(OFFSET(Assumptions!$B$8,0,$C$1),Popn!$B$5:$BD$5,0)-1) +OFFSET(Assumptions!$B$10,0,$C$1)-OFFSET(Assumptions!$B$95,0,$C$1)</f>
        <v>1.1055276381909547</v>
      </c>
      <c r="AF247" s="7">
        <f ca="1">OFFSET(Assumptions!$B$95,0,$C$1)*Popn!AM$204/OFFSET(Popn!$A$204,0,MATCH(OFFSET(Assumptions!$B$8,0,$C$1),Popn!$B$5:$BD$5,0)-1) +OFFSET(Assumptions!$B$10,0,$C$1)-OFFSET(Assumptions!$B$95,0,$C$1)</f>
        <v>1.1130653266331656</v>
      </c>
      <c r="AG247" s="7">
        <f ca="1">OFFSET(Assumptions!$B$95,0,$C$1)*Popn!AN$204/OFFSET(Popn!$A$204,0,MATCH(OFFSET(Assumptions!$B$8,0,$C$1),Popn!$B$5:$BD$5,0)-1) +OFFSET(Assumptions!$B$10,0,$C$1)-OFFSET(Assumptions!$B$95,0,$C$1)</f>
        <v>1.1168341708542715</v>
      </c>
      <c r="AH247" s="7">
        <f ca="1">OFFSET(Assumptions!$B$95,0,$C$1)*Popn!AO$204/OFFSET(Popn!$A$204,0,MATCH(OFFSET(Assumptions!$B$8,0,$C$1),Popn!$B$5:$BD$5,0)-1) +OFFSET(Assumptions!$B$10,0,$C$1)-OFFSET(Assumptions!$B$95,0,$C$1)</f>
        <v>1.120603015075377</v>
      </c>
      <c r="AI247" s="7">
        <f ca="1">OFFSET(Assumptions!$B$95,0,$C$1)*Popn!AP$204/OFFSET(Popn!$A$204,0,MATCH(OFFSET(Assumptions!$B$8,0,$C$1),Popn!$B$5:$BD$5,0)-1) +OFFSET(Assumptions!$B$10,0,$C$1)-OFFSET(Assumptions!$B$95,0,$C$1)</f>
        <v>1.1243718592964824</v>
      </c>
      <c r="AJ247" s="7">
        <f ca="1">OFFSET(Assumptions!$B$95,0,$C$1)*Popn!AQ$204/OFFSET(Popn!$A$204,0,MATCH(OFFSET(Assumptions!$B$8,0,$C$1),Popn!$B$5:$BD$5,0)-1) +OFFSET(Assumptions!$B$10,0,$C$1)-OFFSET(Assumptions!$B$95,0,$C$1)</f>
        <v>1.1281407035175881</v>
      </c>
      <c r="AK247" s="7">
        <f ca="1">OFFSET(Assumptions!$B$95,0,$C$1)*Popn!AR$204/OFFSET(Popn!$A$204,0,MATCH(OFFSET(Assumptions!$B$8,0,$C$1),Popn!$B$5:$BD$5,0)-1) +OFFSET(Assumptions!$B$10,0,$C$1)-OFFSET(Assumptions!$B$95,0,$C$1)</f>
        <v>1.1319095477386933</v>
      </c>
      <c r="AL247" s="7">
        <f ca="1">OFFSET(Assumptions!$B$95,0,$C$1)*Popn!AS$204/OFFSET(Popn!$A$204,0,MATCH(OFFSET(Assumptions!$B$8,0,$C$1),Popn!$B$5:$BD$5,0)-1) +OFFSET(Assumptions!$B$10,0,$C$1)-OFFSET(Assumptions!$B$95,0,$C$1)</f>
        <v>1.135678391959799</v>
      </c>
      <c r="AM247" s="7">
        <f ca="1">OFFSET(Assumptions!$B$95,0,$C$1)*Popn!AT$204/OFFSET(Popn!$A$204,0,MATCH(OFFSET(Assumptions!$B$8,0,$C$1),Popn!$B$5:$BD$5,0)-1) +OFFSET(Assumptions!$B$10,0,$C$1)-OFFSET(Assumptions!$B$95,0,$C$1)</f>
        <v>1.1394472361809047</v>
      </c>
      <c r="AN247" s="7">
        <f ca="1">OFFSET(Assumptions!$B$95,0,$C$1)*Popn!AU$204/OFFSET(Popn!$A$204,0,MATCH(OFFSET(Assumptions!$B$8,0,$C$1),Popn!$B$5:$BD$5,0)-1) +OFFSET(Assumptions!$B$10,0,$C$1)-OFFSET(Assumptions!$B$95,0,$C$1)</f>
        <v>1.1469849246231156</v>
      </c>
      <c r="AO247" s="7">
        <f ca="1">OFFSET(Assumptions!$B$95,0,$C$1)*Popn!AV$204/OFFSET(Popn!$A$204,0,MATCH(OFFSET(Assumptions!$B$8,0,$C$1),Popn!$B$5:$BD$5,0)-1) +OFFSET(Assumptions!$B$10,0,$C$1)-OFFSET(Assumptions!$B$95,0,$C$1)</f>
        <v>1.1507537688442211</v>
      </c>
      <c r="AP247" s="7">
        <f ca="1">OFFSET(Assumptions!$B$95,0,$C$1)*Popn!AW$204/OFFSET(Popn!$A$204,0,MATCH(OFFSET(Assumptions!$B$8,0,$C$1),Popn!$B$5:$BD$5,0)-1) +OFFSET(Assumptions!$B$10,0,$C$1)-OFFSET(Assumptions!$B$95,0,$C$1)</f>
        <v>1.1545226130653266</v>
      </c>
      <c r="AQ247" s="7">
        <f ca="1">OFFSET(Assumptions!$B$95,0,$C$1)*Popn!AX$204/OFFSET(Popn!$A$204,0,MATCH(OFFSET(Assumptions!$B$8,0,$C$1),Popn!$B$5:$BD$5,0)-1) +OFFSET(Assumptions!$B$10,0,$C$1)-OFFSET(Assumptions!$B$95,0,$C$1)</f>
        <v>1.1582914572864325</v>
      </c>
      <c r="AR247" s="7">
        <f ca="1">OFFSET(Assumptions!$B$95,0,$C$1)*Popn!AY$204/OFFSET(Popn!$A$204,0,MATCH(OFFSET(Assumptions!$B$8,0,$C$1),Popn!$B$5:$BD$5,0)-1) +OFFSET(Assumptions!$B$10,0,$C$1)-OFFSET(Assumptions!$B$95,0,$C$1)</f>
        <v>1.1620603015075377</v>
      </c>
      <c r="AS247" s="7">
        <f ca="1">OFFSET(Assumptions!$B$95,0,$C$1)*Popn!AZ$204/OFFSET(Popn!$A$204,0,MATCH(OFFSET(Assumptions!$B$8,0,$C$1),Popn!$B$5:$BD$5,0)-1) +OFFSET(Assumptions!$B$10,0,$C$1)-OFFSET(Assumptions!$B$95,0,$C$1)</f>
        <v>1.1658291457286434</v>
      </c>
      <c r="AT247" s="7">
        <f ca="1">OFFSET(Assumptions!$B$95,0,$C$1)*Popn!BA$204/OFFSET(Popn!$A$204,0,MATCH(OFFSET(Assumptions!$B$8,0,$C$1),Popn!$B$5:$BD$5,0)-1) +OFFSET(Assumptions!$B$10,0,$C$1)-OFFSET(Assumptions!$B$95,0,$C$1)</f>
        <v>1.1695979899497486</v>
      </c>
      <c r="AU247" s="7">
        <f ca="1">OFFSET(Assumptions!$B$95,0,$C$1)*Popn!BB$204/OFFSET(Popn!$A$204,0,MATCH(OFFSET(Assumptions!$B$8,0,$C$1),Popn!$B$5:$BD$5,0)-1) +OFFSET(Assumptions!$B$10,0,$C$1)-OFFSET(Assumptions!$B$95,0,$C$1)</f>
        <v>1.1733668341708543</v>
      </c>
      <c r="AV247" s="7">
        <f ca="1">OFFSET(Assumptions!$B$95,0,$C$1)*Popn!BC$204/OFFSET(Popn!$A$204,0,MATCH(OFFSET(Assumptions!$B$8,0,$C$1),Popn!$B$5:$BD$5,0)-1) +OFFSET(Assumptions!$B$10,0,$C$1)-OFFSET(Assumptions!$B$95,0,$C$1)</f>
        <v>1.17713567839196</v>
      </c>
      <c r="AW247" s="7">
        <f ca="1">OFFSET(Assumptions!$B$95,0,$C$1)*Popn!BD$204/OFFSET(Popn!$A$204,0,MATCH(OFFSET(Assumptions!$B$8,0,$C$1),Popn!$B$5:$BD$5,0)-1) +OFFSET(Assumptions!$B$10,0,$C$1)-OFFSET(Assumptions!$B$95,0,$C$1)</f>
        <v>1.1809045226130652</v>
      </c>
    </row>
    <row r="249" spans="1:49" x14ac:dyDescent="0.2">
      <c r="A249" s="22" t="s">
        <v>546</v>
      </c>
      <c r="D249" s="7"/>
    </row>
    <row r="250" spans="1:49" x14ac:dyDescent="0.2">
      <c r="A250" s="1" t="s">
        <v>851</v>
      </c>
      <c r="B250" s="4" t="str">
        <f>$B$43</f>
        <v>From Fiscal</v>
      </c>
      <c r="D250" s="18">
        <f>Fiscal!D$379</f>
        <v>1.6439999999999999</v>
      </c>
      <c r="E250" s="19">
        <f ca="1">Fiscal!E$379 +IF(OR(OFFSET(Assumptions!$B$72,0,$C$1)="BU",OFFSET(Assumptions!$B$113,0,$C$1)="SND"),Allocate!C$28,0)</f>
        <v>1.7170000000000001</v>
      </c>
      <c r="F250" s="19">
        <f ca="1">Fiscal!F$379 +IF(OR(OFFSET(Assumptions!$B$72,0,$C$1)="BU",OFFSET(Assumptions!$B$113,0,$C$1)="SND"),Allocate!D$28,0)</f>
        <v>1.792</v>
      </c>
      <c r="G250" s="19">
        <f ca="1">Fiscal!G$379 +IF(OR(OFFSET(Assumptions!$B$72,0,$C$1)="BU",OFFSET(Assumptions!$B$113,0,$C$1)="SND"),Allocate!E$28,0)</f>
        <v>1.9060000000000001</v>
      </c>
      <c r="H250" s="19">
        <f ca="1">Fiscal!H$379 +IF(OR(OFFSET(Assumptions!$B$72,0,$C$1)="BU",OFFSET(Assumptions!$B$113,0,$C$1)="SND"),Allocate!F$28,0)</f>
        <v>2.0369999999999999</v>
      </c>
      <c r="I250" s="19">
        <f ca="1">Fiscal!I$379 +IF(OR(OFFSET(Assumptions!$B$72,0,$C$1)="BU",OFFSET(Assumptions!$B$113,0,$C$1)="SND"),Allocate!G$28,0)</f>
        <v>2.1720000000000002</v>
      </c>
      <c r="J250" s="7">
        <f ca="1">IF(OFFSET(Assumptions!$B$72,0,$C$1)="BU",IF(J$6&lt;=OFFSET(Assumptions!$B$99,0,$C$1),J$14*(I$250/I$14+MIN(ABS(OFFSET(Assumptions!$B$101,0,$C$1)-I$250/I$14),OFFSET(Assumptions!$B$100,0,$C$1))*SIGN(OFFSET(Assumptions!$B$101,0,$C$1)-I$250/I$14)),I$250*(1+J$262)*(1+J$261)),I$250+IF(OFFSET(Assumptions!$B$113,0,$C$1)="SND",Allocate!$B$16*Allocate!$B$28*J$232*J$14,0))</f>
        <v>2.2340865799845426</v>
      </c>
      <c r="K250" s="7">
        <f ca="1">IF(OFFSET(Assumptions!$B$72,0,$C$1)="BU",IF(K$6&lt;=OFFSET(Assumptions!$B$99,0,$C$1),K$14*(J$250/J$14+MIN(ABS(OFFSET(Assumptions!$B$101,0,$C$1)-J$250/J$14),OFFSET(Assumptions!$B$100,0,$C$1))*SIGN(OFFSET(Assumptions!$B$101,0,$C$1)-J$250/J$14)),J$250*(1+K$262)*(1+K$261)),J$250+IF(OFFSET(Assumptions!$B$113,0,$C$1)="SND",Allocate!$B$16*Allocate!$B$28*K$232*K$14,0))</f>
        <v>2.2987677703988894</v>
      </c>
      <c r="L250" s="7">
        <f ca="1">IF(OFFSET(Assumptions!$B$72,0,$C$1)="BU",IF(L$6&lt;=OFFSET(Assumptions!$B$99,0,$C$1),L$14*(K$250/K$14+MIN(ABS(OFFSET(Assumptions!$B$101,0,$C$1)-K$250/K$14),OFFSET(Assumptions!$B$100,0,$C$1))*SIGN(OFFSET(Assumptions!$B$101,0,$C$1)-K$250/K$14)),K$250*(1+L$262)*(1+L$261)),K$250+IF(OFFSET(Assumptions!$B$113,0,$C$1)="SND",Allocate!$B$16*Allocate!$B$28*L$232*L$14,0))</f>
        <v>2.3662525857898751</v>
      </c>
      <c r="M250" s="7">
        <f ca="1">IF(OFFSET(Assumptions!$B$72,0,$C$1)="BU",IF(M$6&lt;=OFFSET(Assumptions!$B$99,0,$C$1),M$14*(L$250/L$14+MIN(ABS(OFFSET(Assumptions!$B$101,0,$C$1)-L$250/L$14),OFFSET(Assumptions!$B$100,0,$C$1))*SIGN(OFFSET(Assumptions!$B$101,0,$C$1)-L$250/L$14)),L$250*(1+M$262)*(1+M$261)),L$250+IF(OFFSET(Assumptions!$B$113,0,$C$1)="SND",Allocate!$B$16*Allocate!$B$28*M$232*M$14,0))</f>
        <v>2.4366531807321494</v>
      </c>
      <c r="N250" s="7">
        <f ca="1">IF(OFFSET(Assumptions!$B$72,0,$C$1)="BU",IF(N$6&lt;=OFFSET(Assumptions!$B$99,0,$C$1),N$14*(M$250/M$14+MIN(ABS(OFFSET(Assumptions!$B$101,0,$C$1)-M$250/M$14),OFFSET(Assumptions!$B$100,0,$C$1))*SIGN(OFFSET(Assumptions!$B$101,0,$C$1)-M$250/M$14)),M$250*(1+N$262)*(1+N$261)),M$250+IF(OFFSET(Assumptions!$B$113,0,$C$1)="SND",Allocate!$B$16*Allocate!$B$28*N$232*N$14,0))</f>
        <v>2.5100899756794952</v>
      </c>
      <c r="O250" s="7">
        <f ca="1">IF(OFFSET(Assumptions!$B$72,0,$C$1)="BU",IF(O$6&lt;=OFFSET(Assumptions!$B$99,0,$C$1),O$14*(N$250/N$14+MIN(ABS(OFFSET(Assumptions!$B$101,0,$C$1)-N$250/N$14),OFFSET(Assumptions!$B$100,0,$C$1))*SIGN(OFFSET(Assumptions!$B$101,0,$C$1)-N$250/N$14)),N$250*(1+O$262)*(1+O$261)),N$250+IF(OFFSET(Assumptions!$B$113,0,$C$1)="SND",Allocate!$B$16*Allocate!$B$28*O$232*O$14,0))</f>
        <v>2.586661547491262</v>
      </c>
      <c r="P250" s="7">
        <f ca="1">IF(OFFSET(Assumptions!$B$72,0,$C$1)="BU",IF(P$6&lt;=OFFSET(Assumptions!$B$99,0,$C$1),P$14*(O$250/O$14+MIN(ABS(OFFSET(Assumptions!$B$101,0,$C$1)-O$250/O$14),OFFSET(Assumptions!$B$100,0,$C$1))*SIGN(OFFSET(Assumptions!$B$101,0,$C$1)-O$250/O$14)),O$250*(1+P$262)*(1+P$261)),O$250+IF(OFFSET(Assumptions!$B$113,0,$C$1)="SND",Allocate!$B$16*Allocate!$B$28*P$232*P$14,0))</f>
        <v>2.7063760966640622</v>
      </c>
      <c r="Q250" s="7">
        <f ca="1">IF(OFFSET(Assumptions!$B$72,0,$C$1)="BU",IF(Q$6&lt;=OFFSET(Assumptions!$B$99,0,$C$1),Q$14*(P$250/P$14+MIN(ABS(OFFSET(Assumptions!$B$101,0,$C$1)-P$250/P$14),OFFSET(Assumptions!$B$100,0,$C$1))*SIGN(OFFSET(Assumptions!$B$101,0,$C$1)-P$250/P$14)),P$250*(1+Q$262)*(1+Q$261)),P$250+IF(OFFSET(Assumptions!$B$113,0,$C$1)="SND",Allocate!$B$16*Allocate!$B$28*Q$232*Q$14,0))</f>
        <v>2.8310976167918875</v>
      </c>
      <c r="R250" s="7">
        <f ca="1">IF(OFFSET(Assumptions!$B$72,0,$C$1)="BU",IF(R$6&lt;=OFFSET(Assumptions!$B$99,0,$C$1),R$14*(Q$250/Q$14+MIN(ABS(OFFSET(Assumptions!$B$101,0,$C$1)-Q$250/Q$14),OFFSET(Assumptions!$B$100,0,$C$1))*SIGN(OFFSET(Assumptions!$B$101,0,$C$1)-Q$250/Q$14)),Q$250*(1+R$262)*(1+R$261)),Q$250+IF(OFFSET(Assumptions!$B$113,0,$C$1)="SND",Allocate!$B$16*Allocate!$B$28*R$232*R$14,0))</f>
        <v>2.9609721711131156</v>
      </c>
      <c r="S250" s="7">
        <f ca="1">IF(OFFSET(Assumptions!$B$72,0,$C$1)="BU",IF(S$6&lt;=OFFSET(Assumptions!$B$99,0,$C$1),S$14*(R$250/R$14+MIN(ABS(OFFSET(Assumptions!$B$101,0,$C$1)-R$250/R$14),OFFSET(Assumptions!$B$100,0,$C$1))*SIGN(OFFSET(Assumptions!$B$101,0,$C$1)-R$250/R$14)),R$250*(1+S$262)*(1+S$261)),R$250+IF(OFFSET(Assumptions!$B$113,0,$C$1)="SND",Allocate!$B$16*Allocate!$B$28*S$232*S$14,0))</f>
        <v>3.0961621989986652</v>
      </c>
      <c r="T250" s="7">
        <f ca="1">IF(OFFSET(Assumptions!$B$72,0,$C$1)="BU",IF(T$6&lt;=OFFSET(Assumptions!$B$99,0,$C$1),T$14*(S$250/S$14+MIN(ABS(OFFSET(Assumptions!$B$101,0,$C$1)-S$250/S$14),OFFSET(Assumptions!$B$100,0,$C$1))*SIGN(OFFSET(Assumptions!$B$101,0,$C$1)-S$250/S$14)),S$250*(1+T$262)*(1+T$261)),S$250+IF(OFFSET(Assumptions!$B$113,0,$C$1)="SND",Allocate!$B$16*Allocate!$B$28*T$232*T$14,0))</f>
        <v>3.2368320781926982</v>
      </c>
      <c r="U250" s="7">
        <f ca="1">IF(OFFSET(Assumptions!$B$72,0,$C$1)="BU",IF(U$6&lt;=OFFSET(Assumptions!$B$99,0,$C$1),U$14*(T$250/T$14+MIN(ABS(OFFSET(Assumptions!$B$101,0,$C$1)-T$250/T$14),OFFSET(Assumptions!$B$100,0,$C$1))*SIGN(OFFSET(Assumptions!$B$101,0,$C$1)-T$250/T$14)),T$250*(1+U$262)*(1+U$261)),T$250+IF(OFFSET(Assumptions!$B$113,0,$C$1)="SND",Allocate!$B$16*Allocate!$B$28*U$232*U$14,0))</f>
        <v>3.3831658534812767</v>
      </c>
      <c r="V250" s="7">
        <f ca="1">IF(OFFSET(Assumptions!$B$72,0,$C$1)="BU",IF(V$6&lt;=OFFSET(Assumptions!$B$99,0,$C$1),V$14*(U$250/U$14+MIN(ABS(OFFSET(Assumptions!$B$101,0,$C$1)-U$250/U$14),OFFSET(Assumptions!$B$100,0,$C$1))*SIGN(OFFSET(Assumptions!$B$101,0,$C$1)-U$250/U$14)),U$250*(1+V$262)*(1+V$261)),U$250+IF(OFFSET(Assumptions!$B$113,0,$C$1)="SND",Allocate!$B$16*Allocate!$B$28*V$232*V$14,0))</f>
        <v>3.5353615510103227</v>
      </c>
      <c r="W250" s="7">
        <f ca="1">IF(OFFSET(Assumptions!$B$72,0,$C$1)="BU",IF(W$6&lt;=OFFSET(Assumptions!$B$99,0,$C$1),W$14*(V$250/V$14+MIN(ABS(OFFSET(Assumptions!$B$101,0,$C$1)-V$250/V$14),OFFSET(Assumptions!$B$100,0,$C$1))*SIGN(OFFSET(Assumptions!$B$101,0,$C$1)-V$250/V$14)),V$250*(1+W$262)*(1+W$261)),V$250+IF(OFFSET(Assumptions!$B$113,0,$C$1)="SND",Allocate!$B$16*Allocate!$B$28*W$232*W$14,0))</f>
        <v>3.6936341803930848</v>
      </c>
      <c r="X250" s="7">
        <f ca="1">IF(OFFSET(Assumptions!$B$72,0,$C$1)="BU",IF(X$6&lt;=OFFSET(Assumptions!$B$99,0,$C$1),X$14*(W$250/W$14+MIN(ABS(OFFSET(Assumptions!$B$101,0,$C$1)-W$250/W$14),OFFSET(Assumptions!$B$100,0,$C$1))*SIGN(OFFSET(Assumptions!$B$101,0,$C$1)-W$250/W$14)),W$250*(1+X$262)*(1+X$261)),W$250+IF(OFFSET(Assumptions!$B$113,0,$C$1)="SND",Allocate!$B$16*Allocate!$B$28*X$232*X$14,0))</f>
        <v>3.8582179996651531</v>
      </c>
      <c r="Y250" s="7">
        <f ca="1">IF(OFFSET(Assumptions!$B$72,0,$C$1)="BU",IF(Y$6&lt;=OFFSET(Assumptions!$B$99,0,$C$1),Y$14*(X$250/X$14+MIN(ABS(OFFSET(Assumptions!$B$101,0,$C$1)-X$250/X$14),OFFSET(Assumptions!$B$100,0,$C$1))*SIGN(OFFSET(Assumptions!$B$101,0,$C$1)-X$250/X$14)),X$250*(1+Y$262)*(1+Y$261)),X$250+IF(OFFSET(Assumptions!$B$113,0,$C$1)="SND",Allocate!$B$16*Allocate!$B$28*Y$232*Y$14,0))</f>
        <v>4.0293466216495428</v>
      </c>
      <c r="Z250" s="7">
        <f ca="1">IF(OFFSET(Assumptions!$B$72,0,$C$1)="BU",IF(Z$6&lt;=OFFSET(Assumptions!$B$99,0,$C$1),Z$14*(Y$250/Y$14+MIN(ABS(OFFSET(Assumptions!$B$101,0,$C$1)-Y$250/Y$14),OFFSET(Assumptions!$B$100,0,$C$1))*SIGN(OFFSET(Assumptions!$B$101,0,$C$1)-Y$250/Y$14)),Y$250*(1+Z$262)*(1+Z$261)),Y$250+IF(OFFSET(Assumptions!$B$113,0,$C$1)="SND",Allocate!$B$16*Allocate!$B$28*Z$232*Z$14,0))</f>
        <v>4.2072867866201351</v>
      </c>
      <c r="AA250" s="7">
        <f ca="1">IF(OFFSET(Assumptions!$B$72,0,$C$1)="BU",IF(AA$6&lt;=OFFSET(Assumptions!$B$99,0,$C$1),AA$14*(Z$250/Z$14+MIN(ABS(OFFSET(Assumptions!$B$101,0,$C$1)-Z$250/Z$14),OFFSET(Assumptions!$B$100,0,$C$1))*SIGN(OFFSET(Assumptions!$B$101,0,$C$1)-Z$250/Z$14)),Z$250*(1+AA$262)*(1+AA$261)),Z$250+IF(OFFSET(Assumptions!$B$113,0,$C$1)="SND",Allocate!$B$16*Allocate!$B$28*AA$232*AA$14,0))</f>
        <v>4.3306397661739453</v>
      </c>
      <c r="AB250" s="7">
        <f ca="1">IF(OFFSET(Assumptions!$B$72,0,$C$1)="BU",IF(AB$6&lt;=OFFSET(Assumptions!$B$99,0,$C$1),AB$14*(AA$250/AA$14+MIN(ABS(OFFSET(Assumptions!$B$101,0,$C$1)-AA$250/AA$14),OFFSET(Assumptions!$B$100,0,$C$1))*SIGN(OFFSET(Assumptions!$B$101,0,$C$1)-AA$250/AA$14)),AA$250*(1+AB$262)*(1+AB$261)),AA$250+IF(OFFSET(Assumptions!$B$113,0,$C$1)="SND",Allocate!$B$16*Allocate!$B$28*AB$232*AB$14,0))</f>
        <v>4.4589183161075852</v>
      </c>
      <c r="AC250" s="7">
        <f ca="1">IF(OFFSET(Assumptions!$B$72,0,$C$1)="BU",IF(AC$6&lt;=OFFSET(Assumptions!$B$99,0,$C$1),AC$14*(AB$250/AB$14+MIN(ABS(OFFSET(Assumptions!$B$101,0,$C$1)-AB$250/AB$14),OFFSET(Assumptions!$B$100,0,$C$1))*SIGN(OFFSET(Assumptions!$B$101,0,$C$1)-AB$250/AB$14)),AB$250*(1+AC$262)*(1+AC$261)),AB$250+IF(OFFSET(Assumptions!$B$113,0,$C$1)="SND",Allocate!$B$16*Allocate!$B$28*AC$232*AC$14,0))</f>
        <v>4.5923403985907312</v>
      </c>
      <c r="AD250" s="7">
        <f ca="1">IF(OFFSET(Assumptions!$B$72,0,$C$1)="BU",IF(AD$6&lt;=OFFSET(Assumptions!$B$99,0,$C$1),AD$14*(AC$250/AC$14+MIN(ABS(OFFSET(Assumptions!$B$101,0,$C$1)-AC$250/AC$14),OFFSET(Assumptions!$B$100,0,$C$1))*SIGN(OFFSET(Assumptions!$B$101,0,$C$1)-AC$250/AC$14)),AC$250*(1+AD$262)*(1+AD$261)),AC$250+IF(OFFSET(Assumptions!$B$113,0,$C$1)="SND",Allocate!$B$16*Allocate!$B$28*AD$232*AD$14,0))</f>
        <v>4.7311293971398154</v>
      </c>
      <c r="AE250" s="7">
        <f ca="1">IF(OFFSET(Assumptions!$B$72,0,$C$1)="BU",IF(AE$6&lt;=OFFSET(Assumptions!$B$99,0,$C$1),AE$14*(AD$250/AD$14+MIN(ABS(OFFSET(Assumptions!$B$101,0,$C$1)-AD$250/AD$14),OFFSET(Assumptions!$B$100,0,$C$1))*SIGN(OFFSET(Assumptions!$B$101,0,$C$1)-AD$250/AD$14)),AD$250*(1+AE$262)*(1+AE$261)),AD$250+IF(OFFSET(Assumptions!$B$113,0,$C$1)="SND",Allocate!$B$16*Allocate!$B$28*AE$232*AE$14,0))</f>
        <v>4.8755037664742007</v>
      </c>
      <c r="AF250" s="7">
        <f ca="1">IF(OFFSET(Assumptions!$B$72,0,$C$1)="BU",IF(AF$6&lt;=OFFSET(Assumptions!$B$99,0,$C$1),AF$14*(AE$250/AE$14+MIN(ABS(OFFSET(Assumptions!$B$101,0,$C$1)-AE$250/AE$14),OFFSET(Assumptions!$B$100,0,$C$1))*SIGN(OFFSET(Assumptions!$B$101,0,$C$1)-AE$250/AE$14)),AE$250*(1+AF$262)*(1+AF$261)),AE$250+IF(OFFSET(Assumptions!$B$113,0,$C$1)="SND",Allocate!$B$16*Allocate!$B$28*AF$232*AF$14,0))</f>
        <v>5.0256974137978254</v>
      </c>
      <c r="AG250" s="7">
        <f ca="1">IF(OFFSET(Assumptions!$B$72,0,$C$1)="BU",IF(AG$6&lt;=OFFSET(Assumptions!$B$99,0,$C$1),AG$14*(AF$250/AF$14+MIN(ABS(OFFSET(Assumptions!$B$101,0,$C$1)-AF$250/AF$14),OFFSET(Assumptions!$B$100,0,$C$1))*SIGN(OFFSET(Assumptions!$B$101,0,$C$1)-AF$250/AF$14)),AF$250*(1+AG$262)*(1+AG$261)),AF$250+IF(OFFSET(Assumptions!$B$113,0,$C$1)="SND",Allocate!$B$16*Allocate!$B$28*AG$232*AG$14,0))</f>
        <v>5.1819475002115434</v>
      </c>
      <c r="AH250" s="7">
        <f ca="1">IF(OFFSET(Assumptions!$B$72,0,$C$1)="BU",IF(AH$6&lt;=OFFSET(Assumptions!$B$99,0,$C$1),AH$14*(AG$250/AG$14+MIN(ABS(OFFSET(Assumptions!$B$101,0,$C$1)-AG$250/AG$14),OFFSET(Assumptions!$B$100,0,$C$1))*SIGN(OFFSET(Assumptions!$B$101,0,$C$1)-AG$250/AG$14)),AG$250*(1+AH$262)*(1+AH$261)),AG$250+IF(OFFSET(Assumptions!$B$113,0,$C$1)="SND",Allocate!$B$16*Allocate!$B$28*AH$232*AH$14,0))</f>
        <v>5.3445008987365226</v>
      </c>
      <c r="AI250" s="7">
        <f ca="1">IF(OFFSET(Assumptions!$B$72,0,$C$1)="BU",IF(AI$6&lt;=OFFSET(Assumptions!$B$99,0,$C$1),AI$14*(AH$250/AH$14+MIN(ABS(OFFSET(Assumptions!$B$101,0,$C$1)-AH$250/AH$14),OFFSET(Assumptions!$B$100,0,$C$1))*SIGN(OFFSET(Assumptions!$B$101,0,$C$1)-AH$250/AH$14)),AH$250*(1+AI$262)*(1+AI$261)),AH$250+IF(OFFSET(Assumptions!$B$113,0,$C$1)="SND",Allocate!$B$16*Allocate!$B$28*AI$232*AI$14,0))</f>
        <v>5.5135934684210657</v>
      </c>
      <c r="AJ250" s="7">
        <f ca="1">IF(OFFSET(Assumptions!$B$72,0,$C$1)="BU",IF(AJ$6&lt;=OFFSET(Assumptions!$B$99,0,$C$1),AJ$14*(AI$250/AI$14+MIN(ABS(OFFSET(Assumptions!$B$101,0,$C$1)-AI$250/AI$14),OFFSET(Assumptions!$B$100,0,$C$1))*SIGN(OFFSET(Assumptions!$B$101,0,$C$1)-AI$250/AI$14)),AI$250*(1+AJ$262)*(1+AJ$261)),AI$250+IF(OFFSET(Assumptions!$B$113,0,$C$1)="SND",Allocate!$B$16*Allocate!$B$28*AJ$232*AJ$14,0))</f>
        <v>5.6894820165367328</v>
      </c>
      <c r="AK250" s="7">
        <f ca="1">IF(OFFSET(Assumptions!$B$72,0,$C$1)="BU",IF(AK$6&lt;=OFFSET(Assumptions!$B$99,0,$C$1),AK$14*(AJ$250/AJ$14+MIN(ABS(OFFSET(Assumptions!$B$101,0,$C$1)-AJ$250/AJ$14),OFFSET(Assumptions!$B$100,0,$C$1))*SIGN(OFFSET(Assumptions!$B$101,0,$C$1)-AJ$250/AJ$14)),AJ$250*(1+AK$262)*(1+AK$261)),AJ$250+IF(OFFSET(Assumptions!$B$113,0,$C$1)="SND",Allocate!$B$16*Allocate!$B$28*AK$232*AK$14,0))</f>
        <v>5.8724177597738869</v>
      </c>
      <c r="AL250" s="7">
        <f ca="1">IF(OFFSET(Assumptions!$B$72,0,$C$1)="BU",IF(AL$6&lt;=OFFSET(Assumptions!$B$99,0,$C$1),AL$14*(AK$250/AK$14+MIN(ABS(OFFSET(Assumptions!$B$101,0,$C$1)-AK$250/AK$14),OFFSET(Assumptions!$B$100,0,$C$1))*SIGN(OFFSET(Assumptions!$B$101,0,$C$1)-AK$250/AK$14)),AK$250*(1+AL$262)*(1+AL$261)),AK$250+IF(OFFSET(Assumptions!$B$113,0,$C$1)="SND",Allocate!$B$16*Allocate!$B$28*AL$232*AL$14,0))</f>
        <v>6.0626463635528749</v>
      </c>
      <c r="AM250" s="7">
        <f ca="1">IF(OFFSET(Assumptions!$B$72,0,$C$1)="BU",IF(AM$6&lt;=OFFSET(Assumptions!$B$99,0,$C$1),AM$14*(AL$250/AL$14+MIN(ABS(OFFSET(Assumptions!$B$101,0,$C$1)-AL$250/AL$14),OFFSET(Assumptions!$B$100,0,$C$1))*SIGN(OFFSET(Assumptions!$B$101,0,$C$1)-AL$250/AL$14)),AL$250*(1+AM$262)*(1+AM$261)),AL$250+IF(OFFSET(Assumptions!$B$113,0,$C$1)="SND",Allocate!$B$16*Allocate!$B$28*AM$232*AM$14,0))</f>
        <v>6.2604234562912211</v>
      </c>
      <c r="AN250" s="7">
        <f ca="1">IF(OFFSET(Assumptions!$B$72,0,$C$1)="BU",IF(AN$6&lt;=OFFSET(Assumptions!$B$99,0,$C$1),AN$14*(AM$250/AM$14+MIN(ABS(OFFSET(Assumptions!$B$101,0,$C$1)-AM$250/AM$14),OFFSET(Assumptions!$B$100,0,$C$1))*SIGN(OFFSET(Assumptions!$B$101,0,$C$1)-AM$250/AM$14)),AM$250*(1+AN$262)*(1+AN$261)),AM$250+IF(OFFSET(Assumptions!$B$113,0,$C$1)="SND",Allocate!$B$16*Allocate!$B$28*AN$232*AN$14,0))</f>
        <v>6.4660151662814922</v>
      </c>
      <c r="AO250" s="7">
        <f ca="1">IF(OFFSET(Assumptions!$B$72,0,$C$1)="BU",IF(AO$6&lt;=OFFSET(Assumptions!$B$99,0,$C$1),AO$14*(AN$250/AN$14+MIN(ABS(OFFSET(Assumptions!$B$101,0,$C$1)-AN$250/AN$14),OFFSET(Assumptions!$B$100,0,$C$1))*SIGN(OFFSET(Assumptions!$B$101,0,$C$1)-AN$250/AN$14)),AN$250*(1+AO$262)*(1+AO$261)),AN$250+IF(OFFSET(Assumptions!$B$113,0,$C$1)="SND",Allocate!$B$16*Allocate!$B$28*AO$232*AO$14,0))</f>
        <v>6.6796569365167269</v>
      </c>
      <c r="AP250" s="7">
        <f ca="1">IF(OFFSET(Assumptions!$B$72,0,$C$1)="BU",IF(AP$6&lt;=OFFSET(Assumptions!$B$99,0,$C$1),AP$14*(AO$250/AO$14+MIN(ABS(OFFSET(Assumptions!$B$101,0,$C$1)-AO$250/AO$14),OFFSET(Assumptions!$B$100,0,$C$1))*SIGN(OFFSET(Assumptions!$B$101,0,$C$1)-AO$250/AO$14)),AO$250*(1+AP$262)*(1+AP$261)),AO$250+IF(OFFSET(Assumptions!$B$113,0,$C$1)="SND",Allocate!$B$16*Allocate!$B$28*AP$232*AP$14,0))</f>
        <v>6.9016183945314955</v>
      </c>
      <c r="AQ250" s="7">
        <f ca="1">IF(OFFSET(Assumptions!$B$72,0,$C$1)="BU",IF(AQ$6&lt;=OFFSET(Assumptions!$B$99,0,$C$1),AQ$14*(AP$250/AP$14+MIN(ABS(OFFSET(Assumptions!$B$101,0,$C$1)-AP$250/AP$14),OFFSET(Assumptions!$B$100,0,$C$1))*SIGN(OFFSET(Assumptions!$B$101,0,$C$1)-AP$250/AP$14)),AP$250*(1+AQ$262)*(1+AQ$261)),AP$250+IF(OFFSET(Assumptions!$B$113,0,$C$1)="SND",Allocate!$B$16*Allocate!$B$28*AQ$232*AQ$14,0))</f>
        <v>7.1321458561214666</v>
      </c>
      <c r="AR250" s="7">
        <f ca="1">IF(OFFSET(Assumptions!$B$72,0,$C$1)="BU",IF(AR$6&lt;=OFFSET(Assumptions!$B$99,0,$C$1),AR$14*(AQ$250/AQ$14+MIN(ABS(OFFSET(Assumptions!$B$101,0,$C$1)-AQ$250/AQ$14),OFFSET(Assumptions!$B$100,0,$C$1))*SIGN(OFFSET(Assumptions!$B$101,0,$C$1)-AQ$250/AQ$14)),AQ$250*(1+AR$262)*(1+AR$261)),AQ$250+IF(OFFSET(Assumptions!$B$113,0,$C$1)="SND",Allocate!$B$16*Allocate!$B$28*AR$232*AR$14,0))</f>
        <v>7.3714953353307866</v>
      </c>
      <c r="AS250" s="7">
        <f ca="1">IF(OFFSET(Assumptions!$B$72,0,$C$1)="BU",IF(AS$6&lt;=OFFSET(Assumptions!$B$99,0,$C$1),AS$14*(AR$250/AR$14+MIN(ABS(OFFSET(Assumptions!$B$101,0,$C$1)-AR$250/AR$14),OFFSET(Assumptions!$B$100,0,$C$1))*SIGN(OFFSET(Assumptions!$B$101,0,$C$1)-AR$250/AR$14)),AR$250*(1+AS$262)*(1+AS$261)),AR$250+IF(OFFSET(Assumptions!$B$113,0,$C$1)="SND",Allocate!$B$16*Allocate!$B$28*AS$232*AS$14,0))</f>
        <v>7.6199434277162457</v>
      </c>
      <c r="AT250" s="7">
        <f ca="1">IF(OFFSET(Assumptions!$B$72,0,$C$1)="BU",IF(AT$6&lt;=OFFSET(Assumptions!$B$99,0,$C$1),AT$14*(AS$250/AS$14+MIN(ABS(OFFSET(Assumptions!$B$101,0,$C$1)-AS$250/AS$14),OFFSET(Assumptions!$B$100,0,$C$1))*SIGN(OFFSET(Assumptions!$B$101,0,$C$1)-AS$250/AS$14)),AS$250*(1+AT$262)*(1+AT$261)),AS$250+IF(OFFSET(Assumptions!$B$113,0,$C$1)="SND",Allocate!$B$16*Allocate!$B$28*AT$232*AT$14,0))</f>
        <v>7.8777739955990977</v>
      </c>
      <c r="AU250" s="7">
        <f ca="1">IF(OFFSET(Assumptions!$B$72,0,$C$1)="BU",IF(AU$6&lt;=OFFSET(Assumptions!$B$99,0,$C$1),AU$14*(AT$250/AT$14+MIN(ABS(OFFSET(Assumptions!$B$101,0,$C$1)-AT$250/AT$14),OFFSET(Assumptions!$B$100,0,$C$1))*SIGN(OFFSET(Assumptions!$B$101,0,$C$1)-AT$250/AT$14)),AT$250*(1+AU$262)*(1+AU$261)),AT$250+IF(OFFSET(Assumptions!$B$113,0,$C$1)="SND",Allocate!$B$16*Allocate!$B$28*AU$232*AU$14,0))</f>
        <v>8.1452833778984211</v>
      </c>
      <c r="AV250" s="7">
        <f ca="1">IF(OFFSET(Assumptions!$B$72,0,$C$1)="BU",IF(AV$6&lt;=OFFSET(Assumptions!$B$99,0,$C$1),AV$14*(AU$250/AU$14+MIN(ABS(OFFSET(Assumptions!$B$101,0,$C$1)-AU$250/AU$14),OFFSET(Assumptions!$B$100,0,$C$1))*SIGN(OFFSET(Assumptions!$B$101,0,$C$1)-AU$250/AU$14)),AU$250*(1+AV$262)*(1+AV$261)),AU$250+IF(OFFSET(Assumptions!$B$113,0,$C$1)="SND",Allocate!$B$16*Allocate!$B$28*AV$232*AV$14,0))</f>
        <v>8.4227978394408574</v>
      </c>
      <c r="AW250" s="7">
        <f ca="1">IF(OFFSET(Assumptions!$B$72,0,$C$1)="BU",IF(AW$6&lt;=OFFSET(Assumptions!$B$99,0,$C$1),AW$14*(AV$250/AV$14+MIN(ABS(OFFSET(Assumptions!$B$101,0,$C$1)-AV$250/AV$14),OFFSET(Assumptions!$B$100,0,$C$1))*SIGN(OFFSET(Assumptions!$B$101,0,$C$1)-AV$250/AV$14)),AV$250*(1+AW$262)*(1+AW$261)),AV$250+IF(OFFSET(Assumptions!$B$113,0,$C$1)="SND",Allocate!$B$16*Allocate!$B$28*AW$232*AW$14,0))</f>
        <v>8.710637996623749</v>
      </c>
    </row>
    <row r="251" spans="1:49" x14ac:dyDescent="0.2">
      <c r="A251" s="1" t="s">
        <v>794</v>
      </c>
      <c r="B251" s="4" t="str">
        <f t="shared" ref="B251:B253" si="179">$B$43</f>
        <v>From Fiscal</v>
      </c>
      <c r="D251" s="18">
        <f>Fiscal!D$380</f>
        <v>3.2320000000000002</v>
      </c>
      <c r="E251" s="19">
        <f ca="1">Fiscal!E$380 +IF(OR(OFFSET(Assumptions!$B$72,0,$C$1)="BU",OFFSET(Assumptions!$B$113,0,$C$1)="SND"),Allocate!C$29,0)</f>
        <v>3.3460000000000001</v>
      </c>
      <c r="F251" s="19">
        <f ca="1">Fiscal!F$380 +IF(OR(OFFSET(Assumptions!$B$72,0,$C$1)="BU",OFFSET(Assumptions!$B$113,0,$C$1)="SND"),Allocate!D$29,0)</f>
        <v>3.4020000000000001</v>
      </c>
      <c r="G251" s="19">
        <f ca="1">Fiscal!G$380 +IF(OR(OFFSET(Assumptions!$B$72,0,$C$1)="BU",OFFSET(Assumptions!$B$113,0,$C$1)="SND"),Allocate!E$29,0)</f>
        <v>3.5970000000000004</v>
      </c>
      <c r="H251" s="19">
        <f ca="1">Fiscal!H$380 +IF(OR(OFFSET(Assumptions!$B$72,0,$C$1)="BU",OFFSET(Assumptions!$B$113,0,$C$1)="SND"),Allocate!F$29,0)</f>
        <v>3.7170000000000001</v>
      </c>
      <c r="I251" s="19">
        <f ca="1">Fiscal!I$380 +IF(OR(OFFSET(Assumptions!$B$72,0,$C$1)="BU",OFFSET(Assumptions!$B$113,0,$C$1)="SND"),Allocate!G$29,0)</f>
        <v>3.871</v>
      </c>
      <c r="J251" s="7">
        <f ca="1">IF(OFFSET(Assumptions!$B$72,0,$C$1)="BU",IF(J$6&lt;=OFFSET(Assumptions!$B$99,0,$C$1),J$14*(I$251/I$14+MIN(ABS(OFFSET(Assumptions!$B$102,0,$C$1)-I$251/I$14),OFFSET(Assumptions!$B$100,0,$C$1))*SIGN(OFFSET(Assumptions!$B$102,0,$C$1)-I$251/I$14)),I$251*(1+J$263)*(1+J$261)),I$251+IF(OFFSET(Assumptions!$B$113,0,$C$1)="SND",Allocate!$B$16*Allocate!$B$29*J$232*J$14,0))</f>
        <v>4.0020716688562565</v>
      </c>
      <c r="K251" s="7">
        <f ca="1">IF(OFFSET(Assumptions!$B$72,0,$C$1)="BU",IF(K$6&lt;=OFFSET(Assumptions!$B$99,0,$C$1),K$14*(J$251/J$14+MIN(ABS(OFFSET(Assumptions!$B$102,0,$C$1)-J$251/J$14),OFFSET(Assumptions!$B$100,0,$C$1))*SIGN(OFFSET(Assumptions!$B$102,0,$C$1)-J$251/J$14)),J$251*(1+K$263)*(1+K$261)),J$251+IF(OFFSET(Assumptions!$B$113,0,$C$1)="SND",Allocate!$B$16*Allocate!$B$29*K$232*K$14,0))</f>
        <v>4.138620848619877</v>
      </c>
      <c r="L251" s="7">
        <f ca="1">IF(OFFSET(Assumptions!$B$72,0,$C$1)="BU",IF(L$6&lt;=OFFSET(Assumptions!$B$99,0,$C$1),L$14*(K$251/K$14+MIN(ABS(OFFSET(Assumptions!$B$102,0,$C$1)-K$251/K$14),OFFSET(Assumptions!$B$100,0,$C$1))*SIGN(OFFSET(Assumptions!$B$102,0,$C$1)-K$251/K$14)),K$251*(1+L$263)*(1+L$261)),K$251+IF(OFFSET(Assumptions!$B$113,0,$C$1)="SND",Allocate!$B$16*Allocate!$B$29*L$232*L$14,0))</f>
        <v>4.2810887922230689</v>
      </c>
      <c r="M251" s="7">
        <f ca="1">IF(OFFSET(Assumptions!$B$72,0,$C$1)="BU",IF(M$6&lt;=OFFSET(Assumptions!$B$99,0,$C$1),M$14*(L$251/L$14+MIN(ABS(OFFSET(Assumptions!$B$102,0,$C$1)-L$251/L$14),OFFSET(Assumptions!$B$100,0,$C$1))*SIGN(OFFSET(Assumptions!$B$102,0,$C$1)-L$251/L$14)),L$251*(1+M$263)*(1+M$261)),L$251+IF(OFFSET(Assumptions!$B$113,0,$C$1)="SND",Allocate!$B$16*Allocate!$B$29*M$232*M$14,0))</f>
        <v>4.4297122704345373</v>
      </c>
      <c r="N251" s="7">
        <f ca="1">IF(OFFSET(Assumptions!$B$72,0,$C$1)="BU",IF(N$6&lt;=OFFSET(Assumptions!$B$99,0,$C$1),N$14*(M$251/M$14+MIN(ABS(OFFSET(Assumptions!$B$102,0,$C$1)-M$251/M$14),OFFSET(Assumptions!$B$100,0,$C$1))*SIGN(OFFSET(Assumptions!$B$102,0,$C$1)-M$251/M$14)),M$251*(1+N$263)*(1+N$261)),M$251+IF(OFFSET(Assumptions!$B$113,0,$C$1)="SND",Allocate!$B$16*Allocate!$B$29*N$232*N$14,0))</f>
        <v>4.5847455042122665</v>
      </c>
      <c r="O251" s="7">
        <f ca="1">IF(OFFSET(Assumptions!$B$72,0,$C$1)="BU",IF(O$6&lt;=OFFSET(Assumptions!$B$99,0,$C$1),O$14*(N$251/N$14+MIN(ABS(OFFSET(Assumptions!$B$102,0,$C$1)-N$251/N$14),OFFSET(Assumptions!$B$100,0,$C$1))*SIGN(OFFSET(Assumptions!$B$102,0,$C$1)-N$251/N$14)),N$251*(1+O$263)*(1+O$261)),N$251+IF(OFFSET(Assumptions!$B$113,0,$C$1)="SND",Allocate!$B$16*Allocate!$B$29*O$232*O$14,0))</f>
        <v>4.7463966002593301</v>
      </c>
      <c r="P251" s="7">
        <f ca="1">IF(OFFSET(Assumptions!$B$72,0,$C$1)="BU",IF(P$6&lt;=OFFSET(Assumptions!$B$99,0,$C$1),P$14*(O$251/O$14+MIN(ABS(OFFSET(Assumptions!$B$102,0,$C$1)-O$251/O$14),OFFSET(Assumptions!$B$100,0,$C$1))*SIGN(OFFSET(Assumptions!$B$102,0,$C$1)-O$251/O$14)),O$251*(1+P$263)*(1+P$261)),O$251+IF(OFFSET(Assumptions!$B$113,0,$C$1)="SND",Allocate!$B$16*Allocate!$B$29*P$232*P$14,0))</f>
        <v>4.9991273151796864</v>
      </c>
      <c r="Q251" s="7">
        <f ca="1">IF(OFFSET(Assumptions!$B$72,0,$C$1)="BU",IF(Q$6&lt;=OFFSET(Assumptions!$B$99,0,$C$1),Q$14*(P$251/P$14+MIN(ABS(OFFSET(Assumptions!$B$102,0,$C$1)-P$251/P$14),OFFSET(Assumptions!$B$100,0,$C$1))*SIGN(OFFSET(Assumptions!$B$102,0,$C$1)-P$251/P$14)),P$251*(1+Q$263)*(1+Q$261)),P$251+IF(OFFSET(Assumptions!$B$113,0,$C$1)="SND",Allocate!$B$16*Allocate!$B$29*Q$232*Q$14,0))</f>
        <v>5.2624283021162066</v>
      </c>
      <c r="R251" s="7">
        <f ca="1">IF(OFFSET(Assumptions!$B$72,0,$C$1)="BU",IF(R$6&lt;=OFFSET(Assumptions!$B$99,0,$C$1),R$14*(Q$251/Q$14+MIN(ABS(OFFSET(Assumptions!$B$102,0,$C$1)-Q$251/Q$14),OFFSET(Assumptions!$B$100,0,$C$1))*SIGN(OFFSET(Assumptions!$B$102,0,$C$1)-Q$251/Q$14)),Q$251*(1+R$263)*(1+R$261)),Q$251+IF(OFFSET(Assumptions!$B$113,0,$C$1)="SND",Allocate!$B$16*Allocate!$B$29*R$232*R$14,0))</f>
        <v>5.5366079167943552</v>
      </c>
      <c r="S251" s="7">
        <f ca="1">IF(OFFSET(Assumptions!$B$72,0,$C$1)="BU",IF(S$6&lt;=OFFSET(Assumptions!$B$99,0,$C$1),S$14*(R$251/R$14+MIN(ABS(OFFSET(Assumptions!$B$102,0,$C$1)-R$251/R$14),OFFSET(Assumptions!$B$100,0,$C$1))*SIGN(OFFSET(Assumptions!$B$102,0,$C$1)-R$251/R$14)),R$251*(1+S$263)*(1+S$261)),R$251+IF(OFFSET(Assumptions!$B$113,0,$C$1)="SND",Allocate!$B$16*Allocate!$B$29*S$232*S$14,0))</f>
        <v>5.8220090867749592</v>
      </c>
      <c r="T251" s="7">
        <f ca="1">IF(OFFSET(Assumptions!$B$72,0,$C$1)="BU",IF(T$6&lt;=OFFSET(Assumptions!$B$99,0,$C$1),T$14*(S$251/S$14+MIN(ABS(OFFSET(Assumptions!$B$102,0,$C$1)-S$251/S$14),OFFSET(Assumptions!$B$100,0,$C$1))*SIGN(OFFSET(Assumptions!$B$102,0,$C$1)-S$251/S$14)),S$251*(1+T$263)*(1+T$261)),S$251+IF(OFFSET(Assumptions!$B$113,0,$C$1)="SND",Allocate!$B$16*Allocate!$B$29*T$232*T$14,0))</f>
        <v>6.1189788317401401</v>
      </c>
      <c r="U251" s="7">
        <f ca="1">IF(OFFSET(Assumptions!$B$72,0,$C$1)="BU",IF(U$6&lt;=OFFSET(Assumptions!$B$99,0,$C$1),U$14*(T$251/T$14+MIN(ABS(OFFSET(Assumptions!$B$102,0,$C$1)-T$251/T$14),OFFSET(Assumptions!$B$100,0,$C$1))*SIGN(OFFSET(Assumptions!$B$102,0,$C$1)-T$251/T$14)),T$251*(1+U$263)*(1+U$261)),T$251+IF(OFFSET(Assumptions!$B$113,0,$C$1)="SND",Allocate!$B$16*Allocate!$B$29*U$232*U$14,0))</f>
        <v>6.427905690682695</v>
      </c>
      <c r="V251" s="7">
        <f ca="1">IF(OFFSET(Assumptions!$B$72,0,$C$1)="BU",IF(V$6&lt;=OFFSET(Assumptions!$B$99,0,$C$1),V$14*(U$251/U$14+MIN(ABS(OFFSET(Assumptions!$B$102,0,$C$1)-U$251/U$14),OFFSET(Assumptions!$B$100,0,$C$1))*SIGN(OFFSET(Assumptions!$B$102,0,$C$1)-U$251/U$14)),U$251*(1+V$263)*(1+V$261)),U$251+IF(OFFSET(Assumptions!$B$113,0,$C$1)="SND",Allocate!$B$16*Allocate!$B$29*V$232*V$14,0))</f>
        <v>6.7492077187995703</v>
      </c>
      <c r="W251" s="7">
        <f ca="1">IF(OFFSET(Assumptions!$B$72,0,$C$1)="BU",IF(W$6&lt;=OFFSET(Assumptions!$B$99,0,$C$1),W$14*(V$251/V$14+MIN(ABS(OFFSET(Assumptions!$B$102,0,$C$1)-V$251/V$14),OFFSET(Assumptions!$B$100,0,$C$1))*SIGN(OFFSET(Assumptions!$B$102,0,$C$1)-V$251/V$14)),V$251*(1+W$263)*(1+W$261)),V$251+IF(OFFSET(Assumptions!$B$113,0,$C$1)="SND",Allocate!$B$16*Allocate!$B$29*W$232*W$14,0))</f>
        <v>7.0833388252742902</v>
      </c>
      <c r="X251" s="7">
        <f ca="1">IF(OFFSET(Assumptions!$B$72,0,$C$1)="BU",IF(X$6&lt;=OFFSET(Assumptions!$B$99,0,$C$1),X$14*(W$251/W$14+MIN(ABS(OFFSET(Assumptions!$B$102,0,$C$1)-W$251/W$14),OFFSET(Assumptions!$B$100,0,$C$1))*SIGN(OFFSET(Assumptions!$B$102,0,$C$1)-W$251/W$14)),W$251*(1+X$263)*(1+X$261)),W$251+IF(OFFSET(Assumptions!$B$113,0,$C$1)="SND",Allocate!$B$16*Allocate!$B$29*X$232*X$14,0))</f>
        <v>7.4307935548486563</v>
      </c>
      <c r="Y251" s="7">
        <f ca="1">IF(OFFSET(Assumptions!$B$72,0,$C$1)="BU",IF(Y$6&lt;=OFFSET(Assumptions!$B$99,0,$C$1),Y$14*(X$251/X$14+MIN(ABS(OFFSET(Assumptions!$B$102,0,$C$1)-X$251/X$14),OFFSET(Assumptions!$B$100,0,$C$1))*SIGN(OFFSET(Assumptions!$B$102,0,$C$1)-X$251/X$14)),X$251*(1+Y$263)*(1+Y$261)),X$251+IF(OFFSET(Assumptions!$B$113,0,$C$1)="SND",Allocate!$B$16*Allocate!$B$29*Y$232*Y$14,0))</f>
        <v>7.7920650901490358</v>
      </c>
      <c r="Z251" s="7">
        <f ca="1">IF(OFFSET(Assumptions!$B$72,0,$C$1)="BU",IF(Z$6&lt;=OFFSET(Assumptions!$B$99,0,$C$1),Z$14*(Y$251/Y$14+MIN(ABS(OFFSET(Assumptions!$B$102,0,$C$1)-Y$251/Y$14),OFFSET(Assumptions!$B$100,0,$C$1))*SIGN(OFFSET(Assumptions!$B$102,0,$C$1)-Y$251/Y$14)),Y$251*(1+Z$263)*(1+Z$261)),Y$251+IF(OFFSET(Assumptions!$B$113,0,$C$1)="SND",Allocate!$B$16*Allocate!$B$29*Z$232*Z$14,0))</f>
        <v>8.1677165495313968</v>
      </c>
      <c r="AA251" s="7">
        <f ca="1">IF(OFFSET(Assumptions!$B$72,0,$C$1)="BU",IF(AA$6&lt;=OFFSET(Assumptions!$B$99,0,$C$1),AA$14*(Z$251/Z$14+MIN(ABS(OFFSET(Assumptions!$B$102,0,$C$1)-Z$251/Z$14),OFFSET(Assumptions!$B$100,0,$C$1))*SIGN(OFFSET(Assumptions!$B$102,0,$C$1)-Z$251/Z$14)),Z$251*(1+AA$263)*(1+AA$261)),Z$251+IF(OFFSET(Assumptions!$B$113,0,$C$1)="SND",Allocate!$B$16*Allocate!$B$29*AA$232*AA$14,0))</f>
        <v>8.4281283952561079</v>
      </c>
      <c r="AB251" s="7">
        <f ca="1">IF(OFFSET(Assumptions!$B$72,0,$C$1)="BU",IF(AB$6&lt;=OFFSET(Assumptions!$B$99,0,$C$1),AB$14*(AA$251/AA$14+MIN(ABS(OFFSET(Assumptions!$B$102,0,$C$1)-AA$251/AA$14),OFFSET(Assumptions!$B$100,0,$C$1))*SIGN(OFFSET(Assumptions!$B$102,0,$C$1)-AA$251/AA$14)),AA$251*(1+AB$263)*(1+AB$261)),AA$251+IF(OFFSET(Assumptions!$B$113,0,$C$1)="SND",Allocate!$B$16*Allocate!$B$29*AB$232*AB$14,0))</f>
        <v>8.6989386673382363</v>
      </c>
      <c r="AC251" s="7">
        <f ca="1">IF(OFFSET(Assumptions!$B$72,0,$C$1)="BU",IF(AC$6&lt;=OFFSET(Assumptions!$B$99,0,$C$1),AC$14*(AB$251/AB$14+MIN(ABS(OFFSET(Assumptions!$B$102,0,$C$1)-AB$251/AB$14),OFFSET(Assumptions!$B$100,0,$C$1))*SIGN(OFFSET(Assumptions!$B$102,0,$C$1)-AB$251/AB$14)),AB$251*(1+AC$263)*(1+AC$261)),AB$251+IF(OFFSET(Assumptions!$B$113,0,$C$1)="SND",Allocate!$B$16*Allocate!$B$29*AC$232*AC$14,0))</f>
        <v>8.9806075081359893</v>
      </c>
      <c r="AD251" s="7">
        <f ca="1">IF(OFFSET(Assumptions!$B$72,0,$C$1)="BU",IF(AD$6&lt;=OFFSET(Assumptions!$B$99,0,$C$1),AD$14*(AC$251/AC$14+MIN(ABS(OFFSET(Assumptions!$B$102,0,$C$1)-AC$251/AC$14),OFFSET(Assumptions!$B$100,0,$C$1))*SIGN(OFFSET(Assumptions!$B$102,0,$C$1)-AC$251/AC$14)),AC$251*(1+AD$263)*(1+AD$261)),AC$251+IF(OFFSET(Assumptions!$B$113,0,$C$1)="SND",Allocate!$B$16*Allocate!$B$29*AD$232*AD$14,0))</f>
        <v>9.2736065050729444</v>
      </c>
      <c r="AE251" s="7">
        <f ca="1">IF(OFFSET(Assumptions!$B$72,0,$C$1)="BU",IF(AE$6&lt;=OFFSET(Assumptions!$B$99,0,$C$1),AE$14*(AD$251/AD$14+MIN(ABS(OFFSET(Assumptions!$B$102,0,$C$1)-AD$251/AD$14),OFFSET(Assumptions!$B$100,0,$C$1))*SIGN(OFFSET(Assumptions!$B$102,0,$C$1)-AD$251/AD$14)),AD$251*(1+AE$263)*(1+AE$261)),AD$251+IF(OFFSET(Assumptions!$B$113,0,$C$1)="SND",Allocate!$B$16*Allocate!$B$29*AE$232*AE$14,0))</f>
        <v>9.5783968403344257</v>
      </c>
      <c r="AF251" s="7">
        <f ca="1">IF(OFFSET(Assumptions!$B$72,0,$C$1)="BU",IF(AF$6&lt;=OFFSET(Assumptions!$B$99,0,$C$1),AF$14*(AE$251/AE$14+MIN(ABS(OFFSET(Assumptions!$B$102,0,$C$1)-AE$251/AE$14),OFFSET(Assumptions!$B$100,0,$C$1))*SIGN(OFFSET(Assumptions!$B$102,0,$C$1)-AE$251/AE$14)),AE$251*(1+AF$263)*(1+AF$261)),AE$251+IF(OFFSET(Assumptions!$B$113,0,$C$1)="SND",Allocate!$B$16*Allocate!$B$29*AF$232*AF$14,0))</f>
        <v>9.8954723180176334</v>
      </c>
      <c r="AG251" s="7">
        <f ca="1">IF(OFFSET(Assumptions!$B$72,0,$C$1)="BU",IF(AG$6&lt;=OFFSET(Assumptions!$B$99,0,$C$1),AG$14*(AF$251/AF$14+MIN(ABS(OFFSET(Assumptions!$B$102,0,$C$1)-AF$251/AF$14),OFFSET(Assumptions!$B$100,0,$C$1))*SIGN(OFFSET(Assumptions!$B$102,0,$C$1)-AF$251/AF$14)),AF$251*(1+AG$263)*(1+AG$261)),AF$251+IF(OFFSET(Assumptions!$B$113,0,$C$1)="SND",Allocate!$B$16*Allocate!$B$29*AG$232*AG$14,0))</f>
        <v>10.225333611557703</v>
      </c>
      <c r="AH251" s="7">
        <f ca="1">IF(OFFSET(Assumptions!$B$72,0,$C$1)="BU",IF(AH$6&lt;=OFFSET(Assumptions!$B$99,0,$C$1),AH$14*(AG$251/AG$14+MIN(ABS(OFFSET(Assumptions!$B$102,0,$C$1)-AG$251/AG$14),OFFSET(Assumptions!$B$100,0,$C$1))*SIGN(OFFSET(Assumptions!$B$102,0,$C$1)-AG$251/AG$14)),AG$251*(1+AH$263)*(1+AH$261)),AG$251+IF(OFFSET(Assumptions!$B$113,0,$C$1)="SND",Allocate!$B$16*Allocate!$B$29*AH$232*AH$14,0))</f>
        <v>10.568501897332659</v>
      </c>
      <c r="AI251" s="7">
        <f ca="1">IF(OFFSET(Assumptions!$B$72,0,$C$1)="BU",IF(AI$6&lt;=OFFSET(Assumptions!$B$99,0,$C$1),AI$14*(AH$251/AH$14+MIN(ABS(OFFSET(Assumptions!$B$102,0,$C$1)-AH$251/AH$14),OFFSET(Assumptions!$B$100,0,$C$1))*SIGN(OFFSET(Assumptions!$B$102,0,$C$1)-AH$251/AH$14)),AH$251*(1+AI$263)*(1+AI$261)),AH$251+IF(OFFSET(Assumptions!$B$113,0,$C$1)="SND",Allocate!$B$16*Allocate!$B$29*AI$232*AI$14,0))</f>
        <v>10.925475100000028</v>
      </c>
      <c r="AJ251" s="7">
        <f ca="1">IF(OFFSET(Assumptions!$B$72,0,$C$1)="BU",IF(AJ$6&lt;=OFFSET(Assumptions!$B$99,0,$C$1),AJ$14*(AI$251/AI$14+MIN(ABS(OFFSET(Assumptions!$B$102,0,$C$1)-AI$251/AI$14),OFFSET(Assumptions!$B$100,0,$C$1))*SIGN(OFFSET(Assumptions!$B$102,0,$C$1)-AI$251/AI$14)),AI$251*(1+AJ$263)*(1+AJ$261)),AI$251+IF(OFFSET(Assumptions!$B$113,0,$C$1)="SND",Allocate!$B$16*Allocate!$B$29*AJ$232*AJ$14,0))</f>
        <v>11.296795368244215</v>
      </c>
      <c r="AK251" s="7">
        <f ca="1">IF(OFFSET(Assumptions!$B$72,0,$C$1)="BU",IF(AK$6&lt;=OFFSET(Assumptions!$B$99,0,$C$1),AK$14*(AJ$251/AJ$14+MIN(ABS(OFFSET(Assumptions!$B$102,0,$C$1)-AJ$251/AJ$14),OFFSET(Assumptions!$B$100,0,$C$1))*SIGN(OFFSET(Assumptions!$B$102,0,$C$1)-AJ$251/AJ$14)),AJ$251*(1+AK$263)*(1+AK$261)),AJ$251+IF(OFFSET(Assumptions!$B$113,0,$C$1)="SND",Allocate!$B$16*Allocate!$B$29*AK$232*AK$14,0))</f>
        <v>11.682993048411541</v>
      </c>
      <c r="AL251" s="7">
        <f ca="1">IF(OFFSET(Assumptions!$B$72,0,$C$1)="BU",IF(AL$6&lt;=OFFSET(Assumptions!$B$99,0,$C$1),AL$14*(AK$251/AK$14+MIN(ABS(OFFSET(Assumptions!$B$102,0,$C$1)-AK$251/AK$14),OFFSET(Assumptions!$B$100,0,$C$1))*SIGN(OFFSET(Assumptions!$B$102,0,$C$1)-AK$251/AK$14)),AK$251*(1+AL$263)*(1+AL$261)),AK$251+IF(OFFSET(Assumptions!$B$113,0,$C$1)="SND",Allocate!$B$16*Allocate!$B$29*AL$232*AL$14,0))</f>
        <v>12.084586767500515</v>
      </c>
      <c r="AM251" s="7">
        <f ca="1">IF(OFFSET(Assumptions!$B$72,0,$C$1)="BU",IF(AM$6&lt;=OFFSET(Assumptions!$B$99,0,$C$1),AM$14*(AL$251/AL$14+MIN(ABS(OFFSET(Assumptions!$B$102,0,$C$1)-AL$251/AL$14),OFFSET(Assumptions!$B$100,0,$C$1))*SIGN(OFFSET(Assumptions!$B$102,0,$C$1)-AL$251/AL$14)),AL$251*(1+AM$263)*(1+AM$261)),AL$251+IF(OFFSET(Assumptions!$B$113,0,$C$1)="SND",Allocate!$B$16*Allocate!$B$29*AM$232*AM$14,0))</f>
        <v>12.50211618550369</v>
      </c>
      <c r="AN251" s="7">
        <f ca="1">IF(OFFSET(Assumptions!$B$72,0,$C$1)="BU",IF(AN$6&lt;=OFFSET(Assumptions!$B$99,0,$C$1),AN$14*(AM$251/AM$14+MIN(ABS(OFFSET(Assumptions!$B$102,0,$C$1)-AM$251/AM$14),OFFSET(Assumptions!$B$100,0,$C$1))*SIGN(OFFSET(Assumptions!$B$102,0,$C$1)-AM$251/AM$14)),AM$251*(1+AN$263)*(1+AN$261)),AM$251+IF(OFFSET(Assumptions!$B$113,0,$C$1)="SND",Allocate!$B$16*Allocate!$B$29*AN$232*AN$14,0))</f>
        <v>12.936143128816484</v>
      </c>
      <c r="AO251" s="7">
        <f ca="1">IF(OFFSET(Assumptions!$B$72,0,$C$1)="BU",IF(AO$6&lt;=OFFSET(Assumptions!$B$99,0,$C$1),AO$14*(AN$251/AN$14+MIN(ABS(OFFSET(Assumptions!$B$102,0,$C$1)-AN$251/AN$14),OFFSET(Assumptions!$B$100,0,$C$1))*SIGN(OFFSET(Assumptions!$B$102,0,$C$1)-AN$251/AN$14)),AN$251*(1+AO$263)*(1+AO$261)),AN$251+IF(OFFSET(Assumptions!$B$113,0,$C$1)="SND",Allocate!$B$16*Allocate!$B$29*AO$232*AO$14,0))</f>
        <v>13.387164643757535</v>
      </c>
      <c r="AP251" s="7">
        <f ca="1">IF(OFFSET(Assumptions!$B$72,0,$C$1)="BU",IF(AP$6&lt;=OFFSET(Assumptions!$B$99,0,$C$1),AP$14*(AO$251/AO$14+MIN(ABS(OFFSET(Assumptions!$B$102,0,$C$1)-AO$251/AO$14),OFFSET(Assumptions!$B$100,0,$C$1))*SIGN(OFFSET(Assumptions!$B$102,0,$C$1)-AO$251/AO$14)),AO$251*(1+AP$263)*(1+AP$261)),AO$251+IF(OFFSET(Assumptions!$B$113,0,$C$1)="SND",Allocate!$B$16*Allocate!$B$29*AP$232*AP$14,0))</f>
        <v>13.855749944010936</v>
      </c>
      <c r="AQ251" s="7">
        <f ca="1">IF(OFFSET(Assumptions!$B$72,0,$C$1)="BU",IF(AQ$6&lt;=OFFSET(Assumptions!$B$99,0,$C$1),AQ$14*(AP$251/AP$14+MIN(ABS(OFFSET(Assumptions!$B$102,0,$C$1)-AP$251/AP$14),OFFSET(Assumptions!$B$100,0,$C$1))*SIGN(OFFSET(Assumptions!$B$102,0,$C$1)-AP$251/AP$14)),AP$251*(1+AQ$263)*(1+AQ$261)),AP$251+IF(OFFSET(Assumptions!$B$113,0,$C$1)="SND",Allocate!$B$16*Allocate!$B$29*AQ$232*AQ$14,0))</f>
        <v>14.342419029589765</v>
      </c>
      <c r="AR251" s="7">
        <f ca="1">IF(OFFSET(Assumptions!$B$72,0,$C$1)="BU",IF(AR$6&lt;=OFFSET(Assumptions!$B$99,0,$C$1),AR$14*(AQ$251/AQ$14+MIN(ABS(OFFSET(Assumptions!$B$102,0,$C$1)-AQ$251/AQ$14),OFFSET(Assumptions!$B$100,0,$C$1))*SIGN(OFFSET(Assumptions!$B$102,0,$C$1)-AQ$251/AQ$14)),AQ$251*(1+AR$263)*(1+AR$261)),AQ$251+IF(OFFSET(Assumptions!$B$113,0,$C$1)="SND",Allocate!$B$16*Allocate!$B$29*AR$232*AR$14,0))</f>
        <v>14.847712374587218</v>
      </c>
      <c r="AS251" s="7">
        <f ca="1">IF(OFFSET(Assumptions!$B$72,0,$C$1)="BU",IF(AS$6&lt;=OFFSET(Assumptions!$B$99,0,$C$1),AS$14*(AR$251/AR$14+MIN(ABS(OFFSET(Assumptions!$B$102,0,$C$1)-AR$251/AR$14),OFFSET(Assumptions!$B$100,0,$C$1))*SIGN(OFFSET(Assumptions!$B$102,0,$C$1)-AR$251/AR$14)),AR$251*(1+AS$263)*(1+AS$261)),AR$251+IF(OFFSET(Assumptions!$B$113,0,$C$1)="SND",Allocate!$B$16*Allocate!$B$29*AS$232*AS$14,0))</f>
        <v>15.372213902956521</v>
      </c>
      <c r="AT251" s="7">
        <f ca="1">IF(OFFSET(Assumptions!$B$72,0,$C$1)="BU",IF(AT$6&lt;=OFFSET(Assumptions!$B$99,0,$C$1),AT$14*(AS$251/AS$14+MIN(ABS(OFFSET(Assumptions!$B$102,0,$C$1)-AS$251/AS$14),OFFSET(Assumptions!$B$100,0,$C$1))*SIGN(OFFSET(Assumptions!$B$102,0,$C$1)-AS$251/AS$14)),AS$251*(1+AT$263)*(1+AT$261)),AS$251+IF(OFFSET(Assumptions!$B$113,0,$C$1)="SND",Allocate!$B$16*Allocate!$B$29*AT$232*AT$14,0))</f>
        <v>15.916522879598098</v>
      </c>
      <c r="AU251" s="7">
        <f ca="1">IF(OFFSET(Assumptions!$B$72,0,$C$1)="BU",IF(AU$6&lt;=OFFSET(Assumptions!$B$99,0,$C$1),AU$14*(AT$251/AT$14+MIN(ABS(OFFSET(Assumptions!$B$102,0,$C$1)-AT$251/AT$14),OFFSET(Assumptions!$B$100,0,$C$1))*SIGN(OFFSET(Assumptions!$B$102,0,$C$1)-AT$251/AT$14)),AT$251*(1+AU$263)*(1+AU$261)),AT$251+IF(OFFSET(Assumptions!$B$113,0,$C$1)="SND",Allocate!$B$16*Allocate!$B$29*AU$232*AU$14,0))</f>
        <v>16.481264908896669</v>
      </c>
      <c r="AV251" s="7">
        <f ca="1">IF(OFFSET(Assumptions!$B$72,0,$C$1)="BU",IF(AV$6&lt;=OFFSET(Assumptions!$B$99,0,$C$1),AV$14*(AU$251/AU$14+MIN(ABS(OFFSET(Assumptions!$B$102,0,$C$1)-AU$251/AU$14),OFFSET(Assumptions!$B$100,0,$C$1))*SIGN(OFFSET(Assumptions!$B$102,0,$C$1)-AU$251/AU$14)),AU$251*(1+AV$263)*(1+AV$261)),AU$251+IF(OFFSET(Assumptions!$B$113,0,$C$1)="SND",Allocate!$B$16*Allocate!$B$29*AV$232*AV$14,0))</f>
        <v>17.067128772152923</v>
      </c>
      <c r="AW251" s="7">
        <f ca="1">IF(OFFSET(Assumptions!$B$72,0,$C$1)="BU",IF(AW$6&lt;=OFFSET(Assumptions!$B$99,0,$C$1),AW$14*(AV$251/AV$14+MIN(ABS(OFFSET(Assumptions!$B$102,0,$C$1)-AV$251/AV$14),OFFSET(Assumptions!$B$100,0,$C$1))*SIGN(OFFSET(Assumptions!$B$102,0,$C$1)-AV$251/AV$14)),AV$251*(1+AW$263)*(1+AW$261)),AV$251+IF(OFFSET(Assumptions!$B$113,0,$C$1)="SND",Allocate!$B$16*Allocate!$B$29*AW$232*AW$14,0))</f>
        <v>17.674791326205696</v>
      </c>
    </row>
    <row r="252" spans="1:49" x14ac:dyDescent="0.2">
      <c r="A252" s="1" t="s">
        <v>795</v>
      </c>
      <c r="B252" s="4" t="str">
        <f t="shared" si="179"/>
        <v>From Fiscal</v>
      </c>
      <c r="D252" s="18">
        <f>Fiscal!D$381</f>
        <v>2.5409999999999999</v>
      </c>
      <c r="E252" s="19">
        <f ca="1">Fiscal!E$381 +IF(OR(OFFSET(Assumptions!$B$72,0,$C$1)="BU",OFFSET(Assumptions!$B$113,0,$C$1)="SND"),Allocate!C$30,0)</f>
        <v>2.6419999999999999</v>
      </c>
      <c r="F252" s="19">
        <f ca="1">Fiscal!F$381 +IF(OR(OFFSET(Assumptions!$B$72,0,$C$1)="BU",OFFSET(Assumptions!$B$113,0,$C$1)="SND"),Allocate!D$30,0)</f>
        <v>2.6480000000000001</v>
      </c>
      <c r="G252" s="19">
        <f ca="1">Fiscal!G$381 +IF(OR(OFFSET(Assumptions!$B$72,0,$C$1)="BU",OFFSET(Assumptions!$B$113,0,$C$1)="SND"),Allocate!E$30,0)</f>
        <v>2.8119999999999998</v>
      </c>
      <c r="H252" s="19">
        <f ca="1">Fiscal!H$381 +IF(OR(OFFSET(Assumptions!$B$72,0,$C$1)="BU",OFFSET(Assumptions!$B$113,0,$C$1)="SND"),Allocate!F$30,0)</f>
        <v>2.9169999999999998</v>
      </c>
      <c r="I252" s="19">
        <f ca="1">Fiscal!I$381 +IF(OR(OFFSET(Assumptions!$B$72,0,$C$1)="BU",OFFSET(Assumptions!$B$113,0,$C$1)="SND"),Allocate!G$30,0)</f>
        <v>3.0460000000000003</v>
      </c>
      <c r="J252" s="7">
        <f ca="1">IF(OFFSET(Assumptions!$B$72,0,$C$1)="BU",IF(J$6&lt;=OFFSET(Assumptions!$B$99,0,$C$1),J$14*(I$252/I$14+MIN(ABS(OFFSET(Assumptions!$B$103,0,$C$1)-I$252/I$14),OFFSET(Assumptions!$B$100,0,$C$1))*SIGN(OFFSET(Assumptions!$B$103,0,$C$1)-I$252/I$14)),I$252*(1+J$264)*(1+J$261)),I$252+IF(OFFSET(Assumptions!$B$113,0,$C$1)="SND",Allocate!$B$16*Allocate!$B$30*J$232*J$14,0))</f>
        <v>3.1494776333075709</v>
      </c>
      <c r="K252" s="7">
        <f ca="1">IF(OFFSET(Assumptions!$B$72,0,$C$1)="BU",IF(K$6&lt;=OFFSET(Assumptions!$B$99,0,$C$1),K$14*(J$252/J$14+MIN(ABS(OFFSET(Assumptions!$B$103,0,$C$1)-J$252/J$14),OFFSET(Assumptions!$B$100,0,$C$1))*SIGN(OFFSET(Assumptions!$B$103,0,$C$1)-J$252/J$14)),J$252*(1+K$264)*(1+K$261)),J$252+IF(OFFSET(Assumptions!$B$113,0,$C$1)="SND",Allocate!$B$16*Allocate!$B$30*K$232*K$14,0))</f>
        <v>3.2572796173314815</v>
      </c>
      <c r="L252" s="7">
        <f ca="1">IF(OFFSET(Assumptions!$B$72,0,$C$1)="BU",IF(L$6&lt;=OFFSET(Assumptions!$B$99,0,$C$1),L$14*(K$252/K$14+MIN(ABS(OFFSET(Assumptions!$B$103,0,$C$1)-K$252/K$14),OFFSET(Assumptions!$B$100,0,$C$1))*SIGN(OFFSET(Assumptions!$B$103,0,$C$1)-K$252/K$14)),K$252*(1+L$264)*(1+L$261)),K$252+IF(OFFSET(Assumptions!$B$113,0,$C$1)="SND",Allocate!$B$16*Allocate!$B$30*L$232*L$14,0))</f>
        <v>3.3697543096497911</v>
      </c>
      <c r="M252" s="7">
        <f ca="1">IF(OFFSET(Assumptions!$B$72,0,$C$1)="BU",IF(M$6&lt;=OFFSET(Assumptions!$B$99,0,$C$1),M$14*(L$252/L$14+MIN(ABS(OFFSET(Assumptions!$B$103,0,$C$1)-L$252/L$14),OFFSET(Assumptions!$B$100,0,$C$1))*SIGN(OFFSET(Assumptions!$B$103,0,$C$1)-L$252/L$14)),L$252*(1+M$264)*(1+M$261)),L$252+IF(OFFSET(Assumptions!$B$113,0,$C$1)="SND",Allocate!$B$16*Allocate!$B$30*M$232*M$14,0))</f>
        <v>3.4870886345535816</v>
      </c>
      <c r="N252" s="7">
        <f ca="1">IF(OFFSET(Assumptions!$B$72,0,$C$1)="BU",IF(N$6&lt;=OFFSET(Assumptions!$B$99,0,$C$1),N$14*(M$252/M$14+MIN(ABS(OFFSET(Assumptions!$B$103,0,$C$1)-M$252/M$14),OFFSET(Assumptions!$B$100,0,$C$1))*SIGN(OFFSET(Assumptions!$B$103,0,$C$1)-M$252/M$14)),M$252*(1+N$264)*(1+N$261)),M$252+IF(OFFSET(Assumptions!$B$113,0,$C$1)="SND",Allocate!$B$16*Allocate!$B$30*N$232*N$14,0))</f>
        <v>3.6094832927991578</v>
      </c>
      <c r="O252" s="7">
        <f ca="1">IF(OFFSET(Assumptions!$B$72,0,$C$1)="BU",IF(O$6&lt;=OFFSET(Assumptions!$B$99,0,$C$1),O$14*(N$252/N$14+MIN(ABS(OFFSET(Assumptions!$B$103,0,$C$1)-N$252/N$14),OFFSET(Assumptions!$B$100,0,$C$1))*SIGN(OFFSET(Assumptions!$B$103,0,$C$1)-N$252/N$14)),N$252*(1+O$264)*(1+O$261)),N$252+IF(OFFSET(Assumptions!$B$113,0,$C$1)="SND",Allocate!$B$16*Allocate!$B$30*O$232*O$14,0))</f>
        <v>3.7371025791521024</v>
      </c>
      <c r="P252" s="7">
        <f ca="1">IF(OFFSET(Assumptions!$B$72,0,$C$1)="BU",IF(P$6&lt;=OFFSET(Assumptions!$B$99,0,$C$1),P$14*(O$252/O$14+MIN(ABS(OFFSET(Assumptions!$B$103,0,$C$1)-O$252/O$14),OFFSET(Assumptions!$B$100,0,$C$1))*SIGN(OFFSET(Assumptions!$B$103,0,$C$1)-O$252/O$14)),O$252*(1+P$264)*(1+P$261)),O$252+IF(OFFSET(Assumptions!$B$113,0,$C$1)="SND",Allocate!$B$16*Allocate!$B$30*P$232*P$14,0))</f>
        <v>3.9366268277734364</v>
      </c>
      <c r="Q252" s="7">
        <f ca="1">IF(OFFSET(Assumptions!$B$72,0,$C$1)="BU",IF(Q$6&lt;=OFFSET(Assumptions!$B$99,0,$C$1),Q$14*(P$252/P$14+MIN(ABS(OFFSET(Assumptions!$B$103,0,$C$1)-P$252/P$14),OFFSET(Assumptions!$B$100,0,$C$1))*SIGN(OFFSET(Assumptions!$B$103,0,$C$1)-P$252/P$14)),P$252*(1+Q$264)*(1+Q$261)),P$252+IF(OFFSET(Assumptions!$B$113,0,$C$1)="SND",Allocate!$B$16*Allocate!$B$30*Q$232*Q$14,0))</f>
        <v>4.1444960279864791</v>
      </c>
      <c r="R252" s="7">
        <f ca="1">IF(OFFSET(Assumptions!$B$72,0,$C$1)="BU",IF(R$6&lt;=OFFSET(Assumptions!$B$99,0,$C$1),R$14*(Q$252/Q$14+MIN(ABS(OFFSET(Assumptions!$B$103,0,$C$1)-Q$252/Q$14),OFFSET(Assumptions!$B$100,0,$C$1))*SIGN(OFFSET(Assumptions!$B$103,0,$C$1)-Q$252/Q$14)),Q$252*(1+R$264)*(1+R$261)),Q$252+IF(OFFSET(Assumptions!$B$113,0,$C$1)="SND",Allocate!$B$16*Allocate!$B$30*R$232*R$14,0))</f>
        <v>4.3609536185218598</v>
      </c>
      <c r="S252" s="7">
        <f ca="1">IF(OFFSET(Assumptions!$B$72,0,$C$1)="BU",IF(S$6&lt;=OFFSET(Assumptions!$B$99,0,$C$1),S$14*(R$252/R$14+MIN(ABS(OFFSET(Assumptions!$B$103,0,$C$1)-R$252/R$14),OFFSET(Assumptions!$B$100,0,$C$1))*SIGN(OFFSET(Assumptions!$B$103,0,$C$1)-R$252/R$14)),R$252*(1+S$264)*(1+S$261)),R$252+IF(OFFSET(Assumptions!$B$113,0,$C$1)="SND",Allocate!$B$16*Allocate!$B$30*S$232*S$14,0))</f>
        <v>4.5862703316644424</v>
      </c>
      <c r="T252" s="7">
        <f ca="1">IF(OFFSET(Assumptions!$B$72,0,$C$1)="BU",IF(T$6&lt;=OFFSET(Assumptions!$B$99,0,$C$1),T$14*(S$252/S$14+MIN(ABS(OFFSET(Assumptions!$B$103,0,$C$1)-S$252/S$14),OFFSET(Assumptions!$B$100,0,$C$1))*SIGN(OFFSET(Assumptions!$B$103,0,$C$1)-S$252/S$14)),S$252*(1+T$264)*(1+T$261)),S$252+IF(OFFSET(Assumptions!$B$113,0,$C$1)="SND",Allocate!$B$16*Allocate!$B$30*T$232*T$14,0))</f>
        <v>4.8207201303211642</v>
      </c>
      <c r="U252" s="7">
        <f ca="1">IF(OFFSET(Assumptions!$B$72,0,$C$1)="BU",IF(U$6&lt;=OFFSET(Assumptions!$B$99,0,$C$1),U$14*(T$252/T$14+MIN(ABS(OFFSET(Assumptions!$B$103,0,$C$1)-T$252/T$14),OFFSET(Assumptions!$B$100,0,$C$1))*SIGN(OFFSET(Assumptions!$B$103,0,$C$1)-T$252/T$14)),T$252*(1+U$264)*(1+U$261)),T$252+IF(OFFSET(Assumptions!$B$113,0,$C$1)="SND",Allocate!$B$16*Allocate!$B$30*U$232*U$14,0))</f>
        <v>5.0646097558021284</v>
      </c>
      <c r="V252" s="7">
        <f ca="1">IF(OFFSET(Assumptions!$B$72,0,$C$1)="BU",IF(V$6&lt;=OFFSET(Assumptions!$B$99,0,$C$1),V$14*(U$252/U$14+MIN(ABS(OFFSET(Assumptions!$B$103,0,$C$1)-U$252/U$14),OFFSET(Assumptions!$B$100,0,$C$1))*SIGN(OFFSET(Assumptions!$B$103,0,$C$1)-U$252/U$14)),U$252*(1+V$264)*(1+V$261)),U$252+IF(OFFSET(Assumptions!$B$113,0,$C$1)="SND",Allocate!$B$16*Allocate!$B$30*V$232*V$14,0))</f>
        <v>5.3182692516838719</v>
      </c>
      <c r="W252" s="7">
        <f ca="1">IF(OFFSET(Assumptions!$B$72,0,$C$1)="BU",IF(W$6&lt;=OFFSET(Assumptions!$B$99,0,$C$1),W$14*(V$252/V$14+MIN(ABS(OFFSET(Assumptions!$B$103,0,$C$1)-V$252/V$14),OFFSET(Assumptions!$B$100,0,$C$1))*SIGN(OFFSET(Assumptions!$B$103,0,$C$1)-V$252/V$14)),V$252*(1+W$264)*(1+W$261)),V$252+IF(OFFSET(Assumptions!$B$113,0,$C$1)="SND",Allocate!$B$16*Allocate!$B$30*W$232*W$14,0))</f>
        <v>5.5820569673218081</v>
      </c>
      <c r="X252" s="7">
        <f ca="1">IF(OFFSET(Assumptions!$B$72,0,$C$1)="BU",IF(X$6&lt;=OFFSET(Assumptions!$B$99,0,$C$1),X$14*(W$252/W$14+MIN(ABS(OFFSET(Assumptions!$B$103,0,$C$1)-W$252/W$14),OFFSET(Assumptions!$B$100,0,$C$1))*SIGN(OFFSET(Assumptions!$B$103,0,$C$1)-W$252/W$14)),W$252*(1+X$264)*(1+X$261)),W$252+IF(OFFSET(Assumptions!$B$113,0,$C$1)="SND",Allocate!$B$16*Allocate!$B$30*X$232*X$14,0))</f>
        <v>5.8563633327752553</v>
      </c>
      <c r="Y252" s="7">
        <f ca="1">IF(OFFSET(Assumptions!$B$72,0,$C$1)="BU",IF(Y$6&lt;=OFFSET(Assumptions!$B$99,0,$C$1),Y$14*(X$252/X$14+MIN(ABS(OFFSET(Assumptions!$B$103,0,$C$1)-X$252/X$14),OFFSET(Assumptions!$B$100,0,$C$1))*SIGN(OFFSET(Assumptions!$B$103,0,$C$1)-X$252/X$14)),X$252*(1+Y$264)*(1+Y$261)),X$252+IF(OFFSET(Assumptions!$B$113,0,$C$1)="SND",Allocate!$B$16*Allocate!$B$30*Y$232*Y$14,0))</f>
        <v>6.1415777027492391</v>
      </c>
      <c r="Z252" s="7">
        <f ca="1">IF(OFFSET(Assumptions!$B$72,0,$C$1)="BU",IF(Z$6&lt;=OFFSET(Assumptions!$B$99,0,$C$1),Z$14*(Y$252/Y$14+MIN(ABS(OFFSET(Assumptions!$B$103,0,$C$1)-Y$252/Y$14),OFFSET(Assumptions!$B$100,0,$C$1))*SIGN(OFFSET(Assumptions!$B$103,0,$C$1)-Y$252/Y$14)),Y$252*(1+Z$264)*(1+Z$261)),Y$252+IF(OFFSET(Assumptions!$B$113,0,$C$1)="SND",Allocate!$B$16*Allocate!$B$30*Z$232*Z$14,0))</f>
        <v>6.4381446443668926</v>
      </c>
      <c r="AA252" s="7">
        <f ca="1">IF(OFFSET(Assumptions!$B$72,0,$C$1)="BU",IF(AA$6&lt;=OFFSET(Assumptions!$B$99,0,$C$1),AA$14*(Z$252/Z$14+MIN(ABS(OFFSET(Assumptions!$B$103,0,$C$1)-Z$252/Z$14),OFFSET(Assumptions!$B$100,0,$C$1))*SIGN(OFFSET(Assumptions!$B$103,0,$C$1)-Z$252/Z$14)),Z$252*(1+AA$264)*(1+AA$261)),Z$252+IF(OFFSET(Assumptions!$B$113,0,$C$1)="SND",Allocate!$B$16*Allocate!$B$30*AA$232*AA$14,0))</f>
        <v>6.6437329436232435</v>
      </c>
      <c r="AB252" s="7">
        <f ca="1">IF(OFFSET(Assumptions!$B$72,0,$C$1)="BU",IF(AB$6&lt;=OFFSET(Assumptions!$B$99,0,$C$1),AB$14*(AA$252/AA$14+MIN(ABS(OFFSET(Assumptions!$B$103,0,$C$1)-AA$252/AA$14),OFFSET(Assumptions!$B$100,0,$C$1))*SIGN(OFFSET(Assumptions!$B$103,0,$C$1)-AA$252/AA$14)),AA$252*(1+AB$264)*(1+AB$261)),AA$252+IF(OFFSET(Assumptions!$B$113,0,$C$1)="SND",Allocate!$B$16*Allocate!$B$30*AB$232*AB$14,0))</f>
        <v>6.8575305268459772</v>
      </c>
      <c r="AC252" s="7">
        <f ca="1">IF(OFFSET(Assumptions!$B$72,0,$C$1)="BU",IF(AC$6&lt;=OFFSET(Assumptions!$B$99,0,$C$1),AC$14*(AB$252/AB$14+MIN(ABS(OFFSET(Assumptions!$B$103,0,$C$1)-AB$252/AB$14),OFFSET(Assumptions!$B$100,0,$C$1))*SIGN(OFFSET(Assumptions!$B$103,0,$C$1)-AB$252/AB$14)),AB$252*(1+AC$264)*(1+AC$261)),AB$252+IF(OFFSET(Assumptions!$B$113,0,$C$1)="SND",Allocate!$B$16*Allocate!$B$30*AC$232*AC$14,0))</f>
        <v>7.0799006643178872</v>
      </c>
      <c r="AD252" s="7">
        <f ca="1">IF(OFFSET(Assumptions!$B$72,0,$C$1)="BU",IF(AD$6&lt;=OFFSET(Assumptions!$B$99,0,$C$1),AD$14*(AC$252/AC$14+MIN(ABS(OFFSET(Assumptions!$B$103,0,$C$1)-AC$252/AC$14),OFFSET(Assumptions!$B$100,0,$C$1))*SIGN(OFFSET(Assumptions!$B$103,0,$C$1)-AC$252/AC$14)),AC$252*(1+AD$264)*(1+AD$261)),AC$252+IF(OFFSET(Assumptions!$B$113,0,$C$1)="SND",Allocate!$B$16*Allocate!$B$30*AD$232*AD$14,0))</f>
        <v>7.3112156618996949</v>
      </c>
      <c r="AE252" s="7">
        <f ca="1">IF(OFFSET(Assumptions!$B$72,0,$C$1)="BU",IF(AE$6&lt;=OFFSET(Assumptions!$B$99,0,$C$1),AE$14*(AD$252/AD$14+MIN(ABS(OFFSET(Assumptions!$B$103,0,$C$1)-AD$252/AD$14),OFFSET(Assumptions!$B$100,0,$C$1))*SIGN(OFFSET(Assumptions!$B$103,0,$C$1)-AD$252/AD$14)),AD$252*(1+AE$264)*(1+AE$261)),AD$252+IF(OFFSET(Assumptions!$B$113,0,$C$1)="SND",Allocate!$B$16*Allocate!$B$30*AE$232*AE$14,0))</f>
        <v>7.5518396107903376</v>
      </c>
      <c r="AF252" s="7">
        <f ca="1">IF(OFFSET(Assumptions!$B$72,0,$C$1)="BU",IF(AF$6&lt;=OFFSET(Assumptions!$B$99,0,$C$1),AF$14*(AE$252/AE$14+MIN(ABS(OFFSET(Assumptions!$B$103,0,$C$1)-AE$252/AE$14),OFFSET(Assumptions!$B$100,0,$C$1))*SIGN(OFFSET(Assumptions!$B$103,0,$C$1)-AE$252/AE$14)),AE$252*(1+AF$264)*(1+AF$261)),AE$252+IF(OFFSET(Assumptions!$B$113,0,$C$1)="SND",Allocate!$B$16*Allocate!$B$30*AF$232*AF$14,0))</f>
        <v>7.8021623563297124</v>
      </c>
      <c r="AG252" s="7">
        <f ca="1">IF(OFFSET(Assumptions!$B$72,0,$C$1)="BU",IF(AG$6&lt;=OFFSET(Assumptions!$B$99,0,$C$1),AG$14*(AF$252/AF$14+MIN(ABS(OFFSET(Assumptions!$B$103,0,$C$1)-AF$252/AF$14),OFFSET(Assumptions!$B$100,0,$C$1))*SIGN(OFFSET(Assumptions!$B$103,0,$C$1)-AF$252/AF$14)),AF$252*(1+AG$264)*(1+AG$261)),AF$252+IF(OFFSET(Assumptions!$B$113,0,$C$1)="SND",Allocate!$B$16*Allocate!$B$30*AG$232*AG$14,0))</f>
        <v>8.0625791670192424</v>
      </c>
      <c r="AH252" s="7">
        <f ca="1">IF(OFFSET(Assumptions!$B$72,0,$C$1)="BU",IF(AH$6&lt;=OFFSET(Assumptions!$B$99,0,$C$1),AH$14*(AG$252/AG$14+MIN(ABS(OFFSET(Assumptions!$B$103,0,$C$1)-AG$252/AG$14),OFFSET(Assumptions!$B$100,0,$C$1))*SIGN(OFFSET(Assumptions!$B$103,0,$C$1)-AG$252/AG$14)),AG$252*(1+AH$264)*(1+AH$261)),AG$252+IF(OFFSET(Assumptions!$B$113,0,$C$1)="SND",Allocate!$B$16*Allocate!$B$30*AH$232*AH$14,0))</f>
        <v>8.3335014978942077</v>
      </c>
      <c r="AI252" s="7">
        <f ca="1">IF(OFFSET(Assumptions!$B$72,0,$C$1)="BU",IF(AI$6&lt;=OFFSET(Assumptions!$B$99,0,$C$1),AI$14*(AH$252/AH$14+MIN(ABS(OFFSET(Assumptions!$B$103,0,$C$1)-AH$252/AH$14),OFFSET(Assumptions!$B$100,0,$C$1))*SIGN(OFFSET(Assumptions!$B$103,0,$C$1)-AH$252/AH$14)),AH$252*(1+AI$264)*(1+AI$261)),AH$252+IF(OFFSET(Assumptions!$B$113,0,$C$1)="SND",Allocate!$B$16*Allocate!$B$30*AI$232*AI$14,0))</f>
        <v>8.6153224473684453</v>
      </c>
      <c r="AJ252" s="7">
        <f ca="1">IF(OFFSET(Assumptions!$B$72,0,$C$1)="BU",IF(AJ$6&lt;=OFFSET(Assumptions!$B$99,0,$C$1),AJ$14*(AI$252/AI$14+MIN(ABS(OFFSET(Assumptions!$B$103,0,$C$1)-AI$252/AI$14),OFFSET(Assumptions!$B$100,0,$C$1))*SIGN(OFFSET(Assumptions!$B$103,0,$C$1)-AI$252/AI$14)),AI$252*(1+AJ$264)*(1+AJ$261)),AI$252+IF(OFFSET(Assumptions!$B$113,0,$C$1)="SND",Allocate!$B$16*Allocate!$B$30*AJ$232*AJ$14,0))</f>
        <v>8.9084700275612239</v>
      </c>
      <c r="AK252" s="7">
        <f ca="1">IF(OFFSET(Assumptions!$B$72,0,$C$1)="BU",IF(AK$6&lt;=OFFSET(Assumptions!$B$99,0,$C$1),AK$14*(AJ$252/AJ$14+MIN(ABS(OFFSET(Assumptions!$B$103,0,$C$1)-AJ$252/AJ$14),OFFSET(Assumptions!$B$100,0,$C$1))*SIGN(OFFSET(Assumptions!$B$103,0,$C$1)-AJ$252/AJ$14)),AJ$252*(1+AK$264)*(1+AK$261)),AJ$252+IF(OFFSET(Assumptions!$B$113,0,$C$1)="SND",Allocate!$B$16*Allocate!$B$30*AK$232*AK$14,0))</f>
        <v>9.2133629329564819</v>
      </c>
      <c r="AL252" s="7">
        <f ca="1">IF(OFFSET(Assumptions!$B$72,0,$C$1)="BU",IF(AL$6&lt;=OFFSET(Assumptions!$B$99,0,$C$1),AL$14*(AK$252/AK$14+MIN(ABS(OFFSET(Assumptions!$B$103,0,$C$1)-AK$252/AK$14),OFFSET(Assumptions!$B$100,0,$C$1))*SIGN(OFFSET(Assumptions!$B$103,0,$C$1)-AK$252/AK$14)),AK$252*(1+AL$264)*(1+AL$261)),AK$252+IF(OFFSET(Assumptions!$B$113,0,$C$1)="SND",Allocate!$B$16*Allocate!$B$30*AL$232*AL$14,0))</f>
        <v>9.5304106059214622</v>
      </c>
      <c r="AM252" s="7">
        <f ca="1">IF(OFFSET(Assumptions!$B$72,0,$C$1)="BU",IF(AM$6&lt;=OFFSET(Assumptions!$B$99,0,$C$1),AM$14*(AL$252/AL$14+MIN(ABS(OFFSET(Assumptions!$B$103,0,$C$1)-AL$252/AL$14),OFFSET(Assumptions!$B$100,0,$C$1))*SIGN(OFFSET(Assumptions!$B$103,0,$C$1)-AL$252/AL$14)),AL$252*(1+AM$264)*(1+AM$261)),AL$252+IF(OFFSET(Assumptions!$B$113,0,$C$1)="SND",Allocate!$B$16*Allocate!$B$30*AM$232*AM$14,0))</f>
        <v>9.8600390938187061</v>
      </c>
      <c r="AN252" s="7">
        <f ca="1">IF(OFFSET(Assumptions!$B$72,0,$C$1)="BU",IF(AN$6&lt;=OFFSET(Assumptions!$B$99,0,$C$1),AN$14*(AM$252/AM$14+MIN(ABS(OFFSET(Assumptions!$B$103,0,$C$1)-AM$252/AM$14),OFFSET(Assumptions!$B$100,0,$C$1))*SIGN(OFFSET(Assumptions!$B$103,0,$C$1)-AM$252/AM$14)),AM$252*(1+AN$264)*(1+AN$261)),AM$252+IF(OFFSET(Assumptions!$B$113,0,$C$1)="SND",Allocate!$B$16*Allocate!$B$30*AN$232*AN$14,0))</f>
        <v>10.20269194380249</v>
      </c>
      <c r="AO252" s="7">
        <f ca="1">IF(OFFSET(Assumptions!$B$72,0,$C$1)="BU",IF(AO$6&lt;=OFFSET(Assumptions!$B$99,0,$C$1),AO$14*(AN$252/AN$14+MIN(ABS(OFFSET(Assumptions!$B$103,0,$C$1)-AN$252/AN$14),OFFSET(Assumptions!$B$100,0,$C$1))*SIGN(OFFSET(Assumptions!$B$103,0,$C$1)-AN$252/AN$14)),AN$252*(1+AO$264)*(1+AO$261)),AN$252+IF(OFFSET(Assumptions!$B$113,0,$C$1)="SND",Allocate!$B$16*Allocate!$B$30*AO$232*AO$14,0))</f>
        <v>10.558761560861214</v>
      </c>
      <c r="AP252" s="7">
        <f ca="1">IF(OFFSET(Assumptions!$B$72,0,$C$1)="BU",IF(AP$6&lt;=OFFSET(Assumptions!$B$99,0,$C$1),AP$14*(AO$252/AO$14+MIN(ABS(OFFSET(Assumptions!$B$103,0,$C$1)-AO$252/AO$14),OFFSET(Assumptions!$B$100,0,$C$1))*SIGN(OFFSET(Assumptions!$B$103,0,$C$1)-AO$252/AO$14)),AO$252*(1+AP$264)*(1+AP$261)),AO$252+IF(OFFSET(Assumptions!$B$113,0,$C$1)="SND",Allocate!$B$16*Allocate!$B$30*AP$232*AP$14,0))</f>
        <v>10.928697324219161</v>
      </c>
      <c r="AQ252" s="7">
        <f ca="1">IF(OFFSET(Assumptions!$B$72,0,$C$1)="BU",IF(AQ$6&lt;=OFFSET(Assumptions!$B$99,0,$C$1),AQ$14*(AP$252/AP$14+MIN(ABS(OFFSET(Assumptions!$B$103,0,$C$1)-AP$252/AP$14),OFFSET(Assumptions!$B$100,0,$C$1))*SIGN(OFFSET(Assumptions!$B$103,0,$C$1)-AP$252/AP$14)),AP$252*(1+AQ$264)*(1+AQ$261)),AP$252+IF(OFFSET(Assumptions!$B$113,0,$C$1)="SND",Allocate!$B$16*Allocate!$B$30*AQ$232*AQ$14,0))</f>
        <v>11.312909760202446</v>
      </c>
      <c r="AR252" s="7">
        <f ca="1">IF(OFFSET(Assumptions!$B$72,0,$C$1)="BU",IF(AR$6&lt;=OFFSET(Assumptions!$B$99,0,$C$1),AR$14*(AQ$252/AQ$14+MIN(ABS(OFFSET(Assumptions!$B$103,0,$C$1)-AQ$252/AQ$14),OFFSET(Assumptions!$B$100,0,$C$1))*SIGN(OFFSET(Assumptions!$B$103,0,$C$1)-AQ$252/AQ$14)),AQ$252*(1+AR$264)*(1+AR$261)),AQ$252+IF(OFFSET(Assumptions!$B$113,0,$C$1)="SND",Allocate!$B$16*Allocate!$B$30*AR$232*AR$14,0))</f>
        <v>11.711825558884646</v>
      </c>
      <c r="AS252" s="7">
        <f ca="1">IF(OFFSET(Assumptions!$B$72,0,$C$1)="BU",IF(AS$6&lt;=OFFSET(Assumptions!$B$99,0,$C$1),AS$14*(AR$252/AR$14+MIN(ABS(OFFSET(Assumptions!$B$103,0,$C$1)-AR$252/AR$14),OFFSET(Assumptions!$B$100,0,$C$1))*SIGN(OFFSET(Assumptions!$B$103,0,$C$1)-AR$252/AR$14)),AR$252*(1+AS$264)*(1+AS$261)),AR$252+IF(OFFSET(Assumptions!$B$113,0,$C$1)="SND",Allocate!$B$16*Allocate!$B$30*AS$232*AS$14,0))</f>
        <v>12.125905712860412</v>
      </c>
      <c r="AT252" s="7">
        <f ca="1">IF(OFFSET(Assumptions!$B$72,0,$C$1)="BU",IF(AT$6&lt;=OFFSET(Assumptions!$B$99,0,$C$1),AT$14*(AS$252/AS$14+MIN(ABS(OFFSET(Assumptions!$B$103,0,$C$1)-AS$252/AS$14),OFFSET(Assumptions!$B$100,0,$C$1))*SIGN(OFFSET(Assumptions!$B$103,0,$C$1)-AS$252/AS$14)),AS$252*(1+AT$264)*(1+AT$261)),AS$252+IF(OFFSET(Assumptions!$B$113,0,$C$1)="SND",Allocate!$B$16*Allocate!$B$30*AT$232*AT$14,0))</f>
        <v>12.555623325998498</v>
      </c>
      <c r="AU252" s="7">
        <f ca="1">IF(OFFSET(Assumptions!$B$72,0,$C$1)="BU",IF(AU$6&lt;=OFFSET(Assumptions!$B$99,0,$C$1),AU$14*(AT$252/AT$14+MIN(ABS(OFFSET(Assumptions!$B$103,0,$C$1)-AT$252/AT$14),OFFSET(Assumptions!$B$100,0,$C$1))*SIGN(OFFSET(Assumptions!$B$103,0,$C$1)-AT$252/AT$14)),AT$252*(1+AU$264)*(1+AU$261)),AT$252+IF(OFFSET(Assumptions!$B$113,0,$C$1)="SND",Allocate!$B$16*Allocate!$B$30*AU$232*AU$14,0))</f>
        <v>13.001472296497372</v>
      </c>
      <c r="AV252" s="7">
        <f ca="1">IF(OFFSET(Assumptions!$B$72,0,$C$1)="BU",IF(AV$6&lt;=OFFSET(Assumptions!$B$99,0,$C$1),AV$14*(AU$252/AU$14+MIN(ABS(OFFSET(Assumptions!$B$103,0,$C$1)-AU$252/AU$14),OFFSET(Assumptions!$B$100,0,$C$1))*SIGN(OFFSET(Assumptions!$B$103,0,$C$1)-AU$252/AU$14)),AU$252*(1+AV$264)*(1+AV$261)),AU$252+IF(OFFSET(Assumptions!$B$113,0,$C$1)="SND",Allocate!$B$16*Allocate!$B$30*AV$232*AV$14,0))</f>
        <v>13.463996399068099</v>
      </c>
      <c r="AW252" s="7">
        <f ca="1">IF(OFFSET(Assumptions!$B$72,0,$C$1)="BU",IF(AW$6&lt;=OFFSET(Assumptions!$B$99,0,$C$1),AW$14*(AV$252/AV$14+MIN(ABS(OFFSET(Assumptions!$B$103,0,$C$1)-AV$252/AV$14),OFFSET(Assumptions!$B$100,0,$C$1))*SIGN(OFFSET(Assumptions!$B$103,0,$C$1)-AV$252/AV$14)),AV$252*(1+AW$264)*(1+AW$261)),AV$252+IF(OFFSET(Assumptions!$B$113,0,$C$1)="SND",Allocate!$B$16*Allocate!$B$30*AW$232*AW$14,0))</f>
        <v>13.943729994372919</v>
      </c>
    </row>
    <row r="253" spans="1:49" x14ac:dyDescent="0.2">
      <c r="A253" s="1" t="s">
        <v>815</v>
      </c>
      <c r="B253" s="4" t="str">
        <f t="shared" si="179"/>
        <v>From Fiscal</v>
      </c>
      <c r="D253" s="18">
        <f>Fiscal!D$382</f>
        <v>2.89</v>
      </c>
      <c r="E253" s="19">
        <f ca="1">Fiscal!E$382 +IF(OR(OFFSET(Assumptions!$B$72,0,$C$1)="BU",OFFSET(Assumptions!$B$113,0,$C$1)="SND"),Allocate!C$31,0)</f>
        <v>2.923</v>
      </c>
      <c r="F253" s="19">
        <f ca="1">Fiscal!F$382 +IF(OR(OFFSET(Assumptions!$B$72,0,$C$1)="BU",OFFSET(Assumptions!$B$113,0,$C$1)="SND"),Allocate!D$31,0)</f>
        <v>2.9910000000000001</v>
      </c>
      <c r="G253" s="19">
        <f ca="1">Fiscal!G$382 +IF(OR(OFFSET(Assumptions!$B$72,0,$C$1)="BU",OFFSET(Assumptions!$B$113,0,$C$1)="SND"),Allocate!E$31,0)</f>
        <v>3.0980000000000003</v>
      </c>
      <c r="H253" s="19">
        <f ca="1">Fiscal!H$382 +IF(OR(OFFSET(Assumptions!$B$72,0,$C$1)="BU",OFFSET(Assumptions!$B$113,0,$C$1)="SND"),Allocate!F$31,0)</f>
        <v>3.2270000000000003</v>
      </c>
      <c r="I253" s="19">
        <f ca="1">Fiscal!I$382 +IF(OR(OFFSET(Assumptions!$B$72,0,$C$1)="BU",OFFSET(Assumptions!$B$113,0,$C$1)="SND"),Allocate!G$31,0)</f>
        <v>3.3459999999999996</v>
      </c>
      <c r="J253" s="7">
        <f ca="1">IF(OFFSET(Assumptions!$B$72,0,$C$1)="BU",IF(J$6&lt;=OFFSET(Assumptions!$B$99,0,$C$1),J$14*(I$253/I$14+MIN(ABS(OFFSET(Assumptions!$B$104,0,$C$1)-I$253/I$14),OFFSET(Assumptions!$B$100,0,$C$1))*SIGN(OFFSET(Assumptions!$B$104,0,$C$1)-I$253/I$14)),I$253*(1+J$265)*(1+J$261)),I$253+IF(OFFSET(Assumptions!$B$113,0,$C$1)="SND",Allocate!$B$16*Allocate!$B$31*J$232*J$14,0))</f>
        <v>3.463274651081913</v>
      </c>
      <c r="K253" s="7">
        <f ca="1">IF(OFFSET(Assumptions!$B$72,0,$C$1)="BU",IF(K$6&lt;=OFFSET(Assumptions!$B$99,0,$C$1),K$14*(J$253/J$14+MIN(ABS(OFFSET(Assumptions!$B$104,0,$C$1)-J$253/J$14),OFFSET(Assumptions!$B$100,0,$C$1))*SIGN(OFFSET(Assumptions!$B$104,0,$C$1)-J$253/J$14)),J$253*(1+K$265)*(1+K$261)),J$253+IF(OFFSET(Assumptions!$B$113,0,$C$1)="SND",Allocate!$B$16*Allocate!$B$31*K$232*K$14,0))</f>
        <v>3.5854502329756786</v>
      </c>
      <c r="L253" s="7">
        <f ca="1">IF(OFFSET(Assumptions!$B$72,0,$C$1)="BU",IF(L$6&lt;=OFFSET(Assumptions!$B$99,0,$C$1),L$14*(K$253/K$14+MIN(ABS(OFFSET(Assumptions!$B$104,0,$C$1)-K$253/K$14),OFFSET(Assumptions!$B$100,0,$C$1))*SIGN(OFFSET(Assumptions!$B$104,0,$C$1)-K$253/K$14)),K$253*(1+L$265)*(1+L$261)),K$253+IF(OFFSET(Assumptions!$B$113,0,$C$1)="SND",Allocate!$B$16*Allocate!$B$31*L$232*L$14,0))</f>
        <v>3.7129215509364295</v>
      </c>
      <c r="M253" s="7">
        <f ca="1">IF(OFFSET(Assumptions!$B$72,0,$C$1)="BU",IF(M$6&lt;=OFFSET(Assumptions!$B$99,0,$C$1),M$14*(L$253/L$14+MIN(ABS(OFFSET(Assumptions!$B$104,0,$C$1)-L$253/L$14),OFFSET(Assumptions!$B$100,0,$C$1))*SIGN(OFFSET(Assumptions!$B$104,0,$C$1)-L$253/L$14)),L$253*(1+M$265)*(1+M$261)),L$253+IF(OFFSET(Assumptions!$B$113,0,$C$1)="SND",Allocate!$B$16*Allocate!$B$31*M$232*M$14,0))</f>
        <v>3.845900452494059</v>
      </c>
      <c r="N253" s="7">
        <f ca="1">IF(OFFSET(Assumptions!$B$72,0,$C$1)="BU",IF(N$6&lt;=OFFSET(Assumptions!$B$99,0,$C$1),N$14*(M$253/M$14+MIN(ABS(OFFSET(Assumptions!$B$104,0,$C$1)-M$253/M$14),OFFSET(Assumptions!$B$100,0,$C$1))*SIGN(OFFSET(Assumptions!$B$104,0,$C$1)-M$253/M$14)),M$253*(1+N$265)*(1+N$261)),M$253+IF(OFFSET(Assumptions!$B$113,0,$C$1)="SND",Allocate!$B$16*Allocate!$B$31*N$232*N$14,0))</f>
        <v>3.9846143985057116</v>
      </c>
      <c r="O253" s="7">
        <f ca="1">IF(OFFSET(Assumptions!$B$72,0,$C$1)="BU",IF(O$6&lt;=OFFSET(Assumptions!$B$99,0,$C$1),O$14*(N$253/N$14+MIN(ABS(OFFSET(Assumptions!$B$104,0,$C$1)-N$253/N$14),OFFSET(Assumptions!$B$100,0,$C$1))*SIGN(OFFSET(Assumptions!$B$104,0,$C$1)-N$253/N$14)),N$253*(1+O$265)*(1+O$261)),N$253+IF(OFFSET(Assumptions!$B$113,0,$C$1)="SND",Allocate!$B$16*Allocate!$B$31*O$232*O$14,0))</f>
        <v>4.129249589705716</v>
      </c>
      <c r="P253" s="7">
        <f ca="1">IF(OFFSET(Assumptions!$B$72,0,$C$1)="BU",IF(P$6&lt;=OFFSET(Assumptions!$B$99,0,$C$1),P$14*(O$253/O$14+MIN(ABS(OFFSET(Assumptions!$B$104,0,$C$1)-O$253/O$14),OFFSET(Assumptions!$B$100,0,$C$1))*SIGN(OFFSET(Assumptions!$B$104,0,$C$1)-O$253/O$14)),O$253*(1+P$265)*(1+P$261)),O$253+IF(OFFSET(Assumptions!$B$113,0,$C$1)="SND",Allocate!$B$16*Allocate!$B$31*P$232*P$14,0))</f>
        <v>4.3553770714765614</v>
      </c>
      <c r="Q253" s="7">
        <f ca="1">IF(OFFSET(Assumptions!$B$72,0,$C$1)="BU",IF(Q$6&lt;=OFFSET(Assumptions!$B$99,0,$C$1),Q$14*(P$253/P$14+MIN(ABS(OFFSET(Assumptions!$B$104,0,$C$1)-P$253/P$14),OFFSET(Assumptions!$B$100,0,$C$1))*SIGN(OFFSET(Assumptions!$B$104,0,$C$1)-P$253/P$14)),P$253*(1+Q$265)*(1+Q$261)),P$253+IF(OFFSET(Assumptions!$B$113,0,$C$1)="SND",Allocate!$B$16*Allocate!$B$31*Q$232*Q$14,0))</f>
        <v>4.5909621650513426</v>
      </c>
      <c r="R253" s="7">
        <f ca="1">IF(OFFSET(Assumptions!$B$72,0,$C$1)="BU",IF(R$6&lt;=OFFSET(Assumptions!$B$99,0,$C$1),R$14*(Q$253/Q$14+MIN(ABS(OFFSET(Assumptions!$B$104,0,$C$1)-Q$253/Q$14),OFFSET(Assumptions!$B$100,0,$C$1))*SIGN(OFFSET(Assumptions!$B$104,0,$C$1)-Q$253/Q$14)),Q$253*(1+R$265)*(1+R$261)),Q$253+IF(OFFSET(Assumptions!$B$113,0,$C$1)="SND",Allocate!$B$16*Allocate!$B$31*R$232*R$14,0))</f>
        <v>4.8362807676581072</v>
      </c>
      <c r="S253" s="7">
        <f ca="1">IF(OFFSET(Assumptions!$B$72,0,$C$1)="BU",IF(S$6&lt;=OFFSET(Assumptions!$B$99,0,$C$1),S$14*(R$253/R$14+MIN(ABS(OFFSET(Assumptions!$B$104,0,$C$1)-R$253/R$14),OFFSET(Assumptions!$B$100,0,$C$1))*SIGN(OFFSET(Assumptions!$B$104,0,$C$1)-R$253/R$14)),R$253*(1+S$265)*(1+S$261)),R$253+IF(OFFSET(Assumptions!$B$113,0,$C$1)="SND",Allocate!$B$16*Allocate!$B$31*S$232*S$14,0))</f>
        <v>5.0916397092197005</v>
      </c>
      <c r="T253" s="7">
        <f ca="1">IF(OFFSET(Assumptions!$B$72,0,$C$1)="BU",IF(T$6&lt;=OFFSET(Assumptions!$B$99,0,$C$1),T$14*(S$253/S$14+MIN(ABS(OFFSET(Assumptions!$B$104,0,$C$1)-S$253/S$14),OFFSET(Assumptions!$B$100,0,$C$1))*SIGN(OFFSET(Assumptions!$B$104,0,$C$1)-S$253/S$14)),S$253*(1+T$265)*(1+T$261)),S$253+IF(OFFSET(Assumptions!$B$113,0,$C$1)="SND",Allocate!$B$16*Allocate!$B$31*T$232*T$14,0))</f>
        <v>5.3573494810306519</v>
      </c>
      <c r="U253" s="7">
        <f ca="1">IF(OFFSET(Assumptions!$B$72,0,$C$1)="BU",IF(U$6&lt;=OFFSET(Assumptions!$B$99,0,$C$1),U$14*(T$253/T$14+MIN(ABS(OFFSET(Assumptions!$B$104,0,$C$1)-T$253/T$14),OFFSET(Assumptions!$B$100,0,$C$1))*SIGN(OFFSET(Assumptions!$B$104,0,$C$1)-T$253/T$14)),T$253*(1+U$265)*(1+U$261)),T$253+IF(OFFSET(Assumptions!$B$113,0,$C$1)="SND",Allocate!$B$16*Allocate!$B$31*U$232*U$14,0))</f>
        <v>5.6337577232424119</v>
      </c>
      <c r="V253" s="7">
        <f ca="1">IF(OFFSET(Assumptions!$B$72,0,$C$1)="BU",IF(V$6&lt;=OFFSET(Assumptions!$B$99,0,$C$1),V$14*(U$253/U$14+MIN(ABS(OFFSET(Assumptions!$B$104,0,$C$1)-U$253/U$14),OFFSET(Assumptions!$B$100,0,$C$1))*SIGN(OFFSET(Assumptions!$B$104,0,$C$1)-U$253/U$14)),U$253*(1+V$265)*(1+V$261)),U$253+IF(OFFSET(Assumptions!$B$113,0,$C$1)="SND",Allocate!$B$16*Allocate!$B$31*V$232*V$14,0))</f>
        <v>5.9212384852417212</v>
      </c>
      <c r="W253" s="7">
        <f ca="1">IF(OFFSET(Assumptions!$B$72,0,$C$1)="BU",IF(W$6&lt;=OFFSET(Assumptions!$B$99,0,$C$1),W$14*(V$253/V$14+MIN(ABS(OFFSET(Assumptions!$B$104,0,$C$1)-V$253/V$14),OFFSET(Assumptions!$B$100,0,$C$1))*SIGN(OFFSET(Assumptions!$B$104,0,$C$1)-V$253/V$14)),V$253*(1+W$265)*(1+W$261)),V$253+IF(OFFSET(Assumptions!$B$113,0,$C$1)="SND",Allocate!$B$16*Allocate!$B$31*W$232*W$14,0))</f>
        <v>6.2201978962980498</v>
      </c>
      <c r="X253" s="7">
        <f ca="1">IF(OFFSET(Assumptions!$B$72,0,$C$1)="BU",IF(X$6&lt;=OFFSET(Assumptions!$B$99,0,$C$1),X$14*(W$253/W$14+MIN(ABS(OFFSET(Assumptions!$B$104,0,$C$1)-W$253/W$14),OFFSET(Assumptions!$B$100,0,$C$1))*SIGN(OFFSET(Assumptions!$B$104,0,$C$1)-W$253/W$14)),W$253*(1+X$265)*(1+X$261)),W$253+IF(OFFSET(Assumptions!$B$113,0,$C$1)="SND",Allocate!$B$16*Allocate!$B$31*X$232*X$14,0))</f>
        <v>6.5310784438119569</v>
      </c>
      <c r="Y253" s="7">
        <f ca="1">IF(OFFSET(Assumptions!$B$72,0,$C$1)="BU",IF(Y$6&lt;=OFFSET(Assumptions!$B$99,0,$C$1),Y$14*(X$253/X$14+MIN(ABS(OFFSET(Assumptions!$B$104,0,$C$1)-X$253/X$14),OFFSET(Assumptions!$B$100,0,$C$1))*SIGN(OFFSET(Assumptions!$B$104,0,$C$1)-X$253/X$14)),X$253*(1+Y$265)*(1+Y$261)),X$253+IF(OFFSET(Assumptions!$B$113,0,$C$1)="SND",Allocate!$B$16*Allocate!$B$31*Y$232*Y$14,0))</f>
        <v>6.8543213964491381</v>
      </c>
      <c r="Z253" s="7">
        <f ca="1">IF(OFFSET(Assumptions!$B$72,0,$C$1)="BU",IF(Z$6&lt;=OFFSET(Assumptions!$B$99,0,$C$1),Z$14*(Y$253/Y$14+MIN(ABS(OFFSET(Assumptions!$B$104,0,$C$1)-Y$253/Y$14),OFFSET(Assumptions!$B$100,0,$C$1))*SIGN(OFFSET(Assumptions!$B$104,0,$C$1)-Y$253/Y$14)),Y$253*(1+Z$265)*(1+Z$261)),Y$253+IF(OFFSET(Assumptions!$B$113,0,$C$1)="SND",Allocate!$B$16*Allocate!$B$31*Z$232*Z$14,0))</f>
        <v>7.1904305969491453</v>
      </c>
      <c r="AA253" s="7">
        <f ca="1">IF(OFFSET(Assumptions!$B$72,0,$C$1)="BU",IF(AA$6&lt;=OFFSET(Assumptions!$B$99,0,$C$1),AA$14*(Z$253/Z$14+MIN(ABS(OFFSET(Assumptions!$B$104,0,$C$1)-Z$253/Z$14),OFFSET(Assumptions!$B$100,0,$C$1))*SIGN(OFFSET(Assumptions!$B$104,0,$C$1)-Z$253/Z$14)),Z$253*(1+AA$265)*(1+AA$261)),Z$253+IF(OFFSET(Assumptions!$B$113,0,$C$1)="SND",Allocate!$B$16*Allocate!$B$31*AA$232*AA$14,0))</f>
        <v>7.4234306694396759</v>
      </c>
      <c r="AB253" s="7">
        <f ca="1">IF(OFFSET(Assumptions!$B$72,0,$C$1)="BU",IF(AB$6&lt;=OFFSET(Assumptions!$B$99,0,$C$1),AB$14*(AA$253/AA$14+MIN(ABS(OFFSET(Assumptions!$B$104,0,$C$1)-AA$253/AA$14),OFFSET(Assumptions!$B$100,0,$C$1))*SIGN(OFFSET(Assumptions!$B$104,0,$C$1)-AA$253/AA$14)),AA$253*(1+AB$265)*(1+AB$261)),AA$253+IF(OFFSET(Assumptions!$B$113,0,$C$1)="SND",Allocate!$B$16*Allocate!$B$31*AB$232*AB$14,0))</f>
        <v>7.6657345970921069</v>
      </c>
      <c r="AC253" s="7">
        <f ca="1">IF(OFFSET(Assumptions!$B$72,0,$C$1)="BU",IF(AC$6&lt;=OFFSET(Assumptions!$B$99,0,$C$1),AC$14*(AB$253/AB$14+MIN(ABS(OFFSET(Assumptions!$B$104,0,$C$1)-AB$253/AB$14),OFFSET(Assumptions!$B$100,0,$C$1))*SIGN(OFFSET(Assumptions!$B$104,0,$C$1)-AB$253/AB$14)),AB$253*(1+AC$265)*(1+AC$261)),AB$253+IF(OFFSET(Assumptions!$B$113,0,$C$1)="SND",Allocate!$B$16*Allocate!$B$31*AC$232*AC$14,0))</f>
        <v>7.917754086226938</v>
      </c>
      <c r="AD253" s="7">
        <f ca="1">IF(OFFSET(Assumptions!$B$72,0,$C$1)="BU",IF(AD$6&lt;=OFFSET(Assumptions!$B$99,0,$C$1),AD$14*(AC$253/AC$14+MIN(ABS(OFFSET(Assumptions!$B$104,0,$C$1)-AC$253/AC$14),OFFSET(Assumptions!$B$100,0,$C$1))*SIGN(OFFSET(Assumptions!$B$104,0,$C$1)-AC$253/AC$14)),AC$253*(1+AD$265)*(1+AD$261)),AC$253+IF(OFFSET(Assumptions!$B$113,0,$C$1)="SND",Allocate!$B$16*Allocate!$B$31*AD$232*AD$14,0))</f>
        <v>8.1799110834863189</v>
      </c>
      <c r="AE253" s="7">
        <f ca="1">IF(OFFSET(Assumptions!$B$72,0,$C$1)="BU",IF(AE$6&lt;=OFFSET(Assumptions!$B$99,0,$C$1),AE$14*(AD$253/AD$14+MIN(ABS(OFFSET(Assumptions!$B$104,0,$C$1)-AD$253/AD$14),OFFSET(Assumptions!$B$100,0,$C$1))*SIGN(OFFSET(Assumptions!$B$104,0,$C$1)-AD$253/AD$14)),AD$253*(1+AE$265)*(1+AE$261)),AD$253+IF(OFFSET(Assumptions!$B$113,0,$C$1)="SND",Allocate!$B$16*Allocate!$B$31*AE$232*AE$14,0))</f>
        <v>8.4526182255623805</v>
      </c>
      <c r="AF253" s="7">
        <f ca="1">IF(OFFSET(Assumptions!$B$72,0,$C$1)="BU",IF(AF$6&lt;=OFFSET(Assumptions!$B$99,0,$C$1),AF$14*(AE$253/AE$14+MIN(ABS(OFFSET(Assumptions!$B$104,0,$C$1)-AE$253/AE$14),OFFSET(Assumptions!$B$100,0,$C$1))*SIGN(OFFSET(Assumptions!$B$104,0,$C$1)-AE$253/AE$14)),AE$253*(1+AF$265)*(1+AF$261)),AE$253+IF(OFFSET(Assumptions!$B$113,0,$C$1)="SND",Allocate!$B$16*Allocate!$B$31*AF$232*AF$14,0))</f>
        <v>8.7363173371736718</v>
      </c>
      <c r="AG253" s="7">
        <f ca="1">IF(OFFSET(Assumptions!$B$72,0,$C$1)="BU",IF(AG$6&lt;=OFFSET(Assumptions!$B$99,0,$C$1),AG$14*(AF$253/AF$14+MIN(ABS(OFFSET(Assumptions!$B$104,0,$C$1)-AF$253/AF$14),OFFSET(Assumptions!$B$100,0,$C$1))*SIGN(OFFSET(Assumptions!$B$104,0,$C$1)-AF$253/AF$14)),AF$253*(1+AG$265)*(1+AG$261)),AF$253+IF(OFFSET(Assumptions!$B$113,0,$C$1)="SND",Allocate!$B$16*Allocate!$B$31*AG$232*AG$14,0))</f>
        <v>9.0314563892884721</v>
      </c>
      <c r="AH253" s="7">
        <f ca="1">IF(OFFSET(Assumptions!$B$72,0,$C$1)="BU",IF(AH$6&lt;=OFFSET(Assumptions!$B$99,0,$C$1),AH$14*(AG$253/AG$14+MIN(ABS(OFFSET(Assumptions!$B$104,0,$C$1)-AG$253/AG$14),OFFSET(Assumptions!$B$100,0,$C$1))*SIGN(OFFSET(Assumptions!$B$104,0,$C$1)-AG$253/AG$14)),AG$253*(1+AH$265)*(1+AH$261)),AG$253+IF(OFFSET(Assumptions!$B$113,0,$C$1)="SND",Allocate!$B$16*Allocate!$B$31*AH$232*AH$14,0))</f>
        <v>9.3385016976134327</v>
      </c>
      <c r="AI253" s="7">
        <f ca="1">IF(OFFSET(Assumptions!$B$72,0,$C$1)="BU",IF(AI$6&lt;=OFFSET(Assumptions!$B$99,0,$C$1),AI$14*(AH$253/AH$14+MIN(ABS(OFFSET(Assumptions!$B$104,0,$C$1)-AH$253/AH$14),OFFSET(Assumptions!$B$100,0,$C$1))*SIGN(OFFSET(Assumptions!$B$104,0,$C$1)-AH$253/AH$14)),AH$253*(1+AI$265)*(1+AI$261)),AH$253+IF(OFFSET(Assumptions!$B$113,0,$C$1)="SND",Allocate!$B$16*Allocate!$B$31*AI$232*AI$14,0))</f>
        <v>9.6578987736842361</v>
      </c>
      <c r="AJ253" s="7">
        <f ca="1">IF(OFFSET(Assumptions!$B$72,0,$C$1)="BU",IF(AJ$6&lt;=OFFSET(Assumptions!$B$99,0,$C$1),AJ$14*(AI$253/AI$14+MIN(ABS(OFFSET(Assumptions!$B$104,0,$C$1)-AI$253/AI$14),OFFSET(Assumptions!$B$100,0,$C$1))*SIGN(OFFSET(Assumptions!$B$104,0,$C$1)-AI$253/AI$14)),AI$253*(1+AJ$265)*(1+AJ$261)),AI$253+IF(OFFSET(Assumptions!$B$113,0,$C$1)="SND",Allocate!$B$16*Allocate!$B$31*AJ$232*AJ$14,0))</f>
        <v>9.9901326979027196</v>
      </c>
      <c r="AK253" s="7">
        <f ca="1">IF(OFFSET(Assumptions!$B$72,0,$C$1)="BU",IF(AK$6&lt;=OFFSET(Assumptions!$B$99,0,$C$1),AK$14*(AJ$253/AJ$14+MIN(ABS(OFFSET(Assumptions!$B$104,0,$C$1)-AJ$253/AJ$14),OFFSET(Assumptions!$B$100,0,$C$1))*SIGN(OFFSET(Assumptions!$B$104,0,$C$1)-AJ$253/AJ$14)),AJ$253*(1+AK$265)*(1+AK$261)),AJ$253+IF(OFFSET(Assumptions!$B$113,0,$C$1)="SND",Allocate!$B$16*Allocate!$B$31*AK$232*AK$14,0))</f>
        <v>10.335677990684012</v>
      </c>
      <c r="AL253" s="7">
        <f ca="1">IF(OFFSET(Assumptions!$B$72,0,$C$1)="BU",IF(AL$6&lt;=OFFSET(Assumptions!$B$99,0,$C$1),AL$14*(AK$253/AK$14+MIN(ABS(OFFSET(Assumptions!$B$104,0,$C$1)-AK$253/AK$14),OFFSET(Assumptions!$B$100,0,$C$1))*SIGN(OFFSET(Assumptions!$B$104,0,$C$1)-AK$253/AK$14)),AK$253*(1+AL$265)*(1+AL$261)),AK$253+IF(OFFSET(Assumptions!$B$113,0,$C$1)="SND",Allocate!$B$16*Allocate!$B$31*AL$232*AL$14,0))</f>
        <v>10.694998686710989</v>
      </c>
      <c r="AM253" s="7">
        <f ca="1">IF(OFFSET(Assumptions!$B$72,0,$C$1)="BU",IF(AM$6&lt;=OFFSET(Assumptions!$B$99,0,$C$1),AM$14*(AL$253/AL$14+MIN(ABS(OFFSET(Assumptions!$B$104,0,$C$1)-AL$253/AL$14),OFFSET(Assumptions!$B$100,0,$C$1))*SIGN(OFFSET(Assumptions!$B$104,0,$C$1)-AL$253/AL$14)),AL$253*(1+AM$265)*(1+AM$261)),AL$253+IF(OFFSET(Assumptions!$B$113,0,$C$1)="SND",Allocate!$B$16*Allocate!$B$31*AM$232*AM$14,0))</f>
        <v>11.068577639661198</v>
      </c>
      <c r="AN253" s="7">
        <f ca="1">IF(OFFSET(Assumptions!$B$72,0,$C$1)="BU",IF(AN$6&lt;=OFFSET(Assumptions!$B$99,0,$C$1),AN$14*(AM$253/AM$14+MIN(ABS(OFFSET(Assumptions!$B$104,0,$C$1)-AM$253/AM$14),OFFSET(Assumptions!$B$100,0,$C$1))*SIGN(OFFSET(Assumptions!$B$104,0,$C$1)-AM$253/AM$14)),AM$253*(1+AN$265)*(1+AN$261)),AM$253+IF(OFFSET(Assumptions!$B$113,0,$C$1)="SND",Allocate!$B$16*Allocate!$B$31*AN$232*AN$14,0))</f>
        <v>11.456917536309488</v>
      </c>
      <c r="AO253" s="7">
        <f ca="1">IF(OFFSET(Assumptions!$B$72,0,$C$1)="BU",IF(AO$6&lt;=OFFSET(Assumptions!$B$99,0,$C$1),AO$14*(AN$253/AN$14+MIN(ABS(OFFSET(Assumptions!$B$104,0,$C$1)-AN$253/AN$14),OFFSET(Assumptions!$B$100,0,$C$1))*SIGN(OFFSET(Assumptions!$B$104,0,$C$1)-AN$253/AN$14)),AN$253*(1+AO$265)*(1+AO$261)),AN$253+IF(OFFSET(Assumptions!$B$113,0,$C$1)="SND",Allocate!$B$16*Allocate!$B$31*AO$232*AO$14,0))</f>
        <v>11.860463102309375</v>
      </c>
      <c r="AP253" s="7">
        <f ca="1">IF(OFFSET(Assumptions!$B$72,0,$C$1)="BU",IF(AP$6&lt;=OFFSET(Assumptions!$B$99,0,$C$1),AP$14*(AO$253/AO$14+MIN(ABS(OFFSET(Assumptions!$B$104,0,$C$1)-AO$253/AO$14),OFFSET(Assumptions!$B$100,0,$C$1))*SIGN(OFFSET(Assumptions!$B$104,0,$C$1)-AO$253/AO$14)),AO$253*(1+AP$265)*(1+AP$261)),AO$253+IF(OFFSET(Assumptions!$B$113,0,$C$1)="SND",Allocate!$B$16*Allocate!$B$31*AP$232*AP$14,0))</f>
        <v>12.279723634115049</v>
      </c>
      <c r="AQ253" s="7">
        <f ca="1">IF(OFFSET(Assumptions!$B$72,0,$C$1)="BU",IF(AQ$6&lt;=OFFSET(Assumptions!$B$99,0,$C$1),AQ$14*(AP$253/AP$14+MIN(ABS(OFFSET(Assumptions!$B$104,0,$C$1)-AP$253/AP$14),OFFSET(Assumptions!$B$100,0,$C$1))*SIGN(OFFSET(Assumptions!$B$104,0,$C$1)-AP$253/AP$14)),AP$253*(1+AQ$265)*(1+AQ$261)),AP$253+IF(OFFSET(Assumptions!$B$113,0,$C$1)="SND",Allocate!$B$16*Allocate!$B$31*AQ$232*AQ$14,0))</f>
        <v>12.715164394896107</v>
      </c>
      <c r="AR253" s="7">
        <f ca="1">IF(OFFSET(Assumptions!$B$72,0,$C$1)="BU",IF(AR$6&lt;=OFFSET(Assumptions!$B$99,0,$C$1),AR$14*(AQ$253/AQ$14+MIN(ABS(OFFSET(Assumptions!$B$104,0,$C$1)-AQ$253/AQ$14),OFFSET(Assumptions!$B$100,0,$C$1))*SIGN(OFFSET(Assumptions!$B$104,0,$C$1)-AQ$253/AQ$14)),AQ$253*(1+AR$265)*(1+AR$261)),AQ$253+IF(OFFSET(Assumptions!$B$113,0,$C$1)="SND",Allocate!$B$16*Allocate!$B$31*AR$232*AR$14,0))</f>
        <v>13.167268966735932</v>
      </c>
      <c r="AS253" s="7">
        <f ca="1">IF(OFFSET(Assumptions!$B$72,0,$C$1)="BU",IF(AS$6&lt;=OFFSET(Assumptions!$B$99,0,$C$1),AS$14*(AR$253/AR$14+MIN(ABS(OFFSET(Assumptions!$B$104,0,$C$1)-AR$253/AR$14),OFFSET(Assumptions!$B$100,0,$C$1))*SIGN(OFFSET(Assumptions!$B$104,0,$C$1)-AR$253/AR$14)),AR$253*(1+AS$265)*(1+AS$261)),AR$253+IF(OFFSET(Assumptions!$B$113,0,$C$1)="SND",Allocate!$B$16*Allocate!$B$31*AS$232*AS$14,0))</f>
        <v>13.636559807908466</v>
      </c>
      <c r="AT253" s="7">
        <f ca="1">IF(OFFSET(Assumptions!$B$72,0,$C$1)="BU",IF(AT$6&lt;=OFFSET(Assumptions!$B$99,0,$C$1),AT$14*(AS$253/AS$14+MIN(ABS(OFFSET(Assumptions!$B$104,0,$C$1)-AS$253/AS$14),OFFSET(Assumptions!$B$100,0,$C$1))*SIGN(OFFSET(Assumptions!$B$104,0,$C$1)-AS$253/AS$14)),AS$253*(1+AT$265)*(1+AT$261)),AS$253+IF(OFFSET(Assumptions!$B$113,0,$C$1)="SND",Allocate!$B$16*Allocate!$B$31*AT$232*AT$14,0))</f>
        <v>14.123573102798296</v>
      </c>
      <c r="AU253" s="7">
        <f ca="1">IF(OFFSET(Assumptions!$B$72,0,$C$1)="BU",IF(AU$6&lt;=OFFSET(Assumptions!$B$99,0,$C$1),AU$14*(AT$253/AT$14+MIN(ABS(OFFSET(Assumptions!$B$104,0,$C$1)-AT$253/AT$14),OFFSET(Assumptions!$B$100,0,$C$1))*SIGN(OFFSET(Assumptions!$B$104,0,$C$1)-AT$253/AT$14)),AT$253*(1+AU$265)*(1+AU$261)),AT$253+IF(OFFSET(Assumptions!$B$113,0,$C$1)="SND",Allocate!$B$16*Allocate!$B$31*AU$232*AU$14,0))</f>
        <v>14.62886860269702</v>
      </c>
      <c r="AV253" s="7">
        <f ca="1">IF(OFFSET(Assumptions!$B$72,0,$C$1)="BU",IF(AV$6&lt;=OFFSET(Assumptions!$B$99,0,$C$1),AV$14*(AU$253/AU$14+MIN(ABS(OFFSET(Assumptions!$B$104,0,$C$1)-AU$253/AU$14),OFFSET(Assumptions!$B$100,0,$C$1))*SIGN(OFFSET(Assumptions!$B$104,0,$C$1)-AU$253/AU$14)),AU$253*(1+AV$265)*(1+AV$261)),AU$253+IF(OFFSET(Assumptions!$B$113,0,$C$1)="SND",Allocate!$B$16*Allocate!$B$31*AV$232*AV$14,0))</f>
        <v>15.153062585610511</v>
      </c>
      <c r="AW253" s="7">
        <f ca="1">IF(OFFSET(Assumptions!$B$72,0,$C$1)="BU",IF(AW$6&lt;=OFFSET(Assumptions!$B$99,0,$C$1),AW$14*(AV$253/AV$14+MIN(ABS(OFFSET(Assumptions!$B$104,0,$C$1)-AV$253/AV$14),OFFSET(Assumptions!$B$100,0,$C$1))*SIGN(OFFSET(Assumptions!$B$104,0,$C$1)-AV$253/AV$14)),AV$253*(1+AW$265)*(1+AW$261)),AV$253+IF(OFFSET(Assumptions!$B$113,0,$C$1)="SND",Allocate!$B$16*Allocate!$B$31*AW$232*AW$14,0))</f>
        <v>15.696760660289307</v>
      </c>
    </row>
    <row r="254" spans="1:49" x14ac:dyDescent="0.2">
      <c r="A254" s="1" t="s">
        <v>318</v>
      </c>
      <c r="D254" s="18">
        <f t="shared" ref="D254:I254" si="180">D$173</f>
        <v>0.51100000000000001</v>
      </c>
      <c r="E254" s="19">
        <f t="shared" si="180"/>
        <v>0.496</v>
      </c>
      <c r="F254" s="19">
        <f t="shared" si="180"/>
        <v>0.51</v>
      </c>
      <c r="G254" s="19">
        <f t="shared" si="180"/>
        <v>0.54</v>
      </c>
      <c r="H254" s="19">
        <f t="shared" si="180"/>
        <v>0.54200000000000004</v>
      </c>
      <c r="I254" s="19">
        <f t="shared" si="180"/>
        <v>0.54700000000000004</v>
      </c>
      <c r="J254" s="7">
        <f t="shared" ref="J254:AW254" ca="1" si="181">J$173</f>
        <v>0.62359402369910744</v>
      </c>
      <c r="K254" s="7">
        <f t="shared" ca="1" si="181"/>
        <v>0.64965414101038543</v>
      </c>
      <c r="L254" s="7">
        <f t="shared" ca="1" si="181"/>
        <v>0.67781358835892724</v>
      </c>
      <c r="M254" s="7">
        <f t="shared" ca="1" si="181"/>
        <v>0.70709950977802272</v>
      </c>
      <c r="N254" s="7">
        <f t="shared" ca="1" si="181"/>
        <v>0.73759492728030718</v>
      </c>
      <c r="O254" s="7">
        <f t="shared" ca="1" si="181"/>
        <v>0.76908044506482742</v>
      </c>
      <c r="P254" s="7">
        <f t="shared" ca="1" si="181"/>
        <v>0.80160401203800202</v>
      </c>
      <c r="Q254" s="7">
        <f t="shared" ca="1" si="181"/>
        <v>0.83513049677556295</v>
      </c>
      <c r="R254" s="7">
        <f t="shared" ca="1" si="181"/>
        <v>0.86963501533360654</v>
      </c>
      <c r="S254" s="7">
        <f t="shared" ca="1" si="181"/>
        <v>0.90522722166511427</v>
      </c>
      <c r="T254" s="7">
        <f t="shared" ca="1" si="181"/>
        <v>0.94192009504269969</v>
      </c>
      <c r="U254" s="7">
        <f t="shared" ca="1" si="181"/>
        <v>0.97984532522170287</v>
      </c>
      <c r="V254" s="7">
        <f t="shared" ca="1" si="181"/>
        <v>1.0190965308494406</v>
      </c>
      <c r="W254" s="7">
        <f t="shared" ca="1" si="181"/>
        <v>1.0597874325692371</v>
      </c>
      <c r="X254" s="7">
        <f t="shared" ca="1" si="181"/>
        <v>1.102046917075997</v>
      </c>
      <c r="Y254" s="7">
        <f t="shared" ca="1" si="181"/>
        <v>1.145870664051158</v>
      </c>
      <c r="Z254" s="7">
        <f t="shared" ca="1" si="181"/>
        <v>1.1914804936302461</v>
      </c>
      <c r="AA254" s="7">
        <f t="shared" ca="1" si="181"/>
        <v>1.2389502026748054</v>
      </c>
      <c r="AB254" s="7">
        <f t="shared" ca="1" si="181"/>
        <v>1.288422347104984</v>
      </c>
      <c r="AC254" s="7">
        <f t="shared" ca="1" si="181"/>
        <v>1.3400836909794946</v>
      </c>
      <c r="AD254" s="7">
        <f t="shared" ca="1" si="181"/>
        <v>1.3939886859920594</v>
      </c>
      <c r="AE254" s="7">
        <f t="shared" ca="1" si="181"/>
        <v>1.4500878275895615</v>
      </c>
      <c r="AF254" s="7">
        <f t="shared" ca="1" si="181"/>
        <v>1.5085363196346488</v>
      </c>
      <c r="AG254" s="7">
        <f t="shared" ca="1" si="181"/>
        <v>1.5693668440800259</v>
      </c>
      <c r="AH254" s="7">
        <f t="shared" ca="1" si="181"/>
        <v>1.6326769468924458</v>
      </c>
      <c r="AI254" s="7">
        <f t="shared" ca="1" si="181"/>
        <v>1.6983560043645252</v>
      </c>
      <c r="AJ254" s="7">
        <f t="shared" ca="1" si="181"/>
        <v>1.7666144192408535</v>
      </c>
      <c r="AK254" s="7">
        <f t="shared" ca="1" si="181"/>
        <v>1.8373960400467502</v>
      </c>
      <c r="AL254" s="7">
        <f t="shared" ca="1" si="181"/>
        <v>1.9106451101467705</v>
      </c>
      <c r="AM254" s="7">
        <f t="shared" ca="1" si="181"/>
        <v>1.9864616973091862</v>
      </c>
      <c r="AN254" s="7">
        <f t="shared" ca="1" si="181"/>
        <v>2.0649512616725252</v>
      </c>
      <c r="AO254" s="7">
        <f t="shared" ca="1" si="181"/>
        <v>2.1458056018604821</v>
      </c>
      <c r="AP254" s="7">
        <f t="shared" ca="1" si="181"/>
        <v>2.2293680654339632</v>
      </c>
      <c r="AQ254" s="7">
        <f t="shared" ca="1" si="181"/>
        <v>2.3154045106337362</v>
      </c>
      <c r="AR254" s="7">
        <f t="shared" ca="1" si="181"/>
        <v>2.4040123461074177</v>
      </c>
      <c r="AS254" s="7">
        <f t="shared" ca="1" si="181"/>
        <v>2.4953982913793737</v>
      </c>
      <c r="AT254" s="7">
        <f t="shared" ca="1" si="181"/>
        <v>2.5896353334121995</v>
      </c>
      <c r="AU254" s="7">
        <f t="shared" ca="1" si="181"/>
        <v>2.6868487864338872</v>
      </c>
      <c r="AV254" s="7">
        <f t="shared" ca="1" si="181"/>
        <v>2.7873392245316917</v>
      </c>
      <c r="AW254" s="7">
        <f t="shared" ca="1" si="181"/>
        <v>2.8910499152079563</v>
      </c>
    </row>
    <row r="255" spans="1:49" x14ac:dyDescent="0.2">
      <c r="A255" s="1" t="s">
        <v>547</v>
      </c>
      <c r="D255" s="18">
        <f t="shared" ref="D255:I255" si="182">SUM(D$387,D$390)</f>
        <v>0.871</v>
      </c>
      <c r="E255" s="19">
        <f t="shared" si="182"/>
        <v>0.71900000000000008</v>
      </c>
      <c r="F255" s="19">
        <f t="shared" si="182"/>
        <v>0.78899999999999992</v>
      </c>
      <c r="G255" s="19">
        <f t="shared" si="182"/>
        <v>0.80299999999999994</v>
      </c>
      <c r="H255" s="19">
        <f t="shared" si="182"/>
        <v>0.80599999999999994</v>
      </c>
      <c r="I255" s="19">
        <f t="shared" si="182"/>
        <v>0.81699999999999995</v>
      </c>
      <c r="J255" s="7">
        <f>SUM(J$387,J$390)</f>
        <v>0.72199999999999998</v>
      </c>
      <c r="K255" s="7">
        <f t="shared" ref="K255:AW255" si="183">SUM(K$387,K$390)</f>
        <v>0.72699999999999998</v>
      </c>
      <c r="L255" s="7">
        <f t="shared" si="183"/>
        <v>0.74099999999999999</v>
      </c>
      <c r="M255" s="7">
        <f t="shared" si="183"/>
        <v>0.755</v>
      </c>
      <c r="N255" s="7">
        <f t="shared" si="183"/>
        <v>0.78</v>
      </c>
      <c r="O255" s="7">
        <f t="shared" si="183"/>
        <v>0.80200000000000005</v>
      </c>
      <c r="P255" s="7">
        <f t="shared" si="183"/>
        <v>0.82699999999999996</v>
      </c>
      <c r="Q255" s="7">
        <f t="shared" si="183"/>
        <v>0.85199999999999998</v>
      </c>
      <c r="R255" s="7">
        <f t="shared" si="183"/>
        <v>0.874</v>
      </c>
      <c r="S255" s="7">
        <f t="shared" si="183"/>
        <v>0.89600000000000002</v>
      </c>
      <c r="T255" s="7">
        <f t="shared" si="183"/>
        <v>0.92200000000000004</v>
      </c>
      <c r="U255" s="7">
        <f t="shared" si="183"/>
        <v>0.94500000000000006</v>
      </c>
      <c r="V255" s="7">
        <f t="shared" si="183"/>
        <v>0.96700000000000008</v>
      </c>
      <c r="W255" s="7">
        <f t="shared" si="183"/>
        <v>0.9890000000000001</v>
      </c>
      <c r="X255" s="7">
        <f t="shared" si="183"/>
        <v>1.0110000000000001</v>
      </c>
      <c r="Y255" s="7">
        <f t="shared" si="183"/>
        <v>1.0350000000000001</v>
      </c>
      <c r="Z255" s="7">
        <f t="shared" si="183"/>
        <v>1.0640000000000001</v>
      </c>
      <c r="AA255" s="7">
        <f t="shared" si="183"/>
        <v>1.0920000000000001</v>
      </c>
      <c r="AB255" s="7">
        <f t="shared" si="183"/>
        <v>1.125</v>
      </c>
      <c r="AC255" s="7">
        <f t="shared" si="183"/>
        <v>1.1619999999999999</v>
      </c>
      <c r="AD255" s="7">
        <f t="shared" si="183"/>
        <v>1.1949999999999998</v>
      </c>
      <c r="AE255" s="7">
        <f t="shared" si="183"/>
        <v>1.2299999999999998</v>
      </c>
      <c r="AF255" s="7">
        <f t="shared" si="183"/>
        <v>1.2629999999999997</v>
      </c>
      <c r="AG255" s="7">
        <f t="shared" si="183"/>
        <v>1.2969999999999997</v>
      </c>
      <c r="AH255" s="7">
        <f t="shared" si="183"/>
        <v>1.3399999999999996</v>
      </c>
      <c r="AI255" s="7">
        <f t="shared" si="183"/>
        <v>1.3819999999999997</v>
      </c>
      <c r="AJ255" s="7">
        <f t="shared" si="183"/>
        <v>1.4199999999999997</v>
      </c>
      <c r="AK255" s="7">
        <f t="shared" si="183"/>
        <v>1.4539999999999997</v>
      </c>
      <c r="AL255" s="7">
        <f t="shared" si="183"/>
        <v>1.4869999999999997</v>
      </c>
      <c r="AM255" s="7">
        <f t="shared" si="183"/>
        <v>1.5179999999999996</v>
      </c>
      <c r="AN255" s="7">
        <f t="shared" si="183"/>
        <v>1.5549999999999995</v>
      </c>
      <c r="AO255" s="7">
        <f t="shared" si="183"/>
        <v>1.5919999999999994</v>
      </c>
      <c r="AP255" s="7">
        <f t="shared" si="183"/>
        <v>1.6259999999999994</v>
      </c>
      <c r="AQ255" s="7">
        <f t="shared" si="183"/>
        <v>1.6659999999999995</v>
      </c>
      <c r="AR255" s="7">
        <f t="shared" si="183"/>
        <v>1.7039999999999995</v>
      </c>
      <c r="AS255" s="7">
        <f t="shared" si="183"/>
        <v>1.7419999999999995</v>
      </c>
      <c r="AT255" s="7">
        <f t="shared" si="183"/>
        <v>1.7829999999999995</v>
      </c>
      <c r="AU255" s="7">
        <f t="shared" si="183"/>
        <v>1.8249999999999995</v>
      </c>
      <c r="AV255" s="7">
        <f t="shared" si="183"/>
        <v>1.8739999999999994</v>
      </c>
      <c r="AW255" s="7">
        <f t="shared" si="183"/>
        <v>1.9149999999999994</v>
      </c>
    </row>
    <row r="256" spans="1:49" x14ac:dyDescent="0.2">
      <c r="A256" s="1" t="s">
        <v>834</v>
      </c>
      <c r="B256" s="4" t="str">
        <f>$B$43</f>
        <v>From Fiscal</v>
      </c>
      <c r="D256" s="18">
        <f>Fiscal!D$383</f>
        <v>1.19</v>
      </c>
      <c r="E256" s="19">
        <f ca="1">Fiscal!E$383 +IF(OR(OFFSET(Assumptions!$B$72,0,$C$1)="BU",OFFSET(Assumptions!$B$113,0,$C$1)="SND"),Allocate!C$32,0)</f>
        <v>1.196</v>
      </c>
      <c r="F256" s="19">
        <f ca="1">Fiscal!F$383 +IF(OR(OFFSET(Assumptions!$B$72,0,$C$1)="BU",OFFSET(Assumptions!$B$113,0,$C$1)="SND"),Allocate!D$32,0)</f>
        <v>1.2010000000000001</v>
      </c>
      <c r="G256" s="19">
        <f ca="1">Fiscal!G$383 +IF(OR(OFFSET(Assumptions!$B$72,0,$C$1)="BU",OFFSET(Assumptions!$B$113,0,$C$1)="SND"),Allocate!E$32,0)</f>
        <v>1.248</v>
      </c>
      <c r="H256" s="19">
        <f ca="1">Fiscal!H$383 +IF(OR(OFFSET(Assumptions!$B$72,0,$C$1)="BU",OFFSET(Assumptions!$B$113,0,$C$1)="SND"),Allocate!F$32,0)</f>
        <v>1.306</v>
      </c>
      <c r="I256" s="19">
        <f ca="1">Fiscal!I$383 +IF(OR(OFFSET(Assumptions!$B$72,0,$C$1)="BU",OFFSET(Assumptions!$B$113,0,$C$1)="SND"),Allocate!G$32,0)</f>
        <v>1.3650000000000002</v>
      </c>
      <c r="J256" s="7">
        <f ca="1">IF(OFFSET(Assumptions!$B$72,0,$C$1)="BU",J$14*(I$256/I$14+MIN(ABS(OFFSET(Assumptions!$B$77,0,$C$1)-I$256/I$14),OFFSET(Assumptions!$B$75,0,$C$1))*SIGN(OFFSET(Assumptions!$B$77,0,$C$1)-I$256/I$14)),I$256+IF(OFFSET(Assumptions!$B$113,0,$C$1)="SND",Allocate!$B$16*Allocate!$B$32*J$232*J$14,0))</f>
        <v>1.4109900592478093</v>
      </c>
      <c r="K256" s="7">
        <f ca="1">IF(OFFSET(Assumptions!$B$72,0,$C$1)="BU",K$14*(J$256/J$14+MIN(ABS(OFFSET(Assumptions!$B$77,0,$C$1)-J$256/J$14),OFFSET(Assumptions!$B$75,0,$C$1))*SIGN(OFFSET(Assumptions!$B$77,0,$C$1)-J$256/J$14)),J$256+IF(OFFSET(Assumptions!$B$113,0,$C$1)="SND",Allocate!$B$16*Allocate!$B$32*K$232*K$14,0))</f>
        <v>1.4589020521473253</v>
      </c>
      <c r="L256" s="7">
        <f ca="1">IF(OFFSET(Assumptions!$B$72,0,$C$1)="BU",L$14*(K$256/K$14+MIN(ABS(OFFSET(Assumptions!$B$77,0,$C$1)-K$256/K$14),OFFSET(Assumptions!$B$75,0,$C$1))*SIGN(OFFSET(Assumptions!$B$77,0,$C$1)-K$256/K$14)),K$256+IF(OFFSET(Assumptions!$B$113,0,$C$1)="SND",Allocate!$B$16*Allocate!$B$32*L$232*L$14,0))</f>
        <v>1.5088908042887961</v>
      </c>
      <c r="M256" s="7">
        <f ca="1">IF(OFFSET(Assumptions!$B$72,0,$C$1)="BU",M$14*(L$256/L$14+MIN(ABS(OFFSET(Assumptions!$B$77,0,$C$1)-L$256/L$14),OFFSET(Assumptions!$B$75,0,$C$1))*SIGN(OFFSET(Assumptions!$B$77,0,$C$1)-L$256/L$14)),L$256+IF(OFFSET(Assumptions!$B$113,0,$C$1)="SND",Allocate!$B$16*Allocate!$B$32*M$232*M$14,0))</f>
        <v>1.5610393931349253</v>
      </c>
      <c r="N256" s="7">
        <f ca="1">IF(OFFSET(Assumptions!$B$72,0,$C$1)="BU",N$14*(M$256/M$14+MIN(ABS(OFFSET(Assumptions!$B$77,0,$C$1)-M$256/M$14),OFFSET(Assumptions!$B$75,0,$C$1))*SIGN(OFFSET(Assumptions!$B$77,0,$C$1)-M$256/M$14)),M$256+IF(OFFSET(Assumptions!$B$113,0,$C$1)="SND",Allocate!$B$16*Allocate!$B$32*N$232*N$14,0))</f>
        <v>1.6154370190218481</v>
      </c>
      <c r="O256" s="7">
        <f ca="1">IF(OFFSET(Assumptions!$B$72,0,$C$1)="BU",O$14*(N$256/N$14+MIN(ABS(OFFSET(Assumptions!$B$77,0,$C$1)-N$256/N$14),OFFSET(Assumptions!$B$75,0,$C$1))*SIGN(OFFSET(Assumptions!$B$77,0,$C$1)-N$256/N$14)),N$256+IF(OFFSET(Assumptions!$B$113,0,$C$1)="SND",Allocate!$B$16*Allocate!$B$32*O$232*O$14,0))</f>
        <v>1.6721567018453791</v>
      </c>
      <c r="P256" s="7">
        <f ca="1">IF(OFFSET(Assumptions!$B$72,0,$C$1)="BU",P$14*(O$256/O$14+MIN(ABS(OFFSET(Assumptions!$B$77,0,$C$1)-O$256/O$14),OFFSET(Assumptions!$B$75,0,$C$1))*SIGN(OFFSET(Assumptions!$B$77,0,$C$1)-O$256/O$14)),O$256+IF(OFFSET(Assumptions!$B$113,0,$C$1)="SND",Allocate!$B$16*Allocate!$B$32*P$232*P$14,0))</f>
        <v>1.7608341456770831</v>
      </c>
      <c r="Q256" s="7">
        <f ca="1">IF(OFFSET(Assumptions!$B$72,0,$C$1)="BU",Q$14*(P$256/P$14+MIN(ABS(OFFSET(Assumptions!$B$77,0,$C$1)-P$256/P$14),OFFSET(Assumptions!$B$75,0,$C$1))*SIGN(OFFSET(Assumptions!$B$77,0,$C$1)-P$256/P$14)),P$256+IF(OFFSET(Assumptions!$B$113,0,$C$1)="SND",Allocate!$B$16*Allocate!$B$32*Q$232*Q$14,0))</f>
        <v>1.8532204568828796</v>
      </c>
      <c r="R256" s="7">
        <f ca="1">IF(OFFSET(Assumptions!$B$72,0,$C$1)="BU",R$14*(Q$256/Q$14+MIN(ABS(OFFSET(Assumptions!$B$77,0,$C$1)-Q$256/Q$14),OFFSET(Assumptions!$B$75,0,$C$1))*SIGN(OFFSET(Assumptions!$B$77,0,$C$1)-Q$256/Q$14)),Q$256+IF(OFFSET(Assumptions!$B$113,0,$C$1)="SND",Allocate!$B$16*Allocate!$B$32*R$232*R$14,0))</f>
        <v>1.9494238304541598</v>
      </c>
      <c r="S256" s="7">
        <f ca="1">IF(OFFSET(Assumptions!$B$72,0,$C$1)="BU",S$14*(R$256/R$14+MIN(ABS(OFFSET(Assumptions!$B$77,0,$C$1)-R$256/R$14),OFFSET(Assumptions!$B$75,0,$C$1))*SIGN(OFFSET(Assumptions!$B$77,0,$C$1)-R$256/R$14)),R$256+IF(OFFSET(Assumptions!$B$113,0,$C$1)="SND",Allocate!$B$16*Allocate!$B$32*S$232*S$14,0))</f>
        <v>2.0495645918508631</v>
      </c>
      <c r="T256" s="7">
        <f ca="1">IF(OFFSET(Assumptions!$B$72,0,$C$1)="BU",T$14*(S$256/S$14+MIN(ABS(OFFSET(Assumptions!$B$77,0,$C$1)-S$256/S$14),OFFSET(Assumptions!$B$75,0,$C$1))*SIGN(OFFSET(Assumptions!$B$77,0,$C$1)-S$256/S$14)),S$256+IF(OFFSET(Assumptions!$B$113,0,$C$1)="SND",Allocate!$B$16*Allocate!$B$32*T$232*T$14,0))</f>
        <v>2.1537645023649619</v>
      </c>
      <c r="U256" s="7">
        <f ca="1">IF(OFFSET(Assumptions!$B$72,0,$C$1)="BU",U$14*(T$256/T$14+MIN(ABS(OFFSET(Assumptions!$B$77,0,$C$1)-T$256/T$14),OFFSET(Assumptions!$B$75,0,$C$1))*SIGN(OFFSET(Assumptions!$B$77,0,$C$1)-T$256/T$14)),T$256+IF(OFFSET(Assumptions!$B$113,0,$C$1)="SND",Allocate!$B$16*Allocate!$B$32*U$232*U$14,0))</f>
        <v>2.2621598914676126</v>
      </c>
      <c r="V256" s="7">
        <f ca="1">IF(OFFSET(Assumptions!$B$72,0,$C$1)="BU",V$14*(U$256/U$14+MIN(ABS(OFFSET(Assumptions!$B$77,0,$C$1)-U$256/U$14),OFFSET(Assumptions!$B$75,0,$C$1))*SIGN(OFFSET(Assumptions!$B$77,0,$C$1)-U$256/U$14)),U$256+IF(OFFSET(Assumptions!$B$113,0,$C$1)="SND",Allocate!$B$16*Allocate!$B$32*V$232*V$14,0))</f>
        <v>2.3748974451928322</v>
      </c>
      <c r="W256" s="7">
        <f ca="1">IF(OFFSET(Assumptions!$B$72,0,$C$1)="BU",W$14*(V$256/V$14+MIN(ABS(OFFSET(Assumptions!$B$77,0,$C$1)-V$256/V$14),OFFSET(Assumptions!$B$75,0,$C$1))*SIGN(OFFSET(Assumptions!$B$77,0,$C$1)-V$256/V$14)),V$256+IF(OFFSET(Assumptions!$B$113,0,$C$1)="SND",Allocate!$B$16*Allocate!$B$32*W$232*W$14,0))</f>
        <v>2.4921364299208042</v>
      </c>
      <c r="X256" s="7">
        <f ca="1">IF(OFFSET(Assumptions!$B$72,0,$C$1)="BU",X$14*(W$256/W$14+MIN(ABS(OFFSET(Assumptions!$B$77,0,$C$1)-W$256/W$14),OFFSET(Assumptions!$B$75,0,$C$1))*SIGN(OFFSET(Assumptions!$B$77,0,$C$1)-W$256/W$14)),W$256+IF(OFFSET(Assumptions!$B$113,0,$C$1)="SND",Allocate!$B$16*Allocate!$B$32*X$232*X$14,0))</f>
        <v>2.6140503701223365</v>
      </c>
      <c r="Y256" s="7">
        <f ca="1">IF(OFFSET(Assumptions!$B$72,0,$C$1)="BU",Y$14*(X$256/X$14+MIN(ABS(OFFSET(Assumptions!$B$77,0,$C$1)-X$256/X$14),OFFSET(Assumptions!$B$75,0,$C$1))*SIGN(OFFSET(Assumptions!$B$77,0,$C$1)-X$256/X$14)),X$256+IF(OFFSET(Assumptions!$B$113,0,$C$1)="SND",Allocate!$B$16*Allocate!$B$32*Y$232*Y$14,0))</f>
        <v>2.7408123123329959</v>
      </c>
      <c r="Z256" s="7">
        <f ca="1">IF(OFFSET(Assumptions!$B$72,0,$C$1)="BU",Z$14*(Y$256/Y$14+MIN(ABS(OFFSET(Assumptions!$B$77,0,$C$1)-Y$256/Y$14),OFFSET(Assumptions!$B$75,0,$C$1))*SIGN(OFFSET(Assumptions!$B$77,0,$C$1)-Y$256/Y$14)),Y$256+IF(OFFSET(Assumptions!$B$113,0,$C$1)="SND",Allocate!$B$16*Allocate!$B$32*Z$232*Z$14,0))</f>
        <v>2.8726198419408417</v>
      </c>
      <c r="AA256" s="7">
        <f ca="1">IF(OFFSET(Assumptions!$B$72,0,$C$1)="BU",AA$14*(Z$256/Z$14+MIN(ABS(OFFSET(Assumptions!$B$77,0,$C$1)-Z$256/Z$14),OFFSET(Assumptions!$B$75,0,$C$1))*SIGN(OFFSET(Assumptions!$B$77,0,$C$1)-Z$256/Z$14)),Z$256+IF(OFFSET(Assumptions!$B$113,0,$C$1)="SND",Allocate!$B$16*Allocate!$B$32*AA$232*AA$14,0))</f>
        <v>2.9639924193881084</v>
      </c>
      <c r="AB256" s="7">
        <f ca="1">IF(OFFSET(Assumptions!$B$72,0,$C$1)="BU",AB$14*(AA$256/AA$14+MIN(ABS(OFFSET(Assumptions!$B$77,0,$C$1)-AA$256/AA$14),OFFSET(Assumptions!$B$75,0,$C$1))*SIGN(OFFSET(Assumptions!$B$77,0,$C$1)-AA$256/AA$14)),AA$256+IF(OFFSET(Assumptions!$B$113,0,$C$1)="SND",Allocate!$B$16*Allocate!$B$32*AB$232*AB$14,0))</f>
        <v>3.0590135674871011</v>
      </c>
      <c r="AC256" s="7">
        <f ca="1">IF(OFFSET(Assumptions!$B$72,0,$C$1)="BU",AC$14*(AB$256/AB$14+MIN(ABS(OFFSET(Assumptions!$B$77,0,$C$1)-AB$256/AB$14),OFFSET(Assumptions!$B$75,0,$C$1))*SIGN(OFFSET(Assumptions!$B$77,0,$C$1)-AB$256/AB$14)),AB$256+IF(OFFSET(Assumptions!$B$113,0,$C$1)="SND",Allocate!$B$16*Allocate!$B$32*AC$232*AC$14,0))</f>
        <v>3.1578447396968388</v>
      </c>
      <c r="AD256" s="7">
        <f ca="1">IF(OFFSET(Assumptions!$B$72,0,$C$1)="BU",AD$14*(AC$256/AC$14+MIN(ABS(OFFSET(Assumptions!$B$77,0,$C$1)-AC$256/AC$14),OFFSET(Assumptions!$B$75,0,$C$1))*SIGN(OFFSET(Assumptions!$B$77,0,$C$1)-AC$256/AC$14)),AC$256+IF(OFFSET(Assumptions!$B$113,0,$C$1)="SND",Allocate!$B$16*Allocate!$B$32*AD$232*AD$14,0))</f>
        <v>3.260651405288753</v>
      </c>
      <c r="AE256" s="7">
        <f ca="1">IF(OFFSET(Assumptions!$B$72,0,$C$1)="BU",AE$14*(AD$256/AD$14+MIN(ABS(OFFSET(Assumptions!$B$77,0,$C$1)-AD$256/AD$14),OFFSET(Assumptions!$B$75,0,$C$1))*SIGN(OFFSET(Assumptions!$B$77,0,$C$1)-AD$256/AD$14)),AD$256+IF(OFFSET(Assumptions!$B$113,0,$C$1)="SND",Allocate!$B$16*Allocate!$B$32*AE$232*AE$14,0))</f>
        <v>3.3675953825734832</v>
      </c>
      <c r="AF256" s="7">
        <f ca="1">IF(OFFSET(Assumptions!$B$72,0,$C$1)="BU",AF$14*(AE$256/AE$14+MIN(ABS(OFFSET(Assumptions!$B$77,0,$C$1)-AE$256/AE$14),OFFSET(Assumptions!$B$75,0,$C$1))*SIGN(OFFSET(Assumptions!$B$77,0,$C$1)-AE$256/AE$14)),AE$256+IF(OFFSET(Assumptions!$B$113,0,$C$1)="SND",Allocate!$B$16*Allocate!$B$32*AF$232*AF$14,0))</f>
        <v>3.4788499361465384</v>
      </c>
      <c r="AG256" s="7">
        <f ca="1">IF(OFFSET(Assumptions!$B$72,0,$C$1)="BU",AG$14*(AF$256/AF$14+MIN(ABS(OFFSET(Assumptions!$B$77,0,$C$1)-AF$256/AF$14),OFFSET(Assumptions!$B$75,0,$C$1))*SIGN(OFFSET(Assumptions!$B$77,0,$C$1)-AF$256/AF$14)),AF$256+IF(OFFSET(Assumptions!$B$113,0,$C$1)="SND",Allocate!$B$16*Allocate!$B$32*AG$232*AG$14,0))</f>
        <v>3.5945907408974405</v>
      </c>
      <c r="AH256" s="7">
        <f ca="1">IF(OFFSET(Assumptions!$B$72,0,$C$1)="BU",AH$14*(AG$256/AG$14+MIN(ABS(OFFSET(Assumptions!$B$77,0,$C$1)-AG$256/AG$14),OFFSET(Assumptions!$B$75,0,$C$1))*SIGN(OFFSET(Assumptions!$B$77,0,$C$1)-AG$256/AG$14)),AG$256+IF(OFFSET(Assumptions!$B$113,0,$C$1)="SND",Allocate!$B$16*Allocate!$B$32*AH$232*AH$14,0))</f>
        <v>3.7150006657307584</v>
      </c>
      <c r="AI256" s="7">
        <f ca="1">IF(OFFSET(Assumptions!$B$72,0,$C$1)="BU",AI$14*(AH$256/AH$14+MIN(ABS(OFFSET(Assumptions!$B$77,0,$C$1)-AH$256/AH$14),OFFSET(Assumptions!$B$75,0,$C$1))*SIGN(OFFSET(Assumptions!$B$77,0,$C$1)-AH$256/AH$14)),AH$256+IF(OFFSET(Assumptions!$B$113,0,$C$1)="SND",Allocate!$B$16*Allocate!$B$32*AI$232*AI$14,0))</f>
        <v>3.8402544210526419</v>
      </c>
      <c r="AJ256" s="7">
        <f ca="1">IF(OFFSET(Assumptions!$B$72,0,$C$1)="BU",AJ$14*(AI$256/AI$14+MIN(ABS(OFFSET(Assumptions!$B$77,0,$C$1)-AI$256/AI$14),OFFSET(Assumptions!$B$75,0,$C$1))*SIGN(OFFSET(Assumptions!$B$77,0,$C$1)-AI$256/AI$14)),AI$256+IF(OFFSET(Assumptions!$B$113,0,$C$1)="SND",Allocate!$B$16*Allocate!$B$32*AJ$232*AJ$14,0))</f>
        <v>3.970542234471655</v>
      </c>
      <c r="AK256" s="7">
        <f ca="1">IF(OFFSET(Assumptions!$B$72,0,$C$1)="BU",AK$14*(AJ$256/AJ$14+MIN(ABS(OFFSET(Assumptions!$B$77,0,$C$1)-AJ$256/AJ$14),OFFSET(Assumptions!$B$75,0,$C$1))*SIGN(OFFSET(Assumptions!$B$77,0,$C$1)-AJ$256/AJ$14)),AJ$256+IF(OFFSET(Assumptions!$B$113,0,$C$1)="SND",Allocate!$B$16*Allocate!$B$32*AK$232*AK$14,0))</f>
        <v>4.1060501924251032</v>
      </c>
      <c r="AL256" s="7">
        <f ca="1">IF(OFFSET(Assumptions!$B$72,0,$C$1)="BU",AL$14*(AK$256/AK$14+MIN(ABS(OFFSET(Assumptions!$B$77,0,$C$1)-AK$256/AK$14),OFFSET(Assumptions!$B$75,0,$C$1))*SIGN(OFFSET(Assumptions!$B$77,0,$C$1)-AK$256/AK$14)),AK$256+IF(OFFSET(Assumptions!$B$113,0,$C$1)="SND",Allocate!$B$16*Allocate!$B$32*AL$232*AL$14,0))</f>
        <v>4.2469602692984276</v>
      </c>
      <c r="AM256" s="7">
        <f ca="1">IF(OFFSET(Assumptions!$B$72,0,$C$1)="BU",AM$14*(AL$256/AL$14+MIN(ABS(OFFSET(Assumptions!$B$77,0,$C$1)-AL$256/AL$14),OFFSET(Assumptions!$B$75,0,$C$1))*SIGN(OFFSET(Assumptions!$B$77,0,$C$1)-AL$256/AL$14)),AL$256+IF(OFFSET(Assumptions!$B$113,0,$C$1)="SND",Allocate!$B$16*Allocate!$B$32*AM$232*AM$14,0))</f>
        <v>4.3934618194749797</v>
      </c>
      <c r="AN256" s="7">
        <f ca="1">IF(OFFSET(Assumptions!$B$72,0,$C$1)="BU",AN$14*(AM$256/AM$14+MIN(ABS(OFFSET(Assumptions!$B$77,0,$C$1)-AM$256/AM$14),OFFSET(Assumptions!$B$75,0,$C$1))*SIGN(OFFSET(Assumptions!$B$77,0,$C$1)-AM$256/AM$14)),AM$256+IF(OFFSET(Assumptions!$B$113,0,$C$1)="SND",Allocate!$B$16*Allocate!$B$32*AN$232*AN$14,0))</f>
        <v>4.5457519750233288</v>
      </c>
      <c r="AO256" s="7">
        <f ca="1">IF(OFFSET(Assumptions!$B$72,0,$C$1)="BU",AO$14*(AN$256/AN$14+MIN(ABS(OFFSET(Assumptions!$B$77,0,$C$1)-AN$256/AN$14),OFFSET(Assumptions!$B$75,0,$C$1))*SIGN(OFFSET(Assumptions!$B$77,0,$C$1)-AN$256/AN$14)),AN$256+IF(OFFSET(Assumptions!$B$113,0,$C$1)="SND",Allocate!$B$16*Allocate!$B$32*AO$232*AO$14,0))</f>
        <v>4.7040051381605394</v>
      </c>
      <c r="AP256" s="7">
        <f ca="1">IF(OFFSET(Assumptions!$B$72,0,$C$1)="BU",AP$14*(AO$256/AO$14+MIN(ABS(OFFSET(Assumptions!$B$77,0,$C$1)-AO$256/AO$14),OFFSET(Assumptions!$B$75,0,$C$1))*SIGN(OFFSET(Assumptions!$B$77,0,$C$1)-AO$256/AO$14)),AO$256+IF(OFFSET(Assumptions!$B$113,0,$C$1)="SND",Allocate!$B$16*Allocate!$B$32*AP$232*AP$14,0))</f>
        <v>4.8684210329862943</v>
      </c>
      <c r="AQ256" s="7">
        <f ca="1">IF(OFFSET(Assumptions!$B$72,0,$C$1)="BU",AQ$14*(AP$256/AP$14+MIN(ABS(OFFSET(Assumptions!$B$77,0,$C$1)-AP$256/AP$14),OFFSET(Assumptions!$B$75,0,$C$1))*SIGN(OFFSET(Assumptions!$B$77,0,$C$1)-AP$256/AP$14)),AP$256+IF(OFFSET(Assumptions!$B$113,0,$C$1)="SND",Allocate!$B$16*Allocate!$B$32*AQ$232*AQ$14,0))</f>
        <v>5.0391821156455325</v>
      </c>
      <c r="AR256" s="7">
        <f ca="1">IF(OFFSET(Assumptions!$B$72,0,$C$1)="BU",AR$14*(AQ$256/AQ$14+MIN(ABS(OFFSET(Assumptions!$B$77,0,$C$1)-AQ$256/AQ$14),OFFSET(Assumptions!$B$75,0,$C$1))*SIGN(OFFSET(Assumptions!$B$77,0,$C$1)-AQ$256/AQ$14)),AQ$256+IF(OFFSET(Assumptions!$B$113,0,$C$1)="SND",Allocate!$B$16*Allocate!$B$32*AR$232*AR$14,0))</f>
        <v>5.2164780261709547</v>
      </c>
      <c r="AS256" s="7">
        <f ca="1">IF(OFFSET(Assumptions!$B$72,0,$C$1)="BU",AS$14*(AR$256/AR$14+MIN(ABS(OFFSET(Assumptions!$B$77,0,$C$1)-AR$256/AR$14),OFFSET(Assumptions!$B$75,0,$C$1))*SIGN(OFFSET(Assumptions!$B$77,0,$C$1)-AR$256/AR$14)),AR$256+IF(OFFSET(Assumptions!$B$113,0,$C$1)="SND",Allocate!$B$16*Allocate!$B$32*AS$232*AS$14,0))</f>
        <v>5.4005136501601836</v>
      </c>
      <c r="AT256" s="7">
        <f ca="1">IF(OFFSET(Assumptions!$B$72,0,$C$1)="BU",AT$14*(AS$256/AS$14+MIN(ABS(OFFSET(Assumptions!$B$77,0,$C$1)-AS$256/AS$14),OFFSET(Assumptions!$B$75,0,$C$1))*SIGN(OFFSET(Assumptions!$B$77,0,$C$1)-AS$256/AS$14)),AS$256+IF(OFFSET(Assumptions!$B$113,0,$C$1)="SND",Allocate!$B$16*Allocate!$B$32*AT$232*AT$14,0))</f>
        <v>5.5914992559993335</v>
      </c>
      <c r="AU256" s="7">
        <f ca="1">IF(OFFSET(Assumptions!$B$72,0,$C$1)="BU",AU$14*(AT$256/AT$14+MIN(ABS(OFFSET(Assumptions!$B$77,0,$C$1)-AT$256/AT$14),OFFSET(Assumptions!$B$75,0,$C$1))*SIGN(OFFSET(Assumptions!$B$77,0,$C$1)-AT$256/AT$14)),AT$256+IF(OFFSET(Assumptions!$B$113,0,$C$1)="SND",Allocate!$B$16*Allocate!$B$32*AU$232*AU$14,0))</f>
        <v>5.7896543539988325</v>
      </c>
      <c r="AV256" s="7">
        <f ca="1">IF(OFFSET(Assumptions!$B$72,0,$C$1)="BU",AV$14*(AU$256/AU$14+MIN(ABS(OFFSET(Assumptions!$B$77,0,$C$1)-AU$256/AU$14),OFFSET(Assumptions!$B$75,0,$C$1))*SIGN(OFFSET(Assumptions!$B$77,0,$C$1)-AU$256/AU$14)),AU$256+IF(OFFSET(Assumptions!$B$113,0,$C$1)="SND",Allocate!$B$16*Allocate!$B$32*AV$232*AV$14,0))</f>
        <v>5.9952206218080448</v>
      </c>
      <c r="AW256" s="7">
        <f ca="1">IF(OFFSET(Assumptions!$B$72,0,$C$1)="BU",AW$14*(AV$256/AV$14+MIN(ABS(OFFSET(Assumptions!$B$77,0,$C$1)-AV$256/AV$14),OFFSET(Assumptions!$B$75,0,$C$1))*SIGN(OFFSET(Assumptions!$B$77,0,$C$1)-AV$256/AV$14)),AV$256+IF(OFFSET(Assumptions!$B$113,0,$C$1)="SND",Allocate!$B$16*Allocate!$B$32*AW$232*AW$14,0))</f>
        <v>6.208435553054632</v>
      </c>
    </row>
    <row r="257" spans="1:49" ht="15" x14ac:dyDescent="0.25">
      <c r="A257" s="2" t="s">
        <v>550</v>
      </c>
      <c r="D257" s="40">
        <f t="shared" ref="D257:AW257" si="184">SUM(D$250:D$256)</f>
        <v>12.879</v>
      </c>
      <c r="E257" s="39">
        <f t="shared" ca="1" si="184"/>
        <v>13.039</v>
      </c>
      <c r="F257" s="39">
        <f t="shared" ca="1" si="184"/>
        <v>13.333</v>
      </c>
      <c r="G257" s="39">
        <f t="shared" ca="1" si="184"/>
        <v>14.004</v>
      </c>
      <c r="H257" s="39">
        <f t="shared" ca="1" si="184"/>
        <v>14.552</v>
      </c>
      <c r="I257" s="39">
        <f t="shared" ca="1" si="184"/>
        <v>15.164000000000001</v>
      </c>
      <c r="J257" s="43">
        <f t="shared" ca="1" si="184"/>
        <v>15.6054946161772</v>
      </c>
      <c r="K257" s="43">
        <f t="shared" ca="1" si="184"/>
        <v>16.115674662483638</v>
      </c>
      <c r="L257" s="43">
        <f t="shared" ca="1" si="184"/>
        <v>16.657721631246886</v>
      </c>
      <c r="M257" s="43">
        <f t="shared" ca="1" si="184"/>
        <v>17.222493441127273</v>
      </c>
      <c r="N257" s="43">
        <f t="shared" ca="1" si="184"/>
        <v>17.821965117498785</v>
      </c>
      <c r="O257" s="43">
        <f t="shared" ca="1" si="184"/>
        <v>18.442647463518615</v>
      </c>
      <c r="P257" s="43">
        <f t="shared" ca="1" si="184"/>
        <v>19.386945468808829</v>
      </c>
      <c r="Q257" s="43">
        <f t="shared" ca="1" si="184"/>
        <v>20.369335065604357</v>
      </c>
      <c r="R257" s="43">
        <f t="shared" ca="1" si="184"/>
        <v>21.387873319875201</v>
      </c>
      <c r="S257" s="43">
        <f t="shared" ca="1" si="184"/>
        <v>22.446873140173746</v>
      </c>
      <c r="T257" s="43">
        <f t="shared" ca="1" si="184"/>
        <v>23.551565118692317</v>
      </c>
      <c r="U257" s="43">
        <f t="shared" ca="1" si="184"/>
        <v>24.696444239897826</v>
      </c>
      <c r="V257" s="43">
        <f t="shared" ca="1" si="184"/>
        <v>25.885070982777762</v>
      </c>
      <c r="W257" s="43">
        <f t="shared" ca="1" si="184"/>
        <v>27.120151731777277</v>
      </c>
      <c r="X257" s="43">
        <f t="shared" ca="1" si="184"/>
        <v>28.403550618299352</v>
      </c>
      <c r="Y257" s="43">
        <f t="shared" ca="1" si="184"/>
        <v>29.738993787381109</v>
      </c>
      <c r="Z257" s="43">
        <f t="shared" ca="1" si="184"/>
        <v>31.131678913038659</v>
      </c>
      <c r="AA257" s="43">
        <f t="shared" ca="1" si="184"/>
        <v>32.120874396555884</v>
      </c>
      <c r="AB257" s="43">
        <f t="shared" ca="1" si="184"/>
        <v>33.153558021975989</v>
      </c>
      <c r="AC257" s="43">
        <f t="shared" ca="1" si="184"/>
        <v>34.230531087947881</v>
      </c>
      <c r="AD257" s="43">
        <f t="shared" ca="1" si="184"/>
        <v>35.345502738879581</v>
      </c>
      <c r="AE257" s="43">
        <f t="shared" ca="1" si="184"/>
        <v>36.506041653324388</v>
      </c>
      <c r="AF257" s="43">
        <f t="shared" ca="1" si="184"/>
        <v>37.710035681100031</v>
      </c>
      <c r="AG257" s="43">
        <f t="shared" ca="1" si="184"/>
        <v>38.962274253054424</v>
      </c>
      <c r="AH257" s="43">
        <f t="shared" ca="1" si="184"/>
        <v>40.272683604200019</v>
      </c>
      <c r="AI257" s="43">
        <f t="shared" ca="1" si="184"/>
        <v>41.632900214890938</v>
      </c>
      <c r="AJ257" s="43">
        <f t="shared" ca="1" si="184"/>
        <v>43.042036763957405</v>
      </c>
      <c r="AK257" s="43">
        <f t="shared" ca="1" si="184"/>
        <v>44.501897964297768</v>
      </c>
      <c r="AL257" s="43">
        <f t="shared" ca="1" si="184"/>
        <v>46.017247803131035</v>
      </c>
      <c r="AM257" s="43">
        <f t="shared" ca="1" si="184"/>
        <v>47.589079892058983</v>
      </c>
      <c r="AN257" s="43">
        <f t="shared" ca="1" si="184"/>
        <v>49.227471011905813</v>
      </c>
      <c r="AO257" s="43">
        <f t="shared" ca="1" si="184"/>
        <v>50.927856983465865</v>
      </c>
      <c r="AP257" s="43">
        <f t="shared" ca="1" si="184"/>
        <v>52.689578395296905</v>
      </c>
      <c r="AQ257" s="43">
        <f t="shared" ca="1" si="184"/>
        <v>54.523225667089044</v>
      </c>
      <c r="AR257" s="43">
        <f t="shared" ca="1" si="184"/>
        <v>56.422792607816952</v>
      </c>
      <c r="AS257" s="43">
        <f t="shared" ca="1" si="184"/>
        <v>58.392534792981209</v>
      </c>
      <c r="AT257" s="43">
        <f t="shared" ca="1" si="184"/>
        <v>60.437627893405519</v>
      </c>
      <c r="AU257" s="43">
        <f t="shared" ca="1" si="184"/>
        <v>62.558392326422208</v>
      </c>
      <c r="AV257" s="43">
        <f t="shared" ca="1" si="184"/>
        <v>64.763545442612127</v>
      </c>
      <c r="AW257" s="43">
        <f t="shared" ca="1" si="184"/>
        <v>67.04040544575426</v>
      </c>
    </row>
    <row r="258" spans="1:49" x14ac:dyDescent="0.2">
      <c r="A258" s="1" t="s">
        <v>295</v>
      </c>
      <c r="B258" s="4" t="str">
        <f t="shared" ref="B258:B259" si="185">$B$43</f>
        <v>From Fiscal</v>
      </c>
      <c r="D258" s="18">
        <f>Fiscal!D$195</f>
        <v>9.8529999999999998</v>
      </c>
      <c r="E258" s="19">
        <f>Fiscal!E$195</f>
        <v>10.212</v>
      </c>
      <c r="F258" s="19">
        <f>Fiscal!F$195</f>
        <v>10.266999999999999</v>
      </c>
      <c r="G258" s="19">
        <f>Fiscal!G$195</f>
        <v>10.356</v>
      </c>
      <c r="H258" s="19">
        <f>Fiscal!H$195</f>
        <v>10.319000000000001</v>
      </c>
      <c r="I258" s="19">
        <f>Fiscal!I$195</f>
        <v>10.365</v>
      </c>
      <c r="J258" s="7">
        <f ca="1">IF(J$6=OFFSET(Assumptions!$B$8,0,$C$1),AVERAGE(G$258/(G$258+G$259),H$258/(H$258+H$259),I$258/(I$258+I$259))*AVERAGE((G$258+G$259)/G$14,(H$258+H$259)/H$14,(I$258+I$259)/I$14),I$258/I$14)*J$14</f>
        <v>11.26454951751376</v>
      </c>
      <c r="K258" s="7">
        <f ca="1">IF(K$6=OFFSET(Assumptions!$B$8,0,$C$1),AVERAGE(H$258/(H$258+H$259),I$258/(I$258+I$259),J$258/(J$258+J$259))*AVERAGE((H$258+H$259)/H$14,(I$258+I$259)/I$14,(J$258+J$259)/J$14),J$258/J$14)*K$14</f>
        <v>11.735297264812175</v>
      </c>
      <c r="L258" s="7">
        <f ca="1">IF(L$6=OFFSET(Assumptions!$B$8,0,$C$1),AVERAGE(I$258/(I$258+I$259),J$258/(J$258+J$259),K$258/(K$258+K$259))*AVERAGE((I$258+I$259)/I$14,(J$258+J$259)/J$14,(K$258+K$259)/K$14),K$258/K$14)*L$14</f>
        <v>12.243967131726302</v>
      </c>
      <c r="M258" s="7">
        <f ca="1">IF(M$6=OFFSET(Assumptions!$B$8,0,$C$1),AVERAGE(J$258/(J$258+J$259),K$258/(K$258+K$259),L$258/(L$258+L$259))*AVERAGE((J$258+J$259)/J$14,(K$258+K$259)/K$14,(L$258+L$259)/L$14),L$258/L$14)*M$14</f>
        <v>12.772985530643153</v>
      </c>
      <c r="N258" s="7">
        <f ca="1">IF(N$6=OFFSET(Assumptions!$B$8,0,$C$1),AVERAGE(K$258/(K$258+K$259),L$258/(L$258+L$259),M$258/(M$258+M$259))*AVERAGE((K$258+K$259)/K$14,(L$258+L$259)/L$14,(M$258+M$259)/M$14),M$258/M$14)*N$14</f>
        <v>13.323852164152601</v>
      </c>
      <c r="O258" s="7">
        <f ca="1">IF(O$6=OFFSET(Assumptions!$B$8,0,$C$1),AVERAGE(L$258/(L$258+L$259),M$258/(M$258+M$259),N$258/(N$258+N$259))*AVERAGE((L$258+L$259)/L$14,(M$258+M$259)/M$14,(N$258+N$259)/N$14),N$258/N$14)*O$14</f>
        <v>13.892603885127114</v>
      </c>
      <c r="P258" s="7">
        <f ca="1">IF(P$6=OFFSET(Assumptions!$B$8,0,$C$1),AVERAGE(M$258/(M$258+M$259),N$258/(N$258+N$259),O$258/(O$258+O$259))*AVERAGE((M$258+M$259)/M$14,(N$258+N$259)/N$14,(O$258+O$259)/O$14),O$258/O$14)*P$14</f>
        <v>14.480106838542646</v>
      </c>
      <c r="Q258" s="7">
        <f ca="1">IF(Q$6=OFFSET(Assumptions!$B$8,0,$C$1),AVERAGE(N$258/(N$258+N$259),O$258/(O$258+O$259),P$258/(P$258+P$259))*AVERAGE((N$258+N$259)/N$14,(O$258+O$259)/O$14,(P$258+P$259)/P$14),P$258/P$14)*Q$14</f>
        <v>15.085726413332944</v>
      </c>
      <c r="R258" s="7">
        <f ca="1">IF(R$6=OFFSET(Assumptions!$B$8,0,$C$1),AVERAGE(O$258/(O$258+O$259),P$258/(P$258+P$259),Q$258/(Q$258+Q$259))*AVERAGE((O$258+O$259)/O$14,(P$258+P$259)/P$14,(Q$258+Q$259)/Q$14),Q$258/Q$14)*R$14</f>
        <v>15.709013108047319</v>
      </c>
      <c r="S258" s="7">
        <f ca="1">IF(S$6=OFFSET(Assumptions!$B$8,0,$C$1),AVERAGE(P$258/(P$258+P$259),Q$258/(Q$258+Q$259),R$258/(R$258+R$259))*AVERAGE((P$258+P$259)/P$14,(Q$258+Q$259)/Q$14,(R$258+R$259)/R$14),R$258/R$14)*S$14</f>
        <v>16.351947702385718</v>
      </c>
      <c r="T258" s="7">
        <f ca="1">IF(T$6=OFFSET(Assumptions!$B$8,0,$C$1),AVERAGE(Q$258/(Q$258+Q$259),R$258/(R$258+R$259),S$258/(S$258+S$259))*AVERAGE((Q$258+Q$259)/Q$14,(R$258+R$259)/R$14,(S$258+S$259)/S$14),S$258/S$14)*T$14</f>
        <v>17.014764652827036</v>
      </c>
      <c r="U258" s="7">
        <f ca="1">IF(U$6=OFFSET(Assumptions!$B$8,0,$C$1),AVERAGE(R$258/(R$258+R$259),S$258/(S$258+S$259),T$258/(T$258+T$259))*AVERAGE((R$258+R$259)/R$14,(S$258+S$259)/S$14,(T$258+T$259)/T$14),T$258/T$14)*U$14</f>
        <v>17.699842791934771</v>
      </c>
      <c r="V258" s="7">
        <f ca="1">IF(V$6=OFFSET(Assumptions!$B$8,0,$C$1),AVERAGE(S$258/(S$258+S$259),T$258/(T$258+T$259),U$258/(U$258+U$259))*AVERAGE((S$258+S$259)/S$14,(T$258+T$259)/T$14,(U$258+U$259)/U$14),U$258/U$14)*V$14</f>
        <v>18.408873239008312</v>
      </c>
      <c r="W258" s="7">
        <f ca="1">IF(W$6=OFFSET(Assumptions!$B$8,0,$C$1),AVERAGE(T$258/(T$258+T$259),U$258/(U$258+U$259),V$258/(V$258+V$259))*AVERAGE((T$258+T$259)/T$14,(U$258+U$259)/U$14,(V$258+V$259)/V$14),V$258/V$14)*W$14</f>
        <v>19.143910234096804</v>
      </c>
      <c r="X258" s="7">
        <f ca="1">IF(X$6=OFFSET(Assumptions!$B$8,0,$C$1),AVERAGE(U$258/(U$258+U$259),V$258/(V$258+V$259),W$258/(W$258+W$259))*AVERAGE((U$258+U$259)/U$14,(V$258+V$259)/V$14,(W$258+W$259)/W$14),W$258/W$14)*X$14</f>
        <v>19.907281975517943</v>
      </c>
      <c r="Y258" s="7">
        <f ca="1">IF(Y$6=OFFSET(Assumptions!$B$8,0,$C$1),AVERAGE(V$258/(V$258+V$259),W$258/(W$258+W$259),X$258/(X$258+X$259))*AVERAGE((V$258+V$259)/V$14,(W$258+W$259)/W$14,(X$258+X$259)/X$14),X$258/X$14)*Y$14</f>
        <v>20.698910421403898</v>
      </c>
      <c r="Z258" s="7">
        <f ca="1">IF(Z$6=OFFSET(Assumptions!$B$8,0,$C$1),AVERAGE(W$258/(W$258+W$259),X$258/(X$258+X$259),Y$258/(Y$258+Y$259))*AVERAGE((W$258+W$259)/W$14,(X$258+X$259)/X$14,(Y$258+Y$259)/Y$14),Y$258/Y$14)*Z$14</f>
        <v>21.52280251185617</v>
      </c>
      <c r="AA258" s="7">
        <f ca="1">IF(AA$6=OFFSET(Assumptions!$B$8,0,$C$1),AVERAGE(X$258/(X$258+X$259),Y$258/(Y$258+Y$259),Z$258/(Z$258+Z$259))*AVERAGE((X$258+X$259)/X$14,(Y$258+Y$259)/Y$14,(Z$258+Z$259)/Z$14),Z$258/Z$14)*AA$14</f>
        <v>22.380291307118295</v>
      </c>
      <c r="AB258" s="7">
        <f ca="1">IF(AB$6=OFFSET(Assumptions!$B$8,0,$C$1),AVERAGE(Y$258/(Y$258+Y$259),Z$258/(Z$258+Z$259),AA$258/(AA$258+AA$259))*AVERAGE((Y$258+Y$259)/Y$14,(Z$258+Z$259)/Z$14,(AA$258+AA$259)/AA$14),AA$258/AA$14)*AB$14</f>
        <v>23.273951925232616</v>
      </c>
      <c r="AC258" s="7">
        <f ca="1">IF(AC$6=OFFSET(Assumptions!$B$8,0,$C$1),AVERAGE(Z$258/(Z$258+Z$259),AA$258/(AA$258+AA$259),AB$258/(AB$258+AB$259))*AVERAGE((Z$258+Z$259)/Z$14,(AA$258+AA$259)/AA$14,(AB$258+AB$259)/AB$14),AB$258/AB$14)*AC$14</f>
        <v>24.207158056304401</v>
      </c>
      <c r="AD258" s="7">
        <f ca="1">IF(AD$6=OFFSET(Assumptions!$B$8,0,$C$1),AVERAGE(AA$258/(AA$258+AA$259),AB$258/(AB$258+AB$259),AC$258/(AC$258+AC$259))*AVERAGE((AA$258+AA$259)/AA$14,(AB$258+AB$259)/AB$14,(AC$258+AC$259)/AC$14),AC$258/AC$14)*AD$14</f>
        <v>25.180893311107543</v>
      </c>
      <c r="AE258" s="7">
        <f ca="1">IF(AE$6=OFFSET(Assumptions!$B$8,0,$C$1),AVERAGE(AB$258/(AB$258+AB$259),AC$258/(AC$258+AC$259),AD$258/(AD$258+AD$259))*AVERAGE((AB$258+AB$259)/AB$14,(AC$258+AC$259)/AC$14,(AD$258+AD$259)/AD$14),AD$258/AD$14)*AE$14</f>
        <v>26.194263443596167</v>
      </c>
      <c r="AF258" s="7">
        <f ca="1">IF(AF$6=OFFSET(Assumptions!$B$8,0,$C$1),AVERAGE(AC$258/(AC$258+AC$259),AD$258/(AD$258+AD$259),AE$258/(AE$258+AE$259))*AVERAGE((AC$258+AC$259)/AC$14,(AD$258+AD$259)/AD$14,(AE$258+AE$259)/AE$14),AE$258/AE$14)*AF$14</f>
        <v>27.250072043172455</v>
      </c>
      <c r="AG258" s="7">
        <f ca="1">IF(AG$6=OFFSET(Assumptions!$B$8,0,$C$1),AVERAGE(AD$258/(AD$258+AD$259),AE$258/(AE$258+AE$259),AF$258/(AF$258+AF$259))*AVERAGE((AD$258+AD$259)/AD$14,(AE$258+AE$259)/AE$14,(AF$258+AF$259)/AF$14),AF$258/AF$14)*AG$14</f>
        <v>28.348909473856224</v>
      </c>
      <c r="AH258" s="7">
        <f ca="1">IF(AH$6=OFFSET(Assumptions!$B$8,0,$C$1),AVERAGE(AE$258/(AE$258+AE$259),AF$258/(AF$258+AF$259),AG$258/(AG$258+AG$259))*AVERAGE((AE$258+AE$259)/AE$14,(AF$258+AF$259)/AF$14,(AG$258+AG$259)/AG$14),AG$258/AG$14)*AH$14</f>
        <v>29.492537797711844</v>
      </c>
      <c r="AI258" s="7">
        <f ca="1">IF(AI$6=OFFSET(Assumptions!$B$8,0,$C$1),AVERAGE(AF$258/(AF$258+AF$259),AG$258/(AG$258+AG$259),AH$258/(AH$258+AH$259))*AVERAGE((AF$258+AF$259)/AF$14,(AG$258+AG$259)/AG$14,(AH$258+AH$259)/AH$14),AH$258/AH$14)*AI$14</f>
        <v>30.678958717478157</v>
      </c>
      <c r="AJ258" s="7">
        <f ca="1">IF(AJ$6=OFFSET(Assumptions!$B$8,0,$C$1),AVERAGE(AG$258/(AG$258+AG$259),AH$258/(AH$258+AH$259),AI$258/(AI$258+AI$259))*AVERAGE((AG$258+AG$259)/AG$14,(AH$258+AH$259)/AH$14,(AI$258+AI$259)/AI$14),AI$258/AI$14)*AJ$14</f>
        <v>31.911972930475812</v>
      </c>
      <c r="AK258" s="7">
        <f ca="1">IF(AK$6=OFFSET(Assumptions!$B$8,0,$C$1),AVERAGE(AH$258/(AH$258+AH$259),AI$258/(AI$258+AI$259),AJ$258/(AJ$258+AJ$259))*AVERAGE((AH$258+AH$259)/AH$14,(AI$258+AI$259)/AI$14,(AJ$258+AJ$259)/AJ$14),AJ$258/AJ$14)*AK$14</f>
        <v>33.19056612123196</v>
      </c>
      <c r="AL258" s="7">
        <f ca="1">IF(AL$6=OFFSET(Assumptions!$B$8,0,$C$1),AVERAGE(AI$258/(AI$258+AI$259),AJ$258/(AJ$258+AJ$259),AK$258/(AK$258+AK$259))*AVERAGE((AI$258+AI$259)/AI$14,(AJ$258+AJ$259)/AJ$14,(AK$258+AK$259)/AK$14),AK$258/AK$14)*AL$14</f>
        <v>34.513731106616177</v>
      </c>
      <c r="AM258" s="7">
        <f ca="1">IF(AM$6=OFFSET(Assumptions!$B$8,0,$C$1),AVERAGE(AJ$258/(AJ$258+AJ$259),AK$258/(AK$258+AK$259),AL$258/(AL$258+AL$259))*AVERAGE((AJ$258+AJ$259)/AJ$14,(AK$258+AK$259)/AK$14,(AL$258+AL$259)/AL$14),AL$258/AL$14)*AM$14</f>
        <v>35.88327550230143</v>
      </c>
      <c r="AN258" s="7">
        <f ca="1">IF(AN$6=OFFSET(Assumptions!$B$8,0,$C$1),AVERAGE(AK$258/(AK$258+AK$259),AL$258/(AL$258+AL$259),AM$258/(AM$258+AM$259))*AVERAGE((AK$258+AK$259)/AK$14,(AL$258+AL$259)/AL$14,(AM$258+AM$259)/AM$14),AM$258/AM$14)*AN$14</f>
        <v>37.301104331279319</v>
      </c>
      <c r="AO258" s="7">
        <f ca="1">IF(AO$6=OFFSET(Assumptions!$B$8,0,$C$1),AVERAGE(AL$258/(AL$258+AL$259),AM$258/(AM$258+AM$259),AN$258/(AN$258+AN$259))*AVERAGE((AL$258+AL$259)/AL$14,(AM$258+AM$259)/AM$14,(AN$258+AN$259)/AN$14),AN$258/AN$14)*AO$14</f>
        <v>38.761650270046381</v>
      </c>
      <c r="AP258" s="7">
        <f ca="1">IF(AP$6=OFFSET(Assumptions!$B$8,0,$C$1),AVERAGE(AM$258/(AM$258+AM$259),AN$258/(AN$258+AN$259),AO$258/(AO$258+AO$259))*AVERAGE((AM$258+AM$259)/AM$14,(AN$258+AN$259)/AN$14,(AO$258+AO$259)/AO$14),AO$258/AO$14)*AP$14</f>
        <v>40.271115519801739</v>
      </c>
      <c r="AQ258" s="7">
        <f ca="1">IF(AQ$6=OFFSET(Assumptions!$B$8,0,$C$1),AVERAGE(AN$258/(AN$258+AN$259),AO$258/(AO$258+AO$259),AP$258/(AP$258+AP$259))*AVERAGE((AN$258+AN$259)/AN$14,(AO$258+AO$259)/AO$14,(AP$258+AP$259)/AP$14),AP$258/AP$14)*AQ$14</f>
        <v>41.825270563679027</v>
      </c>
      <c r="AR258" s="7">
        <f ca="1">IF(AR$6=OFFSET(Assumptions!$B$8,0,$C$1),AVERAGE(AO$258/(AO$258+AO$259),AP$258/(AP$258+AP$259),AQ$258/(AQ$258+AQ$259))*AVERAGE((AO$258+AO$259)/AO$14,(AP$258+AP$259)/AP$14,(AQ$258+AQ$259)/AQ$14),AQ$258/AQ$14)*AR$14</f>
        <v>43.425874983221391</v>
      </c>
      <c r="AS258" s="7">
        <f ca="1">IF(AS$6=OFFSET(Assumptions!$B$8,0,$C$1),AVERAGE(AP$258/(AP$258+AP$259),AQ$258/(AQ$258+AQ$259),AR$258/(AR$258+AR$259))*AVERAGE((AP$258+AP$259)/AP$14,(AQ$258+AQ$259)/AQ$14,(AR$258+AR$259)/AR$14),AR$258/AR$14)*AS$14</f>
        <v>45.076662942371982</v>
      </c>
      <c r="AT258" s="7">
        <f ca="1">IF(AT$6=OFFSET(Assumptions!$B$8,0,$C$1),AVERAGE(AQ$258/(AQ$258+AQ$259),AR$258/(AR$258+AR$259),AS$258/(AS$258+AS$259))*AVERAGE((AQ$258+AQ$259)/AQ$14,(AR$258+AR$259)/AR$14,(AS$258+AS$259)/AS$14),AS$258/AS$14)*AT$14</f>
        <v>46.778952871428444</v>
      </c>
      <c r="AU258" s="7">
        <f ca="1">IF(AU$6=OFFSET(Assumptions!$B$8,0,$C$1),AVERAGE(AR$258/(AR$258+AR$259),AS$258/(AS$258+AS$259),AT$258/(AT$258+AT$259))*AVERAGE((AR$258+AR$259)/AR$14,(AS$258+AS$259)/AS$14,(AT$258+AT$259)/AT$14),AT$258/AT$14)*AU$14</f>
        <v>48.535008435969395</v>
      </c>
      <c r="AV258" s="7">
        <f ca="1">IF(AV$6=OFFSET(Assumptions!$B$8,0,$C$1),AVERAGE(AS$258/(AS$258+AS$259),AT$258/(AT$258+AT$259),AU$258/(AU$258+AU$259))*AVERAGE((AS$258+AS$259)/AS$14,(AT$258+AT$259)/AT$14,(AU$258+AU$259)/AU$14),AU$258/AU$14)*AV$14</f>
        <v>50.350259180796236</v>
      </c>
      <c r="AW258" s="7">
        <f ca="1">IF(AW$6=OFFSET(Assumptions!$B$8,0,$C$1),AVERAGE(AT$258/(AT$258+AT$259),AU$258/(AU$258+AU$259),AV$258/(AV$258+AV$259))*AVERAGE((AT$258+AT$259)/AT$14,(AU$258+AU$259)/AU$14,(AV$258+AV$259)/AV$14),AV$258/AV$14)*AW$14</f>
        <v>52.223680294886371</v>
      </c>
    </row>
    <row r="259" spans="1:49" x14ac:dyDescent="0.2">
      <c r="A259" s="1" t="s">
        <v>530</v>
      </c>
      <c r="B259" s="4" t="str">
        <f t="shared" si="185"/>
        <v>From Fiscal</v>
      </c>
      <c r="D259" s="18">
        <f>Fiscal!D$39-SUM(D$257:D$258)</f>
        <v>-9.1949999999999985</v>
      </c>
      <c r="E259" s="19">
        <f ca="1">Fiscal!E$39-SUM(E$257:E$258)  +IF(OR(OFFSET(Assumptions!$B$72,0,$C$1)="BU",OFFSET(Assumptions!$B$113,0,$C$1)="SND"),Allocate!C$16,0)</f>
        <v>-9.4589999999999979</v>
      </c>
      <c r="F259" s="19">
        <f ca="1">Fiscal!F$39-SUM(F$257:F$258)  +IF(OR(OFFSET(Assumptions!$B$72,0,$C$1)="BU",OFFSET(Assumptions!$B$113,0,$C$1)="SND"),Allocate!D$16,0)</f>
        <v>-9.5100000000000016</v>
      </c>
      <c r="G259" s="19">
        <f ca="1">Fiscal!G$39-SUM(G$257:G$258)  +IF(OR(OFFSET(Assumptions!$B$72,0,$C$1)="BU",OFFSET(Assumptions!$B$113,0,$C$1)="SND"),Allocate!E$16,0)</f>
        <v>-9.5960000000000001</v>
      </c>
      <c r="H259" s="19">
        <f ca="1">Fiscal!H$39-SUM(H$257:H$258)  +IF(OR(OFFSET(Assumptions!$B$72,0,$C$1)="BU",OFFSET(Assumptions!$B$113,0,$C$1)="SND"),Allocate!F$16,0)</f>
        <v>-9.554000000000002</v>
      </c>
      <c r="I259" s="19">
        <f ca="1">Fiscal!I$39-SUM(I$257:I$258)  +IF(OR(OFFSET(Assumptions!$B$72,0,$C$1)="BU",OFFSET(Assumptions!$B$113,0,$C$1)="SND"),Allocate!G$16,0)</f>
        <v>-9.6010000000000026</v>
      </c>
      <c r="J259" s="7">
        <f ca="1">IF(J$6=OFFSET(Assumptions!$B$8,0,$C$1),AVERAGE(G$259/(G$258+G$259),H$259/(H$258+H$259),I$259/(I$258+I$259))*AVERAGE((G$258+G$259)/G$14,(H$258+H$259)/H$14,(I$258+I$259)/I$14),I$259/I$14)*J$14</f>
        <v>-10.433870520944149</v>
      </c>
      <c r="K259" s="7">
        <f ca="1">IF(K$6=OFFSET(Assumptions!$B$8,0,$C$1),AVERAGE(H$259/(H$258+H$259),I$259/(I$258+I$259),J$259/(J$258+J$259))*AVERAGE((H$258+H$259)/H$14,(I$258+I$259)/I$14,(J$258+J$259)/J$14),J$259/J$14)*K$14</f>
        <v>-10.869904029048596</v>
      </c>
      <c r="L259" s="7">
        <f ca="1">IF(L$6=OFFSET(Assumptions!$B$8,0,$C$1),AVERAGE(I$259/(I$258+I$259),J$259/(J$258+J$259),K$259/(K$258+K$259))*AVERAGE((I$258+I$259)/I$14,(J$258+J$259)/J$14,(K$258+K$259)/K$14),K$259/K$14)*L$14</f>
        <v>-11.34106317491911</v>
      </c>
      <c r="M259" s="7">
        <f ca="1">IF(M$6=OFFSET(Assumptions!$B$8,0,$C$1),AVERAGE(J$259/(J$258+J$259),K$259/(K$258+K$259),L$259/(L$258+L$259))*AVERAGE((J$258+J$259)/J$14,(K$258+K$259)/K$14,(L$258+L$259)/L$14),L$259/L$14)*M$14</f>
        <v>-11.831070295835374</v>
      </c>
      <c r="N259" s="7">
        <f ca="1">IF(N$6=OFFSET(Assumptions!$B$8,0,$C$1),AVERAGE(K$259/(K$258+K$259),L$259/(L$258+L$259),M$259/(M$258+M$259))*AVERAGE((K$258+K$259)/K$14,(L$258+L$259)/L$14,(M$258+M$259)/M$14),M$259/M$14)*N$14</f>
        <v>-12.341314502175777</v>
      </c>
      <c r="O259" s="7">
        <f ca="1">IF(O$6=OFFSET(Assumptions!$B$8,0,$C$1),AVERAGE(L$259/(L$258+L$259),M$259/(M$258+M$259),N$259/(N$258+N$259))*AVERAGE((L$258+L$259)/L$14,(M$258+M$259)/M$14,(N$258+N$259)/N$14),N$259/N$14)*O$14</f>
        <v>-12.868124900229049</v>
      </c>
      <c r="P259" s="7">
        <f ca="1">IF(P$6=OFFSET(Assumptions!$B$8,0,$C$1),AVERAGE(M$259/(M$258+M$259),N$259/(N$258+N$259),O$259/(O$258+O$259))*AVERAGE((M$258+M$259)/M$14,(N$258+N$259)/N$14,(O$258+O$259)/O$14),O$259/O$14)*P$14</f>
        <v>-13.412303763048136</v>
      </c>
      <c r="Q259" s="7">
        <f ca="1">IF(Q$6=OFFSET(Assumptions!$B$8,0,$C$1),AVERAGE(N$259/(N$258+N$259),O$259/(O$258+O$259),P$259/(P$258+P$259))*AVERAGE((N$258+N$259)/N$14,(O$258+O$259)/O$14,(P$258+P$259)/P$14),P$259/P$14)*Q$14</f>
        <v>-13.973263277539747</v>
      </c>
      <c r="R259" s="7">
        <f ca="1">IF(R$6=OFFSET(Assumptions!$B$8,0,$C$1),AVERAGE(O$259/(O$258+O$259),P$259/(P$258+P$259),Q$259/(Q$258+Q$259))*AVERAGE((O$258+O$259)/O$14,(P$258+P$259)/P$14,(Q$258+Q$259)/Q$14),Q$259/Q$14)*R$14</f>
        <v>-14.550587089731785</v>
      </c>
      <c r="S259" s="7">
        <f ca="1">IF(S$6=OFFSET(Assumptions!$B$8,0,$C$1),AVERAGE(P$259/(P$258+P$259),Q$259/(Q$258+Q$259),R$259/(R$258+R$259))*AVERAGE((P$258+P$259)/P$14,(Q$258+Q$259)/Q$14,(R$258+R$259)/R$14),R$259/R$14)*S$14</f>
        <v>-15.146109911157779</v>
      </c>
      <c r="T259" s="7">
        <f ca="1">IF(T$6=OFFSET(Assumptions!$B$8,0,$C$1),AVERAGE(Q$259/(Q$258+Q$259),R$259/(R$258+R$259),S$259/(S$258+S$259))*AVERAGE((Q$258+Q$259)/Q$14,(R$258+R$259)/R$14,(S$258+S$259)/S$14),S$259/S$14)*T$14</f>
        <v>-15.760048908828249</v>
      </c>
      <c r="U259" s="7">
        <f ca="1">IF(U$6=OFFSET(Assumptions!$B$8,0,$C$1),AVERAGE(R$259/(R$258+R$259),S$259/(S$258+S$259),T$259/(T$258+T$259))*AVERAGE((R$258+R$259)/R$14,(S$258+S$259)/S$14,(T$258+T$259)/T$14),T$259/T$14)*U$14</f>
        <v>-16.394607493622601</v>
      </c>
      <c r="V259" s="7">
        <f ca="1">IF(V$6=OFFSET(Assumptions!$B$8,0,$C$1),AVERAGE(S$259/(S$258+S$259),T$259/(T$258+T$259),U$259/(U$258+U$259))*AVERAGE((S$258+S$259)/S$14,(T$258+T$259)/T$14,(U$258+U$259)/U$14),U$259/U$14)*V$14</f>
        <v>-17.051352077031854</v>
      </c>
      <c r="W259" s="7">
        <f ca="1">IF(W$6=OFFSET(Assumptions!$B$8,0,$C$1),AVERAGE(T$259/(T$258+T$259),U$259/(U$258+U$259),V$259/(V$258+V$259))*AVERAGE((T$258+T$259)/T$14,(U$258+U$259)/U$14,(V$258+V$259)/V$14),V$259/V$14)*W$14</f>
        <v>-17.732185413769663</v>
      </c>
      <c r="X259" s="7">
        <f ca="1">IF(X$6=OFFSET(Assumptions!$B$8,0,$C$1),AVERAGE(U$259/(U$258+U$259),V$259/(V$258+V$259),W$259/(W$258+W$259))*AVERAGE((U$258+U$259)/U$14,(V$258+V$259)/V$14,(W$258+W$259)/W$14),W$259/W$14)*X$14</f>
        <v>-18.439264014378786</v>
      </c>
      <c r="Y259" s="7">
        <f ca="1">IF(Y$6=OFFSET(Assumptions!$B$8,0,$C$1),AVERAGE(V$259/(V$258+V$259),W$259/(W$258+W$259),X$259/(X$258+X$259))*AVERAGE((V$258+V$259)/V$14,(W$258+W$259)/W$14,(X$258+X$259)/X$14),X$259/X$14)*Y$14</f>
        <v>-19.1725155920143</v>
      </c>
      <c r="Z259" s="7">
        <f ca="1">IF(Z$6=OFFSET(Assumptions!$B$8,0,$C$1),AVERAGE(W$259/(W$258+W$259),X$259/(X$258+X$259),Y$259/(Y$258+Y$259))*AVERAGE((W$258+W$259)/W$14,(X$258+X$259)/X$14,(Y$258+Y$259)/Y$14),Y$259/Y$14)*Z$14</f>
        <v>-19.935651603946564</v>
      </c>
      <c r="AA259" s="7">
        <f ca="1">IF(AA$6=OFFSET(Assumptions!$B$8,0,$C$1),AVERAGE(X$259/(X$258+X$259),Y$259/(Y$258+Y$259),Z$259/(Z$258+Z$259))*AVERAGE((X$258+X$259)/X$14,(Y$258+Y$259)/Y$14,(Z$258+Z$259)/Z$14),Z$259/Z$14)*AA$14</f>
        <v>-20.729906806874567</v>
      </c>
      <c r="AB259" s="7">
        <f ca="1">IF(AB$6=OFFSET(Assumptions!$B$8,0,$C$1),AVERAGE(Y$259/(Y$258+Y$259),Z$259/(Z$258+Z$259),AA$259/(AA$258+AA$259))*AVERAGE((Y$258+Y$259)/Y$14,(Z$258+Z$259)/Z$14,(AA$258+AA$259)/AA$14),AA$259/AA$14)*AB$14</f>
        <v>-21.557666422523159</v>
      </c>
      <c r="AC259" s="7">
        <f ca="1">IF(AC$6=OFFSET(Assumptions!$B$8,0,$C$1),AVERAGE(Z$259/(Z$258+Z$259),AA$259/(AA$258+AA$259),AB$259/(AB$258+AB$259))*AVERAGE((Z$258+Z$259)/Z$14,(AA$258+AA$259)/AA$14,(AB$258+AB$259)/AB$14),AB$259/AB$14)*AC$14</f>
        <v>-22.422055355770382</v>
      </c>
      <c r="AD259" s="7">
        <f ca="1">IF(AD$6=OFFSET(Assumptions!$B$8,0,$C$1),AVERAGE(AA$259/(AA$258+AA$259),AB$259/(AB$258+AB$259),AC$259/(AC$258+AC$259))*AVERAGE((AA$258+AA$259)/AA$14,(AB$258+AB$259)/AB$14,(AC$258+AC$259)/AC$14),AC$259/AC$14)*AD$14</f>
        <v>-23.323984683214714</v>
      </c>
      <c r="AE259" s="7">
        <f ca="1">IF(AE$6=OFFSET(Assumptions!$B$8,0,$C$1),AVERAGE(AB$259/(AB$258+AB$259),AC$259/(AC$258+AC$259),AD$259/(AD$258+AD$259))*AVERAGE((AB$258+AB$259)/AB$14,(AC$258+AC$259)/AC$14,(AD$258+AD$259)/AD$14),AD$259/AD$14)*AE$14</f>
        <v>-24.262626102983798</v>
      </c>
      <c r="AF259" s="7">
        <f ca="1">IF(AF$6=OFFSET(Assumptions!$B$8,0,$C$1),AVERAGE(AC$259/(AC$258+AC$259),AD$259/(AD$258+AD$259),AE$259/(AE$258+AE$259))*AVERAGE((AC$258+AC$259)/AC$14,(AD$258+AD$259)/AD$14,(AE$258+AE$259)/AE$14),AE$259/AE$14)*AF$14</f>
        <v>-25.240576460053184</v>
      </c>
      <c r="AG259" s="7">
        <f ca="1">IF(AG$6=OFFSET(Assumptions!$B$8,0,$C$1),AVERAGE(AD$259/(AD$258+AD$259),AE$259/(AE$258+AE$259),AF$259/(AF$258+AF$259))*AVERAGE((AD$258+AD$259)/AD$14,(AE$258+AE$259)/AE$14,(AF$258+AF$259)/AF$14),AF$259/AF$14)*AG$14</f>
        <v>-26.258382583369148</v>
      </c>
      <c r="AH259" s="7">
        <f ca="1">IF(AH$6=OFFSET(Assumptions!$B$8,0,$C$1),AVERAGE(AE$259/(AE$258+AE$259),AF$259/(AF$258+AF$259),AG$259/(AG$258+AG$259))*AVERAGE((AE$258+AE$259)/AE$14,(AF$258+AF$259)/AF$14,(AG$258+AG$259)/AG$14),AG$259/AG$14)*AH$14</f>
        <v>-27.317676595672232</v>
      </c>
      <c r="AI259" s="7">
        <f ca="1">IF(AI$6=OFFSET(Assumptions!$B$8,0,$C$1),AVERAGE(AF$259/(AF$258+AF$259),AG$259/(AG$258+AG$259),AH$259/(AH$258+AH$259))*AVERAGE((AF$258+AF$259)/AF$14,(AG$258+AG$259)/AG$14,(AH$258+AH$259)/AH$14),AH$259/AH$14)*AI$14</f>
        <v>-28.416607559661049</v>
      </c>
      <c r="AJ259" s="7">
        <f ca="1">IF(AJ$6=OFFSET(Assumptions!$B$8,0,$C$1),AVERAGE(AG$259/(AG$258+AG$259),AH$259/(AH$258+AH$259),AI$259/(AI$258+AI$259))*AVERAGE((AG$258+AG$259)/AG$14,(AH$258+AH$259)/AH$14,(AI$258+AI$259)/AI$14),AI$259/AI$14)*AJ$14</f>
        <v>-29.558695898737472</v>
      </c>
      <c r="AK259" s="7">
        <f ca="1">IF(AK$6=OFFSET(Assumptions!$B$8,0,$C$1),AVERAGE(AH$259/(AH$258+AH$259),AI$259/(AI$258+AI$259),AJ$259/(AJ$258+AJ$259))*AVERAGE((AH$258+AH$259)/AH$14,(AI$258+AI$259)/AI$14,(AJ$258+AJ$259)/AJ$14),AJ$259/AJ$14)*AK$14</f>
        <v>-30.74300209585337</v>
      </c>
      <c r="AL259" s="7">
        <f ca="1">IF(AL$6=OFFSET(Assumptions!$B$8,0,$C$1),AVERAGE(AI$259/(AI$258+AI$259),AJ$259/(AJ$258+AJ$259),AK$259/(AK$258+AK$259))*AVERAGE((AI$258+AI$259)/AI$14,(AJ$258+AJ$259)/AJ$14,(AK$258+AK$259)/AK$14),AK$259/AK$14)*AL$14</f>
        <v>-31.968593240344433</v>
      </c>
      <c r="AM259" s="7">
        <f ca="1">IF(AM$6=OFFSET(Assumptions!$B$8,0,$C$1),AVERAGE(AJ$259/(AJ$258+AJ$259),AK$259/(AK$258+AK$259),AL$259/(AL$258+AL$259))*AVERAGE((AJ$258+AJ$259)/AJ$14,(AK$258+AK$259)/AK$14,(AL$258+AL$259)/AL$14),AL$259/AL$14)*AM$14</f>
        <v>-33.237143649310852</v>
      </c>
      <c r="AN259" s="7">
        <f ca="1">IF(AN$6=OFFSET(Assumptions!$B$8,0,$C$1),AVERAGE(AK$259/(AK$258+AK$259),AL$259/(AL$258+AL$259),AM$259/(AM$258+AM$259))*AVERAGE((AK$258+AK$259)/AK$14,(AL$258+AL$259)/AL$14,(AM$258+AM$259)/AM$14),AM$259/AM$14)*AN$14</f>
        <v>-34.550417864086761</v>
      </c>
      <c r="AO259" s="7">
        <f ca="1">IF(AO$6=OFFSET(Assumptions!$B$8,0,$C$1),AVERAGE(AL$259/(AL$258+AL$259),AM$259/(AM$258+AM$259),AN$259/(AN$258+AN$259))*AVERAGE((AL$258+AL$259)/AL$14,(AM$258+AM$259)/AM$14,(AN$258+AN$259)/AN$14),AN$259/AN$14)*AO$14</f>
        <v>-35.903259110981985</v>
      </c>
      <c r="AP259" s="7">
        <f ca="1">IF(AP$6=OFFSET(Assumptions!$B$8,0,$C$1),AVERAGE(AM$259/(AM$258+AM$259),AN$259/(AN$258+AN$259),AO$259/(AO$258+AO$259))*AVERAGE((AM$258+AM$259)/AM$14,(AN$258+AN$259)/AN$14,(AO$258+AO$259)/AO$14),AO$259/AO$14)*AP$14</f>
        <v>-37.301412223747398</v>
      </c>
      <c r="AQ259" s="7">
        <f ca="1">IF(AQ$6=OFFSET(Assumptions!$B$8,0,$C$1),AVERAGE(AN$259/(AN$258+AN$259),AO$259/(AO$258+AO$259),AP$259/(AP$258+AP$259))*AVERAGE((AN$258+AN$259)/AN$14,(AO$258+AO$259)/AO$14,(AP$258+AP$259)/AP$14),AP$259/AP$14)*AQ$14</f>
        <v>-38.740959581773211</v>
      </c>
      <c r="AR259" s="7">
        <f ca="1">IF(AR$6=OFFSET(Assumptions!$B$8,0,$C$1),AVERAGE(AO$259/(AO$258+AO$259),AP$259/(AP$258+AP$259),AQ$259/(AQ$258+AQ$259))*AVERAGE((AO$258+AO$259)/AO$14,(AP$258+AP$259)/AP$14,(AQ$258+AQ$259)/AQ$14),AQ$259/AQ$14)*AR$14</f>
        <v>-40.223531010199231</v>
      </c>
      <c r="AS259" s="7">
        <f ca="1">IF(AS$6=OFFSET(Assumptions!$B$8,0,$C$1),AVERAGE(AP$259/(AP$258+AP$259),AQ$259/(AQ$258+AQ$259),AR$259/(AR$258+AR$259))*AVERAGE((AP$258+AP$259)/AP$14,(AQ$258+AQ$259)/AQ$14,(AR$258+AR$259)/AR$14),AR$259/AR$14)*AS$14</f>
        <v>-41.752585305404857</v>
      </c>
      <c r="AT259" s="7">
        <f ca="1">IF(AT$6=OFFSET(Assumptions!$B$8,0,$C$1),AVERAGE(AQ$259/(AQ$258+AQ$259),AR$259/(AR$258+AR$259),AS$259/(AS$258+AS$259))*AVERAGE((AQ$258+AQ$259)/AQ$14,(AR$258+AR$259)/AR$14,(AS$258+AS$259)/AS$14),AS$259/AS$14)*AT$14</f>
        <v>-43.329343672995805</v>
      </c>
      <c r="AU259" s="7">
        <f ca="1">IF(AU$6=OFFSET(Assumptions!$B$8,0,$C$1),AVERAGE(AR$259/(AR$258+AR$259),AS$259/(AS$258+AS$259),AT$259/(AT$258+AT$259))*AVERAGE((AR$258+AR$259)/AR$14,(AS$258+AS$259)/AS$14,(AT$258+AT$259)/AT$14),AT$259/AT$14)*AU$14</f>
        <v>-44.955902849598168</v>
      </c>
      <c r="AV259" s="7">
        <f ca="1">IF(AV$6=OFFSET(Assumptions!$B$8,0,$C$1),AVERAGE(AS$259/(AS$258+AS$259),AT$259/(AT$258+AT$259),AU$259/(AU$258+AU$259))*AVERAGE((AS$258+AS$259)/AS$14,(AT$258+AT$259)/AT$14,(AU$258+AU$259)/AU$14),AU$259/AU$14)*AV$14</f>
        <v>-46.63729199038211</v>
      </c>
      <c r="AW259" s="7">
        <f ca="1">IF(AW$6=OFFSET(Assumptions!$B$8,0,$C$1),AVERAGE(AT$259/(AT$258+AT$259),AU$259/(AU$258+AU$259),AV$259/(AV$258+AV$259))*AVERAGE((AT$258+AT$259)/AT$14,(AU$258+AU$259)/AU$14,(AV$258+AV$259)/AV$14),AV$259/AV$14)*AW$14</f>
        <v>-48.372561856720601</v>
      </c>
    </row>
    <row r="260" spans="1:49" ht="15" x14ac:dyDescent="0.25">
      <c r="A260" s="2" t="s">
        <v>551</v>
      </c>
      <c r="D260" s="40">
        <f t="shared" ref="D260" si="186">SUM(D$257:D$259)</f>
        <v>13.537000000000001</v>
      </c>
      <c r="E260" s="39">
        <f t="shared" ref="E260:AW260" ca="1" si="187">SUM(E$257:E$259)</f>
        <v>13.792</v>
      </c>
      <c r="F260" s="39">
        <f t="shared" ca="1" si="187"/>
        <v>14.09</v>
      </c>
      <c r="G260" s="39">
        <f t="shared" ca="1" si="187"/>
        <v>14.763999999999999</v>
      </c>
      <c r="H260" s="39">
        <f t="shared" ca="1" si="187"/>
        <v>15.317</v>
      </c>
      <c r="I260" s="39">
        <f t="shared" ca="1" si="187"/>
        <v>15.928000000000001</v>
      </c>
      <c r="J260" s="43">
        <f t="shared" ca="1" si="187"/>
        <v>16.436173612746813</v>
      </c>
      <c r="K260" s="43">
        <f t="shared" ca="1" si="187"/>
        <v>16.981067898247218</v>
      </c>
      <c r="L260" s="43">
        <f t="shared" ca="1" si="187"/>
        <v>17.560625588054076</v>
      </c>
      <c r="M260" s="43">
        <f t="shared" ca="1" si="187"/>
        <v>18.16440867593505</v>
      </c>
      <c r="N260" s="43">
        <f t="shared" ca="1" si="187"/>
        <v>18.804502779475609</v>
      </c>
      <c r="O260" s="43">
        <f t="shared" ca="1" si="187"/>
        <v>19.467126448416678</v>
      </c>
      <c r="P260" s="43">
        <f t="shared" ca="1" si="187"/>
        <v>20.454748544303335</v>
      </c>
      <c r="Q260" s="43">
        <f t="shared" ca="1" si="187"/>
        <v>21.481798201397556</v>
      </c>
      <c r="R260" s="43">
        <f t="shared" ca="1" si="187"/>
        <v>22.546299338190735</v>
      </c>
      <c r="S260" s="43">
        <f t="shared" ca="1" si="187"/>
        <v>23.652710931401685</v>
      </c>
      <c r="T260" s="43">
        <f t="shared" ca="1" si="187"/>
        <v>24.8062808626911</v>
      </c>
      <c r="U260" s="43">
        <f t="shared" ca="1" si="187"/>
        <v>26.001679538209999</v>
      </c>
      <c r="V260" s="43">
        <f t="shared" ca="1" si="187"/>
        <v>27.242592144754223</v>
      </c>
      <c r="W260" s="43">
        <f t="shared" ca="1" si="187"/>
        <v>28.531876552104414</v>
      </c>
      <c r="X260" s="43">
        <f t="shared" ca="1" si="187"/>
        <v>29.87156857943851</v>
      </c>
      <c r="Y260" s="43">
        <f t="shared" ca="1" si="187"/>
        <v>31.265388616770707</v>
      </c>
      <c r="Z260" s="43">
        <f t="shared" ca="1" si="187"/>
        <v>32.718829820948258</v>
      </c>
      <c r="AA260" s="43">
        <f t="shared" ca="1" si="187"/>
        <v>33.771258896799608</v>
      </c>
      <c r="AB260" s="43">
        <f t="shared" ca="1" si="187"/>
        <v>34.86984352468545</v>
      </c>
      <c r="AC260" s="43">
        <f t="shared" ca="1" si="187"/>
        <v>36.0156337884819</v>
      </c>
      <c r="AD260" s="43">
        <f t="shared" ca="1" si="187"/>
        <v>37.202411366772409</v>
      </c>
      <c r="AE260" s="43">
        <f t="shared" ca="1" si="187"/>
        <v>38.437678993936757</v>
      </c>
      <c r="AF260" s="43">
        <f t="shared" ca="1" si="187"/>
        <v>39.719531264219306</v>
      </c>
      <c r="AG260" s="43">
        <f t="shared" ca="1" si="187"/>
        <v>41.052801143541508</v>
      </c>
      <c r="AH260" s="43">
        <f t="shared" ca="1" si="187"/>
        <v>42.447544806239627</v>
      </c>
      <c r="AI260" s="43">
        <f t="shared" ca="1" si="187"/>
        <v>43.895251372708046</v>
      </c>
      <c r="AJ260" s="43">
        <f t="shared" ca="1" si="187"/>
        <v>45.395313795695742</v>
      </c>
      <c r="AK260" s="43">
        <f t="shared" ca="1" si="187"/>
        <v>46.949461989676365</v>
      </c>
      <c r="AL260" s="43">
        <f t="shared" ca="1" si="187"/>
        <v>48.562385669402772</v>
      </c>
      <c r="AM260" s="43">
        <f t="shared" ca="1" si="187"/>
        <v>50.235211745049568</v>
      </c>
      <c r="AN260" s="43">
        <f t="shared" ca="1" si="187"/>
        <v>51.978157479098378</v>
      </c>
      <c r="AO260" s="43">
        <f t="shared" ca="1" si="187"/>
        <v>53.786248142530262</v>
      </c>
      <c r="AP260" s="43">
        <f t="shared" ca="1" si="187"/>
        <v>55.659281691351246</v>
      </c>
      <c r="AQ260" s="43">
        <f t="shared" ca="1" si="187"/>
        <v>57.607536648994852</v>
      </c>
      <c r="AR260" s="43">
        <f t="shared" ca="1" si="187"/>
        <v>59.625136580839118</v>
      </c>
      <c r="AS260" s="43">
        <f t="shared" ca="1" si="187"/>
        <v>61.716612429948334</v>
      </c>
      <c r="AT260" s="43">
        <f t="shared" ca="1" si="187"/>
        <v>63.887237091838159</v>
      </c>
      <c r="AU260" s="43">
        <f t="shared" ca="1" si="187"/>
        <v>66.137497912793435</v>
      </c>
      <c r="AV260" s="43">
        <f t="shared" ca="1" si="187"/>
        <v>68.476512633026246</v>
      </c>
      <c r="AW260" s="43">
        <f t="shared" ca="1" si="187"/>
        <v>70.89152388392003</v>
      </c>
    </row>
    <row r="261" spans="1:49" ht="15" x14ac:dyDescent="0.25">
      <c r="A261" s="1" t="s">
        <v>852</v>
      </c>
      <c r="B261" s="4" t="str">
        <f>$B$65</f>
        <v>Projected Years only</v>
      </c>
      <c r="D261" s="56"/>
      <c r="E261" s="56"/>
      <c r="F261" s="56"/>
      <c r="G261" s="56"/>
      <c r="H261" s="56"/>
      <c r="I261" s="56"/>
      <c r="J261" s="72">
        <f ca="1">(1+OFFSET(Assumptions!$B$105,0,$C$1)*J$34)*(1+OFFSET(Assumptions!$B$106,0,$C$1)*J$29)/(1+OFFSET(Assumptions!$B$107,0,$C$1))-1</f>
        <v>3.83688900000001E-2</v>
      </c>
      <c r="K261" s="72">
        <f ca="1">(1+OFFSET(Assumptions!$B$105,0,$C$1)*K$34)*(1+OFFSET(Assumptions!$B$106,0,$C$1)*K$29)/(1+OFFSET(Assumptions!$B$107,0,$C$1))-1</f>
        <v>4.0217490000000078E-2</v>
      </c>
      <c r="L261" s="72">
        <f ca="1">(1+OFFSET(Assumptions!$B$105,0,$C$1)*L$34)*(1+OFFSET(Assumptions!$B$106,0,$C$1)*L$29)/(1+OFFSET(Assumptions!$B$107,0,$C$1))-1</f>
        <v>4.0864500000000303E-2</v>
      </c>
      <c r="M261" s="72">
        <f ca="1">(1+OFFSET(Assumptions!$B$105,0,$C$1)*M$34)*(1+OFFSET(Assumptions!$B$106,0,$C$1)*M$29)/(1+OFFSET(Assumptions!$B$107,0,$C$1))-1</f>
        <v>4.0864500000000303E-2</v>
      </c>
      <c r="N261" s="72">
        <f ca="1">(1+OFFSET(Assumptions!$B$105,0,$C$1)*N$34)*(1+OFFSET(Assumptions!$B$106,0,$C$1)*N$29)/(1+OFFSET(Assumptions!$B$107,0,$C$1))-1</f>
        <v>4.0864500000000303E-2</v>
      </c>
      <c r="O261" s="72">
        <f ca="1">(1+OFFSET(Assumptions!$B$105,0,$C$1)*O$34)*(1+OFFSET(Assumptions!$B$106,0,$C$1)*O$29)/(1+OFFSET(Assumptions!$B$107,0,$C$1))-1</f>
        <v>4.0864500000000303E-2</v>
      </c>
      <c r="P261" s="72">
        <f ca="1">(1+OFFSET(Assumptions!$B$105,0,$C$1)*P$34)*(1+OFFSET(Assumptions!$B$106,0,$C$1)*P$29)/(1+OFFSET(Assumptions!$B$107,0,$C$1))-1</f>
        <v>4.0864500000000303E-2</v>
      </c>
      <c r="Q261" s="72">
        <f ca="1">(1+OFFSET(Assumptions!$B$105,0,$C$1)*Q$34)*(1+OFFSET(Assumptions!$B$106,0,$C$1)*Q$29)/(1+OFFSET(Assumptions!$B$107,0,$C$1))-1</f>
        <v>4.0864500000000303E-2</v>
      </c>
      <c r="R261" s="72">
        <f ca="1">(1+OFFSET(Assumptions!$B$105,0,$C$1)*R$34)*(1+OFFSET(Assumptions!$B$106,0,$C$1)*R$29)/(1+OFFSET(Assumptions!$B$107,0,$C$1))-1</f>
        <v>4.0864500000000303E-2</v>
      </c>
      <c r="S261" s="72">
        <f ca="1">(1+OFFSET(Assumptions!$B$105,0,$C$1)*S$34)*(1+OFFSET(Assumptions!$B$106,0,$C$1)*S$29)/(1+OFFSET(Assumptions!$B$107,0,$C$1))-1</f>
        <v>4.0864500000000303E-2</v>
      </c>
      <c r="T261" s="72">
        <f ca="1">(1+OFFSET(Assumptions!$B$105,0,$C$1)*T$34)*(1+OFFSET(Assumptions!$B$106,0,$C$1)*T$29)/(1+OFFSET(Assumptions!$B$107,0,$C$1))-1</f>
        <v>4.0864500000000303E-2</v>
      </c>
      <c r="U261" s="72">
        <f ca="1">(1+OFFSET(Assumptions!$B$105,0,$C$1)*U$34)*(1+OFFSET(Assumptions!$B$106,0,$C$1)*U$29)/(1+OFFSET(Assumptions!$B$107,0,$C$1))-1</f>
        <v>4.0864500000000303E-2</v>
      </c>
      <c r="V261" s="72">
        <f ca="1">(1+OFFSET(Assumptions!$B$105,0,$C$1)*V$34)*(1+OFFSET(Assumptions!$B$106,0,$C$1)*V$29)/(1+OFFSET(Assumptions!$B$107,0,$C$1))-1</f>
        <v>4.0864500000000303E-2</v>
      </c>
      <c r="W261" s="72">
        <f ca="1">(1+OFFSET(Assumptions!$B$105,0,$C$1)*W$34)*(1+OFFSET(Assumptions!$B$106,0,$C$1)*W$29)/(1+OFFSET(Assumptions!$B$107,0,$C$1))-1</f>
        <v>4.0864500000000303E-2</v>
      </c>
      <c r="X261" s="72">
        <f ca="1">(1+OFFSET(Assumptions!$B$105,0,$C$1)*X$34)*(1+OFFSET(Assumptions!$B$106,0,$C$1)*X$29)/(1+OFFSET(Assumptions!$B$107,0,$C$1))-1</f>
        <v>4.0864500000000303E-2</v>
      </c>
      <c r="Y261" s="72">
        <f ca="1">(1+OFFSET(Assumptions!$B$105,0,$C$1)*Y$34)*(1+OFFSET(Assumptions!$B$106,0,$C$1)*Y$29)/(1+OFFSET(Assumptions!$B$107,0,$C$1))-1</f>
        <v>4.0864500000000303E-2</v>
      </c>
      <c r="Z261" s="72">
        <f ca="1">(1+OFFSET(Assumptions!$B$105,0,$C$1)*Z$34)*(1+OFFSET(Assumptions!$B$106,0,$C$1)*Z$29)/(1+OFFSET(Assumptions!$B$107,0,$C$1))-1</f>
        <v>4.0864500000000303E-2</v>
      </c>
      <c r="AA261" s="72">
        <f ca="1">(1+OFFSET(Assumptions!$B$105,0,$C$1)*AA$34)*(1+OFFSET(Assumptions!$B$106,0,$C$1)*AA$29)/(1+OFFSET(Assumptions!$B$107,0,$C$1))-1</f>
        <v>4.0864500000000303E-2</v>
      </c>
      <c r="AB261" s="72">
        <f ca="1">(1+OFFSET(Assumptions!$B$105,0,$C$1)*AB$34)*(1+OFFSET(Assumptions!$B$106,0,$C$1)*AB$29)/(1+OFFSET(Assumptions!$B$107,0,$C$1))-1</f>
        <v>4.0864500000000303E-2</v>
      </c>
      <c r="AC261" s="72">
        <f ca="1">(1+OFFSET(Assumptions!$B$105,0,$C$1)*AC$34)*(1+OFFSET(Assumptions!$B$106,0,$C$1)*AC$29)/(1+OFFSET(Assumptions!$B$107,0,$C$1))-1</f>
        <v>4.0864500000000303E-2</v>
      </c>
      <c r="AD261" s="72">
        <f ca="1">(1+OFFSET(Assumptions!$B$105,0,$C$1)*AD$34)*(1+OFFSET(Assumptions!$B$106,0,$C$1)*AD$29)/(1+OFFSET(Assumptions!$B$107,0,$C$1))-1</f>
        <v>4.0864500000000303E-2</v>
      </c>
      <c r="AE261" s="72">
        <f ca="1">(1+OFFSET(Assumptions!$B$105,0,$C$1)*AE$34)*(1+OFFSET(Assumptions!$B$106,0,$C$1)*AE$29)/(1+OFFSET(Assumptions!$B$107,0,$C$1))-1</f>
        <v>4.0864500000000303E-2</v>
      </c>
      <c r="AF261" s="72">
        <f ca="1">(1+OFFSET(Assumptions!$B$105,0,$C$1)*AF$34)*(1+OFFSET(Assumptions!$B$106,0,$C$1)*AF$29)/(1+OFFSET(Assumptions!$B$107,0,$C$1))-1</f>
        <v>4.0864500000000303E-2</v>
      </c>
      <c r="AG261" s="72">
        <f ca="1">(1+OFFSET(Assumptions!$B$105,0,$C$1)*AG$34)*(1+OFFSET(Assumptions!$B$106,0,$C$1)*AG$29)/(1+OFFSET(Assumptions!$B$107,0,$C$1))-1</f>
        <v>4.0864500000000303E-2</v>
      </c>
      <c r="AH261" s="72">
        <f ca="1">(1+OFFSET(Assumptions!$B$105,0,$C$1)*AH$34)*(1+OFFSET(Assumptions!$B$106,0,$C$1)*AH$29)/(1+OFFSET(Assumptions!$B$107,0,$C$1))-1</f>
        <v>4.0864500000000303E-2</v>
      </c>
      <c r="AI261" s="72">
        <f ca="1">(1+OFFSET(Assumptions!$B$105,0,$C$1)*AI$34)*(1+OFFSET(Assumptions!$B$106,0,$C$1)*AI$29)/(1+OFFSET(Assumptions!$B$107,0,$C$1))-1</f>
        <v>4.0864500000000303E-2</v>
      </c>
      <c r="AJ261" s="72">
        <f ca="1">(1+OFFSET(Assumptions!$B$105,0,$C$1)*AJ$34)*(1+OFFSET(Assumptions!$B$106,0,$C$1)*AJ$29)/(1+OFFSET(Assumptions!$B$107,0,$C$1))-1</f>
        <v>4.0864500000000303E-2</v>
      </c>
      <c r="AK261" s="72">
        <f ca="1">(1+OFFSET(Assumptions!$B$105,0,$C$1)*AK$34)*(1+OFFSET(Assumptions!$B$106,0,$C$1)*AK$29)/(1+OFFSET(Assumptions!$B$107,0,$C$1))-1</f>
        <v>4.0864500000000303E-2</v>
      </c>
      <c r="AL261" s="72">
        <f ca="1">(1+OFFSET(Assumptions!$B$105,0,$C$1)*AL$34)*(1+OFFSET(Assumptions!$B$106,0,$C$1)*AL$29)/(1+OFFSET(Assumptions!$B$107,0,$C$1))-1</f>
        <v>4.0864500000000303E-2</v>
      </c>
      <c r="AM261" s="72">
        <f ca="1">(1+OFFSET(Assumptions!$B$105,0,$C$1)*AM$34)*(1+OFFSET(Assumptions!$B$106,0,$C$1)*AM$29)/(1+OFFSET(Assumptions!$B$107,0,$C$1))-1</f>
        <v>4.0864500000000303E-2</v>
      </c>
      <c r="AN261" s="72">
        <f ca="1">(1+OFFSET(Assumptions!$B$105,0,$C$1)*AN$34)*(1+OFFSET(Assumptions!$B$106,0,$C$1)*AN$29)/(1+OFFSET(Assumptions!$B$107,0,$C$1))-1</f>
        <v>4.0864500000000303E-2</v>
      </c>
      <c r="AO261" s="72">
        <f ca="1">(1+OFFSET(Assumptions!$B$105,0,$C$1)*AO$34)*(1+OFFSET(Assumptions!$B$106,0,$C$1)*AO$29)/(1+OFFSET(Assumptions!$B$107,0,$C$1))-1</f>
        <v>4.0864500000000303E-2</v>
      </c>
      <c r="AP261" s="72">
        <f ca="1">(1+OFFSET(Assumptions!$B$105,0,$C$1)*AP$34)*(1+OFFSET(Assumptions!$B$106,0,$C$1)*AP$29)/(1+OFFSET(Assumptions!$B$107,0,$C$1))-1</f>
        <v>4.0864500000000303E-2</v>
      </c>
      <c r="AQ261" s="72">
        <f ca="1">(1+OFFSET(Assumptions!$B$105,0,$C$1)*AQ$34)*(1+OFFSET(Assumptions!$B$106,0,$C$1)*AQ$29)/(1+OFFSET(Assumptions!$B$107,0,$C$1))-1</f>
        <v>4.0864500000000303E-2</v>
      </c>
      <c r="AR261" s="72">
        <f ca="1">(1+OFFSET(Assumptions!$B$105,0,$C$1)*AR$34)*(1+OFFSET(Assumptions!$B$106,0,$C$1)*AR$29)/(1+OFFSET(Assumptions!$B$107,0,$C$1))-1</f>
        <v>4.0864500000000303E-2</v>
      </c>
      <c r="AS261" s="72">
        <f ca="1">(1+OFFSET(Assumptions!$B$105,0,$C$1)*AS$34)*(1+OFFSET(Assumptions!$B$106,0,$C$1)*AS$29)/(1+OFFSET(Assumptions!$B$107,0,$C$1))-1</f>
        <v>4.0864500000000303E-2</v>
      </c>
      <c r="AT261" s="72">
        <f ca="1">(1+OFFSET(Assumptions!$B$105,0,$C$1)*AT$34)*(1+OFFSET(Assumptions!$B$106,0,$C$1)*AT$29)/(1+OFFSET(Assumptions!$B$107,0,$C$1))-1</f>
        <v>4.0864500000000303E-2</v>
      </c>
      <c r="AU261" s="72">
        <f ca="1">(1+OFFSET(Assumptions!$B$105,0,$C$1)*AU$34)*(1+OFFSET(Assumptions!$B$106,0,$C$1)*AU$29)/(1+OFFSET(Assumptions!$B$107,0,$C$1))-1</f>
        <v>4.0864500000000303E-2</v>
      </c>
      <c r="AV261" s="72">
        <f ca="1">(1+OFFSET(Assumptions!$B$105,0,$C$1)*AV$34)*(1+OFFSET(Assumptions!$B$106,0,$C$1)*AV$29)/(1+OFFSET(Assumptions!$B$107,0,$C$1))-1</f>
        <v>4.0864500000000303E-2</v>
      </c>
      <c r="AW261" s="72">
        <f ca="1">(1+OFFSET(Assumptions!$B$105,0,$C$1)*AW$34)*(1+OFFSET(Assumptions!$B$106,0,$C$1)*AW$29)/(1+OFFSET(Assumptions!$B$107,0,$C$1))-1</f>
        <v>4.0864500000000303E-2</v>
      </c>
    </row>
    <row r="262" spans="1:49" x14ac:dyDescent="0.2">
      <c r="A262" s="1" t="s">
        <v>861</v>
      </c>
      <c r="D262" s="73">
        <f>SUM(Exogenous!$B$59*Popn!K$10/Popn!J$10,Exogenous!$C$59*Popn!K$110/Popn!J$110,Exogenous!$B$60*Popn!K$11/Popn!J$11,Exogenous!$C$60*Popn!K$111/Popn!J$111,Exogenous!$B$61*Popn!K$12/Popn!J$12,Exogenous!$C$61*Popn!K$112/Popn!J$112,Exogenous!$B$62*Popn!K$13/Popn!J$13,Exogenous!$C$62*Popn!K$113/Popn!J$113,Exogenous!$B$63*Popn!K$14/Popn!J$14,Exogenous!$C$63*Popn!K$114/Popn!J$114,Exogenous!$B$64*Popn!K$15/Popn!J$15,Exogenous!$C$64*Popn!K$115/Popn!J$115)-1</f>
        <v>-1.3921473946217011E-2</v>
      </c>
      <c r="E262" s="74">
        <f>SUM(Exogenous!$B$59*Popn!L$10/Popn!K$10,Exogenous!$C$59*Popn!L$110/Popn!K$110,Exogenous!$B$60*Popn!L$11/Popn!K$11,Exogenous!$C$60*Popn!L$111/Popn!K$111,Exogenous!$B$61*Popn!L$12/Popn!K$12,Exogenous!$C$61*Popn!L$112/Popn!K$112,Exogenous!$B$62*Popn!L$13/Popn!K$13,Exogenous!$C$62*Popn!L$113/Popn!K$113,Exogenous!$B$63*Popn!L$14/Popn!K$14,Exogenous!$C$63*Popn!L$114/Popn!K$114,Exogenous!$B$64*Popn!L$15/Popn!K$15,Exogenous!$C$64*Popn!L$115/Popn!K$115)-1</f>
        <v>-1.4508374400921897E-2</v>
      </c>
      <c r="F262" s="74">
        <f>SUM(Exogenous!$B$59*Popn!M$10/Popn!L$10,Exogenous!$C$59*Popn!M$110/Popn!L$110,Exogenous!$B$60*Popn!M$11/Popn!L$11,Exogenous!$C$60*Popn!M$111/Popn!L$111,Exogenous!$B$61*Popn!M$12/Popn!L$12,Exogenous!$C$61*Popn!M$112/Popn!L$112,Exogenous!$B$62*Popn!M$13/Popn!L$13,Exogenous!$C$62*Popn!M$113/Popn!L$113,Exogenous!$B$63*Popn!M$14/Popn!L$14,Exogenous!$C$63*Popn!M$114/Popn!L$114,Exogenous!$B$64*Popn!M$15/Popn!L$15,Exogenous!$C$64*Popn!M$115/Popn!L$115)-1</f>
        <v>-1.5362402765988215E-2</v>
      </c>
      <c r="G262" s="74">
        <f>SUM(Exogenous!$B$59*Popn!N$10/Popn!M$10,Exogenous!$C$59*Popn!N$110/Popn!M$110,Exogenous!$B$60*Popn!N$11/Popn!M$11,Exogenous!$C$60*Popn!N$111/Popn!M$111,Exogenous!$B$61*Popn!N$12/Popn!M$12,Exogenous!$C$61*Popn!N$112/Popn!M$112,Exogenous!$B$62*Popn!N$13/Popn!M$13,Exogenous!$C$62*Popn!N$113/Popn!M$113,Exogenous!$B$63*Popn!N$14/Popn!M$14,Exogenous!$C$63*Popn!N$114/Popn!M$114,Exogenous!$B$64*Popn!N$15/Popn!M$15,Exogenous!$C$64*Popn!N$115/Popn!M$115)-1</f>
        <v>-9.2429476409983113E-3</v>
      </c>
      <c r="H262" s="74">
        <f>SUM(Exogenous!$B$59*Popn!O$10/Popn!N$10,Exogenous!$C$59*Popn!O$110/Popn!N$110,Exogenous!$B$60*Popn!O$11/Popn!N$11,Exogenous!$C$60*Popn!O$111/Popn!N$111,Exogenous!$B$61*Popn!O$12/Popn!N$12,Exogenous!$C$61*Popn!O$112/Popn!N$112,Exogenous!$B$62*Popn!O$13/Popn!N$13,Exogenous!$C$62*Popn!O$113/Popn!N$113,Exogenous!$B$63*Popn!O$14/Popn!N$14,Exogenous!$C$63*Popn!O$114/Popn!N$114,Exogenous!$B$64*Popn!O$15/Popn!N$15,Exogenous!$C$64*Popn!O$115/Popn!N$115)-1</f>
        <v>3.1502489710177883E-3</v>
      </c>
      <c r="I262" s="74">
        <f>SUM(Exogenous!$B$59*Popn!P$10/Popn!O$10,Exogenous!$C$59*Popn!P$110/Popn!O$110,Exogenous!$B$60*Popn!P$11/Popn!O$11,Exogenous!$C$60*Popn!P$111/Popn!O$111,Exogenous!$B$61*Popn!P$12/Popn!O$12,Exogenous!$C$61*Popn!P$112/Popn!O$112,Exogenous!$B$62*Popn!P$13/Popn!O$13,Exogenous!$C$62*Popn!P$113/Popn!O$113,Exogenous!$B$63*Popn!P$14/Popn!O$14,Exogenous!$C$63*Popn!P$114/Popn!O$114,Exogenous!$B$64*Popn!P$15/Popn!O$15,Exogenous!$C$64*Popn!P$115/Popn!O$115)-1</f>
        <v>1.061507016457397E-2</v>
      </c>
      <c r="J262" s="72">
        <f>SUM(Exogenous!$B$59*Popn!Q$10/Popn!P$10,Exogenous!$C$59*Popn!Q$110/Popn!P$110,Exogenous!$B$60*Popn!Q$11/Popn!P$11,Exogenous!$C$60*Popn!Q$111/Popn!P$111,Exogenous!$B$61*Popn!Q$12/Popn!P$12,Exogenous!$C$61*Popn!Q$112/Popn!P$112,Exogenous!$B$62*Popn!Q$13/Popn!P$13,Exogenous!$C$62*Popn!Q$113/Popn!P$113,Exogenous!$B$63*Popn!Q$14/Popn!P$14,Exogenous!$C$63*Popn!Q$114/Popn!P$114,Exogenous!$B$64*Popn!Q$15/Popn!P$15,Exogenous!$C$64*Popn!Q$115/Popn!P$115)-1</f>
        <v>9.5868977283435353E-3</v>
      </c>
      <c r="K262" s="72">
        <f>SUM(Exogenous!$B$59*Popn!R$10/Popn!Q$10,Exogenous!$C$59*Popn!R$110/Popn!Q$110,Exogenous!$B$60*Popn!R$11/Popn!Q$11,Exogenous!$C$60*Popn!R$111/Popn!Q$111,Exogenous!$B$61*Popn!R$12/Popn!Q$12,Exogenous!$C$61*Popn!R$112/Popn!Q$112,Exogenous!$B$62*Popn!R$13/Popn!Q$13,Exogenous!$C$62*Popn!R$113/Popn!Q$113,Exogenous!$B$63*Popn!R$14/Popn!Q$14,Exogenous!$C$63*Popn!R$114/Popn!Q$114,Exogenous!$B$64*Popn!R$15/Popn!Q$15,Exogenous!$C$64*Popn!R$115/Popn!Q$115)-1</f>
        <v>8.5792187963535937E-3</v>
      </c>
      <c r="L262" s="72">
        <f>SUM(Exogenous!$B$59*Popn!S$10/Popn!R$10,Exogenous!$C$59*Popn!S$110/Popn!R$110,Exogenous!$B$60*Popn!S$11/Popn!R$11,Exogenous!$C$60*Popn!S$111/Popn!R$111,Exogenous!$B$61*Popn!S$12/Popn!R$12,Exogenous!$C$61*Popn!S$112/Popn!R$112,Exogenous!$B$62*Popn!S$13/Popn!R$13,Exogenous!$C$62*Popn!S$113/Popn!R$113,Exogenous!$B$63*Popn!S$14/Popn!R$14,Exogenous!$C$63*Popn!S$114/Popn!R$114,Exogenous!$B$64*Popn!S$15/Popn!R$15,Exogenous!$C$64*Popn!S$115/Popn!R$115)-1</f>
        <v>8.079880079652435E-3</v>
      </c>
      <c r="M262" s="72">
        <f>SUM(Exogenous!$B$59*Popn!T$10/Popn!S$10,Exogenous!$C$59*Popn!T$110/Popn!S$110,Exogenous!$B$60*Popn!T$11/Popn!S$11,Exogenous!$C$60*Popn!T$111/Popn!S$111,Exogenous!$B$61*Popn!T$12/Popn!S$12,Exogenous!$C$61*Popn!T$112/Popn!S$112,Exogenous!$B$62*Popn!T$13/Popn!S$13,Exogenous!$C$62*Popn!T$113/Popn!S$113,Exogenous!$B$63*Popn!T$14/Popn!S$14,Exogenous!$C$63*Popn!T$114/Popn!S$114,Exogenous!$B$64*Popn!T$15/Popn!S$15,Exogenous!$C$64*Popn!T$115/Popn!S$115)-1</f>
        <v>7.2789839065539041E-3</v>
      </c>
      <c r="N262" s="72">
        <f>SUM(Exogenous!$B$59*Popn!U$10/Popn!T$10,Exogenous!$C$59*Popn!U$110/Popn!T$110,Exogenous!$B$60*Popn!U$11/Popn!T$11,Exogenous!$C$60*Popn!U$111/Popn!T$111,Exogenous!$B$61*Popn!U$12/Popn!T$12,Exogenous!$C$61*Popn!U$112/Popn!T$112,Exogenous!$B$62*Popn!U$13/Popn!T$13,Exogenous!$C$62*Popn!U$113/Popn!T$113,Exogenous!$B$63*Popn!U$14/Popn!T$14,Exogenous!$C$63*Popn!U$114/Popn!T$114,Exogenous!$B$64*Popn!U$15/Popn!T$15,Exogenous!$C$64*Popn!U$115/Popn!T$115)-1</f>
        <v>6.1915052817607119E-3</v>
      </c>
      <c r="O262" s="72">
        <f>SUM(Exogenous!$B$59*Popn!V$10/Popn!U$10,Exogenous!$C$59*Popn!V$110/Popn!U$110,Exogenous!$B$60*Popn!V$11/Popn!U$11,Exogenous!$C$60*Popn!V$111/Popn!U$111,Exogenous!$B$61*Popn!V$12/Popn!U$12,Exogenous!$C$61*Popn!V$112/Popn!U$112,Exogenous!$B$62*Popn!V$13/Popn!U$13,Exogenous!$C$62*Popn!V$113/Popn!U$113,Exogenous!$B$63*Popn!V$14/Popn!U$14,Exogenous!$C$63*Popn!V$114/Popn!U$114,Exogenous!$B$64*Popn!V$15/Popn!U$15,Exogenous!$C$64*Popn!V$115/Popn!U$115)-1</f>
        <v>5.0960277932718956E-3</v>
      </c>
      <c r="P262" s="72">
        <f>SUM(Exogenous!$B$59*Popn!W$10/Popn!V$10,Exogenous!$C$59*Popn!W$110/Popn!V$110,Exogenous!$B$60*Popn!W$11/Popn!V$11,Exogenous!$C$60*Popn!W$111/Popn!V$111,Exogenous!$B$61*Popn!W$12/Popn!V$12,Exogenous!$C$61*Popn!W$112/Popn!V$112,Exogenous!$B$62*Popn!W$13/Popn!V$13,Exogenous!$C$62*Popn!W$113/Popn!V$113,Exogenous!$B$63*Popn!W$14/Popn!V$14,Exogenous!$C$63*Popn!W$114/Popn!V$114,Exogenous!$B$64*Popn!W$15/Popn!V$15,Exogenous!$C$64*Popn!W$115/Popn!V$115)-1</f>
        <v>4.0404517116001681E-3</v>
      </c>
      <c r="Q262" s="72">
        <f>SUM(Exogenous!$B$59*Popn!X$10/Popn!W$10,Exogenous!$C$59*Popn!X$110/Popn!W$110,Exogenous!$B$60*Popn!X$11/Popn!W$11,Exogenous!$C$60*Popn!X$111/Popn!W$111,Exogenous!$B$61*Popn!X$12/Popn!W$12,Exogenous!$C$61*Popn!X$112/Popn!W$112,Exogenous!$B$62*Popn!X$13/Popn!W$13,Exogenous!$C$62*Popn!X$113/Popn!W$113,Exogenous!$B$63*Popn!X$14/Popn!W$14,Exogenous!$C$63*Popn!X$114/Popn!W$114,Exogenous!$B$64*Popn!X$15/Popn!W$15,Exogenous!$C$64*Popn!X$115/Popn!W$115)-1</f>
        <v>3.0382726562039331E-3</v>
      </c>
      <c r="R262" s="72">
        <f>SUM(Exogenous!$B$59*Popn!Y$10/Popn!X$10,Exogenous!$C$59*Popn!Y$110/Popn!X$110,Exogenous!$B$60*Popn!Y$11/Popn!X$11,Exogenous!$C$60*Popn!Y$111/Popn!X$111,Exogenous!$B$61*Popn!Y$12/Popn!X$12,Exogenous!$C$61*Popn!Y$112/Popn!X$112,Exogenous!$B$62*Popn!Y$13/Popn!X$13,Exogenous!$C$62*Popn!Y$113/Popn!X$113,Exogenous!$B$63*Popn!Y$14/Popn!X$14,Exogenous!$C$63*Popn!Y$114/Popn!X$114,Exogenous!$B$64*Popn!Y$15/Popn!X$15,Exogenous!$C$64*Popn!Y$115/Popn!X$115)-1</f>
        <v>1.9309193155359061E-3</v>
      </c>
      <c r="S262" s="72">
        <f>SUM(Exogenous!$B$59*Popn!Z$10/Popn!Y$10,Exogenous!$C$59*Popn!Z$110/Popn!Y$110,Exogenous!$B$60*Popn!Z$11/Popn!Y$11,Exogenous!$C$60*Popn!Z$111/Popn!Y$111,Exogenous!$B$61*Popn!Z$12/Popn!Y$12,Exogenous!$C$61*Popn!Z$112/Popn!Y$112,Exogenous!$B$62*Popn!Z$13/Popn!Y$13,Exogenous!$C$62*Popn!Z$113/Popn!Y$113,Exogenous!$B$63*Popn!Z$14/Popn!Y$14,Exogenous!$C$63*Popn!Z$114/Popn!Y$114,Exogenous!$B$64*Popn!Z$15/Popn!Y$15,Exogenous!$C$64*Popn!Z$115/Popn!Y$115)-1</f>
        <v>8.7764150126679041E-4</v>
      </c>
      <c r="T262" s="72">
        <f>SUM(Exogenous!$B$59*Popn!AA$10/Popn!Z$10,Exogenous!$C$59*Popn!AA$110/Popn!Z$110,Exogenous!$B$60*Popn!AA$11/Popn!Z$11,Exogenous!$C$60*Popn!AA$111/Popn!Z$111,Exogenous!$B$61*Popn!AA$12/Popn!Z$12,Exogenous!$C$61*Popn!AA$112/Popn!Z$112,Exogenous!$B$62*Popn!AA$13/Popn!Z$13,Exogenous!$C$62*Popn!AA$113/Popn!Z$113,Exogenous!$B$63*Popn!AA$14/Popn!Z$14,Exogenous!$C$63*Popn!AA$114/Popn!Z$114,Exogenous!$B$64*Popn!AA$15/Popn!Z$15,Exogenous!$C$64*Popn!AA$115/Popn!Z$115)-1</f>
        <v>-4.6504187839468969E-5</v>
      </c>
      <c r="U262" s="72">
        <f>SUM(Exogenous!$B$59*Popn!AB$10/Popn!AA$10,Exogenous!$C$59*Popn!AB$110/Popn!AA$110,Exogenous!$B$60*Popn!AB$11/Popn!AA$11,Exogenous!$C$60*Popn!AB$111/Popn!AA$111,Exogenous!$B$61*Popn!AB$12/Popn!AA$12,Exogenous!$C$61*Popn!AB$112/Popn!AA$112,Exogenous!$B$62*Popn!AB$13/Popn!AA$13,Exogenous!$C$62*Popn!AB$113/Popn!AA$113,Exogenous!$B$63*Popn!AB$14/Popn!AA$14,Exogenous!$C$63*Popn!AB$114/Popn!AA$114,Exogenous!$B$64*Popn!AB$15/Popn!AA$15,Exogenous!$C$64*Popn!AB$115/Popn!AA$115)-1</f>
        <v>-9.1791205390934216E-4</v>
      </c>
      <c r="V262" s="72">
        <f>SUM(Exogenous!$B$59*Popn!AC$10/Popn!AB$10,Exogenous!$C$59*Popn!AC$110/Popn!AB$110,Exogenous!$B$60*Popn!AC$11/Popn!AB$11,Exogenous!$C$60*Popn!AC$111/Popn!AB$111,Exogenous!$B$61*Popn!AC$12/Popn!AB$12,Exogenous!$C$61*Popn!AC$112/Popn!AB$112,Exogenous!$B$62*Popn!AC$13/Popn!AB$13,Exogenous!$C$62*Popn!AC$113/Popn!AB$113,Exogenous!$B$63*Popn!AC$14/Popn!AB$14,Exogenous!$C$63*Popn!AC$114/Popn!AB$114,Exogenous!$B$64*Popn!AC$15/Popn!AB$15,Exogenous!$C$64*Popn!AC$115/Popn!AB$115)-1</f>
        <v>-1.748633483192541E-3</v>
      </c>
      <c r="W262" s="72">
        <f>SUM(Exogenous!$B$59*Popn!AD$10/Popn!AC$10,Exogenous!$C$59*Popn!AD$110/Popn!AC$110,Exogenous!$B$60*Popn!AD$11/Popn!AC$11,Exogenous!$C$60*Popn!AD$111/Popn!AC$111,Exogenous!$B$61*Popn!AD$12/Popn!AC$12,Exogenous!$C$61*Popn!AD$112/Popn!AC$112,Exogenous!$B$62*Popn!AD$13/Popn!AC$13,Exogenous!$C$62*Popn!AD$113/Popn!AC$113,Exogenous!$B$63*Popn!AD$14/Popn!AC$14,Exogenous!$C$63*Popn!AD$114/Popn!AC$114,Exogenous!$B$64*Popn!AD$15/Popn!AC$15,Exogenous!$C$64*Popn!AD$115/Popn!AC$115)-1</f>
        <v>-2.2449773166101084E-3</v>
      </c>
      <c r="X262" s="72">
        <f>SUM(Exogenous!$B$59*Popn!AE$10/Popn!AD$10,Exogenous!$C$59*Popn!AE$110/Popn!AD$110,Exogenous!$B$60*Popn!AE$11/Popn!AD$11,Exogenous!$C$60*Popn!AE$111/Popn!AD$111,Exogenous!$B$61*Popn!AE$12/Popn!AD$12,Exogenous!$C$61*Popn!AE$112/Popn!AD$112,Exogenous!$B$62*Popn!AE$13/Popn!AD$13,Exogenous!$C$62*Popn!AE$113/Popn!AD$113,Exogenous!$B$63*Popn!AE$14/Popn!AD$14,Exogenous!$C$63*Popn!AE$114/Popn!AD$114,Exogenous!$B$64*Popn!AE$15/Popn!AD$15,Exogenous!$C$64*Popn!AE$115/Popn!AD$115)-1</f>
        <v>-2.4085858728053466E-3</v>
      </c>
      <c r="Y262" s="72">
        <f>SUM(Exogenous!$B$59*Popn!AF$10/Popn!AE$10,Exogenous!$C$59*Popn!AF$110/Popn!AE$110,Exogenous!$B$60*Popn!AF$11/Popn!AE$11,Exogenous!$C$60*Popn!AF$111/Popn!AE$111,Exogenous!$B$61*Popn!AF$12/Popn!AE$12,Exogenous!$C$61*Popn!AF$112/Popn!AE$112,Exogenous!$B$62*Popn!AF$13/Popn!AE$13,Exogenous!$C$62*Popn!AF$113/Popn!AE$113,Exogenous!$B$63*Popn!AF$14/Popn!AE$14,Exogenous!$C$63*Popn!AF$114/Popn!AE$114,Exogenous!$B$64*Popn!AF$15/Popn!AE$15,Exogenous!$C$64*Popn!AF$115/Popn!AE$115)-1</f>
        <v>-2.4445313263996571E-3</v>
      </c>
      <c r="Z262" s="72">
        <f>SUM(Exogenous!$B$59*Popn!AG$10/Popn!AF$10,Exogenous!$C$59*Popn!AG$110/Popn!AF$110,Exogenous!$B$60*Popn!AG$11/Popn!AF$11,Exogenous!$C$60*Popn!AG$111/Popn!AF$111,Exogenous!$B$61*Popn!AG$12/Popn!AF$12,Exogenous!$C$61*Popn!AG$112/Popn!AF$112,Exogenous!$B$62*Popn!AG$13/Popn!AF$13,Exogenous!$C$62*Popn!AG$113/Popn!AF$113,Exogenous!$B$63*Popn!AG$14/Popn!AF$14,Exogenous!$C$63*Popn!AG$114/Popn!AF$114,Exogenous!$B$64*Popn!AG$15/Popn!AF$15,Exogenous!$C$64*Popn!AG$115/Popn!AF$115)-1</f>
        <v>-2.0397578325119792E-3</v>
      </c>
      <c r="AA262" s="72">
        <f>SUM(Exogenous!$B$59*Popn!AH$10/Popn!AG$10,Exogenous!$C$59*Popn!AH$110/Popn!AG$110,Exogenous!$B$60*Popn!AH$11/Popn!AG$11,Exogenous!$C$60*Popn!AH$111/Popn!AG$111,Exogenous!$B$61*Popn!AH$12/Popn!AG$12,Exogenous!$C$61*Popn!AH$112/Popn!AG$112,Exogenous!$B$62*Popn!AH$13/Popn!AG$13,Exogenous!$C$62*Popn!AH$113/Popn!AG$113,Exogenous!$B$63*Popn!AH$14/Popn!AG$14,Exogenous!$C$63*Popn!AH$114/Popn!AG$114,Exogenous!$B$64*Popn!AH$15/Popn!AG$15,Exogenous!$C$64*Popn!AH$115/Popn!AG$115)-1</f>
        <v>-1.4182401906629449E-3</v>
      </c>
      <c r="AB262" s="72">
        <f>SUM(Exogenous!$B$59*Popn!AI$10/Popn!AH$10,Exogenous!$C$59*Popn!AI$110/Popn!AH$110,Exogenous!$B$60*Popn!AI$11/Popn!AH$11,Exogenous!$C$60*Popn!AI$111/Popn!AH$111,Exogenous!$B$61*Popn!AI$12/Popn!AH$12,Exogenous!$C$61*Popn!AI$112/Popn!AH$112,Exogenous!$B$62*Popn!AI$13/Popn!AH$13,Exogenous!$C$62*Popn!AI$113/Popn!AH$113,Exogenous!$B$63*Popn!AI$14/Popn!AH$14,Exogenous!$C$63*Popn!AI$114/Popn!AH$114,Exogenous!$B$64*Popn!AI$15/Popn!AH$15,Exogenous!$C$64*Popn!AI$115/Popn!AH$115)-1</f>
        <v>-7.8161129487330783E-4</v>
      </c>
      <c r="AC262" s="72">
        <f>SUM(Exogenous!$B$59*Popn!AJ$10/Popn!AI$10,Exogenous!$C$59*Popn!AJ$110/Popn!AI$110,Exogenous!$B$60*Popn!AJ$11/Popn!AI$11,Exogenous!$C$60*Popn!AJ$111/Popn!AI$111,Exogenous!$B$61*Popn!AJ$12/Popn!AI$12,Exogenous!$C$61*Popn!AJ$112/Popn!AI$112,Exogenous!$B$62*Popn!AJ$13/Popn!AI$13,Exogenous!$C$62*Popn!AJ$113/Popn!AI$113,Exogenous!$B$63*Popn!AJ$14/Popn!AI$14,Exogenous!$C$63*Popn!AJ$114/Popn!AI$114,Exogenous!$B$64*Popn!AJ$15/Popn!AI$15,Exogenous!$C$64*Popn!AJ$115/Popn!AI$115)-1</f>
        <v>-5.249479211621999E-5</v>
      </c>
      <c r="AD262" s="72">
        <f>SUM(Exogenous!$B$59*Popn!AK$10/Popn!AJ$10,Exogenous!$C$59*Popn!AK$110/Popn!AJ$110,Exogenous!$B$60*Popn!AK$11/Popn!AJ$11,Exogenous!$C$60*Popn!AK$111/Popn!AJ$111,Exogenous!$B$61*Popn!AK$12/Popn!AJ$12,Exogenous!$C$61*Popn!AK$112/Popn!AJ$112,Exogenous!$B$62*Popn!AK$13/Popn!AJ$13,Exogenous!$C$62*Popn!AK$113/Popn!AJ$113,Exogenous!$B$63*Popn!AK$14/Popn!AJ$14,Exogenous!$C$63*Popn!AK$114/Popn!AJ$114,Exogenous!$B$64*Popn!AK$15/Popn!AJ$15,Exogenous!$C$64*Popn!AK$115/Popn!AJ$115)-1</f>
        <v>5.651860550290877E-4</v>
      </c>
      <c r="AE262" s="72">
        <f>SUM(Exogenous!$B$59*Popn!AL$10/Popn!AK$10,Exogenous!$C$59*Popn!AL$110/Popn!AK$110,Exogenous!$B$60*Popn!AL$11/Popn!AK$11,Exogenous!$C$60*Popn!AL$111/Popn!AK$111,Exogenous!$B$61*Popn!AL$12/Popn!AK$12,Exogenous!$C$61*Popn!AL$112/Popn!AK$112,Exogenous!$B$62*Popn!AL$13/Popn!AK$13,Exogenous!$C$62*Popn!AL$113/Popn!AK$113,Exogenous!$B$63*Popn!AL$14/Popn!AK$14,Exogenous!$C$63*Popn!AL$114/Popn!AK$114,Exogenous!$B$64*Popn!AL$15/Popn!AK$15,Exogenous!$C$64*Popn!AL$115/Popn!AK$115)-1</f>
        <v>9.5654092958930015E-4</v>
      </c>
      <c r="AF262" s="72">
        <f>SUM(Exogenous!$B$59*Popn!AM$10/Popn!AL$10,Exogenous!$C$59*Popn!AM$110/Popn!AL$110,Exogenous!$B$60*Popn!AM$11/Popn!AL$11,Exogenous!$C$60*Popn!AM$111/Popn!AL$111,Exogenous!$B$61*Popn!AM$12/Popn!AL$12,Exogenous!$C$61*Popn!AM$112/Popn!AL$112,Exogenous!$B$62*Popn!AM$13/Popn!AL$13,Exogenous!$C$62*Popn!AM$113/Popn!AL$113,Exogenous!$B$63*Popn!AM$14/Popn!AL$14,Exogenous!$C$63*Popn!AM$114/Popn!AL$114,Exogenous!$B$64*Popn!AM$15/Popn!AL$15,Exogenous!$C$64*Popn!AM$115/Popn!AL$115)-1</f>
        <v>1.1823365058039048E-3</v>
      </c>
      <c r="AG262" s="72">
        <f>SUM(Exogenous!$B$59*Popn!AN$10/Popn!AM$10,Exogenous!$C$59*Popn!AN$110/Popn!AM$110,Exogenous!$B$60*Popn!AN$11/Popn!AM$11,Exogenous!$C$60*Popn!AN$111/Popn!AM$111,Exogenous!$B$61*Popn!AN$12/Popn!AM$12,Exogenous!$C$61*Popn!AN$112/Popn!AM$112,Exogenous!$B$62*Popn!AN$13/Popn!AM$13,Exogenous!$C$62*Popn!AN$113/Popn!AM$113,Exogenous!$B$63*Popn!AN$14/Popn!AM$14,Exogenous!$C$63*Popn!AN$114/Popn!AM$114,Exogenous!$B$64*Popn!AN$15/Popn!AM$15,Exogenous!$C$64*Popn!AN$115/Popn!AM$115)-1</f>
        <v>1.3106779073146502E-3</v>
      </c>
      <c r="AH262" s="72">
        <f>SUM(Exogenous!$B$59*Popn!AO$10/Popn!AN$10,Exogenous!$C$59*Popn!AO$110/Popn!AN$110,Exogenous!$B$60*Popn!AO$11/Popn!AN$11,Exogenous!$C$60*Popn!AO$111/Popn!AN$111,Exogenous!$B$61*Popn!AO$12/Popn!AN$12,Exogenous!$C$61*Popn!AO$112/Popn!AN$112,Exogenous!$B$62*Popn!AO$13/Popn!AN$13,Exogenous!$C$62*Popn!AO$113/Popn!AN$113,Exogenous!$B$63*Popn!AO$14/Popn!AN$14,Exogenous!$C$63*Popn!AO$114/Popn!AN$114,Exogenous!$B$64*Popn!AO$15/Popn!AN$15,Exogenous!$C$64*Popn!AO$115/Popn!AN$115)-1</f>
        <v>1.2609474415079536E-3</v>
      </c>
      <c r="AI262" s="72">
        <f>SUM(Exogenous!$B$59*Popn!AP$10/Popn!AO$10,Exogenous!$C$59*Popn!AP$110/Popn!AO$110,Exogenous!$B$60*Popn!AP$11/Popn!AO$11,Exogenous!$C$60*Popn!AP$111/Popn!AO$111,Exogenous!$B$61*Popn!AP$12/Popn!AO$12,Exogenous!$C$61*Popn!AP$112/Popn!AO$112,Exogenous!$B$62*Popn!AP$13/Popn!AO$13,Exogenous!$C$62*Popn!AP$113/Popn!AO$113,Exogenous!$B$63*Popn!AP$14/Popn!AO$14,Exogenous!$C$63*Popn!AP$114/Popn!AO$114,Exogenous!$B$64*Popn!AP$15/Popn!AO$15,Exogenous!$C$64*Popn!AP$115/Popn!AO$115)-1</f>
        <v>1.116055593188614E-3</v>
      </c>
      <c r="AJ262" s="72">
        <f>SUM(Exogenous!$B$59*Popn!AQ$10/Popn!AP$10,Exogenous!$C$59*Popn!AQ$110/Popn!AP$110,Exogenous!$B$60*Popn!AQ$11/Popn!AP$11,Exogenous!$C$60*Popn!AQ$111/Popn!AP$111,Exogenous!$B$61*Popn!AQ$12/Popn!AP$12,Exogenous!$C$61*Popn!AQ$112/Popn!AP$112,Exogenous!$B$62*Popn!AQ$13/Popn!AP$13,Exogenous!$C$62*Popn!AQ$113/Popn!AP$113,Exogenous!$B$63*Popn!AQ$14/Popn!AP$14,Exogenous!$C$63*Popn!AQ$114/Popn!AP$114,Exogenous!$B$64*Popn!AQ$15/Popn!AP$15,Exogenous!$C$64*Popn!AQ$115/Popn!AP$115)-1</f>
        <v>8.3078572476646961E-4</v>
      </c>
      <c r="AK262" s="72">
        <f>SUM(Exogenous!$B$59*Popn!AR$10/Popn!AQ$10,Exogenous!$C$59*Popn!AR$110/Popn!AQ$110,Exogenous!$B$60*Popn!AR$11/Popn!AQ$11,Exogenous!$C$60*Popn!AR$111/Popn!AQ$111,Exogenous!$B$61*Popn!AR$12/Popn!AQ$12,Exogenous!$C$61*Popn!AR$112/Popn!AQ$112,Exogenous!$B$62*Popn!AR$13/Popn!AQ$13,Exogenous!$C$62*Popn!AR$113/Popn!AQ$113,Exogenous!$B$63*Popn!AR$14/Popn!AQ$14,Exogenous!$C$63*Popn!AR$114/Popn!AQ$114,Exogenous!$B$64*Popn!AR$15/Popn!AQ$15,Exogenous!$C$64*Popn!AR$115/Popn!AQ$115)-1</f>
        <v>6.5170179901707925E-4</v>
      </c>
      <c r="AL262" s="72">
        <f>SUM(Exogenous!$B$59*Popn!AS$10/Popn!AR$10,Exogenous!$C$59*Popn!AS$110/Popn!AR$110,Exogenous!$B$60*Popn!AS$11/Popn!AR$11,Exogenous!$C$60*Popn!AS$111/Popn!AR$111,Exogenous!$B$61*Popn!AS$12/Popn!AR$12,Exogenous!$C$61*Popn!AS$112/Popn!AR$112,Exogenous!$B$62*Popn!AS$13/Popn!AR$13,Exogenous!$C$62*Popn!AS$113/Popn!AR$113,Exogenous!$B$63*Popn!AS$14/Popn!AR$14,Exogenous!$C$63*Popn!AS$114/Popn!AR$114,Exogenous!$B$64*Popn!AS$15/Popn!AR$15,Exogenous!$C$64*Popn!AS$115/Popn!AR$115)-1</f>
        <v>4.8102369538671752E-4</v>
      </c>
      <c r="AM262" s="72">
        <f>SUM(Exogenous!$B$59*Popn!AT$10/Popn!AS$10,Exogenous!$C$59*Popn!AT$110/Popn!AS$110,Exogenous!$B$60*Popn!AT$11/Popn!AS$11,Exogenous!$C$60*Popn!AT$111/Popn!AS$111,Exogenous!$B$61*Popn!AT$12/Popn!AS$12,Exogenous!$C$61*Popn!AT$112/Popn!AS$112,Exogenous!$B$62*Popn!AT$13/Popn!AS$13,Exogenous!$C$62*Popn!AT$113/Popn!AS$113,Exogenous!$B$63*Popn!AT$14/Popn!AS$14,Exogenous!$C$63*Popn!AT$114/Popn!AS$114,Exogenous!$B$64*Popn!AT$15/Popn!AS$15,Exogenous!$C$64*Popn!AT$115/Popn!AS$115)-1</f>
        <v>4.9725629263863702E-4</v>
      </c>
      <c r="AN262" s="72">
        <f>SUM(Exogenous!$B$59*Popn!AU$10/Popn!AT$10,Exogenous!$C$59*Popn!AU$110/Popn!AT$110,Exogenous!$B$60*Popn!AU$11/Popn!AT$11,Exogenous!$C$60*Popn!AU$111/Popn!AT$111,Exogenous!$B$61*Popn!AU$12/Popn!AT$12,Exogenous!$C$61*Popn!AU$112/Popn!AT$112,Exogenous!$B$62*Popn!AU$13/Popn!AT$13,Exogenous!$C$62*Popn!AU$113/Popn!AT$113,Exogenous!$B$63*Popn!AU$14/Popn!AT$14,Exogenous!$C$63*Popn!AU$114/Popn!AT$114,Exogenous!$B$64*Popn!AU$15/Popn!AT$15,Exogenous!$C$64*Popn!AU$115/Popn!AT$115)-1</f>
        <v>6.0798546437235146E-4</v>
      </c>
      <c r="AO262" s="72">
        <f>SUM(Exogenous!$B$59*Popn!AV$10/Popn!AU$10,Exogenous!$C$59*Popn!AV$110/Popn!AU$110,Exogenous!$B$60*Popn!AV$11/Popn!AU$11,Exogenous!$C$60*Popn!AV$111/Popn!AU$111,Exogenous!$B$61*Popn!AV$12/Popn!AU$12,Exogenous!$C$61*Popn!AV$112/Popn!AU$112,Exogenous!$B$62*Popn!AV$13/Popn!AU$13,Exogenous!$C$62*Popn!AV$113/Popn!AU$113,Exogenous!$B$63*Popn!AV$14/Popn!AU$14,Exogenous!$C$63*Popn!AV$114/Popn!AU$114,Exogenous!$B$64*Popn!AV$15/Popn!AU$15,Exogenous!$C$64*Popn!AV$115/Popn!AU$115)-1</f>
        <v>6.682243765732121E-4</v>
      </c>
      <c r="AP262" s="72">
        <f>SUM(Exogenous!$B$59*Popn!AW$10/Popn!AV$10,Exogenous!$C$59*Popn!AW$110/Popn!AV$110,Exogenous!$B$60*Popn!AW$11/Popn!AV$11,Exogenous!$C$60*Popn!AW$111/Popn!AV$111,Exogenous!$B$61*Popn!AW$12/Popn!AV$12,Exogenous!$C$61*Popn!AW$112/Popn!AV$112,Exogenous!$B$62*Popn!AW$13/Popn!AV$13,Exogenous!$C$62*Popn!AW$113/Popn!AV$113,Exogenous!$B$63*Popn!AW$14/Popn!AV$14,Exogenous!$C$63*Popn!AW$114/Popn!AV$114,Exogenous!$B$64*Popn!AW$15/Popn!AV$15,Exogenous!$C$64*Popn!AW$115/Popn!AV$115)-1</f>
        <v>9.9961158265449157E-4</v>
      </c>
      <c r="AQ262" s="72">
        <f>SUM(Exogenous!$B$59*Popn!AX$10/Popn!AW$10,Exogenous!$C$59*Popn!AX$110/Popn!AW$110,Exogenous!$B$60*Popn!AX$11/Popn!AW$11,Exogenous!$C$60*Popn!AX$111/Popn!AW$111,Exogenous!$B$61*Popn!AX$12/Popn!AW$12,Exogenous!$C$61*Popn!AX$112/Popn!AW$112,Exogenous!$B$62*Popn!AX$13/Popn!AW$13,Exogenous!$C$62*Popn!AX$113/Popn!AW$113,Exogenous!$B$63*Popn!AX$14/Popn!AW$14,Exogenous!$C$63*Popn!AX$114/Popn!AW$114,Exogenous!$B$64*Popn!AX$15/Popn!AW$15,Exogenous!$C$64*Popn!AX$115/Popn!AW$115)-1</f>
        <v>1.2831586255355187E-3</v>
      </c>
      <c r="AR262" s="72">
        <f>SUM(Exogenous!$B$59*Popn!AY$10/Popn!AX$10,Exogenous!$C$59*Popn!AY$110/Popn!AX$110,Exogenous!$B$60*Popn!AY$11/Popn!AX$11,Exogenous!$C$60*Popn!AY$111/Popn!AX$111,Exogenous!$B$61*Popn!AY$12/Popn!AX$12,Exogenous!$C$61*Popn!AY$112/Popn!AX$112,Exogenous!$B$62*Popn!AY$13/Popn!AX$13,Exogenous!$C$62*Popn!AY$113/Popn!AX$113,Exogenous!$B$63*Popn!AY$14/Popn!AX$14,Exogenous!$C$63*Popn!AY$114/Popn!AX$114,Exogenous!$B$64*Popn!AY$15/Popn!AX$15,Exogenous!$C$64*Popn!AY$115/Popn!AX$115)-1</f>
        <v>1.6482086715858824E-3</v>
      </c>
      <c r="AS262" s="72">
        <f>SUM(Exogenous!$B$59*Popn!AZ$10/Popn!AY$10,Exogenous!$C$59*Popn!AZ$110/Popn!AY$110,Exogenous!$B$60*Popn!AZ$11/Popn!AY$11,Exogenous!$C$60*Popn!AZ$111/Popn!AY$111,Exogenous!$B$61*Popn!AZ$12/Popn!AY$12,Exogenous!$C$61*Popn!AZ$112/Popn!AY$112,Exogenous!$B$62*Popn!AZ$13/Popn!AY$13,Exogenous!$C$62*Popn!AZ$113/Popn!AY$113,Exogenous!$B$63*Popn!AZ$14/Popn!AY$14,Exogenous!$C$63*Popn!AZ$114/Popn!AY$114,Exogenous!$B$64*Popn!AZ$15/Popn!AY$15,Exogenous!$C$64*Popn!AZ$115/Popn!AY$115)-1</f>
        <v>2.0090824134020302E-3</v>
      </c>
      <c r="AT262" s="72">
        <f>SUM(Exogenous!$B$59*Popn!BA$10/Popn!AZ$10,Exogenous!$C$59*Popn!BA$110/Popn!AZ$110,Exogenous!$B$60*Popn!BA$11/Popn!AZ$11,Exogenous!$C$60*Popn!BA$111/Popn!AZ$111,Exogenous!$B$61*Popn!BA$12/Popn!AZ$12,Exogenous!$C$61*Popn!BA$112/Popn!AZ$112,Exogenous!$B$62*Popn!BA$13/Popn!AZ$13,Exogenous!$C$62*Popn!BA$113/Popn!AZ$113,Exogenous!$B$63*Popn!BA$14/Popn!AZ$14,Exogenous!$C$63*Popn!BA$114/Popn!AZ$114,Exogenous!$B$64*Popn!BA$15/Popn!AZ$15,Exogenous!$C$64*Popn!BA$115/Popn!AZ$115)-1</f>
        <v>2.0901814856384426E-3</v>
      </c>
      <c r="AU262" s="72">
        <f>SUM(Exogenous!$B$59*Popn!BB$10/Popn!BA$10,Exogenous!$C$59*Popn!BB$110/Popn!BA$110,Exogenous!$B$60*Popn!BB$11/Popn!BA$11,Exogenous!$C$60*Popn!BB$111/Popn!BA$111,Exogenous!$B$61*Popn!BB$12/Popn!BA$12,Exogenous!$C$61*Popn!BB$112/Popn!BA$112,Exogenous!$B$62*Popn!BB$13/Popn!BA$13,Exogenous!$C$62*Popn!BB$113/Popn!BA$113,Exogenous!$B$63*Popn!BB$14/Popn!BA$14,Exogenous!$C$63*Popn!BB$114/Popn!BA$114,Exogenous!$B$64*Popn!BB$15/Popn!BA$15,Exogenous!$C$64*Popn!BB$115/Popn!BA$115)-1</f>
        <v>2.1677975823328755E-3</v>
      </c>
      <c r="AV262" s="72">
        <f>SUM(Exogenous!$B$59*Popn!BC$10/Popn!BB$10,Exogenous!$C$59*Popn!BC$110/Popn!BB$110,Exogenous!$B$60*Popn!BC$11/Popn!BB$11,Exogenous!$C$60*Popn!BC$111/Popn!BB$111,Exogenous!$B$61*Popn!BC$12/Popn!BB$12,Exogenous!$C$61*Popn!BC$112/Popn!BB$112,Exogenous!$B$62*Popn!BC$13/Popn!BB$13,Exogenous!$C$62*Popn!BC$113/Popn!BB$113,Exogenous!$B$63*Popn!BC$14/Popn!BB$14,Exogenous!$C$63*Popn!BC$114/Popn!BB$114,Exogenous!$B$64*Popn!BC$15/Popn!BB$15,Exogenous!$C$64*Popn!BC$115/Popn!BB$115)-1</f>
        <v>1.9874849372258918E-3</v>
      </c>
      <c r="AW262" s="72">
        <f>SUM(Exogenous!$B$59*Popn!BD$10/Popn!BC$10,Exogenous!$C$59*Popn!BD$110/Popn!BC$110,Exogenous!$B$60*Popn!BD$11/Popn!BC$11,Exogenous!$C$60*Popn!BD$111/Popn!BC$111,Exogenous!$B$61*Popn!BD$12/Popn!BC$12,Exogenous!$C$61*Popn!BD$112/Popn!BC$112,Exogenous!$B$62*Popn!BD$13/Popn!BC$13,Exogenous!$C$62*Popn!BD$113/Popn!BC$113,Exogenous!$B$63*Popn!BD$14/Popn!BC$14,Exogenous!$C$63*Popn!BD$114/Popn!BC$114,Exogenous!$B$64*Popn!BD$15/Popn!BC$15,Exogenous!$C$64*Popn!BD$115/Popn!BC$115)-1</f>
        <v>1.9895314892626192E-3</v>
      </c>
    </row>
    <row r="263" spans="1:49" x14ac:dyDescent="0.2">
      <c r="A263" s="1" t="s">
        <v>862</v>
      </c>
      <c r="D263" s="73">
        <f>SUM(Exogenous!$H$59*Popn!K$15/Popn!J$15,Exogenous!$I$59*Popn!K$115/Popn!J$115,Exogenous!$H$60*Popn!K$16/Popn!J$16,Exogenous!$I$60*Popn!K$116/Popn!J$116,Exogenous!$H$61*Popn!K$17/Popn!J$17,Exogenous!$I$61*Popn!K$117/Popn!J$117,Exogenous!$H$62*Popn!K$18/Popn!J$18,Exogenous!$I$62*Popn!K$118/Popn!J$118,Exogenous!$H$63*Popn!K$19/Popn!J$19,Exogenous!$I$63*Popn!K$119/Popn!J$119,Exogenous!$H$64*Popn!K$20/Popn!J$20,Exogenous!$I$64*Popn!K$120/Popn!J$120,Exogenous!$H$65*Popn!K$21/Popn!J$21,Exogenous!$I$65*Popn!K$121/Popn!J$121,Exogenous!$H$66*Popn!K$22/Popn!J$22,Exogenous!$I$66*Popn!K$122/Popn!J$122,Exogenous!$H$67*Popn!K$23/Popn!J$23,Exogenous!$I$67*Popn!K$123/Popn!J$123)-1</f>
        <v>2.0118749064736319E-2</v>
      </c>
      <c r="E263" s="74">
        <f>SUM(Exogenous!$H$59*Popn!L$15/Popn!K$15,Exogenous!$I$59*Popn!L$115/Popn!K$115,Exogenous!$H$60*Popn!L$16/Popn!K$16,Exogenous!$I$60*Popn!L$116/Popn!K$116,Exogenous!$H$61*Popn!L$17/Popn!K$17,Exogenous!$I$61*Popn!L$117/Popn!K$117,Exogenous!$H$62*Popn!L$18/Popn!K$18,Exogenous!$I$62*Popn!L$118/Popn!K$118,Exogenous!$H$63*Popn!L$19/Popn!K$19,Exogenous!$I$63*Popn!L$119/Popn!K$119,Exogenous!$H$64*Popn!L$20/Popn!K$20,Exogenous!$I$64*Popn!L$120/Popn!K$120,Exogenous!$H$65*Popn!L$21/Popn!K$21,Exogenous!$I$65*Popn!L$121/Popn!K$121,Exogenous!$H$66*Popn!L$22/Popn!K$22,Exogenous!$I$66*Popn!L$122/Popn!K$122,Exogenous!$H$67*Popn!L$23/Popn!K$23,Exogenous!$I$67*Popn!L$123/Popn!K$123)-1</f>
        <v>1.5276251193280466E-2</v>
      </c>
      <c r="F263" s="74">
        <f>SUM(Exogenous!$H$59*Popn!M$15/Popn!L$15,Exogenous!$I$59*Popn!M$115/Popn!L$115,Exogenous!$H$60*Popn!M$16/Popn!L$16,Exogenous!$I$60*Popn!M$116/Popn!L$116,Exogenous!$H$61*Popn!M$17/Popn!L$17,Exogenous!$I$61*Popn!M$117/Popn!L$117,Exogenous!$H$62*Popn!M$18/Popn!L$18,Exogenous!$I$62*Popn!M$118/Popn!L$118,Exogenous!$H$63*Popn!M$19/Popn!L$19,Exogenous!$I$63*Popn!M$119/Popn!L$119,Exogenous!$H$64*Popn!M$20/Popn!L$20,Exogenous!$I$64*Popn!M$120/Popn!L$120,Exogenous!$H$65*Popn!M$21/Popn!L$21,Exogenous!$I$65*Popn!M$121/Popn!L$121,Exogenous!$H$66*Popn!M$22/Popn!L$22,Exogenous!$I$66*Popn!M$122/Popn!L$122,Exogenous!$H$67*Popn!M$23/Popn!L$23,Exogenous!$I$67*Popn!M$123/Popn!L$123)-1</f>
        <v>7.9157789001196299E-3</v>
      </c>
      <c r="G263" s="74">
        <f>SUM(Exogenous!$H$59*Popn!N$15/Popn!M$15,Exogenous!$I$59*Popn!N$115/Popn!M$115,Exogenous!$H$60*Popn!N$16/Popn!M$16,Exogenous!$I$60*Popn!N$116/Popn!M$116,Exogenous!$H$61*Popn!N$17/Popn!M$17,Exogenous!$I$61*Popn!N$117/Popn!M$117,Exogenous!$H$62*Popn!N$18/Popn!M$18,Exogenous!$I$62*Popn!N$118/Popn!M$118,Exogenous!$H$63*Popn!N$19/Popn!M$19,Exogenous!$I$63*Popn!N$119/Popn!M$119,Exogenous!$H$64*Popn!N$20/Popn!M$20,Exogenous!$I$64*Popn!N$120/Popn!M$120,Exogenous!$H$65*Popn!N$21/Popn!M$21,Exogenous!$I$65*Popn!N$121/Popn!M$121,Exogenous!$H$66*Popn!N$22/Popn!M$22,Exogenous!$I$66*Popn!N$122/Popn!M$122,Exogenous!$H$67*Popn!N$23/Popn!M$23,Exogenous!$I$67*Popn!N$123/Popn!M$123)-1</f>
        <v>5.5963383158639246E-3</v>
      </c>
      <c r="H263" s="74">
        <f>SUM(Exogenous!$H$59*Popn!O$15/Popn!N$15,Exogenous!$I$59*Popn!O$115/Popn!N$115,Exogenous!$H$60*Popn!O$16/Popn!N$16,Exogenous!$I$60*Popn!O$116/Popn!N$116,Exogenous!$H$61*Popn!O$17/Popn!N$17,Exogenous!$I$61*Popn!O$117/Popn!N$117,Exogenous!$H$62*Popn!O$18/Popn!N$18,Exogenous!$I$62*Popn!O$118/Popn!N$118,Exogenous!$H$63*Popn!O$19/Popn!N$19,Exogenous!$I$63*Popn!O$119/Popn!N$119,Exogenous!$H$64*Popn!O$20/Popn!N$20,Exogenous!$I$64*Popn!O$120/Popn!N$120,Exogenous!$H$65*Popn!O$21/Popn!N$21,Exogenous!$I$65*Popn!O$121/Popn!N$121,Exogenous!$H$66*Popn!O$22/Popn!N$22,Exogenous!$I$66*Popn!O$122/Popn!N$122,Exogenous!$H$67*Popn!O$23/Popn!N$23,Exogenous!$I$67*Popn!O$123/Popn!N$123)-1</f>
        <v>9.0962377775372083E-4</v>
      </c>
      <c r="I263" s="74">
        <f>SUM(Exogenous!$H$59*Popn!P$15/Popn!O$15,Exogenous!$I$59*Popn!P$115/Popn!O$115,Exogenous!$H$60*Popn!P$16/Popn!O$16,Exogenous!$I$60*Popn!P$116/Popn!O$116,Exogenous!$H$61*Popn!P$17/Popn!O$17,Exogenous!$I$61*Popn!P$117/Popn!O$117,Exogenous!$H$62*Popn!P$18/Popn!O$18,Exogenous!$I$62*Popn!P$118/Popn!O$118,Exogenous!$H$63*Popn!P$19/Popn!O$19,Exogenous!$I$63*Popn!P$119/Popn!O$119,Exogenous!$H$64*Popn!P$20/Popn!O$20,Exogenous!$I$64*Popn!P$120/Popn!O$120,Exogenous!$H$65*Popn!P$21/Popn!O$21,Exogenous!$I$65*Popn!P$121/Popn!O$121,Exogenous!$H$66*Popn!P$22/Popn!O$22,Exogenous!$I$66*Popn!P$122/Popn!O$122,Exogenous!$H$67*Popn!P$23/Popn!O$23,Exogenous!$I$67*Popn!P$123/Popn!O$123)-1</f>
        <v>-5.1176073694562119E-3</v>
      </c>
      <c r="J263" s="72">
        <f>SUM(Exogenous!$H$59*Popn!Q$15/Popn!P$15,Exogenous!$I$59*Popn!Q$115/Popn!P$115,Exogenous!$H$60*Popn!Q$16/Popn!P$16,Exogenous!$I$60*Popn!Q$116/Popn!P$116,Exogenous!$H$61*Popn!Q$17/Popn!P$17,Exogenous!$I$61*Popn!Q$117/Popn!P$117,Exogenous!$H$62*Popn!Q$18/Popn!P$18,Exogenous!$I$62*Popn!Q$118/Popn!P$118,Exogenous!$H$63*Popn!Q$19/Popn!P$19,Exogenous!$I$63*Popn!Q$119/Popn!P$119,Exogenous!$H$64*Popn!Q$20/Popn!P$20,Exogenous!$I$64*Popn!Q$120/Popn!P$120,Exogenous!$H$65*Popn!Q$21/Popn!P$21,Exogenous!$I$65*Popn!Q$121/Popn!P$121,Exogenous!$H$66*Popn!Q$22/Popn!P$22,Exogenous!$I$66*Popn!Q$122/Popn!P$122,Exogenous!$H$67*Popn!Q$23/Popn!P$23,Exogenous!$I$67*Popn!Q$123/Popn!P$123)-1</f>
        <v>-8.444264918276212E-3</v>
      </c>
      <c r="K263" s="72">
        <f>SUM(Exogenous!$H$59*Popn!R$15/Popn!Q$15,Exogenous!$I$59*Popn!R$115/Popn!Q$115,Exogenous!$H$60*Popn!R$16/Popn!Q$16,Exogenous!$I$60*Popn!R$116/Popn!Q$116,Exogenous!$H$61*Popn!R$17/Popn!Q$17,Exogenous!$I$61*Popn!R$117/Popn!Q$117,Exogenous!$H$62*Popn!R$18/Popn!Q$18,Exogenous!$I$62*Popn!R$118/Popn!Q$118,Exogenous!$H$63*Popn!R$19/Popn!Q$19,Exogenous!$I$63*Popn!R$119/Popn!Q$119,Exogenous!$H$64*Popn!R$20/Popn!Q$20,Exogenous!$I$64*Popn!R$120/Popn!Q$120,Exogenous!$H$65*Popn!R$21/Popn!Q$21,Exogenous!$I$65*Popn!R$121/Popn!Q$121,Exogenous!$H$66*Popn!R$22/Popn!Q$22,Exogenous!$I$66*Popn!R$122/Popn!Q$122,Exogenous!$H$67*Popn!R$23/Popn!Q$23,Exogenous!$I$67*Popn!R$123/Popn!Q$123)-1</f>
        <v>-8.2737901750108422E-3</v>
      </c>
      <c r="L263" s="72">
        <f>SUM(Exogenous!$H$59*Popn!S$15/Popn!R$15,Exogenous!$I$59*Popn!S$115/Popn!R$115,Exogenous!$H$60*Popn!S$16/Popn!R$16,Exogenous!$I$60*Popn!S$116/Popn!R$116,Exogenous!$H$61*Popn!S$17/Popn!R$17,Exogenous!$I$61*Popn!S$117/Popn!R$117,Exogenous!$H$62*Popn!S$18/Popn!R$18,Exogenous!$I$62*Popn!S$118/Popn!R$118,Exogenous!$H$63*Popn!S$19/Popn!R$19,Exogenous!$I$63*Popn!S$119/Popn!R$119,Exogenous!$H$64*Popn!S$20/Popn!R$20,Exogenous!$I$64*Popn!S$120/Popn!R$120,Exogenous!$H$65*Popn!S$21/Popn!R$21,Exogenous!$I$65*Popn!S$121/Popn!R$121,Exogenous!$H$66*Popn!S$22/Popn!R$22,Exogenous!$I$66*Popn!S$122/Popn!R$122,Exogenous!$H$67*Popn!S$23/Popn!R$23,Exogenous!$I$67*Popn!S$123/Popn!R$123)-1</f>
        <v>-8.0660381352004595E-3</v>
      </c>
      <c r="M263" s="72">
        <f>SUM(Exogenous!$H$59*Popn!T$15/Popn!S$15,Exogenous!$I$59*Popn!T$115/Popn!S$115,Exogenous!$H$60*Popn!T$16/Popn!S$16,Exogenous!$I$60*Popn!T$116/Popn!S$116,Exogenous!$H$61*Popn!T$17/Popn!S$17,Exogenous!$I$61*Popn!T$117/Popn!S$117,Exogenous!$H$62*Popn!T$18/Popn!S$18,Exogenous!$I$62*Popn!T$118/Popn!S$118,Exogenous!$H$63*Popn!T$19/Popn!S$19,Exogenous!$I$63*Popn!T$119/Popn!S$119,Exogenous!$H$64*Popn!T$20/Popn!S$20,Exogenous!$I$64*Popn!T$120/Popn!S$120,Exogenous!$H$65*Popn!T$21/Popn!S$21,Exogenous!$I$65*Popn!T$121/Popn!S$121,Exogenous!$H$66*Popn!T$22/Popn!S$22,Exogenous!$I$66*Popn!T$122/Popn!S$122,Exogenous!$H$67*Popn!T$23/Popn!S$23,Exogenous!$I$67*Popn!T$123/Popn!S$123)-1</f>
        <v>-5.4077136264022441E-3</v>
      </c>
      <c r="N263" s="72">
        <f>SUM(Exogenous!$H$59*Popn!U$15/Popn!T$15,Exogenous!$I$59*Popn!U$115/Popn!T$115,Exogenous!$H$60*Popn!U$16/Popn!T$16,Exogenous!$I$60*Popn!U$116/Popn!T$116,Exogenous!$H$61*Popn!U$17/Popn!T$17,Exogenous!$I$61*Popn!U$117/Popn!T$117,Exogenous!$H$62*Popn!U$18/Popn!T$18,Exogenous!$I$62*Popn!U$118/Popn!T$118,Exogenous!$H$63*Popn!U$19/Popn!T$19,Exogenous!$I$63*Popn!U$119/Popn!T$119,Exogenous!$H$64*Popn!U$20/Popn!T$20,Exogenous!$I$64*Popn!U$120/Popn!T$120,Exogenous!$H$65*Popn!U$21/Popn!T$21,Exogenous!$I$65*Popn!U$121/Popn!T$121,Exogenous!$H$66*Popn!U$22/Popn!T$22,Exogenous!$I$66*Popn!U$122/Popn!T$122,Exogenous!$H$67*Popn!U$23/Popn!T$23,Exogenous!$I$67*Popn!U$123/Popn!T$123)-1</f>
        <v>-2.0277460204072284E-3</v>
      </c>
      <c r="O263" s="72">
        <f>SUM(Exogenous!$H$59*Popn!V$15/Popn!U$15,Exogenous!$I$59*Popn!V$115/Popn!U$115,Exogenous!$H$60*Popn!V$16/Popn!U$16,Exogenous!$I$60*Popn!V$116/Popn!U$116,Exogenous!$H$61*Popn!V$17/Popn!U$17,Exogenous!$I$61*Popn!V$117/Popn!U$117,Exogenous!$H$62*Popn!V$18/Popn!U$18,Exogenous!$I$62*Popn!V$118/Popn!U$118,Exogenous!$H$63*Popn!V$19/Popn!U$19,Exogenous!$I$63*Popn!V$119/Popn!U$119,Exogenous!$H$64*Popn!V$20/Popn!U$20,Exogenous!$I$64*Popn!V$120/Popn!U$120,Exogenous!$H$65*Popn!V$21/Popn!U$21,Exogenous!$I$65*Popn!V$121/Popn!U$121,Exogenous!$H$66*Popn!V$22/Popn!U$22,Exogenous!$I$66*Popn!V$122/Popn!U$122,Exogenous!$H$67*Popn!V$23/Popn!U$23,Exogenous!$I$67*Popn!V$123/Popn!U$123)-1</f>
        <v>1.1542181247943262E-3</v>
      </c>
      <c r="P263" s="72">
        <f>SUM(Exogenous!$H$59*Popn!W$15/Popn!V$15,Exogenous!$I$59*Popn!W$115/Popn!V$115,Exogenous!$H$60*Popn!W$16/Popn!V$16,Exogenous!$I$60*Popn!W$116/Popn!V$116,Exogenous!$H$61*Popn!W$17/Popn!V$17,Exogenous!$I$61*Popn!W$117/Popn!V$117,Exogenous!$H$62*Popn!W$18/Popn!V$18,Exogenous!$I$62*Popn!W$118/Popn!V$118,Exogenous!$H$63*Popn!W$19/Popn!V$19,Exogenous!$I$63*Popn!W$119/Popn!V$119,Exogenous!$H$64*Popn!W$20/Popn!V$20,Exogenous!$I$64*Popn!W$120/Popn!V$120,Exogenous!$H$65*Popn!W$21/Popn!V$21,Exogenous!$I$65*Popn!W$121/Popn!V$121,Exogenous!$H$66*Popn!W$22/Popn!V$22,Exogenous!$I$66*Popn!W$122/Popn!V$122,Exogenous!$H$67*Popn!W$23/Popn!V$23,Exogenous!$I$67*Popn!W$123/Popn!V$123)-1</f>
        <v>5.0172522661309227E-3</v>
      </c>
      <c r="Q263" s="72">
        <f>SUM(Exogenous!$H$59*Popn!X$15/Popn!W$15,Exogenous!$I$59*Popn!X$115/Popn!W$115,Exogenous!$H$60*Popn!X$16/Popn!W$16,Exogenous!$I$60*Popn!X$116/Popn!W$116,Exogenous!$H$61*Popn!X$17/Popn!W$17,Exogenous!$I$61*Popn!X$117/Popn!W$117,Exogenous!$H$62*Popn!X$18/Popn!W$18,Exogenous!$I$62*Popn!X$118/Popn!W$118,Exogenous!$H$63*Popn!X$19/Popn!W$19,Exogenous!$I$63*Popn!X$119/Popn!W$119,Exogenous!$H$64*Popn!X$20/Popn!W$20,Exogenous!$I$64*Popn!X$120/Popn!W$120,Exogenous!$H$65*Popn!X$21/Popn!W$21,Exogenous!$I$65*Popn!X$121/Popn!W$121,Exogenous!$H$66*Popn!X$22/Popn!W$22,Exogenous!$I$66*Popn!X$122/Popn!W$122,Exogenous!$H$67*Popn!X$23/Popn!W$23,Exogenous!$I$67*Popn!X$123/Popn!W$123)-1</f>
        <v>7.8664582730407773E-3</v>
      </c>
      <c r="R263" s="72">
        <f>SUM(Exogenous!$H$59*Popn!Y$15/Popn!X$15,Exogenous!$I$59*Popn!Y$115/Popn!X$115,Exogenous!$H$60*Popn!Y$16/Popn!X$16,Exogenous!$I$60*Popn!Y$116/Popn!X$116,Exogenous!$H$61*Popn!Y$17/Popn!X$17,Exogenous!$I$61*Popn!Y$117/Popn!X$117,Exogenous!$H$62*Popn!Y$18/Popn!X$18,Exogenous!$I$62*Popn!Y$118/Popn!X$118,Exogenous!$H$63*Popn!Y$19/Popn!X$19,Exogenous!$I$63*Popn!Y$119/Popn!X$119,Exogenous!$H$64*Popn!Y$20/Popn!X$20,Exogenous!$I$64*Popn!Y$120/Popn!X$120,Exogenous!$H$65*Popn!Y$21/Popn!X$21,Exogenous!$I$65*Popn!Y$121/Popn!X$121,Exogenous!$H$66*Popn!Y$22/Popn!X$22,Exogenous!$I$66*Popn!Y$122/Popn!X$122,Exogenous!$H$67*Popn!Y$23/Popn!X$23,Exogenous!$I$67*Popn!Y$123/Popn!X$123)-1</f>
        <v>7.9137731789453714E-3</v>
      </c>
      <c r="S263" s="72">
        <f>SUM(Exogenous!$H$59*Popn!Z$15/Popn!Y$15,Exogenous!$I$59*Popn!Z$115/Popn!Y$115,Exogenous!$H$60*Popn!Z$16/Popn!Y$16,Exogenous!$I$60*Popn!Z$116/Popn!Y$116,Exogenous!$H$61*Popn!Z$17/Popn!Y$17,Exogenous!$I$61*Popn!Z$117/Popn!Y$117,Exogenous!$H$62*Popn!Z$18/Popn!Y$18,Exogenous!$I$62*Popn!Z$118/Popn!Y$118,Exogenous!$H$63*Popn!Z$19/Popn!Y$19,Exogenous!$I$63*Popn!Z$119/Popn!Y$119,Exogenous!$H$64*Popn!Z$20/Popn!Y$20,Exogenous!$I$64*Popn!Z$120/Popn!Y$120,Exogenous!$H$65*Popn!Z$21/Popn!Y$21,Exogenous!$I$65*Popn!Z$121/Popn!Y$121,Exogenous!$H$66*Popn!Z$22/Popn!Y$22,Exogenous!$I$66*Popn!Z$122/Popn!Y$122,Exogenous!$H$67*Popn!Z$23/Popn!Y$23,Exogenous!$I$67*Popn!Z$123/Popn!Y$123)-1</f>
        <v>6.8208488099694708E-3</v>
      </c>
      <c r="T263" s="72">
        <f>SUM(Exogenous!$H$59*Popn!AA$15/Popn!Z$15,Exogenous!$I$59*Popn!AA$115/Popn!Z$115,Exogenous!$H$60*Popn!AA$16/Popn!Z$16,Exogenous!$I$60*Popn!AA$116/Popn!Z$116,Exogenous!$H$61*Popn!AA$17/Popn!Z$17,Exogenous!$I$61*Popn!AA$117/Popn!Z$117,Exogenous!$H$62*Popn!AA$18/Popn!Z$18,Exogenous!$I$62*Popn!AA$118/Popn!Z$118,Exogenous!$H$63*Popn!AA$19/Popn!Z$19,Exogenous!$I$63*Popn!AA$119/Popn!Z$119,Exogenous!$H$64*Popn!AA$20/Popn!Z$20,Exogenous!$I$64*Popn!AA$120/Popn!Z$120,Exogenous!$H$65*Popn!AA$21/Popn!Z$21,Exogenous!$I$65*Popn!AA$121/Popn!Z$121,Exogenous!$H$66*Popn!AA$22/Popn!Z$22,Exogenous!$I$66*Popn!AA$122/Popn!Z$122,Exogenous!$H$67*Popn!AA$23/Popn!Z$23,Exogenous!$I$67*Popn!AA$123/Popn!Z$123)-1</f>
        <v>5.9928960384725283E-3</v>
      </c>
      <c r="U263" s="72">
        <f>SUM(Exogenous!$H$59*Popn!AB$15/Popn!AA$15,Exogenous!$I$59*Popn!AB$115/Popn!AA$115,Exogenous!$H$60*Popn!AB$16/Popn!AA$16,Exogenous!$I$60*Popn!AB$116/Popn!AA$116,Exogenous!$H$61*Popn!AB$17/Popn!AA$17,Exogenous!$I$61*Popn!AB$117/Popn!AA$117,Exogenous!$H$62*Popn!AB$18/Popn!AA$18,Exogenous!$I$62*Popn!AB$118/Popn!AA$118,Exogenous!$H$63*Popn!AB$19/Popn!AA$19,Exogenous!$I$63*Popn!AB$119/Popn!AA$119,Exogenous!$H$64*Popn!AB$20/Popn!AA$20,Exogenous!$I$64*Popn!AB$120/Popn!AA$120,Exogenous!$H$65*Popn!AB$21/Popn!AA$21,Exogenous!$I$65*Popn!AB$121/Popn!AA$121,Exogenous!$H$66*Popn!AB$22/Popn!AA$22,Exogenous!$I$66*Popn!AB$122/Popn!AA$122,Exogenous!$H$67*Popn!AB$23/Popn!AA$23,Exogenous!$I$67*Popn!AB$123/Popn!AA$123)-1</f>
        <v>5.049143656026267E-3</v>
      </c>
      <c r="V263" s="72">
        <f>SUM(Exogenous!$H$59*Popn!AC$15/Popn!AB$15,Exogenous!$I$59*Popn!AC$115/Popn!AB$115,Exogenous!$H$60*Popn!AC$16/Popn!AB$16,Exogenous!$I$60*Popn!AC$116/Popn!AB$116,Exogenous!$H$61*Popn!AC$17/Popn!AB$17,Exogenous!$I$61*Popn!AC$117/Popn!AB$117,Exogenous!$H$62*Popn!AC$18/Popn!AB$18,Exogenous!$I$62*Popn!AC$118/Popn!AB$118,Exogenous!$H$63*Popn!AC$19/Popn!AB$19,Exogenous!$I$63*Popn!AC$119/Popn!AB$119,Exogenous!$H$64*Popn!AC$20/Popn!AB$20,Exogenous!$I$64*Popn!AC$120/Popn!AB$120,Exogenous!$H$65*Popn!AC$21/Popn!AB$21,Exogenous!$I$65*Popn!AC$121/Popn!AB$121,Exogenous!$H$66*Popn!AC$22/Popn!AB$22,Exogenous!$I$66*Popn!AC$122/Popn!AB$122,Exogenous!$H$67*Popn!AC$23/Popn!AB$23,Exogenous!$I$67*Popn!AC$123/Popn!AB$123)-1</f>
        <v>3.9825760022988987E-3</v>
      </c>
      <c r="W263" s="72">
        <f>SUM(Exogenous!$H$59*Popn!AD$15/Popn!AC$15,Exogenous!$I$59*Popn!AD$115/Popn!AC$115,Exogenous!$H$60*Popn!AD$16/Popn!AC$16,Exogenous!$I$60*Popn!AD$116/Popn!AC$116,Exogenous!$H$61*Popn!AD$17/Popn!AC$17,Exogenous!$I$61*Popn!AD$117/Popn!AC$117,Exogenous!$H$62*Popn!AD$18/Popn!AC$18,Exogenous!$I$62*Popn!AD$118/Popn!AC$118,Exogenous!$H$63*Popn!AD$19/Popn!AC$19,Exogenous!$I$63*Popn!AD$119/Popn!AC$119,Exogenous!$H$64*Popn!AD$20/Popn!AC$20,Exogenous!$I$64*Popn!AD$120/Popn!AC$120,Exogenous!$H$65*Popn!AD$21/Popn!AC$21,Exogenous!$I$65*Popn!AD$121/Popn!AC$121,Exogenous!$H$66*Popn!AD$22/Popn!AC$22,Exogenous!$I$66*Popn!AD$122/Popn!AC$122,Exogenous!$H$67*Popn!AD$23/Popn!AC$23,Exogenous!$I$67*Popn!AD$123/Popn!AC$123)-1</f>
        <v>2.9490896781907416E-3</v>
      </c>
      <c r="X263" s="72">
        <f>SUM(Exogenous!$H$59*Popn!AE$15/Popn!AD$15,Exogenous!$I$59*Popn!AE$115/Popn!AD$115,Exogenous!$H$60*Popn!AE$16/Popn!AD$16,Exogenous!$I$60*Popn!AE$116/Popn!AD$116,Exogenous!$H$61*Popn!AE$17/Popn!AD$17,Exogenous!$I$61*Popn!AE$117/Popn!AD$117,Exogenous!$H$62*Popn!AE$18/Popn!AD$18,Exogenous!$I$62*Popn!AE$118/Popn!AD$118,Exogenous!$H$63*Popn!AE$19/Popn!AD$19,Exogenous!$I$63*Popn!AE$119/Popn!AD$119,Exogenous!$H$64*Popn!AE$20/Popn!AD$20,Exogenous!$I$64*Popn!AE$120/Popn!AD$120,Exogenous!$H$65*Popn!AE$21/Popn!AD$21,Exogenous!$I$65*Popn!AE$121/Popn!AD$121,Exogenous!$H$66*Popn!AE$22/Popn!AD$22,Exogenous!$I$66*Popn!AE$122/Popn!AD$122,Exogenous!$H$67*Popn!AE$23/Popn!AD$23,Exogenous!$I$67*Popn!AE$123/Popn!AD$123)-1</f>
        <v>1.9546920515798316E-3</v>
      </c>
      <c r="Y263" s="72">
        <f>SUM(Exogenous!$H$59*Popn!AF$15/Popn!AE$15,Exogenous!$I$59*Popn!AF$115/Popn!AE$115,Exogenous!$H$60*Popn!AF$16/Popn!AE$16,Exogenous!$I$60*Popn!AF$116/Popn!AE$116,Exogenous!$H$61*Popn!AF$17/Popn!AE$17,Exogenous!$I$61*Popn!AF$117/Popn!AE$117,Exogenous!$H$62*Popn!AF$18/Popn!AE$18,Exogenous!$I$62*Popn!AF$118/Popn!AE$118,Exogenous!$H$63*Popn!AF$19/Popn!AE$19,Exogenous!$I$63*Popn!AF$119/Popn!AE$119,Exogenous!$H$64*Popn!AF$20/Popn!AE$20,Exogenous!$I$64*Popn!AF$120/Popn!AE$120,Exogenous!$H$65*Popn!AF$21/Popn!AE$21,Exogenous!$I$65*Popn!AF$121/Popn!AE$121,Exogenous!$H$66*Popn!AF$22/Popn!AE$22,Exogenous!$I$66*Popn!AF$122/Popn!AE$122,Exogenous!$H$67*Popn!AF$23/Popn!AE$23,Exogenous!$I$67*Popn!AF$123/Popn!AE$123)-1</f>
        <v>1.0014041158170617E-3</v>
      </c>
      <c r="Z263" s="72">
        <f>SUM(Exogenous!$H$59*Popn!AG$15/Popn!AF$15,Exogenous!$I$59*Popn!AG$115/Popn!AF$115,Exogenous!$H$60*Popn!AG$16/Popn!AF$16,Exogenous!$I$60*Popn!AG$116/Popn!AF$116,Exogenous!$H$61*Popn!AG$17/Popn!AF$17,Exogenous!$I$61*Popn!AG$117/Popn!AF$117,Exogenous!$H$62*Popn!AG$18/Popn!AF$18,Exogenous!$I$62*Popn!AG$118/Popn!AF$118,Exogenous!$H$63*Popn!AG$19/Popn!AF$19,Exogenous!$I$63*Popn!AG$119/Popn!AF$119,Exogenous!$H$64*Popn!AG$20/Popn!AF$20,Exogenous!$I$64*Popn!AG$120/Popn!AF$120,Exogenous!$H$65*Popn!AG$21/Popn!AF$21,Exogenous!$I$65*Popn!AG$121/Popn!AF$121,Exogenous!$H$66*Popn!AG$22/Popn!AF$22,Exogenous!$I$66*Popn!AG$122/Popn!AF$122,Exogenous!$H$67*Popn!AG$23/Popn!AF$23,Exogenous!$I$67*Popn!AG$123/Popn!AF$123)-1</f>
        <v>5.8418090524092747E-5</v>
      </c>
      <c r="AA263" s="72">
        <f>SUM(Exogenous!$H$59*Popn!AH$15/Popn!AG$15,Exogenous!$I$59*Popn!AH$115/Popn!AG$115,Exogenous!$H$60*Popn!AH$16/Popn!AG$16,Exogenous!$I$60*Popn!AH$116/Popn!AG$116,Exogenous!$H$61*Popn!AH$17/Popn!AG$17,Exogenous!$I$61*Popn!AH$117/Popn!AG$117,Exogenous!$H$62*Popn!AH$18/Popn!AG$18,Exogenous!$I$62*Popn!AH$118/Popn!AG$118,Exogenous!$H$63*Popn!AH$19/Popn!AG$19,Exogenous!$I$63*Popn!AH$119/Popn!AG$119,Exogenous!$H$64*Popn!AH$20/Popn!AG$20,Exogenous!$I$64*Popn!AH$120/Popn!AG$120,Exogenous!$H$65*Popn!AH$21/Popn!AG$21,Exogenous!$I$65*Popn!AH$121/Popn!AG$121,Exogenous!$H$66*Popn!AH$22/Popn!AG$22,Exogenous!$I$66*Popn!AH$122/Popn!AG$122,Exogenous!$H$67*Popn!AH$23/Popn!AG$23,Exogenous!$I$67*Popn!AH$123/Popn!AG$123)-1</f>
        <v>-6.3296511107469033E-4</v>
      </c>
      <c r="AB263" s="72">
        <f>SUM(Exogenous!$H$59*Popn!AI$15/Popn!AH$15,Exogenous!$I$59*Popn!AI$115/Popn!AH$115,Exogenous!$H$60*Popn!AI$16/Popn!AH$16,Exogenous!$I$60*Popn!AI$116/Popn!AH$116,Exogenous!$H$61*Popn!AI$17/Popn!AH$17,Exogenous!$I$61*Popn!AI$117/Popn!AH$117,Exogenous!$H$62*Popn!AI$18/Popn!AH$18,Exogenous!$I$62*Popn!AI$118/Popn!AH$118,Exogenous!$H$63*Popn!AI$19/Popn!AH$19,Exogenous!$I$63*Popn!AI$119/Popn!AH$119,Exogenous!$H$64*Popn!AI$20/Popn!AH$20,Exogenous!$I$64*Popn!AI$120/Popn!AH$120,Exogenous!$H$65*Popn!AI$21/Popn!AH$21,Exogenous!$I$65*Popn!AI$121/Popn!AH$121,Exogenous!$H$66*Popn!AI$22/Popn!AH$22,Exogenous!$I$66*Popn!AI$122/Popn!AH$122,Exogenous!$H$67*Popn!AI$23/Popn!AH$23,Exogenous!$I$67*Popn!AI$123/Popn!AH$123)-1</f>
        <v>-1.3083234392219367E-3</v>
      </c>
      <c r="AC263" s="72">
        <f>SUM(Exogenous!$H$59*Popn!AJ$15/Popn!AI$15,Exogenous!$I$59*Popn!AJ$115/Popn!AI$115,Exogenous!$H$60*Popn!AJ$16/Popn!AI$16,Exogenous!$I$60*Popn!AJ$116/Popn!AI$116,Exogenous!$H$61*Popn!AJ$17/Popn!AI$17,Exogenous!$I$61*Popn!AJ$117/Popn!AI$117,Exogenous!$H$62*Popn!AJ$18/Popn!AI$18,Exogenous!$I$62*Popn!AJ$118/Popn!AI$118,Exogenous!$H$63*Popn!AJ$19/Popn!AI$19,Exogenous!$I$63*Popn!AJ$119/Popn!AI$119,Exogenous!$H$64*Popn!AJ$20/Popn!AI$20,Exogenous!$I$64*Popn!AJ$120/Popn!AI$120,Exogenous!$H$65*Popn!AJ$21/Popn!AI$21,Exogenous!$I$65*Popn!AJ$121/Popn!AI$121,Exogenous!$H$66*Popn!AJ$22/Popn!AI$22,Exogenous!$I$66*Popn!AJ$122/Popn!AI$122,Exogenous!$H$67*Popn!AJ$23/Popn!AI$23,Exogenous!$I$67*Popn!AJ$123/Popn!AI$123)-1</f>
        <v>-1.6416079700611874E-3</v>
      </c>
      <c r="AD263" s="72">
        <f>SUM(Exogenous!$H$59*Popn!AK$15/Popn!AJ$15,Exogenous!$I$59*Popn!AK$115/Popn!AJ$115,Exogenous!$H$60*Popn!AK$16/Popn!AJ$16,Exogenous!$I$60*Popn!AK$116/Popn!AJ$116,Exogenous!$H$61*Popn!AK$17/Popn!AJ$17,Exogenous!$I$61*Popn!AK$117/Popn!AJ$117,Exogenous!$H$62*Popn!AK$18/Popn!AJ$18,Exogenous!$I$62*Popn!AK$118/Popn!AJ$118,Exogenous!$H$63*Popn!AK$19/Popn!AJ$19,Exogenous!$I$63*Popn!AK$119/Popn!AJ$119,Exogenous!$H$64*Popn!AK$20/Popn!AJ$20,Exogenous!$I$64*Popn!AK$120/Popn!AJ$120,Exogenous!$H$65*Popn!AK$21/Popn!AJ$21,Exogenous!$I$65*Popn!AK$121/Popn!AJ$121,Exogenous!$H$66*Popn!AK$22/Popn!AJ$22,Exogenous!$I$66*Popn!AK$122/Popn!AJ$122,Exogenous!$H$67*Popn!AK$23/Popn!AJ$23,Exogenous!$I$67*Popn!AK$123/Popn!AJ$123)-1</f>
        <v>-1.7746582361968244E-3</v>
      </c>
      <c r="AE263" s="72">
        <f>SUM(Exogenous!$H$59*Popn!AL$15/Popn!AK$15,Exogenous!$I$59*Popn!AL$115/Popn!AK$115,Exogenous!$H$60*Popn!AL$16/Popn!AK$16,Exogenous!$I$60*Popn!AL$116/Popn!AK$116,Exogenous!$H$61*Popn!AL$17/Popn!AK$17,Exogenous!$I$61*Popn!AL$117/Popn!AK$117,Exogenous!$H$62*Popn!AL$18/Popn!AK$18,Exogenous!$I$62*Popn!AL$118/Popn!AK$118,Exogenous!$H$63*Popn!AL$19/Popn!AK$19,Exogenous!$I$63*Popn!AL$119/Popn!AK$119,Exogenous!$H$64*Popn!AL$20/Popn!AK$20,Exogenous!$I$64*Popn!AL$120/Popn!AK$120,Exogenous!$H$65*Popn!AL$21/Popn!AK$21,Exogenous!$I$65*Popn!AL$121/Popn!AK$121,Exogenous!$H$66*Popn!AL$22/Popn!AK$22,Exogenous!$I$66*Popn!AL$122/Popn!AK$122,Exogenous!$H$67*Popn!AL$23/Popn!AK$23,Exogenous!$I$67*Popn!AL$123/Popn!AK$123)-1</f>
        <v>-1.7609719121971512E-3</v>
      </c>
      <c r="AF263" s="72">
        <f>SUM(Exogenous!$H$59*Popn!AM$15/Popn!AL$15,Exogenous!$I$59*Popn!AM$115/Popn!AL$115,Exogenous!$H$60*Popn!AM$16/Popn!AL$16,Exogenous!$I$60*Popn!AM$116/Popn!AL$116,Exogenous!$H$61*Popn!AM$17/Popn!AL$17,Exogenous!$I$61*Popn!AM$117/Popn!AL$117,Exogenous!$H$62*Popn!AM$18/Popn!AL$18,Exogenous!$I$62*Popn!AM$118/Popn!AL$118,Exogenous!$H$63*Popn!AM$19/Popn!AL$19,Exogenous!$I$63*Popn!AM$119/Popn!AL$119,Exogenous!$H$64*Popn!AM$20/Popn!AL$20,Exogenous!$I$64*Popn!AM$120/Popn!AL$120,Exogenous!$H$65*Popn!AM$21/Popn!AL$21,Exogenous!$I$65*Popn!AM$121/Popn!AL$121,Exogenous!$H$66*Popn!AM$22/Popn!AL$22,Exogenous!$I$66*Popn!AM$122/Popn!AL$122,Exogenous!$H$67*Popn!AM$23/Popn!AL$23,Exogenous!$I$67*Popn!AM$123/Popn!AL$123)-1</f>
        <v>-1.4854923132381348E-3</v>
      </c>
      <c r="AG263" s="72">
        <f>SUM(Exogenous!$H$59*Popn!AN$15/Popn!AM$15,Exogenous!$I$59*Popn!AN$115/Popn!AM$115,Exogenous!$H$60*Popn!AN$16/Popn!AM$16,Exogenous!$I$60*Popn!AN$116/Popn!AM$116,Exogenous!$H$61*Popn!AN$17/Popn!AM$17,Exogenous!$I$61*Popn!AN$117/Popn!AM$117,Exogenous!$H$62*Popn!AN$18/Popn!AM$18,Exogenous!$I$62*Popn!AN$118/Popn!AM$118,Exogenous!$H$63*Popn!AN$19/Popn!AM$19,Exogenous!$I$63*Popn!AN$119/Popn!AM$119,Exogenous!$H$64*Popn!AN$20/Popn!AM$20,Exogenous!$I$64*Popn!AN$120/Popn!AM$120,Exogenous!$H$65*Popn!AN$21/Popn!AM$21,Exogenous!$I$65*Popn!AN$121/Popn!AM$121,Exogenous!$H$66*Popn!AN$22/Popn!AM$22,Exogenous!$I$66*Popn!AN$122/Popn!AM$122,Exogenous!$H$67*Popn!AN$23/Popn!AM$23,Exogenous!$I$67*Popn!AN$123/Popn!AM$123)-1</f>
        <v>-1.1918598690876525E-3</v>
      </c>
      <c r="AH263" s="72">
        <f>SUM(Exogenous!$H$59*Popn!AO$15/Popn!AN$15,Exogenous!$I$59*Popn!AO$115/Popn!AN$115,Exogenous!$H$60*Popn!AO$16/Popn!AN$16,Exogenous!$I$60*Popn!AO$116/Popn!AN$116,Exogenous!$H$61*Popn!AO$17/Popn!AN$17,Exogenous!$I$61*Popn!AO$117/Popn!AN$117,Exogenous!$H$62*Popn!AO$18/Popn!AN$18,Exogenous!$I$62*Popn!AO$118/Popn!AN$118,Exogenous!$H$63*Popn!AO$19/Popn!AN$19,Exogenous!$I$63*Popn!AO$119/Popn!AN$119,Exogenous!$H$64*Popn!AO$20/Popn!AN$20,Exogenous!$I$64*Popn!AO$120/Popn!AN$120,Exogenous!$H$65*Popn!AO$21/Popn!AN$21,Exogenous!$I$65*Popn!AO$121/Popn!AN$121,Exogenous!$H$66*Popn!AO$22/Popn!AN$22,Exogenous!$I$66*Popn!AO$122/Popn!AN$122,Exogenous!$H$67*Popn!AO$23/Popn!AN$23,Exogenous!$I$67*Popn!AO$123/Popn!AN$123)-1</f>
        <v>-6.6909355689825922E-4</v>
      </c>
      <c r="AI263" s="72">
        <f>SUM(Exogenous!$H$59*Popn!AP$15/Popn!AO$15,Exogenous!$I$59*Popn!AP$115/Popn!AO$115,Exogenous!$H$60*Popn!AP$16/Popn!AO$16,Exogenous!$I$60*Popn!AP$116/Popn!AO$116,Exogenous!$H$61*Popn!AP$17/Popn!AO$17,Exogenous!$I$61*Popn!AP$117/Popn!AO$117,Exogenous!$H$62*Popn!AP$18/Popn!AO$18,Exogenous!$I$62*Popn!AP$118/Popn!AO$118,Exogenous!$H$63*Popn!AP$19/Popn!AO$19,Exogenous!$I$63*Popn!AP$119/Popn!AO$119,Exogenous!$H$64*Popn!AP$20/Popn!AO$20,Exogenous!$I$64*Popn!AP$120/Popn!AO$120,Exogenous!$H$65*Popn!AP$21/Popn!AO$21,Exogenous!$I$65*Popn!AP$121/Popn!AO$121,Exogenous!$H$66*Popn!AP$22/Popn!AO$22,Exogenous!$I$66*Popn!AP$122/Popn!AO$122,Exogenous!$H$67*Popn!AP$23/Popn!AO$23,Exogenous!$I$67*Popn!AP$123/Popn!AO$123)-1</f>
        <v>-2.259800096140463E-4</v>
      </c>
      <c r="AJ263" s="72">
        <f>SUM(Exogenous!$H$59*Popn!AQ$15/Popn!AP$15,Exogenous!$I$59*Popn!AQ$115/Popn!AP$115,Exogenous!$H$60*Popn!AQ$16/Popn!AP$16,Exogenous!$I$60*Popn!AQ$116/Popn!AP$116,Exogenous!$H$61*Popn!AQ$17/Popn!AP$17,Exogenous!$I$61*Popn!AQ$117/Popn!AP$117,Exogenous!$H$62*Popn!AQ$18/Popn!AP$18,Exogenous!$I$62*Popn!AQ$118/Popn!AP$118,Exogenous!$H$63*Popn!AQ$19/Popn!AP$19,Exogenous!$I$63*Popn!AQ$119/Popn!AP$119,Exogenous!$H$64*Popn!AQ$20/Popn!AP$20,Exogenous!$I$64*Popn!AQ$120/Popn!AP$120,Exogenous!$H$65*Popn!AQ$21/Popn!AP$21,Exogenous!$I$65*Popn!AQ$121/Popn!AP$121,Exogenous!$H$66*Popn!AQ$22/Popn!AP$22,Exogenous!$I$66*Popn!AQ$122/Popn!AP$122,Exogenous!$H$67*Popn!AQ$23/Popn!AP$23,Exogenous!$I$67*Popn!AQ$123/Popn!AP$123)-1</f>
        <v>2.9283632817800331E-4</v>
      </c>
      <c r="AK263" s="72">
        <f>SUM(Exogenous!$H$59*Popn!AR$15/Popn!AQ$15,Exogenous!$I$59*Popn!AR$115/Popn!AQ$115,Exogenous!$H$60*Popn!AR$16/Popn!AQ$16,Exogenous!$I$60*Popn!AR$116/Popn!AQ$116,Exogenous!$H$61*Popn!AR$17/Popn!AQ$17,Exogenous!$I$61*Popn!AR$117/Popn!AQ$117,Exogenous!$H$62*Popn!AR$18/Popn!AQ$18,Exogenous!$I$62*Popn!AR$118/Popn!AQ$118,Exogenous!$H$63*Popn!AR$19/Popn!AQ$19,Exogenous!$I$63*Popn!AR$119/Popn!AQ$119,Exogenous!$H$64*Popn!AR$20/Popn!AQ$20,Exogenous!$I$64*Popn!AR$120/Popn!AQ$120,Exogenous!$H$65*Popn!AR$21/Popn!AQ$21,Exogenous!$I$65*Popn!AR$121/Popn!AQ$121,Exogenous!$H$66*Popn!AR$22/Popn!AQ$22,Exogenous!$I$66*Popn!AR$122/Popn!AQ$122,Exogenous!$H$67*Popn!AR$23/Popn!AQ$23,Exogenous!$I$67*Popn!AR$123/Popn!AQ$123)-1</f>
        <v>5.791024444010695E-4</v>
      </c>
      <c r="AL263" s="72">
        <f>SUM(Exogenous!$H$59*Popn!AS$15/Popn!AR$15,Exogenous!$I$59*Popn!AS$115/Popn!AR$115,Exogenous!$H$60*Popn!AS$16/Popn!AR$16,Exogenous!$I$60*Popn!AS$116/Popn!AR$116,Exogenous!$H$61*Popn!AS$17/Popn!AR$17,Exogenous!$I$61*Popn!AS$117/Popn!AR$117,Exogenous!$H$62*Popn!AS$18/Popn!AR$18,Exogenous!$I$62*Popn!AS$118/Popn!AR$118,Exogenous!$H$63*Popn!AS$19/Popn!AR$19,Exogenous!$I$63*Popn!AS$119/Popn!AR$119,Exogenous!$H$64*Popn!AS$20/Popn!AR$20,Exogenous!$I$64*Popn!AS$120/Popn!AR$120,Exogenous!$H$65*Popn!AS$21/Popn!AR$21,Exogenous!$I$65*Popn!AS$121/Popn!AR$121,Exogenous!$H$66*Popn!AS$22/Popn!AR$22,Exogenous!$I$66*Popn!AS$122/Popn!AR$122,Exogenous!$H$67*Popn!AS$23/Popn!AR$23,Exogenous!$I$67*Popn!AS$123/Popn!AR$123)-1</f>
        <v>8.6363423992530386E-4</v>
      </c>
      <c r="AM263" s="72">
        <f>SUM(Exogenous!$H$59*Popn!AT$15/Popn!AS$15,Exogenous!$I$59*Popn!AT$115/Popn!AS$115,Exogenous!$H$60*Popn!AT$16/Popn!AS$16,Exogenous!$I$60*Popn!AT$116/Popn!AS$116,Exogenous!$H$61*Popn!AT$17/Popn!AS$17,Exogenous!$I$61*Popn!AT$117/Popn!AS$117,Exogenous!$H$62*Popn!AT$18/Popn!AS$18,Exogenous!$I$62*Popn!AT$118/Popn!AS$118,Exogenous!$H$63*Popn!AT$19/Popn!AS$19,Exogenous!$I$63*Popn!AT$119/Popn!AS$119,Exogenous!$H$64*Popn!AT$20/Popn!AS$20,Exogenous!$I$64*Popn!AT$120/Popn!AS$120,Exogenous!$H$65*Popn!AT$21/Popn!AS$21,Exogenous!$I$65*Popn!AT$121/Popn!AS$121,Exogenous!$H$66*Popn!AT$22/Popn!AS$22,Exogenous!$I$66*Popn!AT$122/Popn!AS$122,Exogenous!$H$67*Popn!AT$23/Popn!AS$23,Exogenous!$I$67*Popn!AT$123/Popn!AS$123)-1</f>
        <v>1.0010713356327638E-3</v>
      </c>
      <c r="AN263" s="72">
        <f>SUM(Exogenous!$H$59*Popn!AU$15/Popn!AT$15,Exogenous!$I$59*Popn!AU$115/Popn!AT$115,Exogenous!$H$60*Popn!AU$16/Popn!AT$16,Exogenous!$I$60*Popn!AU$116/Popn!AT$116,Exogenous!$H$61*Popn!AU$17/Popn!AT$17,Exogenous!$I$61*Popn!AU$117/Popn!AT$117,Exogenous!$H$62*Popn!AU$18/Popn!AT$18,Exogenous!$I$62*Popn!AU$118/Popn!AT$118,Exogenous!$H$63*Popn!AU$19/Popn!AT$19,Exogenous!$I$63*Popn!AU$119/Popn!AT$119,Exogenous!$H$64*Popn!AU$20/Popn!AT$20,Exogenous!$I$64*Popn!AU$120/Popn!AT$120,Exogenous!$H$65*Popn!AU$21/Popn!AT$21,Exogenous!$I$65*Popn!AU$121/Popn!AT$121,Exogenous!$H$66*Popn!AU$22/Popn!AT$22,Exogenous!$I$66*Popn!AU$122/Popn!AT$122,Exogenous!$H$67*Popn!AU$23/Popn!AT$23,Exogenous!$I$67*Popn!AU$123/Popn!AT$123)-1</f>
        <v>9.9044155455119132E-4</v>
      </c>
      <c r="AO263" s="72">
        <f>SUM(Exogenous!$H$59*Popn!AV$15/Popn!AU$15,Exogenous!$I$59*Popn!AV$115/Popn!AU$115,Exogenous!$H$60*Popn!AV$16/Popn!AU$16,Exogenous!$I$60*Popn!AV$116/Popn!AU$116,Exogenous!$H$61*Popn!AV$17/Popn!AU$17,Exogenous!$I$61*Popn!AV$117/Popn!AU$117,Exogenous!$H$62*Popn!AV$18/Popn!AU$18,Exogenous!$I$62*Popn!AV$118/Popn!AU$118,Exogenous!$H$63*Popn!AV$19/Popn!AU$19,Exogenous!$I$63*Popn!AV$119/Popn!AU$119,Exogenous!$H$64*Popn!AV$20/Popn!AU$20,Exogenous!$I$64*Popn!AV$120/Popn!AU$120,Exogenous!$H$65*Popn!AV$21/Popn!AU$21,Exogenous!$I$65*Popn!AV$121/Popn!AU$121,Exogenous!$H$66*Popn!AV$22/Popn!AU$22,Exogenous!$I$66*Popn!AV$122/Popn!AU$122,Exogenous!$H$67*Popn!AV$23/Popn!AU$23,Exogenous!$I$67*Popn!AV$123/Popn!AU$123)-1</f>
        <v>1.0068750080374222E-3</v>
      </c>
      <c r="AP263" s="72">
        <f>SUM(Exogenous!$H$59*Popn!AW$15/Popn!AV$15,Exogenous!$I$59*Popn!AW$115/Popn!AV$115,Exogenous!$H$60*Popn!AW$16/Popn!AV$16,Exogenous!$I$60*Popn!AW$116/Popn!AV$116,Exogenous!$H$61*Popn!AW$17/Popn!AV$17,Exogenous!$I$61*Popn!AW$117/Popn!AV$117,Exogenous!$H$62*Popn!AW$18/Popn!AV$18,Exogenous!$I$62*Popn!AW$118/Popn!AV$118,Exogenous!$H$63*Popn!AW$19/Popn!AV$19,Exogenous!$I$63*Popn!AW$119/Popn!AV$119,Exogenous!$H$64*Popn!AW$20/Popn!AV$20,Exogenous!$I$64*Popn!AW$120/Popn!AV$120,Exogenous!$H$65*Popn!AW$21/Popn!AV$21,Exogenous!$I$65*Popn!AW$121/Popn!AV$121,Exogenous!$H$66*Popn!AW$22/Popn!AV$22,Exogenous!$I$66*Popn!AW$122/Popn!AV$122,Exogenous!$H$67*Popn!AW$23/Popn!AV$23,Exogenous!$I$67*Popn!AW$123/Popn!AV$123)-1</f>
        <v>8.746957716805337E-4</v>
      </c>
      <c r="AQ263" s="72">
        <f>SUM(Exogenous!$H$59*Popn!AX$15/Popn!AW$15,Exogenous!$I$59*Popn!AX$115/Popn!AW$115,Exogenous!$H$60*Popn!AX$16/Popn!AW$16,Exogenous!$I$60*Popn!AX$116/Popn!AW$116,Exogenous!$H$61*Popn!AX$17/Popn!AW$17,Exogenous!$I$61*Popn!AX$117/Popn!AW$117,Exogenous!$H$62*Popn!AX$18/Popn!AW$18,Exogenous!$I$62*Popn!AX$118/Popn!AW$118,Exogenous!$H$63*Popn!AX$19/Popn!AW$19,Exogenous!$I$63*Popn!AX$119/Popn!AW$119,Exogenous!$H$64*Popn!AX$20/Popn!AW$20,Exogenous!$I$64*Popn!AX$120/Popn!AW$120,Exogenous!$H$65*Popn!AX$21/Popn!AW$21,Exogenous!$I$65*Popn!AX$121/Popn!AW$121,Exogenous!$H$66*Popn!AX$22/Popn!AW$22,Exogenous!$I$66*Popn!AX$122/Popn!AW$122,Exogenous!$H$67*Popn!AX$23/Popn!AW$23,Exogenous!$I$67*Popn!AX$123/Popn!AW$123)-1</f>
        <v>7.5820149214012034E-4</v>
      </c>
      <c r="AR263" s="72">
        <f>SUM(Exogenous!$H$59*Popn!AY$15/Popn!AX$15,Exogenous!$I$59*Popn!AY$115/Popn!AX$115,Exogenous!$H$60*Popn!AY$16/Popn!AX$16,Exogenous!$I$60*Popn!AY$116/Popn!AX$116,Exogenous!$H$61*Popn!AY$17/Popn!AX$17,Exogenous!$I$61*Popn!AY$117/Popn!AX$117,Exogenous!$H$62*Popn!AY$18/Popn!AX$18,Exogenous!$I$62*Popn!AY$118/Popn!AX$118,Exogenous!$H$63*Popn!AY$19/Popn!AX$19,Exogenous!$I$63*Popn!AY$119/Popn!AX$119,Exogenous!$H$64*Popn!AY$20/Popn!AX$20,Exogenous!$I$64*Popn!AY$120/Popn!AX$120,Exogenous!$H$65*Popn!AY$21/Popn!AX$21,Exogenous!$I$65*Popn!AY$121/Popn!AX$121,Exogenous!$H$66*Popn!AY$22/Popn!AX$22,Exogenous!$I$66*Popn!AY$122/Popn!AX$122,Exogenous!$H$67*Popn!AY$23/Popn!AX$23,Exogenous!$I$67*Popn!AY$123/Popn!AX$123)-1</f>
        <v>7.5189896644412002E-4</v>
      </c>
      <c r="AS263" s="72">
        <f>SUM(Exogenous!$H$59*Popn!AZ$15/Popn!AY$15,Exogenous!$I$59*Popn!AZ$115/Popn!AY$115,Exogenous!$H$60*Popn!AZ$16/Popn!AY$16,Exogenous!$I$60*Popn!AZ$116/Popn!AY$116,Exogenous!$H$61*Popn!AZ$17/Popn!AY$17,Exogenous!$I$61*Popn!AZ$117/Popn!AY$117,Exogenous!$H$62*Popn!AZ$18/Popn!AY$18,Exogenous!$I$62*Popn!AZ$118/Popn!AY$118,Exogenous!$H$63*Popn!AZ$19/Popn!AY$19,Exogenous!$I$63*Popn!AZ$119/Popn!AY$119,Exogenous!$H$64*Popn!AZ$20/Popn!AY$20,Exogenous!$I$64*Popn!AZ$120/Popn!AY$120,Exogenous!$H$65*Popn!AZ$21/Popn!AY$21,Exogenous!$I$65*Popn!AZ$121/Popn!AY$121,Exogenous!$H$66*Popn!AZ$22/Popn!AY$22,Exogenous!$I$66*Popn!AZ$122/Popn!AY$122,Exogenous!$H$67*Popn!AZ$23/Popn!AY$23,Exogenous!$I$67*Popn!AZ$123/Popn!AY$123)-1</f>
        <v>7.0579794752956282E-4</v>
      </c>
      <c r="AT263" s="72">
        <f>SUM(Exogenous!$H$59*Popn!BA$15/Popn!AZ$15,Exogenous!$I$59*Popn!BA$115/Popn!AZ$115,Exogenous!$H$60*Popn!BA$16/Popn!AZ$16,Exogenous!$I$60*Popn!BA$116/Popn!AZ$116,Exogenous!$H$61*Popn!BA$17/Popn!AZ$17,Exogenous!$I$61*Popn!BA$117/Popn!AZ$117,Exogenous!$H$62*Popn!BA$18/Popn!AZ$18,Exogenous!$I$62*Popn!BA$118/Popn!AZ$118,Exogenous!$H$63*Popn!BA$19/Popn!AZ$19,Exogenous!$I$63*Popn!BA$119/Popn!AZ$119,Exogenous!$H$64*Popn!BA$20/Popn!AZ$20,Exogenous!$I$64*Popn!BA$120/Popn!AZ$120,Exogenous!$H$65*Popn!BA$21/Popn!AZ$21,Exogenous!$I$65*Popn!BA$121/Popn!AZ$121,Exogenous!$H$66*Popn!BA$22/Popn!AZ$22,Exogenous!$I$66*Popn!BA$122/Popn!AZ$122,Exogenous!$H$67*Popn!BA$23/Popn!AZ$23,Exogenous!$I$67*Popn!BA$123/Popn!AZ$123)-1</f>
        <v>7.562813049610817E-4</v>
      </c>
      <c r="AU263" s="72">
        <f>SUM(Exogenous!$H$59*Popn!BB$15/Popn!BA$15,Exogenous!$I$59*Popn!BB$115/Popn!BA$115,Exogenous!$H$60*Popn!BB$16/Popn!BA$16,Exogenous!$I$60*Popn!BB$116/Popn!BA$116,Exogenous!$H$61*Popn!BB$17/Popn!BA$17,Exogenous!$I$61*Popn!BB$117/Popn!BA$117,Exogenous!$H$62*Popn!BB$18/Popn!BA$18,Exogenous!$I$62*Popn!BB$118/Popn!BA$118,Exogenous!$H$63*Popn!BB$19/Popn!BA$19,Exogenous!$I$63*Popn!BB$119/Popn!BA$119,Exogenous!$H$64*Popn!BB$20/Popn!BA$20,Exogenous!$I$64*Popn!BB$120/Popn!BA$120,Exogenous!$H$65*Popn!BB$21/Popn!BA$21,Exogenous!$I$65*Popn!BB$121/Popn!BA$121,Exogenous!$H$66*Popn!BB$22/Popn!BA$22,Exogenous!$I$66*Popn!BB$122/Popn!BA$122,Exogenous!$H$67*Popn!BB$23/Popn!BA$23,Exogenous!$I$67*Popn!BB$123/Popn!BA$123)-1</f>
        <v>9.2178233049899916E-4</v>
      </c>
      <c r="AV263" s="72">
        <f>SUM(Exogenous!$H$59*Popn!BC$15/Popn!BB$15,Exogenous!$I$59*Popn!BC$115/Popn!BB$115,Exogenous!$H$60*Popn!BC$16/Popn!BB$16,Exogenous!$I$60*Popn!BC$116/Popn!BB$116,Exogenous!$H$61*Popn!BC$17/Popn!BB$17,Exogenous!$I$61*Popn!BC$117/Popn!BB$117,Exogenous!$H$62*Popn!BC$18/Popn!BB$18,Exogenous!$I$62*Popn!BC$118/Popn!BB$118,Exogenous!$H$63*Popn!BC$19/Popn!BB$19,Exogenous!$I$63*Popn!BC$119/Popn!BB$119,Exogenous!$H$64*Popn!BC$20/Popn!BB$20,Exogenous!$I$64*Popn!BC$120/Popn!BB$120,Exogenous!$H$65*Popn!BC$21/Popn!BB$21,Exogenous!$I$65*Popn!BC$121/Popn!BB$121,Exogenous!$H$66*Popn!BC$22/Popn!BB$22,Exogenous!$I$66*Popn!BC$122/Popn!BB$122,Exogenous!$H$67*Popn!BC$23/Popn!BB$23,Exogenous!$I$67*Popn!BC$123/Popn!BB$123)-1</f>
        <v>1.1495335914786242E-3</v>
      </c>
      <c r="AW263" s="72">
        <f>SUM(Exogenous!$H$59*Popn!BD$15/Popn!BC$15,Exogenous!$I$59*Popn!BD$115/Popn!BC$115,Exogenous!$H$60*Popn!BD$16/Popn!BC$16,Exogenous!$I$60*Popn!BD$116/Popn!BC$116,Exogenous!$H$61*Popn!BD$17/Popn!BC$17,Exogenous!$I$61*Popn!BD$117/Popn!BC$117,Exogenous!$H$62*Popn!BD$18/Popn!BC$18,Exogenous!$I$62*Popn!BD$118/Popn!BC$118,Exogenous!$H$63*Popn!BD$19/Popn!BC$19,Exogenous!$I$63*Popn!BD$119/Popn!BC$119,Exogenous!$H$64*Popn!BD$20/Popn!BC$20,Exogenous!$I$64*Popn!BD$120/Popn!BC$120,Exogenous!$H$65*Popn!BD$21/Popn!BC$21,Exogenous!$I$65*Popn!BD$121/Popn!BC$121,Exogenous!$H$66*Popn!BD$22/Popn!BC$22,Exogenous!$I$66*Popn!BD$122/Popn!BC$122,Exogenous!$H$67*Popn!BD$23/Popn!BC$23,Exogenous!$I$67*Popn!BD$123/Popn!BC$123)-1</f>
        <v>1.3760662184436612E-3</v>
      </c>
    </row>
    <row r="264" spans="1:49" x14ac:dyDescent="0.2">
      <c r="A264" s="1" t="s">
        <v>863</v>
      </c>
      <c r="D264" s="73">
        <f>SUM(Exogenous!$O$59*Popn!K$23/Popn!J$23,Exogenous!$P$59*Popn!K$123/Popn!J$123,Exogenous!$O$60*Popn!K$24/Popn!J$24,Exogenous!$P$60*Popn!K$124/Popn!J$124,Exogenous!$O$61*Popn!K$25/Popn!J$25,Exogenous!$P$61*Popn!K$125/Popn!J$125,Exogenous!$O$62*Popn!K$26/Popn!J$26,Exogenous!$P$62*Popn!K$126/Popn!J$126,Exogenous!$O$63*Popn!K$27/Popn!J$27,Exogenous!$P$63*Popn!K$127/Popn!J$127,Exogenous!$O$64*Popn!K$28/Popn!J$28,Exogenous!$P$64*Popn!K$128/Popn!J$128,Exogenous!$O$65*SUM(Popn!K$29:K$30)/SUM(Popn!J$29:J$30),Exogenous!$P$65*SUM(Popn!K$129:K$130)/SUM(Popn!J$129:J$130))-1</f>
        <v>-1.6687762882959811E-3</v>
      </c>
      <c r="E264" s="74">
        <f>SUM(Exogenous!$O$59*Popn!L$23/Popn!K$23,Exogenous!$P$59*Popn!L$123/Popn!K$123,Exogenous!$O$60*Popn!L$24/Popn!K$24,Exogenous!$P$60*Popn!L$124/Popn!K$124,Exogenous!$O$61*Popn!L$25/Popn!K$25,Exogenous!$P$61*Popn!L$125/Popn!K$125,Exogenous!$O$62*Popn!L$26/Popn!K$26,Exogenous!$P$62*Popn!L$126/Popn!K$126,Exogenous!$O$63*Popn!L$27/Popn!K$27,Exogenous!$P$63*Popn!L$127/Popn!K$127,Exogenous!$O$64*Popn!L$28/Popn!K$28,Exogenous!$P$64*Popn!L$128/Popn!K$128,Exogenous!$O$65*SUM(Popn!L$29:L$30)/SUM(Popn!K$29:K$30),Exogenous!$P$65*SUM(Popn!L$129:L$130)/SUM(Popn!K$129:K$130))-1</f>
        <v>-1.0346893625142517E-2</v>
      </c>
      <c r="F264" s="74">
        <f>SUM(Exogenous!$O$59*Popn!M$23/Popn!L$23,Exogenous!$P$59*Popn!M$123/Popn!L$123,Exogenous!$O$60*Popn!M$24/Popn!L$24,Exogenous!$P$60*Popn!M$124/Popn!L$124,Exogenous!$O$61*Popn!M$25/Popn!L$25,Exogenous!$P$61*Popn!M$125/Popn!L$125,Exogenous!$O$62*Popn!M$26/Popn!L$26,Exogenous!$P$62*Popn!M$126/Popn!L$126,Exogenous!$O$63*Popn!M$27/Popn!L$27,Exogenous!$P$63*Popn!M$127/Popn!L$127,Exogenous!$O$64*Popn!M$28/Popn!L$28,Exogenous!$P$64*Popn!M$128/Popn!L$128,Exogenous!$O$65*SUM(Popn!M$29:M$30)/SUM(Popn!L$29:L$30),Exogenous!$P$65*SUM(Popn!M$129:M$130)/SUM(Popn!L$129:L$130))-1</f>
        <v>-1.0262794628205896E-2</v>
      </c>
      <c r="G264" s="74">
        <f>SUM(Exogenous!$O$59*Popn!N$23/Popn!M$23,Exogenous!$P$59*Popn!N$123/Popn!M$123,Exogenous!$O$60*Popn!N$24/Popn!M$24,Exogenous!$P$60*Popn!N$124/Popn!M$124,Exogenous!$O$61*Popn!N$25/Popn!M$25,Exogenous!$P$61*Popn!N$125/Popn!M$125,Exogenous!$O$62*Popn!N$26/Popn!M$26,Exogenous!$P$62*Popn!N$126/Popn!M$126,Exogenous!$O$63*Popn!N$27/Popn!M$27,Exogenous!$P$63*Popn!N$127/Popn!M$127,Exogenous!$O$64*Popn!N$28/Popn!M$28,Exogenous!$P$64*Popn!N$128/Popn!M$128,Exogenous!$O$65*SUM(Popn!N$29:N$30)/SUM(Popn!M$29:M$30),Exogenous!$P$65*SUM(Popn!N$129:N$130)/SUM(Popn!M$129:M$130))-1</f>
        <v>-9.1859921612054141E-3</v>
      </c>
      <c r="H264" s="74">
        <f>SUM(Exogenous!$O$59*Popn!O$23/Popn!N$23,Exogenous!$P$59*Popn!O$123/Popn!N$123,Exogenous!$O$60*Popn!O$24/Popn!N$24,Exogenous!$P$60*Popn!O$124/Popn!N$124,Exogenous!$O$61*Popn!O$25/Popn!N$25,Exogenous!$P$61*Popn!O$125/Popn!N$125,Exogenous!$O$62*Popn!O$26/Popn!N$26,Exogenous!$P$62*Popn!O$126/Popn!N$126,Exogenous!$O$63*Popn!O$27/Popn!N$27,Exogenous!$P$63*Popn!O$127/Popn!N$127,Exogenous!$O$64*Popn!O$28/Popn!N$28,Exogenous!$P$64*Popn!O$128/Popn!N$128,Exogenous!$O$65*SUM(Popn!O$29:O$30)/SUM(Popn!N$29:N$30),Exogenous!$P$65*SUM(Popn!O$129:O$130)/SUM(Popn!N$129:N$130))-1</f>
        <v>-4.0712186390390315E-3</v>
      </c>
      <c r="I264" s="74">
        <f>SUM(Exogenous!$O$59*Popn!P$23/Popn!O$23,Exogenous!$P$59*Popn!P$123/Popn!O$123,Exogenous!$O$60*Popn!P$24/Popn!O$24,Exogenous!$P$60*Popn!P$124/Popn!O$124,Exogenous!$O$61*Popn!P$25/Popn!O$25,Exogenous!$P$61*Popn!P$125/Popn!O$125,Exogenous!$O$62*Popn!P$26/Popn!O$26,Exogenous!$P$62*Popn!P$126/Popn!O$126,Exogenous!$O$63*Popn!P$27/Popn!O$27,Exogenous!$P$63*Popn!P$127/Popn!O$127,Exogenous!$O$64*Popn!P$28/Popn!O$28,Exogenous!$P$64*Popn!P$128/Popn!O$128,Exogenous!$O$65*SUM(Popn!P$29:P$30)/SUM(Popn!O$29:O$30),Exogenous!$P$65*SUM(Popn!P$129:P$130)/SUM(Popn!O$129:O$130))-1</f>
        <v>9.1913461335302316E-3</v>
      </c>
      <c r="J264" s="72">
        <f>SUM(Exogenous!$O$59*Popn!Q$23/Popn!P$23,Exogenous!$P$59*Popn!Q$123/Popn!P$123,Exogenous!$O$60*Popn!Q$24/Popn!P$24,Exogenous!$P$60*Popn!Q$124/Popn!P$124,Exogenous!$O$61*Popn!Q$25/Popn!P$25,Exogenous!$P$61*Popn!Q$125/Popn!P$125,Exogenous!$O$62*Popn!Q$26/Popn!P$26,Exogenous!$P$62*Popn!Q$126/Popn!P$126,Exogenous!$O$63*Popn!Q$27/Popn!P$27,Exogenous!$P$63*Popn!Q$127/Popn!P$127,Exogenous!$O$64*Popn!Q$28/Popn!P$28,Exogenous!$P$64*Popn!Q$128/Popn!P$128,Exogenous!$O$65*SUM(Popn!Q$29:Q$30)/SUM(Popn!P$29:P$30),Exogenous!$P$65*SUM(Popn!Q$129:Q$130)/SUM(Popn!P$129:P$130))-1</f>
        <v>1.9502463406628756E-2</v>
      </c>
      <c r="K264" s="72">
        <f>SUM(Exogenous!$O$59*Popn!R$23/Popn!Q$23,Exogenous!$P$59*Popn!R$123/Popn!Q$123,Exogenous!$O$60*Popn!R$24/Popn!Q$24,Exogenous!$P$60*Popn!R$124/Popn!Q$124,Exogenous!$O$61*Popn!R$25/Popn!Q$25,Exogenous!$P$61*Popn!R$125/Popn!Q$125,Exogenous!$O$62*Popn!R$26/Popn!Q$26,Exogenous!$P$62*Popn!R$126/Popn!Q$126,Exogenous!$O$63*Popn!R$27/Popn!Q$27,Exogenous!$P$63*Popn!R$127/Popn!Q$127,Exogenous!$O$64*Popn!R$28/Popn!Q$28,Exogenous!$P$64*Popn!R$128/Popn!Q$128,Exogenous!$O$65*SUM(Popn!R$29:R$30)/SUM(Popn!Q$29:Q$30),Exogenous!$P$65*SUM(Popn!R$129:R$130)/SUM(Popn!Q$129:Q$130))-1</f>
        <v>2.1600845995984441E-2</v>
      </c>
      <c r="L264" s="72">
        <f>SUM(Exogenous!$O$59*Popn!S$23/Popn!R$23,Exogenous!$P$59*Popn!S$123/Popn!R$123,Exogenous!$O$60*Popn!S$24/Popn!R$24,Exogenous!$P$60*Popn!S$124/Popn!R$124,Exogenous!$O$61*Popn!S$25/Popn!R$25,Exogenous!$P$61*Popn!S$125/Popn!R$125,Exogenous!$O$62*Popn!S$26/Popn!R$26,Exogenous!$P$62*Popn!S$126/Popn!R$126,Exogenous!$O$63*Popn!S$27/Popn!R$27,Exogenous!$P$63*Popn!S$127/Popn!R$127,Exogenous!$O$64*Popn!S$28/Popn!R$28,Exogenous!$P$64*Popn!S$128/Popn!R$128,Exogenous!$O$65*SUM(Popn!S$29:S$30)/SUM(Popn!R$29:R$30),Exogenous!$P$65*SUM(Popn!S$129:S$130)/SUM(Popn!R$129:R$130))-1</f>
        <v>2.1466265211579572E-2</v>
      </c>
      <c r="M264" s="72">
        <f>SUM(Exogenous!$O$59*Popn!T$23/Popn!S$23,Exogenous!$P$59*Popn!T$123/Popn!S$123,Exogenous!$O$60*Popn!T$24/Popn!S$24,Exogenous!$P$60*Popn!T$124/Popn!S$124,Exogenous!$O$61*Popn!T$25/Popn!S$25,Exogenous!$P$61*Popn!T$125/Popn!S$125,Exogenous!$O$62*Popn!T$26/Popn!S$26,Exogenous!$P$62*Popn!T$126/Popn!S$126,Exogenous!$O$63*Popn!T$27/Popn!S$27,Exogenous!$P$63*Popn!T$127/Popn!S$127,Exogenous!$O$64*Popn!T$28/Popn!S$28,Exogenous!$P$64*Popn!T$128/Popn!S$128,Exogenous!$O$65*SUM(Popn!T$29:T$30)/SUM(Popn!S$29:S$30),Exogenous!$P$65*SUM(Popn!T$129:T$130)/SUM(Popn!S$129:S$130))-1</f>
        <v>1.507247447048643E-2</v>
      </c>
      <c r="N264" s="72">
        <f>SUM(Exogenous!$O$59*Popn!U$23/Popn!T$23,Exogenous!$P$59*Popn!U$123/Popn!T$123,Exogenous!$O$60*Popn!U$24/Popn!T$24,Exogenous!$P$60*Popn!U$124/Popn!T$124,Exogenous!$O$61*Popn!U$25/Popn!T$25,Exogenous!$P$61*Popn!U$125/Popn!T$125,Exogenous!$O$62*Popn!U$26/Popn!T$26,Exogenous!$P$62*Popn!U$126/Popn!T$126,Exogenous!$O$63*Popn!U$27/Popn!T$27,Exogenous!$P$63*Popn!U$127/Popn!T$127,Exogenous!$O$64*Popn!U$28/Popn!T$28,Exogenous!$P$64*Popn!U$128/Popn!T$128,Exogenous!$O$65*SUM(Popn!U$29:U$30)/SUM(Popn!T$29:T$30),Exogenous!$P$65*SUM(Popn!U$129:U$130)/SUM(Popn!T$129:T$130))-1</f>
        <v>2.1689712107100245E-3</v>
      </c>
      <c r="O264" s="72">
        <f>SUM(Exogenous!$O$59*Popn!V$23/Popn!U$23,Exogenous!$P$59*Popn!V$123/Popn!U$123,Exogenous!$O$60*Popn!V$24/Popn!U$24,Exogenous!$P$60*Popn!V$124/Popn!U$124,Exogenous!$O$61*Popn!V$25/Popn!U$25,Exogenous!$P$61*Popn!V$125/Popn!U$125,Exogenous!$O$62*Popn!V$26/Popn!U$26,Exogenous!$P$62*Popn!V$126/Popn!U$126,Exogenous!$O$63*Popn!V$27/Popn!U$27,Exogenous!$P$63*Popn!V$127/Popn!U$127,Exogenous!$O$64*Popn!V$28/Popn!U$28,Exogenous!$P$64*Popn!V$128/Popn!U$128,Exogenous!$O$65*SUM(Popn!V$29:V$30)/SUM(Popn!U$29:U$30),Exogenous!$P$65*SUM(Popn!V$129:V$130)/SUM(Popn!U$129:U$130))-1</f>
        <v>-7.8357760889041783E-3</v>
      </c>
      <c r="P264" s="72">
        <f>SUM(Exogenous!$O$59*Popn!W$23/Popn!V$23,Exogenous!$P$59*Popn!W$123/Popn!V$123,Exogenous!$O$60*Popn!W$24/Popn!V$24,Exogenous!$P$60*Popn!W$124/Popn!V$124,Exogenous!$O$61*Popn!W$25/Popn!V$25,Exogenous!$P$61*Popn!W$125/Popn!V$125,Exogenous!$O$62*Popn!W$26/Popn!V$26,Exogenous!$P$62*Popn!W$126/Popn!V$126,Exogenous!$O$63*Popn!W$27/Popn!V$27,Exogenous!$P$63*Popn!W$127/Popn!V$127,Exogenous!$O$64*Popn!W$28/Popn!V$28,Exogenous!$P$64*Popn!W$128/Popn!V$128,Exogenous!$O$65*SUM(Popn!W$29:W$30)/SUM(Popn!V$29:V$30),Exogenous!$P$65*SUM(Popn!W$129:W$130)/SUM(Popn!V$129:V$130))-1</f>
        <v>-1.4155429592809576E-2</v>
      </c>
      <c r="Q264" s="72">
        <f>SUM(Exogenous!$O$59*Popn!X$23/Popn!W$23,Exogenous!$P$59*Popn!X$123/Popn!W$123,Exogenous!$O$60*Popn!X$24/Popn!W$24,Exogenous!$P$60*Popn!X$124/Popn!W$124,Exogenous!$O$61*Popn!X$25/Popn!W$25,Exogenous!$P$61*Popn!X$125/Popn!W$125,Exogenous!$O$62*Popn!X$26/Popn!W$26,Exogenous!$P$62*Popn!X$126/Popn!W$126,Exogenous!$O$63*Popn!X$27/Popn!W$27,Exogenous!$P$63*Popn!X$127/Popn!W$127,Exogenous!$O$64*Popn!X$28/Popn!W$28,Exogenous!$P$64*Popn!X$128/Popn!W$128,Exogenous!$O$65*SUM(Popn!X$29:X$30)/SUM(Popn!W$29:W$30),Exogenous!$P$65*SUM(Popn!X$129:X$130)/SUM(Popn!W$129:W$130))-1</f>
        <v>-1.9306891060415055E-2</v>
      </c>
      <c r="R264" s="72">
        <f>SUM(Exogenous!$O$59*Popn!Y$23/Popn!X$23,Exogenous!$P$59*Popn!Y$123/Popn!X$123,Exogenous!$O$60*Popn!Y$24/Popn!X$24,Exogenous!$P$60*Popn!Y$124/Popn!X$124,Exogenous!$O$61*Popn!Y$25/Popn!X$25,Exogenous!$P$61*Popn!Y$125/Popn!X$125,Exogenous!$O$62*Popn!Y$26/Popn!X$26,Exogenous!$P$62*Popn!Y$126/Popn!X$126,Exogenous!$O$63*Popn!Y$27/Popn!X$27,Exogenous!$P$63*Popn!Y$127/Popn!X$127,Exogenous!$O$64*Popn!Y$28/Popn!X$28,Exogenous!$P$64*Popn!Y$128/Popn!X$128,Exogenous!$O$65*SUM(Popn!Y$29:Y$30)/SUM(Popn!X$29:X$30),Exogenous!$P$65*SUM(Popn!Y$129:Y$130)/SUM(Popn!X$129:X$130))-1</f>
        <v>-1.5793975593539566E-2</v>
      </c>
      <c r="S264" s="72">
        <f>SUM(Exogenous!$O$59*Popn!Z$23/Popn!Y$23,Exogenous!$P$59*Popn!Z$123/Popn!Y$123,Exogenous!$O$60*Popn!Z$24/Popn!Y$24,Exogenous!$P$60*Popn!Z$124/Popn!Y$124,Exogenous!$O$61*Popn!Z$25/Popn!Y$25,Exogenous!$P$61*Popn!Z$125/Popn!Y$125,Exogenous!$O$62*Popn!Z$26/Popn!Y$26,Exogenous!$P$62*Popn!Z$126/Popn!Y$126,Exogenous!$O$63*Popn!Z$27/Popn!Y$27,Exogenous!$P$63*Popn!Z$127/Popn!Y$127,Exogenous!$O$64*Popn!Z$28/Popn!Y$28,Exogenous!$P$64*Popn!Z$128/Popn!Y$128,Exogenous!$O$65*SUM(Popn!Z$29:Z$30)/SUM(Popn!Y$29:Y$30),Exogenous!$P$65*SUM(Popn!Z$129:Z$130)/SUM(Popn!Y$129:Y$130))-1</f>
        <v>-8.6418303729849377E-3</v>
      </c>
      <c r="T264" s="72">
        <f>SUM(Exogenous!$O$59*Popn!AA$23/Popn!Z$23,Exogenous!$P$59*Popn!AA$123/Popn!Z$123,Exogenous!$O$60*Popn!AA$24/Popn!Z$24,Exogenous!$P$60*Popn!AA$124/Popn!Z$124,Exogenous!$O$61*Popn!AA$25/Popn!Z$25,Exogenous!$P$61*Popn!AA$125/Popn!Z$125,Exogenous!$O$62*Popn!AA$26/Popn!Z$26,Exogenous!$P$62*Popn!AA$126/Popn!Z$126,Exogenous!$O$63*Popn!AA$27/Popn!Z$27,Exogenous!$P$63*Popn!AA$127/Popn!Z$127,Exogenous!$O$64*Popn!AA$28/Popn!Z$28,Exogenous!$P$64*Popn!AA$128/Popn!Z$128,Exogenous!$O$65*SUM(Popn!AA$29:AA$30)/SUM(Popn!Z$29:Z$30),Exogenous!$P$65*SUM(Popn!AA$129:AA$130)/SUM(Popn!Z$129:Z$130))-1</f>
        <v>-1.9310516343066242E-3</v>
      </c>
      <c r="U264" s="72">
        <f>SUM(Exogenous!$O$59*Popn!AB$23/Popn!AA$23,Exogenous!$P$59*Popn!AB$123/Popn!AA$123,Exogenous!$O$60*Popn!AB$24/Popn!AA$24,Exogenous!$P$60*Popn!AB$124/Popn!AA$124,Exogenous!$O$61*Popn!AB$25/Popn!AA$25,Exogenous!$P$61*Popn!AB$125/Popn!AA$125,Exogenous!$O$62*Popn!AB$26/Popn!AA$26,Exogenous!$P$62*Popn!AB$126/Popn!AA$126,Exogenous!$O$63*Popn!AB$27/Popn!AA$27,Exogenous!$P$63*Popn!AB$127/Popn!AA$127,Exogenous!$O$64*Popn!AB$28/Popn!AA$28,Exogenous!$P$64*Popn!AB$128/Popn!AA$128,Exogenous!$O$65*SUM(Popn!AB$29:AB$30)/SUM(Popn!AA$29:AA$30),Exogenous!$P$65*SUM(Popn!AB$129:AB$130)/SUM(Popn!AA$129:AA$130))-1</f>
        <v>4.7510732465008143E-3</v>
      </c>
      <c r="V264" s="72">
        <f>SUM(Exogenous!$O$59*Popn!AC$23/Popn!AB$23,Exogenous!$P$59*Popn!AC$123/Popn!AB$123,Exogenous!$O$60*Popn!AC$24/Popn!AB$24,Exogenous!$P$60*Popn!AC$124/Popn!AB$124,Exogenous!$O$61*Popn!AC$25/Popn!AB$25,Exogenous!$P$61*Popn!AC$125/Popn!AB$125,Exogenous!$O$62*Popn!AC$26/Popn!AB$26,Exogenous!$P$62*Popn!AC$126/Popn!AB$126,Exogenous!$O$63*Popn!AC$27/Popn!AB$27,Exogenous!$P$63*Popn!AC$127/Popn!AB$127,Exogenous!$O$64*Popn!AC$28/Popn!AB$28,Exogenous!$P$64*Popn!AC$128/Popn!AB$128,Exogenous!$O$65*SUM(Popn!AC$29:AC$30)/SUM(Popn!AB$29:AB$30),Exogenous!$P$65*SUM(Popn!AC$129:AC$130)/SUM(Popn!AB$129:AB$130))-1</f>
        <v>8.3850785817813911E-3</v>
      </c>
      <c r="W264" s="72">
        <f>SUM(Exogenous!$O$59*Popn!AD$23/Popn!AC$23,Exogenous!$P$59*Popn!AD$123/Popn!AC$123,Exogenous!$O$60*Popn!AD$24/Popn!AC$24,Exogenous!$P$60*Popn!AD$124/Popn!AC$124,Exogenous!$O$61*Popn!AD$25/Popn!AC$25,Exogenous!$P$61*Popn!AD$125/Popn!AC$125,Exogenous!$O$62*Popn!AD$26/Popn!AC$26,Exogenous!$P$62*Popn!AD$126/Popn!AC$126,Exogenous!$O$63*Popn!AD$27/Popn!AC$27,Exogenous!$P$63*Popn!AD$127/Popn!AC$127,Exogenous!$O$64*Popn!AD$28/Popn!AC$28,Exogenous!$P$64*Popn!AD$128/Popn!AC$128,Exogenous!$O$65*SUM(Popn!AD$29:AD$30)/SUM(Popn!AC$29:AC$30),Exogenous!$P$65*SUM(Popn!AD$129:AD$130)/SUM(Popn!AC$129:AC$130))-1</f>
        <v>8.5005415869592316E-3</v>
      </c>
      <c r="X264" s="72">
        <f>SUM(Exogenous!$O$59*Popn!AE$23/Popn!AD$23,Exogenous!$P$59*Popn!AE$123/Popn!AD$123,Exogenous!$O$60*Popn!AE$24/Popn!AD$24,Exogenous!$P$60*Popn!AE$124/Popn!AD$124,Exogenous!$O$61*Popn!AE$25/Popn!AD$25,Exogenous!$P$61*Popn!AE$125/Popn!AD$125,Exogenous!$O$62*Popn!AE$26/Popn!AD$26,Exogenous!$P$62*Popn!AE$126/Popn!AD$126,Exogenous!$O$63*Popn!AE$27/Popn!AD$27,Exogenous!$P$63*Popn!AE$127/Popn!AD$127,Exogenous!$O$64*Popn!AE$28/Popn!AD$28,Exogenous!$P$64*Popn!AE$128/Popn!AD$128,Exogenous!$O$65*SUM(Popn!AE$29:AE$30)/SUM(Popn!AD$29:AD$30),Exogenous!$P$65*SUM(Popn!AE$129:AE$130)/SUM(Popn!AD$129:AD$130))-1</f>
        <v>8.11685056915179E-3</v>
      </c>
      <c r="Y264" s="72">
        <f>SUM(Exogenous!$O$59*Popn!AF$23/Popn!AE$23,Exogenous!$P$59*Popn!AF$123/Popn!AE$123,Exogenous!$O$60*Popn!AF$24/Popn!AE$24,Exogenous!$P$60*Popn!AF$124/Popn!AE$124,Exogenous!$O$61*Popn!AF$25/Popn!AE$25,Exogenous!$P$61*Popn!AF$125/Popn!AE$125,Exogenous!$O$62*Popn!AF$26/Popn!AE$26,Exogenous!$P$62*Popn!AF$126/Popn!AE$126,Exogenous!$O$63*Popn!AF$27/Popn!AE$27,Exogenous!$P$63*Popn!AF$127/Popn!AE$127,Exogenous!$O$64*Popn!AF$28/Popn!AE$28,Exogenous!$P$64*Popn!AF$128/Popn!AE$128,Exogenous!$O$65*SUM(Popn!AF$29:AF$30)/SUM(Popn!AE$29:AE$30),Exogenous!$P$65*SUM(Popn!AF$129:AF$130)/SUM(Popn!AE$129:AE$130))-1</f>
        <v>7.6103791501711537E-3</v>
      </c>
      <c r="Z264" s="72">
        <f>SUM(Exogenous!$O$59*Popn!AG$23/Popn!AF$23,Exogenous!$P$59*Popn!AG$123/Popn!AF$123,Exogenous!$O$60*Popn!AG$24/Popn!AF$24,Exogenous!$P$60*Popn!AG$124/Popn!AF$124,Exogenous!$O$61*Popn!AG$25/Popn!AF$25,Exogenous!$P$61*Popn!AG$125/Popn!AF$125,Exogenous!$O$62*Popn!AG$26/Popn!AF$26,Exogenous!$P$62*Popn!AG$126/Popn!AF$126,Exogenous!$O$63*Popn!AG$27/Popn!AF$27,Exogenous!$P$63*Popn!AG$127/Popn!AF$127,Exogenous!$O$64*Popn!AG$28/Popn!AF$28,Exogenous!$P$64*Popn!AG$128/Popn!AF$128,Exogenous!$O$65*SUM(Popn!AG$29:AG$30)/SUM(Popn!AF$29:AF$30),Exogenous!$P$65*SUM(Popn!AG$129:AG$130)/SUM(Popn!AF$129:AF$130))-1</f>
        <v>6.656083963764825E-3</v>
      </c>
      <c r="AA264" s="72">
        <f>SUM(Exogenous!$O$59*Popn!AH$23/Popn!AG$23,Exogenous!$P$59*Popn!AH$123/Popn!AG$123,Exogenous!$O$60*Popn!AH$24/Popn!AG$24,Exogenous!$P$60*Popn!AH$124/Popn!AG$124,Exogenous!$O$61*Popn!AH$25/Popn!AG$25,Exogenous!$P$61*Popn!AH$125/Popn!AG$125,Exogenous!$O$62*Popn!AH$26/Popn!AG$26,Exogenous!$P$62*Popn!AH$126/Popn!AG$126,Exogenous!$O$63*Popn!AH$27/Popn!AG$27,Exogenous!$P$63*Popn!AH$127/Popn!AG$127,Exogenous!$O$64*Popn!AH$28/Popn!AG$28,Exogenous!$P$64*Popn!AH$128/Popn!AG$128,Exogenous!$O$65*SUM(Popn!AH$29:AH$30)/SUM(Popn!AG$29:AG$30),Exogenous!$P$65*SUM(Popn!AH$129:AH$130)/SUM(Popn!AG$129:AG$130))-1</f>
        <v>5.5958229954902183E-3</v>
      </c>
      <c r="AB264" s="72">
        <f>SUM(Exogenous!$O$59*Popn!AI$23/Popn!AH$23,Exogenous!$P$59*Popn!AI$123/Popn!AH$123,Exogenous!$O$60*Popn!AI$24/Popn!AH$24,Exogenous!$P$60*Popn!AI$124/Popn!AH$124,Exogenous!$O$61*Popn!AI$25/Popn!AH$25,Exogenous!$P$61*Popn!AI$125/Popn!AH$125,Exogenous!$O$62*Popn!AI$26/Popn!AH$26,Exogenous!$P$62*Popn!AI$126/Popn!AH$126,Exogenous!$O$63*Popn!AI$27/Popn!AH$27,Exogenous!$P$63*Popn!AI$127/Popn!AH$127,Exogenous!$O$64*Popn!AI$28/Popn!AH$28,Exogenous!$P$64*Popn!AI$128/Popn!AH$128,Exogenous!$O$65*SUM(Popn!AI$29:AI$30)/SUM(Popn!AH$29:AH$30),Exogenous!$P$65*SUM(Popn!AI$129:AI$130)/SUM(Popn!AH$129:AH$130))-1</f>
        <v>4.6752391217796951E-3</v>
      </c>
      <c r="AC264" s="72">
        <f>SUM(Exogenous!$O$59*Popn!AJ$23/Popn!AI$23,Exogenous!$P$59*Popn!AJ$123/Popn!AI$123,Exogenous!$O$60*Popn!AJ$24/Popn!AI$24,Exogenous!$P$60*Popn!AJ$124/Popn!AI$124,Exogenous!$O$61*Popn!AJ$25/Popn!AI$25,Exogenous!$P$61*Popn!AJ$125/Popn!AI$125,Exogenous!$O$62*Popn!AJ$26/Popn!AI$26,Exogenous!$P$62*Popn!AJ$126/Popn!AI$126,Exogenous!$O$63*Popn!AJ$27/Popn!AI$27,Exogenous!$P$63*Popn!AJ$127/Popn!AI$127,Exogenous!$O$64*Popn!AJ$28/Popn!AI$28,Exogenous!$P$64*Popn!AJ$128/Popn!AI$128,Exogenous!$O$65*SUM(Popn!AJ$29:AJ$30)/SUM(Popn!AI$29:AI$30),Exogenous!$P$65*SUM(Popn!AJ$129:AJ$130)/SUM(Popn!AI$129:AI$130))-1</f>
        <v>3.4697009225395092E-3</v>
      </c>
      <c r="AD264" s="72">
        <f>SUM(Exogenous!$O$59*Popn!AK$23/Popn!AJ$23,Exogenous!$P$59*Popn!AK$123/Popn!AJ$123,Exogenous!$O$60*Popn!AK$24/Popn!AJ$24,Exogenous!$P$60*Popn!AK$124/Popn!AJ$124,Exogenous!$O$61*Popn!AK$25/Popn!AJ$25,Exogenous!$P$61*Popn!AK$125/Popn!AJ$125,Exogenous!$O$62*Popn!AK$26/Popn!AJ$26,Exogenous!$P$62*Popn!AK$126/Popn!AJ$126,Exogenous!$O$63*Popn!AK$27/Popn!AJ$27,Exogenous!$P$63*Popn!AK$127/Popn!AJ$127,Exogenous!$O$64*Popn!AK$28/Popn!AJ$28,Exogenous!$P$64*Popn!AK$128/Popn!AJ$128,Exogenous!$O$65*SUM(Popn!AK$29:AK$30)/SUM(Popn!AJ$29:AJ$30),Exogenous!$P$65*SUM(Popn!AK$129:AK$130)/SUM(Popn!AJ$129:AJ$130))-1</f>
        <v>2.5080566270629934E-3</v>
      </c>
      <c r="AE264" s="72">
        <f>SUM(Exogenous!$O$59*Popn!AL$23/Popn!AK$23,Exogenous!$P$59*Popn!AL$123/Popn!AK$123,Exogenous!$O$60*Popn!AL$24/Popn!AK$24,Exogenous!$P$60*Popn!AL$124/Popn!AK$124,Exogenous!$O$61*Popn!AL$25/Popn!AK$25,Exogenous!$P$61*Popn!AL$125/Popn!AK$125,Exogenous!$O$62*Popn!AL$26/Popn!AK$26,Exogenous!$P$62*Popn!AL$126/Popn!AK$126,Exogenous!$O$63*Popn!AL$27/Popn!AK$27,Exogenous!$P$63*Popn!AL$127/Popn!AK$127,Exogenous!$O$64*Popn!AL$28/Popn!AK$28,Exogenous!$P$64*Popn!AL$128/Popn!AK$128,Exogenous!$O$65*SUM(Popn!AL$29:AL$30)/SUM(Popn!AK$29:AK$30),Exogenous!$P$65*SUM(Popn!AL$129:AL$130)/SUM(Popn!AK$129:AK$130))-1</f>
        <v>1.5081562719447827E-3</v>
      </c>
      <c r="AF264" s="72">
        <f>SUM(Exogenous!$O$59*Popn!AM$23/Popn!AL$23,Exogenous!$P$59*Popn!AM$123/Popn!AL$123,Exogenous!$O$60*Popn!AM$24/Popn!AL$24,Exogenous!$P$60*Popn!AM$124/Popn!AL$124,Exogenous!$O$61*Popn!AM$25/Popn!AL$25,Exogenous!$P$61*Popn!AM$125/Popn!AL$125,Exogenous!$O$62*Popn!AM$26/Popn!AL$26,Exogenous!$P$62*Popn!AM$126/Popn!AL$126,Exogenous!$O$63*Popn!AM$27/Popn!AL$27,Exogenous!$P$63*Popn!AM$127/Popn!AL$127,Exogenous!$O$64*Popn!AM$28/Popn!AL$28,Exogenous!$P$64*Popn!AM$128/Popn!AL$128,Exogenous!$O$65*SUM(Popn!AM$29:AM$30)/SUM(Popn!AL$29:AL$30),Exogenous!$P$65*SUM(Popn!AM$129:AM$130)/SUM(Popn!AL$129:AL$130))-1</f>
        <v>4.4648659873036678E-4</v>
      </c>
      <c r="AG264" s="72">
        <f>SUM(Exogenous!$O$59*Popn!AN$23/Popn!AM$23,Exogenous!$P$59*Popn!AN$123/Popn!AM$123,Exogenous!$O$60*Popn!AN$24/Popn!AM$24,Exogenous!$P$60*Popn!AN$124/Popn!AM$124,Exogenous!$O$61*Popn!AN$25/Popn!AM$25,Exogenous!$P$61*Popn!AN$125/Popn!AM$125,Exogenous!$O$62*Popn!AN$26/Popn!AM$26,Exogenous!$P$62*Popn!AN$126/Popn!AM$126,Exogenous!$O$63*Popn!AN$27/Popn!AM$27,Exogenous!$P$63*Popn!AN$127/Popn!AM$127,Exogenous!$O$64*Popn!AN$28/Popn!AM$28,Exogenous!$P$64*Popn!AN$128/Popn!AM$128,Exogenous!$O$65*SUM(Popn!AN$29:AN$30)/SUM(Popn!AM$29:AM$30),Exogenous!$P$65*SUM(Popn!AN$129:AN$130)/SUM(Popn!AM$129:AM$130))-1</f>
        <v>-4.3735217024098993E-4</v>
      </c>
      <c r="AH264" s="72">
        <f>SUM(Exogenous!$O$59*Popn!AO$23/Popn!AN$23,Exogenous!$P$59*Popn!AO$123/Popn!AN$123,Exogenous!$O$60*Popn!AO$24/Popn!AN$24,Exogenous!$P$60*Popn!AO$124/Popn!AN$124,Exogenous!$O$61*Popn!AO$25/Popn!AN$25,Exogenous!$P$61*Popn!AO$125/Popn!AN$125,Exogenous!$O$62*Popn!AO$26/Popn!AN$26,Exogenous!$P$62*Popn!AO$126/Popn!AN$126,Exogenous!$O$63*Popn!AO$27/Popn!AN$27,Exogenous!$P$63*Popn!AO$127/Popn!AN$127,Exogenous!$O$64*Popn!AO$28/Popn!AN$28,Exogenous!$P$64*Popn!AO$128/Popn!AN$128,Exogenous!$O$65*SUM(Popn!AO$29:AO$30)/SUM(Popn!AN$29:AN$30),Exogenous!$P$65*SUM(Popn!AO$129:AO$130)/SUM(Popn!AN$129:AN$130))-1</f>
        <v>-1.1897149841514354E-3</v>
      </c>
      <c r="AI264" s="72">
        <f>SUM(Exogenous!$O$59*Popn!AP$23/Popn!AO$23,Exogenous!$P$59*Popn!AP$123/Popn!AO$123,Exogenous!$O$60*Popn!AP$24/Popn!AO$24,Exogenous!$P$60*Popn!AP$124/Popn!AO$124,Exogenous!$O$61*Popn!AP$25/Popn!AO$25,Exogenous!$P$61*Popn!AP$125/Popn!AO$125,Exogenous!$O$62*Popn!AP$26/Popn!AO$26,Exogenous!$P$62*Popn!AP$126/Popn!AO$126,Exogenous!$O$63*Popn!AP$27/Popn!AO$27,Exogenous!$P$63*Popn!AP$127/Popn!AO$127,Exogenous!$O$64*Popn!AP$28/Popn!AO$28,Exogenous!$P$64*Popn!AP$128/Popn!AO$128,Exogenous!$O$65*SUM(Popn!AP$29:AP$30)/SUM(Popn!AO$29:AO$30),Exogenous!$P$65*SUM(Popn!AP$129:AP$130)/SUM(Popn!AO$129:AO$130))-1</f>
        <v>-1.8971668676263098E-3</v>
      </c>
      <c r="AJ264" s="72">
        <f>SUM(Exogenous!$O$59*Popn!AQ$23/Popn!AP$23,Exogenous!$P$59*Popn!AQ$123/Popn!AP$123,Exogenous!$O$60*Popn!AQ$24/Popn!AP$24,Exogenous!$P$60*Popn!AQ$124/Popn!AP$124,Exogenous!$O$61*Popn!AQ$25/Popn!AP$25,Exogenous!$P$61*Popn!AQ$125/Popn!AP$125,Exogenous!$O$62*Popn!AQ$26/Popn!AP$26,Exogenous!$P$62*Popn!AQ$126/Popn!AP$126,Exogenous!$O$63*Popn!AQ$27/Popn!AP$27,Exogenous!$P$63*Popn!AQ$127/Popn!AP$127,Exogenous!$O$64*Popn!AQ$28/Popn!AP$28,Exogenous!$P$64*Popn!AQ$128/Popn!AP$128,Exogenous!$O$65*SUM(Popn!AQ$29:AQ$30)/SUM(Popn!AP$29:AP$30),Exogenous!$P$65*SUM(Popn!AQ$129:AQ$130)/SUM(Popn!AP$129:AP$130))-1</f>
        <v>-2.2591148925023008E-3</v>
      </c>
      <c r="AK264" s="72">
        <f>SUM(Exogenous!$O$59*Popn!AR$23/Popn!AQ$23,Exogenous!$P$59*Popn!AR$123/Popn!AQ$123,Exogenous!$O$60*Popn!AR$24/Popn!AQ$24,Exogenous!$P$60*Popn!AR$124/Popn!AQ$124,Exogenous!$O$61*Popn!AR$25/Popn!AQ$25,Exogenous!$P$61*Popn!AR$125/Popn!AQ$125,Exogenous!$O$62*Popn!AR$26/Popn!AQ$26,Exogenous!$P$62*Popn!AR$126/Popn!AQ$126,Exogenous!$O$63*Popn!AR$27/Popn!AQ$27,Exogenous!$P$63*Popn!AR$127/Popn!AQ$127,Exogenous!$O$64*Popn!AR$28/Popn!AQ$28,Exogenous!$P$64*Popn!AR$128/Popn!AQ$128,Exogenous!$O$65*SUM(Popn!AR$29:AR$30)/SUM(Popn!AQ$29:AQ$30),Exogenous!$P$65*SUM(Popn!AR$129:AR$130)/SUM(Popn!AQ$129:AQ$130))-1</f>
        <v>-2.2905915331851157E-3</v>
      </c>
      <c r="AL264" s="72">
        <f>SUM(Exogenous!$O$59*Popn!AS$23/Popn!AR$23,Exogenous!$P$59*Popn!AS$123/Popn!AR$123,Exogenous!$O$60*Popn!AS$24/Popn!AR$24,Exogenous!$P$60*Popn!AS$124/Popn!AR$124,Exogenous!$O$61*Popn!AS$25/Popn!AR$25,Exogenous!$P$61*Popn!AS$125/Popn!AR$125,Exogenous!$O$62*Popn!AS$26/Popn!AR$26,Exogenous!$P$62*Popn!AS$126/Popn!AR$126,Exogenous!$O$63*Popn!AS$27/Popn!AR$27,Exogenous!$P$63*Popn!AS$127/Popn!AR$127,Exogenous!$O$64*Popn!AS$28/Popn!AR$28,Exogenous!$P$64*Popn!AS$128/Popn!AR$128,Exogenous!$O$65*SUM(Popn!AS$29:AS$30)/SUM(Popn!AR$29:AR$30),Exogenous!$P$65*SUM(Popn!AS$129:AS$130)/SUM(Popn!AR$129:AR$130))-1</f>
        <v>-2.0474567121867571E-3</v>
      </c>
      <c r="AM264" s="72">
        <f>SUM(Exogenous!$O$59*Popn!AT$23/Popn!AS$23,Exogenous!$P$59*Popn!AT$123/Popn!AS$123,Exogenous!$O$60*Popn!AT$24/Popn!AS$24,Exogenous!$P$60*Popn!AT$124/Popn!AS$124,Exogenous!$O$61*Popn!AT$25/Popn!AS$25,Exogenous!$P$61*Popn!AT$125/Popn!AS$125,Exogenous!$O$62*Popn!AT$26/Popn!AS$26,Exogenous!$P$62*Popn!AT$126/Popn!AS$126,Exogenous!$O$63*Popn!AT$27/Popn!AS$27,Exogenous!$P$63*Popn!AT$127/Popn!AS$127,Exogenous!$O$64*Popn!AT$28/Popn!AS$28,Exogenous!$P$64*Popn!AT$128/Popn!AS$128,Exogenous!$O$65*SUM(Popn!AT$29:AT$30)/SUM(Popn!AS$29:AS$30),Exogenous!$P$65*SUM(Popn!AT$129:AT$130)/SUM(Popn!AS$129:AS$130))-1</f>
        <v>-1.6480014679346455E-3</v>
      </c>
      <c r="AN264" s="72">
        <f>SUM(Exogenous!$O$59*Popn!AU$23/Popn!AT$23,Exogenous!$P$59*Popn!AU$123/Popn!AT$123,Exogenous!$O$60*Popn!AU$24/Popn!AT$24,Exogenous!$P$60*Popn!AU$124/Popn!AT$124,Exogenous!$O$61*Popn!AU$25/Popn!AT$25,Exogenous!$P$61*Popn!AU$125/Popn!AT$125,Exogenous!$O$62*Popn!AU$26/Popn!AT$26,Exogenous!$P$62*Popn!AU$126/Popn!AT$126,Exogenous!$O$63*Popn!AU$27/Popn!AT$27,Exogenous!$P$63*Popn!AU$127/Popn!AT$127,Exogenous!$O$64*Popn!AU$28/Popn!AT$28,Exogenous!$P$64*Popn!AU$128/Popn!AT$128,Exogenous!$O$65*SUM(Popn!AU$29:AU$30)/SUM(Popn!AT$29:AT$30),Exogenous!$P$65*SUM(Popn!AU$129:AU$130)/SUM(Popn!AT$129:AT$130))-1</f>
        <v>-1.019708399175423E-3</v>
      </c>
      <c r="AO264" s="72">
        <f>SUM(Exogenous!$O$59*Popn!AV$23/Popn!AU$23,Exogenous!$P$59*Popn!AV$123/Popn!AU$123,Exogenous!$O$60*Popn!AV$24/Popn!AU$24,Exogenous!$P$60*Popn!AV$124/Popn!AU$124,Exogenous!$O$61*Popn!AV$25/Popn!AU$25,Exogenous!$P$61*Popn!AV$125/Popn!AU$125,Exogenous!$O$62*Popn!AV$26/Popn!AU$26,Exogenous!$P$62*Popn!AV$126/Popn!AU$126,Exogenous!$O$63*Popn!AV$27/Popn!AU$27,Exogenous!$P$63*Popn!AV$127/Popn!AU$127,Exogenous!$O$64*Popn!AV$28/Popn!AU$28,Exogenous!$P$64*Popn!AV$128/Popn!AU$128,Exogenous!$O$65*SUM(Popn!AV$29:AV$30)/SUM(Popn!AU$29:AU$30),Exogenous!$P$65*SUM(Popn!AV$129:AV$130)/SUM(Popn!AU$129:AU$130))-1</f>
        <v>-3.6942199628609007E-4</v>
      </c>
      <c r="AP264" s="72">
        <f>SUM(Exogenous!$O$59*Popn!AW$23/Popn!AV$23,Exogenous!$P$59*Popn!AW$123/Popn!AV$123,Exogenous!$O$60*Popn!AW$24/Popn!AV$24,Exogenous!$P$60*Popn!AW$124/Popn!AV$124,Exogenous!$O$61*Popn!AW$25/Popn!AV$25,Exogenous!$P$61*Popn!AW$125/Popn!AV$125,Exogenous!$O$62*Popn!AW$26/Popn!AV$26,Exogenous!$P$62*Popn!AW$126/Popn!AV$126,Exogenous!$O$63*Popn!AW$27/Popn!AV$27,Exogenous!$P$63*Popn!AW$127/Popn!AV$127,Exogenous!$O$64*Popn!AW$28/Popn!AV$28,Exogenous!$P$64*Popn!AW$128/Popn!AV$128,Exogenous!$O$65*SUM(Popn!AW$29:AW$30)/SUM(Popn!AV$29:AV$30),Exogenous!$P$65*SUM(Popn!AW$129:AW$130)/SUM(Popn!AV$129:AV$130))-1</f>
        <v>1.8929067109119124E-4</v>
      </c>
      <c r="AQ264" s="72">
        <f>SUM(Exogenous!$O$59*Popn!AX$23/Popn!AW$23,Exogenous!$P$59*Popn!AX$123/Popn!AW$123,Exogenous!$O$60*Popn!AX$24/Popn!AW$24,Exogenous!$P$60*Popn!AX$124/Popn!AW$124,Exogenous!$O$61*Popn!AX$25/Popn!AW$25,Exogenous!$P$61*Popn!AX$125/Popn!AW$125,Exogenous!$O$62*Popn!AX$26/Popn!AW$26,Exogenous!$P$62*Popn!AX$126/Popn!AW$126,Exogenous!$O$63*Popn!AX$27/Popn!AW$27,Exogenous!$P$63*Popn!AX$127/Popn!AW$127,Exogenous!$O$64*Popn!AX$28/Popn!AW$28,Exogenous!$P$64*Popn!AX$128/Popn!AW$128,Exogenous!$O$65*SUM(Popn!AX$29:AX$30)/SUM(Popn!AW$29:AW$30),Exogenous!$P$65*SUM(Popn!AX$129:AX$130)/SUM(Popn!AW$129:AW$130))-1</f>
        <v>7.7095069104626823E-4</v>
      </c>
      <c r="AR264" s="72">
        <f>SUM(Exogenous!$O$59*Popn!AY$23/Popn!AX$23,Exogenous!$P$59*Popn!AY$123/Popn!AX$123,Exogenous!$O$60*Popn!AY$24/Popn!AX$24,Exogenous!$P$60*Popn!AY$124/Popn!AX$124,Exogenous!$O$61*Popn!AY$25/Popn!AX$25,Exogenous!$P$61*Popn!AY$125/Popn!AX$125,Exogenous!$O$62*Popn!AY$26/Popn!AX$26,Exogenous!$P$62*Popn!AY$126/Popn!AX$126,Exogenous!$O$63*Popn!AY$27/Popn!AX$27,Exogenous!$P$63*Popn!AY$127/Popn!AX$127,Exogenous!$O$64*Popn!AY$28/Popn!AX$28,Exogenous!$P$64*Popn!AY$128/Popn!AX$128,Exogenous!$O$65*SUM(Popn!AY$29:AY$30)/SUM(Popn!AX$29:AX$30),Exogenous!$P$65*SUM(Popn!AY$129:AY$130)/SUM(Popn!AX$129:AX$130))-1</f>
        <v>1.0317939324182568E-3</v>
      </c>
      <c r="AS264" s="72">
        <f>SUM(Exogenous!$O$59*Popn!AZ$23/Popn!AY$23,Exogenous!$P$59*Popn!AZ$123/Popn!AY$123,Exogenous!$O$60*Popn!AZ$24/Popn!AY$24,Exogenous!$P$60*Popn!AZ$124/Popn!AY$124,Exogenous!$O$61*Popn!AZ$25/Popn!AY$25,Exogenous!$P$61*Popn!AZ$125/Popn!AY$125,Exogenous!$O$62*Popn!AZ$26/Popn!AY$26,Exogenous!$P$62*Popn!AZ$126/Popn!AY$126,Exogenous!$O$63*Popn!AZ$27/Popn!AY$27,Exogenous!$P$63*Popn!AZ$127/Popn!AY$127,Exogenous!$O$64*Popn!AZ$28/Popn!AY$28,Exogenous!$P$64*Popn!AZ$128/Popn!AY$128,Exogenous!$O$65*SUM(Popn!AZ$29:AZ$30)/SUM(Popn!AY$29:AY$30),Exogenous!$P$65*SUM(Popn!AZ$129:AZ$130)/SUM(Popn!AY$129:AY$130))-1</f>
        <v>1.1492055375519339E-3</v>
      </c>
      <c r="AT264" s="72">
        <f>SUM(Exogenous!$O$59*Popn!BA$23/Popn!AZ$23,Exogenous!$P$59*Popn!BA$123/Popn!AZ$123,Exogenous!$O$60*Popn!BA$24/Popn!AZ$24,Exogenous!$P$60*Popn!BA$124/Popn!AZ$124,Exogenous!$O$61*Popn!BA$25/Popn!AZ$25,Exogenous!$P$61*Popn!BA$125/Popn!AZ$125,Exogenous!$O$62*Popn!BA$26/Popn!AZ$26,Exogenous!$P$62*Popn!BA$126/Popn!AZ$126,Exogenous!$O$63*Popn!BA$27/Popn!AZ$27,Exogenous!$P$63*Popn!BA$127/Popn!AZ$127,Exogenous!$O$64*Popn!BA$28/Popn!AZ$28,Exogenous!$P$64*Popn!BA$128/Popn!AZ$128,Exogenous!$O$65*SUM(Popn!BA$29:BA$30)/SUM(Popn!AZ$29:AZ$30),Exogenous!$P$65*SUM(Popn!BA$129:BA$130)/SUM(Popn!AZ$129:AZ$130))-1</f>
        <v>1.2563089802970495E-3</v>
      </c>
      <c r="AU264" s="72">
        <f>SUM(Exogenous!$O$59*Popn!BB$23/Popn!BA$23,Exogenous!$P$59*Popn!BB$123/Popn!BA$123,Exogenous!$O$60*Popn!BB$24/Popn!BA$24,Exogenous!$P$60*Popn!BB$124/Popn!BA$124,Exogenous!$O$61*Popn!BB$25/Popn!BA$25,Exogenous!$P$61*Popn!BB$125/Popn!BA$125,Exogenous!$O$62*Popn!BB$26/Popn!BA$26,Exogenous!$P$62*Popn!BB$126/Popn!BA$126,Exogenous!$O$63*Popn!BB$27/Popn!BA$27,Exogenous!$P$63*Popn!BB$127/Popn!BA$127,Exogenous!$O$64*Popn!BB$28/Popn!BA$28,Exogenous!$P$64*Popn!BB$128/Popn!BA$128,Exogenous!$O$65*SUM(Popn!BB$29:BB$30)/SUM(Popn!BA$29:BA$30),Exogenous!$P$65*SUM(Popn!BB$129:BB$130)/SUM(Popn!BA$129:BA$130))-1</f>
        <v>1.1467016482904491E-3</v>
      </c>
      <c r="AV264" s="72">
        <f>SUM(Exogenous!$O$59*Popn!BC$23/Popn!BB$23,Exogenous!$P$59*Popn!BC$123/Popn!BB$123,Exogenous!$O$60*Popn!BC$24/Popn!BB$24,Exogenous!$P$60*Popn!BC$124/Popn!BB$124,Exogenous!$O$61*Popn!BC$25/Popn!BB$25,Exogenous!$P$61*Popn!BC$125/Popn!BB$125,Exogenous!$O$62*Popn!BC$26/Popn!BB$26,Exogenous!$P$62*Popn!BC$126/Popn!BB$126,Exogenous!$O$63*Popn!BC$27/Popn!BB$27,Exogenous!$P$63*Popn!BC$127/Popn!BB$127,Exogenous!$O$64*Popn!BC$28/Popn!BB$28,Exogenous!$P$64*Popn!BC$128/Popn!BB$128,Exogenous!$O$65*SUM(Popn!BC$29:BC$30)/SUM(Popn!BB$29:BB$30),Exogenous!$P$65*SUM(Popn!BC$129:BC$130)/SUM(Popn!BB$129:BB$130))-1</f>
        <v>9.2080244305514647E-4</v>
      </c>
      <c r="AW264" s="72">
        <f>SUM(Exogenous!$O$59*Popn!BD$23/Popn!BC$23,Exogenous!$P$59*Popn!BD$123/Popn!BC$123,Exogenous!$O$60*Popn!BD$24/Popn!BC$24,Exogenous!$P$60*Popn!BD$124/Popn!BC$124,Exogenous!$O$61*Popn!BD$25/Popn!BC$25,Exogenous!$P$61*Popn!BD$125/Popn!BC$125,Exogenous!$O$62*Popn!BD$26/Popn!BC$26,Exogenous!$P$62*Popn!BD$126/Popn!BC$126,Exogenous!$O$63*Popn!BD$27/Popn!BC$27,Exogenous!$P$63*Popn!BD$127/Popn!BC$127,Exogenous!$O$64*Popn!BD$28/Popn!BC$28,Exogenous!$P$64*Popn!BD$128/Popn!BC$128,Exogenous!$O$65*SUM(Popn!BD$29:BD$30)/SUM(Popn!BC$29:BC$30),Exogenous!$P$65*SUM(Popn!BD$129:BD$130)/SUM(Popn!BC$129:BC$130))-1</f>
        <v>8.1863283903360617E-4</v>
      </c>
    </row>
    <row r="265" spans="1:49" x14ac:dyDescent="0.2">
      <c r="A265" s="1" t="s">
        <v>864</v>
      </c>
      <c r="D265" s="73">
        <f>SUM(Exogenous!$V$59*Popn!K$27/Popn!J$27,Exogenous!$W$59*Popn!K$127/Popn!J$127,Exogenous!$V$60*SUM(Popn!K$28:K$29)/SUM(Popn!J$28:J$29),Exogenous!$W$60*SUM(Popn!K$128:K$129)/SUM(Popn!J$128:J$129),Exogenous!$V$61*SUM(Popn!K$30:K$34)/SUM(Popn!J$30:J$34),Exogenous!$W$61*SUM(Popn!K$130:K$134)/SUM(Popn!J$130:J$134),Exogenous!$V$62*SUM(Popn!K$35:K$49)/SUM(Popn!J$35:J$49),Exogenous!$W$62*SUM(Popn!K$135:K$149)/SUM(Popn!J$135:J$149),Exogenous!$V$63*SUM(Popn!K$50:K$85)/SUM(Popn!J$50:J$85),Exogenous!$W$63*SUM(Popn!K$150:K$185)/SUM(Popn!J$150:J$185))-1</f>
        <v>2.2802653595345834E-2</v>
      </c>
      <c r="E265" s="74">
        <f>SUM(Exogenous!$V$59*Popn!L$27/Popn!K$27,Exogenous!$W$59*Popn!L$127/Popn!K$127,Exogenous!$V$60*SUM(Popn!L$28:L$29)/SUM(Popn!K$28:K$29),Exogenous!$W$60*SUM(Popn!L$128:L$129)/SUM(Popn!K$128:K$129),Exogenous!$V$61*SUM(Popn!L$30:L$34)/SUM(Popn!K$30:K$34),Exogenous!$W$61*SUM(Popn!L$130:L$134)/SUM(Popn!K$130:K$134),Exogenous!$V$62*SUM(Popn!L$35:L$49)/SUM(Popn!K$35:K$49),Exogenous!$W$62*SUM(Popn!L$135:L$149)/SUM(Popn!K$135:K$149),Exogenous!$V$63*SUM(Popn!L$50:L$85)/SUM(Popn!K$50:K$85),Exogenous!$W$63*SUM(Popn!L$150:L$185)/SUM(Popn!K$150:K$185))-1</f>
        <v>1.0024172885809035E-2</v>
      </c>
      <c r="F265" s="74">
        <f>SUM(Exogenous!$V$59*Popn!M$27/Popn!L$27,Exogenous!$W$59*Popn!M$127/Popn!L$127,Exogenous!$V$60*SUM(Popn!M$28:M$29)/SUM(Popn!L$28:L$29),Exogenous!$W$60*SUM(Popn!M$128:M$129)/SUM(Popn!L$128:L$129),Exogenous!$V$61*SUM(Popn!M$30:M$34)/SUM(Popn!L$30:L$34),Exogenous!$W$61*SUM(Popn!M$130:M$134)/SUM(Popn!L$130:L$134),Exogenous!$V$62*SUM(Popn!M$35:M$49)/SUM(Popn!L$35:L$49),Exogenous!$W$62*SUM(Popn!M$135:M$149)/SUM(Popn!L$135:L$149),Exogenous!$V$63*SUM(Popn!M$50:M$85)/SUM(Popn!L$50:L$85),Exogenous!$W$63*SUM(Popn!M$150:M$185)/SUM(Popn!L$150:L$185))-1</f>
        <v>1.3539285637844678E-3</v>
      </c>
      <c r="G265" s="74">
        <f>SUM(Exogenous!$V$59*Popn!N$27/Popn!M$27,Exogenous!$W$59*Popn!N$127/Popn!M$127,Exogenous!$V$60*SUM(Popn!N$28:N$29)/SUM(Popn!M$28:M$29),Exogenous!$W$60*SUM(Popn!N$128:N$129)/SUM(Popn!M$128:M$129),Exogenous!$V$61*SUM(Popn!N$30:N$34)/SUM(Popn!M$30:M$34),Exogenous!$W$61*SUM(Popn!N$130:N$134)/SUM(Popn!M$130:M$134),Exogenous!$V$62*SUM(Popn!N$35:N$49)/SUM(Popn!M$35:M$49),Exogenous!$W$62*SUM(Popn!N$135:N$149)/SUM(Popn!M$135:M$149),Exogenous!$V$63*SUM(Popn!N$50:N$85)/SUM(Popn!M$50:M$85),Exogenous!$W$63*SUM(Popn!N$150:N$185)/SUM(Popn!M$150:M$185))-1</f>
        <v>2.8641793802579585E-3</v>
      </c>
      <c r="H265" s="74">
        <f>SUM(Exogenous!$V$59*Popn!O$27/Popn!N$27,Exogenous!$W$59*Popn!O$127/Popn!N$127,Exogenous!$V$60*SUM(Popn!O$28:O$29)/SUM(Popn!N$28:N$29),Exogenous!$W$60*SUM(Popn!O$128:O$129)/SUM(Popn!N$128:N$129),Exogenous!$V$61*SUM(Popn!O$30:O$34)/SUM(Popn!N$30:N$34),Exogenous!$W$61*SUM(Popn!O$130:O$134)/SUM(Popn!N$130:N$134),Exogenous!$V$62*SUM(Popn!O$35:O$49)/SUM(Popn!N$35:N$49),Exogenous!$W$62*SUM(Popn!O$135:O$149)/SUM(Popn!N$135:N$149),Exogenous!$V$63*SUM(Popn!O$50:O$85)/SUM(Popn!N$50:N$85),Exogenous!$W$63*SUM(Popn!O$150:O$185)/SUM(Popn!N$150:N$185))-1</f>
        <v>1.5931416417935829E-3</v>
      </c>
      <c r="I265" s="74">
        <f>SUM(Exogenous!$V$59*Popn!P$27/Popn!O$27,Exogenous!$W$59*Popn!P$127/Popn!O$127,Exogenous!$V$60*SUM(Popn!P$28:P$29)/SUM(Popn!O$28:O$29),Exogenous!$W$60*SUM(Popn!P$128:P$129)/SUM(Popn!O$128:O$129),Exogenous!$V$61*SUM(Popn!P$30:P$34)/SUM(Popn!O$30:O$34),Exogenous!$W$61*SUM(Popn!P$130:P$134)/SUM(Popn!O$130:O$134),Exogenous!$V$62*SUM(Popn!P$35:P$49)/SUM(Popn!O$35:O$49),Exogenous!$W$62*SUM(Popn!P$135:P$149)/SUM(Popn!O$135:O$149),Exogenous!$V$63*SUM(Popn!P$50:P$85)/SUM(Popn!O$50:O$85),Exogenous!$W$63*SUM(Popn!P$150:P$185)/SUM(Popn!O$150:O$185))-1</f>
        <v>-3.4180128434797563E-3</v>
      </c>
      <c r="J265" s="72">
        <f>SUM(Exogenous!$V$59*Popn!Q$27/Popn!P$27,Exogenous!$W$59*Popn!Q$127/Popn!P$127,Exogenous!$V$60*SUM(Popn!Q$28:Q$29)/SUM(Popn!P$28:P$29),Exogenous!$W$60*SUM(Popn!Q$128:Q$129)/SUM(Popn!P$128:P$129),Exogenous!$V$61*SUM(Popn!Q$30:Q$34)/SUM(Popn!P$30:P$34),Exogenous!$W$61*SUM(Popn!Q$130:Q$134)/SUM(Popn!P$130:P$134),Exogenous!$V$62*SUM(Popn!Q$35:Q$49)/SUM(Popn!P$35:P$49),Exogenous!$W$62*SUM(Popn!Q$135:Q$149)/SUM(Popn!P$135:P$149),Exogenous!$V$63*SUM(Popn!Q$50:Q$85)/SUM(Popn!P$50:P$85),Exogenous!$W$63*SUM(Popn!Q$150:Q$185)/SUM(Popn!P$150:P$185))-1</f>
        <v>-2.0279985036829595E-3</v>
      </c>
      <c r="K265" s="72">
        <f>SUM(Exogenous!$V$59*Popn!R$27/Popn!Q$27,Exogenous!$W$59*Popn!R$127/Popn!Q$127,Exogenous!$V$60*SUM(Popn!R$28:R$29)/SUM(Popn!Q$28:Q$29),Exogenous!$W$60*SUM(Popn!R$128:R$129)/SUM(Popn!Q$128:Q$129),Exogenous!$V$61*SUM(Popn!R$30:R$34)/SUM(Popn!Q$30:Q$34),Exogenous!$W$61*SUM(Popn!R$130:R$134)/SUM(Popn!Q$130:Q$134),Exogenous!$V$62*SUM(Popn!R$35:R$49)/SUM(Popn!Q$35:Q$49),Exogenous!$W$62*SUM(Popn!R$135:R$149)/SUM(Popn!Q$135:Q$149),Exogenous!$V$63*SUM(Popn!R$50:R$85)/SUM(Popn!Q$50:Q$85),Exogenous!$W$63*SUM(Popn!R$150:R$185)/SUM(Popn!Q$150:Q$185))-1</f>
        <v>1.1706539356581835E-3</v>
      </c>
      <c r="L265" s="72">
        <f>SUM(Exogenous!$V$59*Popn!S$27/Popn!R$27,Exogenous!$W$59*Popn!S$127/Popn!R$127,Exogenous!$V$60*SUM(Popn!S$28:S$29)/SUM(Popn!R$28:R$29),Exogenous!$W$60*SUM(Popn!S$128:S$129)/SUM(Popn!R$128:R$129),Exogenous!$V$61*SUM(Popn!S$30:S$34)/SUM(Popn!R$30:R$34),Exogenous!$W$61*SUM(Popn!S$130:S$134)/SUM(Popn!R$130:R$134),Exogenous!$V$62*SUM(Popn!S$35:S$49)/SUM(Popn!R$35:R$49),Exogenous!$W$62*SUM(Popn!S$135:S$149)/SUM(Popn!R$135:R$149),Exogenous!$V$63*SUM(Popn!S$50:S$85)/SUM(Popn!R$50:R$85),Exogenous!$W$63*SUM(Popn!S$150:S$185)/SUM(Popn!R$150:R$185))-1</f>
        <v>1.236411529725201E-3</v>
      </c>
      <c r="M265" s="72">
        <f>SUM(Exogenous!$V$59*Popn!T$27/Popn!S$27,Exogenous!$W$59*Popn!T$127/Popn!S$127,Exogenous!$V$60*SUM(Popn!T$28:T$29)/SUM(Popn!S$28:S$29),Exogenous!$W$60*SUM(Popn!T$128:T$129)/SUM(Popn!S$128:S$129),Exogenous!$V$61*SUM(Popn!T$30:T$34)/SUM(Popn!S$30:S$34),Exogenous!$W$61*SUM(Popn!T$130:T$134)/SUM(Popn!S$130:S$134),Exogenous!$V$62*SUM(Popn!T$35:T$49)/SUM(Popn!S$35:S$49),Exogenous!$W$62*SUM(Popn!T$135:T$149)/SUM(Popn!S$135:S$149),Exogenous!$V$63*SUM(Popn!T$50:T$85)/SUM(Popn!S$50:S$85),Exogenous!$W$63*SUM(Popn!T$150:T$185)/SUM(Popn!S$150:S$185))-1</f>
        <v>4.6433716651403945E-3</v>
      </c>
      <c r="N265" s="72">
        <f>SUM(Exogenous!$V$59*Popn!U$27/Popn!T$27,Exogenous!$W$59*Popn!U$127/Popn!T$127,Exogenous!$V$60*SUM(Popn!U$28:U$29)/SUM(Popn!T$28:T$29),Exogenous!$W$60*SUM(Popn!U$128:U$129)/SUM(Popn!T$128:T$129),Exogenous!$V$61*SUM(Popn!U$30:U$34)/SUM(Popn!T$30:T$34),Exogenous!$W$61*SUM(Popn!U$130:U$134)/SUM(Popn!T$130:T$134),Exogenous!$V$62*SUM(Popn!U$35:U$49)/SUM(Popn!T$35:T$49),Exogenous!$W$62*SUM(Popn!U$135:U$149)/SUM(Popn!T$135:T$149),Exogenous!$V$63*SUM(Popn!U$50:U$85)/SUM(Popn!T$50:T$85),Exogenous!$W$63*SUM(Popn!U$150:U$185)/SUM(Popn!T$150:T$185))-1</f>
        <v>8.1802702812965311E-3</v>
      </c>
      <c r="O265" s="72">
        <f>SUM(Exogenous!$V$59*Popn!V$27/Popn!U$27,Exogenous!$W$59*Popn!V$127/Popn!U$127,Exogenous!$V$60*SUM(Popn!V$28:V$29)/SUM(Popn!U$28:U$29),Exogenous!$W$60*SUM(Popn!V$128:V$129)/SUM(Popn!U$128:U$129),Exogenous!$V$61*SUM(Popn!V$30:V$34)/SUM(Popn!U$30:U$34),Exogenous!$W$61*SUM(Popn!V$130:V$134)/SUM(Popn!U$130:U$134),Exogenous!$V$62*SUM(Popn!V$35:V$49)/SUM(Popn!U$35:U$49),Exogenous!$W$62*SUM(Popn!V$135:V$149)/SUM(Popn!U$135:U$149),Exogenous!$V$63*SUM(Popn!V$50:V$85)/SUM(Popn!U$50:U$85),Exogenous!$W$63*SUM(Popn!V$150:V$185)/SUM(Popn!U$150:U$185))-1</f>
        <v>1.0304704218153438E-2</v>
      </c>
      <c r="P265" s="72">
        <f>SUM(Exogenous!$V$59*Popn!W$27/Popn!V$27,Exogenous!$W$59*Popn!W$127/Popn!V$127,Exogenous!$V$60*SUM(Popn!W$28:W$29)/SUM(Popn!V$28:V$29),Exogenous!$W$60*SUM(Popn!W$128:W$129)/SUM(Popn!V$128:V$129),Exogenous!$V$61*SUM(Popn!W$30:W$34)/SUM(Popn!V$30:V$34),Exogenous!$W$61*SUM(Popn!W$130:W$134)/SUM(Popn!V$130:V$134),Exogenous!$V$62*SUM(Popn!W$35:W$49)/SUM(Popn!V$35:V$49),Exogenous!$W$62*SUM(Popn!W$135:W$149)/SUM(Popn!V$135:V$149),Exogenous!$V$63*SUM(Popn!W$50:W$85)/SUM(Popn!V$50:V$85),Exogenous!$W$63*SUM(Popn!W$150:W$185)/SUM(Popn!V$150:V$185))-1</f>
        <v>1.0156354649508481E-2</v>
      </c>
      <c r="Q265" s="72">
        <f>SUM(Exogenous!$V$59*Popn!X$27/Popn!W$27,Exogenous!$W$59*Popn!X$127/Popn!W$127,Exogenous!$V$60*SUM(Popn!X$28:X$29)/SUM(Popn!W$28:W$29),Exogenous!$W$60*SUM(Popn!X$128:X$129)/SUM(Popn!W$128:W$129),Exogenous!$V$61*SUM(Popn!X$30:X$34)/SUM(Popn!W$30:W$34),Exogenous!$W$61*SUM(Popn!X$130:X$134)/SUM(Popn!W$130:W$134),Exogenous!$V$62*SUM(Popn!X$35:X$49)/SUM(Popn!W$35:W$49),Exogenous!$W$62*SUM(Popn!X$135:X$149)/SUM(Popn!W$135:W$149),Exogenous!$V$63*SUM(Popn!X$50:X$85)/SUM(Popn!W$50:W$85),Exogenous!$W$63*SUM(Popn!X$150:X$185)/SUM(Popn!W$150:W$185))-1</f>
        <v>8.2249893032144694E-3</v>
      </c>
      <c r="R265" s="72">
        <f>SUM(Exogenous!$V$59*Popn!Y$27/Popn!X$27,Exogenous!$W$59*Popn!Y$127/Popn!X$127,Exogenous!$V$60*SUM(Popn!Y$28:Y$29)/SUM(Popn!X$28:X$29),Exogenous!$W$60*SUM(Popn!Y$128:Y$129)/SUM(Popn!X$128:X$129),Exogenous!$V$61*SUM(Popn!Y$30:Y$34)/SUM(Popn!X$30:X$34),Exogenous!$W$61*SUM(Popn!Y$130:Y$134)/SUM(Popn!X$130:X$134),Exogenous!$V$62*SUM(Popn!Y$35:Y$49)/SUM(Popn!X$35:X$49),Exogenous!$W$62*SUM(Popn!Y$135:Y$149)/SUM(Popn!X$135:X$149),Exogenous!$V$63*SUM(Popn!Y$50:Y$85)/SUM(Popn!X$50:X$85),Exogenous!$W$63*SUM(Popn!Y$150:Y$185)/SUM(Popn!X$150:X$185))-1</f>
        <v>4.6933060582934338E-3</v>
      </c>
      <c r="S265" s="72">
        <f>SUM(Exogenous!$V$59*Popn!Z$27/Popn!Y$27,Exogenous!$W$59*Popn!Z$127/Popn!Y$127,Exogenous!$V$60*SUM(Popn!Z$28:Z$29)/SUM(Popn!Y$28:Y$29),Exogenous!$W$60*SUM(Popn!Z$128:Z$129)/SUM(Popn!Y$128:Y$129),Exogenous!$V$61*SUM(Popn!Z$30:Z$34)/SUM(Popn!Y$30:Y$34),Exogenous!$W$61*SUM(Popn!Z$130:Z$134)/SUM(Popn!Y$130:Y$134),Exogenous!$V$62*SUM(Popn!Z$35:Z$49)/SUM(Popn!Y$35:Y$49),Exogenous!$W$62*SUM(Popn!Z$135:Z$149)/SUM(Popn!Y$135:Y$149),Exogenous!$V$63*SUM(Popn!Z$50:Z$85)/SUM(Popn!Y$50:Y$85),Exogenous!$W$63*SUM(Popn!Z$150:Z$185)/SUM(Popn!Y$150:Y$185))-1</f>
        <v>1.7997285820887665E-3</v>
      </c>
      <c r="T265" s="72">
        <f>SUM(Exogenous!$V$59*Popn!AA$27/Popn!Z$27,Exogenous!$W$59*Popn!AA$127/Popn!Z$127,Exogenous!$V$60*SUM(Popn!AA$28:AA$29)/SUM(Popn!Z$28:Z$29),Exogenous!$W$60*SUM(Popn!AA$128:AA$129)/SUM(Popn!Z$128:Z$129),Exogenous!$V$61*SUM(Popn!AA$30:AA$34)/SUM(Popn!Z$30:Z$34),Exogenous!$W$61*SUM(Popn!AA$130:AA$134)/SUM(Popn!Z$130:Z$134),Exogenous!$V$62*SUM(Popn!AA$35:AA$49)/SUM(Popn!Z$35:Z$49),Exogenous!$W$62*SUM(Popn!AA$135:AA$149)/SUM(Popn!Z$135:Z$149),Exogenous!$V$63*SUM(Popn!AA$50:AA$85)/SUM(Popn!Z$50:Z$85),Exogenous!$W$63*SUM(Popn!AA$150:AA$185)/SUM(Popn!Z$150:Z$185))-1</f>
        <v>-1.0135158142994261E-3</v>
      </c>
      <c r="U265" s="72">
        <f>SUM(Exogenous!$V$59*Popn!AB$27/Popn!AA$27,Exogenous!$W$59*Popn!AB$127/Popn!AA$127,Exogenous!$V$60*SUM(Popn!AB$28:AB$29)/SUM(Popn!AA$28:AA$29),Exogenous!$W$60*SUM(Popn!AB$128:AB$129)/SUM(Popn!AA$128:AA$129),Exogenous!$V$61*SUM(Popn!AB$30:AB$34)/SUM(Popn!AA$30:AA$34),Exogenous!$W$61*SUM(Popn!AB$130:AB$134)/SUM(Popn!AA$130:AA$134),Exogenous!$V$62*SUM(Popn!AB$35:AB$49)/SUM(Popn!AA$35:AA$49),Exogenous!$W$62*SUM(Popn!AB$135:AB$149)/SUM(Popn!AA$135:AA$149),Exogenous!$V$63*SUM(Popn!AB$50:AB$85)/SUM(Popn!AA$50:AA$85),Exogenous!$W$63*SUM(Popn!AB$150:AB$185)/SUM(Popn!AA$150:AA$185))-1</f>
        <v>-4.5932569075415319E-3</v>
      </c>
      <c r="V265" s="72">
        <f>SUM(Exogenous!$V$59*Popn!AC$27/Popn!AB$27,Exogenous!$W$59*Popn!AC$127/Popn!AB$127,Exogenous!$V$60*SUM(Popn!AC$28:AC$29)/SUM(Popn!AB$28:AB$29),Exogenous!$W$60*SUM(Popn!AC$128:AC$129)/SUM(Popn!AB$128:AB$129),Exogenous!$V$61*SUM(Popn!AC$30:AC$34)/SUM(Popn!AB$30:AB$34),Exogenous!$W$61*SUM(Popn!AC$130:AC$134)/SUM(Popn!AB$130:AB$134),Exogenous!$V$62*SUM(Popn!AC$35:AC$49)/SUM(Popn!AB$35:AB$49),Exogenous!$W$62*SUM(Popn!AC$135:AC$149)/SUM(Popn!AB$135:AB$149),Exogenous!$V$63*SUM(Popn!AC$50:AC$85)/SUM(Popn!AB$50:AB$85),Exogenous!$W$63*SUM(Popn!AC$150:AC$185)/SUM(Popn!AB$150:AB$185))-1</f>
        <v>-5.967401918775872E-3</v>
      </c>
      <c r="W265" s="72">
        <f>SUM(Exogenous!$V$59*Popn!AD$27/Popn!AC$27,Exogenous!$W$59*Popn!AD$127/Popn!AC$127,Exogenous!$V$60*SUM(Popn!AD$28:AD$29)/SUM(Popn!AC$28:AC$29),Exogenous!$W$60*SUM(Popn!AD$128:AD$129)/SUM(Popn!AC$128:AC$129),Exogenous!$V$61*SUM(Popn!AD$30:AD$34)/SUM(Popn!AC$30:AC$34),Exogenous!$W$61*SUM(Popn!AD$130:AD$134)/SUM(Popn!AC$130:AC$134),Exogenous!$V$62*SUM(Popn!AD$35:AD$49)/SUM(Popn!AC$35:AC$49),Exogenous!$W$62*SUM(Popn!AD$135:AD$149)/SUM(Popn!AC$135:AC$149),Exogenous!$V$63*SUM(Popn!AD$50:AD$85)/SUM(Popn!AC$50:AC$85),Exogenous!$W$63*SUM(Popn!AD$150:AD$185)/SUM(Popn!AC$150:AC$185))-1</f>
        <v>-2.9423640094391468E-3</v>
      </c>
      <c r="X265" s="72">
        <f>SUM(Exogenous!$V$59*Popn!AE$27/Popn!AD$27,Exogenous!$W$59*Popn!AE$127/Popn!AD$127,Exogenous!$V$60*SUM(Popn!AE$28:AE$29)/SUM(Popn!AD$28:AD$29),Exogenous!$W$60*SUM(Popn!AE$128:AE$129)/SUM(Popn!AD$128:AD$129),Exogenous!$V$61*SUM(Popn!AE$30:AE$34)/SUM(Popn!AD$30:AD$34),Exogenous!$W$61*SUM(Popn!AE$130:AE$134)/SUM(Popn!AD$130:AD$134),Exogenous!$V$62*SUM(Popn!AE$35:AE$49)/SUM(Popn!AD$35:AD$49),Exogenous!$W$62*SUM(Popn!AE$135:AE$149)/SUM(Popn!AD$135:AD$149),Exogenous!$V$63*SUM(Popn!AE$50:AE$85)/SUM(Popn!AD$50:AD$85),Exogenous!$W$63*SUM(Popn!AE$150:AE$185)/SUM(Popn!AD$150:AD$185))-1</f>
        <v>-2.1411799736910098E-3</v>
      </c>
      <c r="Y265" s="72">
        <f>SUM(Exogenous!$V$59*Popn!AF$27/Popn!AE$27,Exogenous!$W$59*Popn!AF$127/Popn!AE$127,Exogenous!$V$60*SUM(Popn!AF$28:AF$29)/SUM(Popn!AE$28:AE$29),Exogenous!$W$60*SUM(Popn!AF$128:AF$129)/SUM(Popn!AE$128:AE$129),Exogenous!$V$61*SUM(Popn!AF$30:AF$34)/SUM(Popn!AE$30:AE$34),Exogenous!$W$61*SUM(Popn!AF$130:AF$134)/SUM(Popn!AE$130:AE$134),Exogenous!$V$62*SUM(Popn!AF$35:AF$49)/SUM(Popn!AE$35:AE$49),Exogenous!$W$62*SUM(Popn!AF$135:AF$149)/SUM(Popn!AE$135:AE$149),Exogenous!$V$63*SUM(Popn!AF$50:AF$85)/SUM(Popn!AE$50:AE$85),Exogenous!$W$63*SUM(Popn!AF$150:AF$185)/SUM(Popn!AE$150:AE$185))-1</f>
        <v>-6.7092717221739484E-4</v>
      </c>
      <c r="Z265" s="72">
        <f>SUM(Exogenous!$V$59*Popn!AG$27/Popn!AF$27,Exogenous!$W$59*Popn!AG$127/Popn!AF$127,Exogenous!$V$60*SUM(Popn!AG$28:AG$29)/SUM(Popn!AF$28:AF$29),Exogenous!$W$60*SUM(Popn!AG$128:AG$129)/SUM(Popn!AF$128:AF$129),Exogenous!$V$61*SUM(Popn!AG$30:AG$34)/SUM(Popn!AF$30:AF$34),Exogenous!$W$61*SUM(Popn!AG$130:AG$134)/SUM(Popn!AF$130:AF$134),Exogenous!$V$62*SUM(Popn!AG$35:AG$49)/SUM(Popn!AF$35:AF$49),Exogenous!$W$62*SUM(Popn!AG$135:AG$149)/SUM(Popn!AF$135:AF$149),Exogenous!$V$63*SUM(Popn!AG$50:AG$85)/SUM(Popn!AF$50:AF$85),Exogenous!$W$63*SUM(Popn!AG$150:AG$185)/SUM(Popn!AF$150:AF$185))-1</f>
        <v>5.3319181023492312E-4</v>
      </c>
      <c r="AA265" s="72">
        <f>SUM(Exogenous!$V$59*Popn!AH$27/Popn!AG$27,Exogenous!$W$59*Popn!AH$127/Popn!AG$127,Exogenous!$V$60*SUM(Popn!AH$28:AH$29)/SUM(Popn!AG$28:AG$29),Exogenous!$W$60*SUM(Popn!AH$128:AH$129)/SUM(Popn!AG$128:AG$129),Exogenous!$V$61*SUM(Popn!AH$30:AH$34)/SUM(Popn!AG$30:AG$34),Exogenous!$W$61*SUM(Popn!AH$130:AH$134)/SUM(Popn!AG$130:AG$134),Exogenous!$V$62*SUM(Popn!AH$35:AH$49)/SUM(Popn!AG$35:AG$49),Exogenous!$W$62*SUM(Popn!AH$135:AH$149)/SUM(Popn!AG$135:AG$149),Exogenous!$V$63*SUM(Popn!AH$50:AH$85)/SUM(Popn!AG$50:AG$85),Exogenous!$W$63*SUM(Popn!AH$150:AH$185)/SUM(Popn!AG$150:AG$185))-1</f>
        <v>1.9660384740445291E-3</v>
      </c>
      <c r="AB265" s="72">
        <f>SUM(Exogenous!$V$59*Popn!AI$27/Popn!AH$27,Exogenous!$W$59*Popn!AI$127/Popn!AH$127,Exogenous!$V$60*SUM(Popn!AI$28:AI$29)/SUM(Popn!AH$28:AH$29),Exogenous!$W$60*SUM(Popn!AI$128:AI$129)/SUM(Popn!AH$128:AH$129),Exogenous!$V$61*SUM(Popn!AI$30:AI$34)/SUM(Popn!AH$30:AH$34),Exogenous!$W$61*SUM(Popn!AI$130:AI$134)/SUM(Popn!AH$130:AH$134),Exogenous!$V$62*SUM(Popn!AI$35:AI$49)/SUM(Popn!AH$35:AH$49),Exogenous!$W$62*SUM(Popn!AI$135:AI$149)/SUM(Popn!AH$135:AH$149),Exogenous!$V$63*SUM(Popn!AI$50:AI$85)/SUM(Popn!AH$50:AH$85),Exogenous!$W$63*SUM(Popn!AI$150:AI$185)/SUM(Popn!AH$150:AH$185))-1</f>
        <v>3.960972490768544E-3</v>
      </c>
      <c r="AC265" s="72">
        <f>SUM(Exogenous!$V$59*Popn!AJ$27/Popn!AI$27,Exogenous!$W$59*Popn!AJ$127/Popn!AI$127,Exogenous!$V$60*SUM(Popn!AJ$28:AJ$29)/SUM(Popn!AI$28:AI$29),Exogenous!$W$60*SUM(Popn!AJ$128:AJ$129)/SUM(Popn!AI$128:AI$129),Exogenous!$V$61*SUM(Popn!AJ$30:AJ$34)/SUM(Popn!AI$30:AI$34),Exogenous!$W$61*SUM(Popn!AJ$130:AJ$134)/SUM(Popn!AI$130:AI$134),Exogenous!$V$62*SUM(Popn!AJ$35:AJ$49)/SUM(Popn!AI$35:AI$49),Exogenous!$W$62*SUM(Popn!AJ$135:AJ$149)/SUM(Popn!AI$135:AI$149),Exogenous!$V$63*SUM(Popn!AJ$50:AJ$85)/SUM(Popn!AI$50:AI$85),Exogenous!$W$63*SUM(Popn!AJ$150:AJ$185)/SUM(Popn!AI$150:AI$185))-1</f>
        <v>4.6812671193552369E-3</v>
      </c>
      <c r="AD265" s="72">
        <f>SUM(Exogenous!$V$59*Popn!AK$27/Popn!AJ$27,Exogenous!$W$59*Popn!AK$127/Popn!AJ$127,Exogenous!$V$60*SUM(Popn!AK$28:AK$29)/SUM(Popn!AJ$28:AJ$29),Exogenous!$W$60*SUM(Popn!AK$128:AK$129)/SUM(Popn!AJ$128:AJ$129),Exogenous!$V$61*SUM(Popn!AK$30:AK$34)/SUM(Popn!AJ$30:AJ$34),Exogenous!$W$61*SUM(Popn!AK$130:AK$134)/SUM(Popn!AJ$130:AJ$134),Exogenous!$V$62*SUM(Popn!AK$35:AK$49)/SUM(Popn!AJ$35:AJ$49),Exogenous!$W$62*SUM(Popn!AK$135:AK$149)/SUM(Popn!AJ$135:AJ$149),Exogenous!$V$63*SUM(Popn!AK$50:AK$85)/SUM(Popn!AJ$50:AJ$85),Exogenous!$W$63*SUM(Popn!AK$150:AK$185)/SUM(Popn!AJ$150:AJ$185))-1</f>
        <v>4.5775305215267625E-3</v>
      </c>
      <c r="AE265" s="72">
        <f>SUM(Exogenous!$V$59*Popn!AL$27/Popn!AK$27,Exogenous!$W$59*Popn!AL$127/Popn!AK$127,Exogenous!$V$60*SUM(Popn!AL$28:AL$29)/SUM(Popn!AK$28:AK$29),Exogenous!$W$60*SUM(Popn!AL$128:AL$129)/SUM(Popn!AK$128:AK$129),Exogenous!$V$61*SUM(Popn!AL$30:AL$34)/SUM(Popn!AK$30:AK$34),Exogenous!$W$61*SUM(Popn!AL$130:AL$134)/SUM(Popn!AK$130:AK$134),Exogenous!$V$62*SUM(Popn!AL$35:AL$49)/SUM(Popn!AK$35:AK$49),Exogenous!$W$62*SUM(Popn!AL$135:AL$149)/SUM(Popn!AK$135:AK$149),Exogenous!$V$63*SUM(Popn!AL$50:AL$85)/SUM(Popn!AK$50:AK$85),Exogenous!$W$63*SUM(Popn!AL$150:AL$185)/SUM(Popn!AK$150:AK$185))-1</f>
        <v>4.6491522507059457E-3</v>
      </c>
      <c r="AF265" s="72">
        <f>SUM(Exogenous!$V$59*Popn!AM$27/Popn!AL$27,Exogenous!$W$59*Popn!AM$127/Popn!AL$127,Exogenous!$V$60*SUM(Popn!AM$28:AM$29)/SUM(Popn!AL$28:AL$29),Exogenous!$W$60*SUM(Popn!AM$128:AM$129)/SUM(Popn!AL$128:AL$129),Exogenous!$V$61*SUM(Popn!AM$30:AM$34)/SUM(Popn!AL$30:AL$34),Exogenous!$W$61*SUM(Popn!AM$130:AM$134)/SUM(Popn!AL$130:AL$134),Exogenous!$V$62*SUM(Popn!AM$35:AM$49)/SUM(Popn!AL$35:AL$49),Exogenous!$W$62*SUM(Popn!AM$135:AM$149)/SUM(Popn!AL$135:AL$149),Exogenous!$V$63*SUM(Popn!AM$50:AM$85)/SUM(Popn!AL$50:AL$85),Exogenous!$W$63*SUM(Popn!AM$150:AM$185)/SUM(Popn!AL$150:AL$185))-1</f>
        <v>4.2589872489340319E-3</v>
      </c>
      <c r="AG265" s="72">
        <f>SUM(Exogenous!$V$59*Popn!AN$27/Popn!AM$27,Exogenous!$W$59*Popn!AN$127/Popn!AM$127,Exogenous!$V$60*SUM(Popn!AN$28:AN$29)/SUM(Popn!AM$28:AM$29),Exogenous!$W$60*SUM(Popn!AN$128:AN$129)/SUM(Popn!AM$128:AM$129),Exogenous!$V$61*SUM(Popn!AN$30:AN$34)/SUM(Popn!AM$30:AM$34),Exogenous!$W$61*SUM(Popn!AN$130:AN$134)/SUM(Popn!AM$130:AM$134),Exogenous!$V$62*SUM(Popn!AN$35:AN$49)/SUM(Popn!AM$35:AM$49),Exogenous!$W$62*SUM(Popn!AN$135:AN$149)/SUM(Popn!AM$135:AM$149),Exogenous!$V$63*SUM(Popn!AN$50:AN$85)/SUM(Popn!AM$50:AM$85),Exogenous!$W$63*SUM(Popn!AN$150:AN$185)/SUM(Popn!AM$150:AM$185))-1</f>
        <v>3.6750607173248184E-3</v>
      </c>
      <c r="AH265" s="72">
        <f>SUM(Exogenous!$V$59*Popn!AO$27/Popn!AN$27,Exogenous!$W$59*Popn!AO$127/Popn!AN$127,Exogenous!$V$60*SUM(Popn!AO$28:AO$29)/SUM(Popn!AN$28:AN$29),Exogenous!$W$60*SUM(Popn!AO$128:AO$129)/SUM(Popn!AN$128:AN$129),Exogenous!$V$61*SUM(Popn!AO$30:AO$34)/SUM(Popn!AN$30:AN$34),Exogenous!$W$61*SUM(Popn!AO$130:AO$134)/SUM(Popn!AN$130:AN$134),Exogenous!$V$62*SUM(Popn!AO$35:AO$49)/SUM(Popn!AN$35:AN$49),Exogenous!$W$62*SUM(Popn!AO$135:AO$149)/SUM(Popn!AN$135:AN$149),Exogenous!$V$63*SUM(Popn!AO$50:AO$85)/SUM(Popn!AN$50:AN$85),Exogenous!$W$63*SUM(Popn!AO$150:AO$185)/SUM(Popn!AN$150:AN$185))-1</f>
        <v>3.2164893788786397E-3</v>
      </c>
      <c r="AI265" s="72">
        <f>SUM(Exogenous!$V$59*Popn!AP$27/Popn!AO$27,Exogenous!$W$59*Popn!AP$127/Popn!AO$127,Exogenous!$V$60*SUM(Popn!AP$28:AP$29)/SUM(Popn!AO$28:AO$29),Exogenous!$W$60*SUM(Popn!AP$128:AP$129)/SUM(Popn!AO$128:AO$129),Exogenous!$V$61*SUM(Popn!AP$30:AP$34)/SUM(Popn!AO$30:AO$34),Exogenous!$W$61*SUM(Popn!AP$130:AP$134)/SUM(Popn!AO$130:AO$134),Exogenous!$V$62*SUM(Popn!AP$35:AP$49)/SUM(Popn!AO$35:AO$49),Exogenous!$W$62*SUM(Popn!AP$135:AP$149)/SUM(Popn!AO$135:AO$149),Exogenous!$V$63*SUM(Popn!AP$50:AP$85)/SUM(Popn!AO$50:AO$85),Exogenous!$W$63*SUM(Popn!AP$150:AP$185)/SUM(Popn!AO$150:AO$185))-1</f>
        <v>2.5489222488472851E-3</v>
      </c>
      <c r="AJ265" s="72">
        <f>SUM(Exogenous!$V$59*Popn!AQ$27/Popn!AP$27,Exogenous!$W$59*Popn!AQ$127/Popn!AP$127,Exogenous!$V$60*SUM(Popn!AQ$28:AQ$29)/SUM(Popn!AP$28:AP$29),Exogenous!$W$60*SUM(Popn!AQ$128:AQ$129)/SUM(Popn!AP$128:AP$129),Exogenous!$V$61*SUM(Popn!AQ$30:AQ$34)/SUM(Popn!AP$30:AP$34),Exogenous!$W$61*SUM(Popn!AQ$130:AQ$134)/SUM(Popn!AP$130:AP$134),Exogenous!$V$62*SUM(Popn!AQ$35:AQ$49)/SUM(Popn!AP$35:AP$49),Exogenous!$W$62*SUM(Popn!AQ$135:AQ$149)/SUM(Popn!AP$135:AP$149),Exogenous!$V$63*SUM(Popn!AQ$50:AQ$85)/SUM(Popn!AP$50:AP$85),Exogenous!$W$63*SUM(Popn!AQ$150:AQ$185)/SUM(Popn!AP$150:AP$185))-1</f>
        <v>1.5303942889997035E-3</v>
      </c>
      <c r="AK265" s="72">
        <f>SUM(Exogenous!$V$59*Popn!AR$27/Popn!AQ$27,Exogenous!$W$59*Popn!AR$127/Popn!AQ$127,Exogenous!$V$60*SUM(Popn!AR$28:AR$29)/SUM(Popn!AQ$28:AQ$29),Exogenous!$W$60*SUM(Popn!AR$128:AR$129)/SUM(Popn!AQ$128:AQ$129),Exogenous!$V$61*SUM(Popn!AR$30:AR$34)/SUM(Popn!AQ$30:AQ$34),Exogenous!$W$61*SUM(Popn!AR$130:AR$134)/SUM(Popn!AQ$130:AQ$134),Exogenous!$V$62*SUM(Popn!AR$35:AR$49)/SUM(Popn!AQ$35:AQ$49),Exogenous!$W$62*SUM(Popn!AR$135:AR$149)/SUM(Popn!AQ$135:AQ$149),Exogenous!$V$63*SUM(Popn!AR$50:AR$85)/SUM(Popn!AQ$50:AQ$85),Exogenous!$W$63*SUM(Popn!AR$150:AR$185)/SUM(Popn!AQ$150:AQ$185))-1</f>
        <v>7.815988009087782E-4</v>
      </c>
      <c r="AL265" s="72">
        <f>SUM(Exogenous!$V$59*Popn!AS$27/Popn!AR$27,Exogenous!$W$59*Popn!AS$127/Popn!AR$127,Exogenous!$V$60*SUM(Popn!AS$28:AS$29)/SUM(Popn!AR$28:AR$29),Exogenous!$W$60*SUM(Popn!AS$128:AS$129)/SUM(Popn!AR$128:AR$129),Exogenous!$V$61*SUM(Popn!AS$30:AS$34)/SUM(Popn!AR$30:AR$34),Exogenous!$W$61*SUM(Popn!AS$130:AS$134)/SUM(Popn!AR$130:AR$134),Exogenous!$V$62*SUM(Popn!AS$35:AS$49)/SUM(Popn!AR$35:AR$49),Exogenous!$W$62*SUM(Popn!AS$135:AS$149)/SUM(Popn!AR$135:AR$149),Exogenous!$V$63*SUM(Popn!AS$50:AS$85)/SUM(Popn!AR$50:AR$85),Exogenous!$W$63*SUM(Popn!AS$150:AS$185)/SUM(Popn!AR$150:AR$185))-1</f>
        <v>6.0638818026670371E-4</v>
      </c>
      <c r="AM265" s="72">
        <f>SUM(Exogenous!$V$59*Popn!AT$27/Popn!AS$27,Exogenous!$W$59*Popn!AT$127/Popn!AS$127,Exogenous!$V$60*SUM(Popn!AT$28:AT$29)/SUM(Popn!AS$28:AS$29),Exogenous!$W$60*SUM(Popn!AT$128:AT$129)/SUM(Popn!AS$128:AS$129),Exogenous!$V$61*SUM(Popn!AT$30:AT$34)/SUM(Popn!AS$30:AS$34),Exogenous!$W$61*SUM(Popn!AT$130:AT$134)/SUM(Popn!AS$130:AS$134),Exogenous!$V$62*SUM(Popn!AT$35:AT$49)/SUM(Popn!AS$35:AS$49),Exogenous!$W$62*SUM(Popn!AT$135:AT$149)/SUM(Popn!AS$135:AS$149),Exogenous!$V$63*SUM(Popn!AT$50:AT$85)/SUM(Popn!AS$50:AS$85),Exogenous!$W$63*SUM(Popn!AT$150:AT$185)/SUM(Popn!AS$150:AS$185))-1</f>
        <v>2.4844667613233007E-4</v>
      </c>
      <c r="AN265" s="72">
        <f>SUM(Exogenous!$V$59*Popn!AU$27/Popn!AT$27,Exogenous!$W$59*Popn!AU$127/Popn!AT$127,Exogenous!$V$60*SUM(Popn!AU$28:AU$29)/SUM(Popn!AT$28:AT$29),Exogenous!$W$60*SUM(Popn!AU$128:AU$129)/SUM(Popn!AT$128:AT$129),Exogenous!$V$61*SUM(Popn!AU$30:AU$34)/SUM(Popn!AT$30:AT$34),Exogenous!$W$61*SUM(Popn!AU$130:AU$134)/SUM(Popn!AT$130:AT$134),Exogenous!$V$62*SUM(Popn!AU$35:AU$49)/SUM(Popn!AT$35:AT$49),Exogenous!$W$62*SUM(Popn!AU$135:AU$149)/SUM(Popn!AT$135:AT$149),Exogenous!$V$63*SUM(Popn!AU$50:AU$85)/SUM(Popn!AT$50:AT$85),Exogenous!$W$63*SUM(Popn!AU$150:AU$185)/SUM(Popn!AT$150:AT$185))-1</f>
        <v>3.5022895988667813E-4</v>
      </c>
      <c r="AO265" s="72">
        <f>SUM(Exogenous!$V$59*Popn!AV$27/Popn!AU$27,Exogenous!$W$59*Popn!AV$127/Popn!AU$127,Exogenous!$V$60*SUM(Popn!AV$28:AV$29)/SUM(Popn!AU$28:AU$29),Exogenous!$W$60*SUM(Popn!AV$128:AV$129)/SUM(Popn!AU$128:AU$129),Exogenous!$V$61*SUM(Popn!AV$30:AV$34)/SUM(Popn!AU$30:AU$34),Exogenous!$W$61*SUM(Popn!AV$130:AV$134)/SUM(Popn!AU$130:AU$134),Exogenous!$V$62*SUM(Popn!AV$35:AV$49)/SUM(Popn!AU$35:AU$49),Exogenous!$W$62*SUM(Popn!AV$135:AV$149)/SUM(Popn!AU$135:AU$149),Exogenous!$V$63*SUM(Popn!AV$50:AV$85)/SUM(Popn!AU$50:AU$85),Exogenous!$W$63*SUM(Popn!AV$150:AV$185)/SUM(Popn!AU$150:AU$185))-1</f>
        <v>5.6053920501142329E-4</v>
      </c>
      <c r="AP265" s="72">
        <f>SUM(Exogenous!$V$59*Popn!AW$27/Popn!AV$27,Exogenous!$W$59*Popn!AW$127/Popn!AV$127,Exogenous!$V$60*SUM(Popn!AW$28:AW$29)/SUM(Popn!AV$28:AV$29),Exogenous!$W$60*SUM(Popn!AW$128:AW$129)/SUM(Popn!AV$128:AV$129),Exogenous!$V$61*SUM(Popn!AW$30:AW$34)/SUM(Popn!AV$30:AV$34),Exogenous!$W$61*SUM(Popn!AW$130:AW$134)/SUM(Popn!AV$130:AV$134),Exogenous!$V$62*SUM(Popn!AW$35:AW$49)/SUM(Popn!AV$35:AV$49),Exogenous!$W$62*SUM(Popn!AW$135:AW$149)/SUM(Popn!AV$135:AV$149),Exogenous!$V$63*SUM(Popn!AW$50:AW$85)/SUM(Popn!AV$50:AV$85),Exogenous!$W$63*SUM(Popn!AW$150:AW$185)/SUM(Popn!AV$150:AV$185))-1</f>
        <v>6.8380901525255666E-4</v>
      </c>
      <c r="AQ265" s="72">
        <f>SUM(Exogenous!$V$59*Popn!AX$27/Popn!AW$27,Exogenous!$W$59*Popn!AX$127/Popn!AW$127,Exogenous!$V$60*SUM(Popn!AX$28:AX$29)/SUM(Popn!AW$28:AW$29),Exogenous!$W$60*SUM(Popn!AX$128:AX$129)/SUM(Popn!AW$128:AW$129),Exogenous!$V$61*SUM(Popn!AX$30:AX$34)/SUM(Popn!AW$30:AW$34),Exogenous!$W$61*SUM(Popn!AX$130:AX$134)/SUM(Popn!AW$130:AW$134),Exogenous!$V$62*SUM(Popn!AX$35:AX$49)/SUM(Popn!AW$35:AW$49),Exogenous!$W$62*SUM(Popn!AX$135:AX$149)/SUM(Popn!AW$135:AW$149),Exogenous!$V$63*SUM(Popn!AX$50:AX$85)/SUM(Popn!AW$50:AW$85),Exogenous!$W$63*SUM(Popn!AX$150:AX$185)/SUM(Popn!AW$150:AW$185))-1</f>
        <v>1.111782982896603E-3</v>
      </c>
      <c r="AR265" s="72">
        <f>SUM(Exogenous!$V$59*Popn!AY$27/Popn!AX$27,Exogenous!$W$59*Popn!AY$127/Popn!AX$127,Exogenous!$V$60*SUM(Popn!AY$28:AY$29)/SUM(Popn!AX$28:AX$29),Exogenous!$W$60*SUM(Popn!AY$128:AY$129)/SUM(Popn!AX$128:AX$129),Exogenous!$V$61*SUM(Popn!AY$30:AY$34)/SUM(Popn!AX$30:AX$34),Exogenous!$W$61*SUM(Popn!AY$130:AY$134)/SUM(Popn!AX$130:AX$134),Exogenous!$V$62*SUM(Popn!AY$35:AY$49)/SUM(Popn!AX$35:AX$49),Exogenous!$W$62*SUM(Popn!AY$135:AY$149)/SUM(Popn!AX$135:AX$149),Exogenous!$V$63*SUM(Popn!AY$50:AY$85)/SUM(Popn!AX$50:AX$85),Exogenous!$W$63*SUM(Popn!AY$150:AY$185)/SUM(Popn!AX$150:AX$185))-1</f>
        <v>1.2590533374503554E-3</v>
      </c>
      <c r="AS265" s="72">
        <f>SUM(Exogenous!$V$59*Popn!AZ$27/Popn!AY$27,Exogenous!$W$59*Popn!AZ$127/Popn!AY$127,Exogenous!$V$60*SUM(Popn!AZ$28:AZ$29)/SUM(Popn!AY$28:AY$29),Exogenous!$W$60*SUM(Popn!AZ$128:AZ$129)/SUM(Popn!AY$128:AY$129),Exogenous!$V$61*SUM(Popn!AZ$30:AZ$34)/SUM(Popn!AY$30:AY$34),Exogenous!$W$61*SUM(Popn!AZ$130:AZ$134)/SUM(Popn!AY$130:AY$134),Exogenous!$V$62*SUM(Popn!AZ$35:AZ$49)/SUM(Popn!AY$35:AY$49),Exogenous!$W$62*SUM(Popn!AZ$135:AZ$149)/SUM(Popn!AY$135:AY$149),Exogenous!$V$63*SUM(Popn!AZ$50:AZ$85)/SUM(Popn!AY$50:AY$85),Exogenous!$W$63*SUM(Popn!AZ$150:AZ$185)/SUM(Popn!AY$150:AY$185))-1</f>
        <v>1.2994400218224733E-3</v>
      </c>
      <c r="AT265" s="72">
        <f>SUM(Exogenous!$V$59*Popn!BA$27/Popn!AZ$27,Exogenous!$W$59*Popn!BA$127/Popn!AZ$127,Exogenous!$V$60*SUM(Popn!BA$28:BA$29)/SUM(Popn!AZ$28:AZ$29),Exogenous!$W$60*SUM(Popn!BA$128:BA$129)/SUM(Popn!AZ$128:AZ$129),Exogenous!$V$61*SUM(Popn!BA$30:BA$34)/SUM(Popn!AZ$30:AZ$34),Exogenous!$W$61*SUM(Popn!BA$130:BA$134)/SUM(Popn!AZ$130:AZ$134),Exogenous!$V$62*SUM(Popn!BA$35:BA$49)/SUM(Popn!AZ$35:AZ$49),Exogenous!$W$62*SUM(Popn!BA$135:BA$149)/SUM(Popn!AZ$135:AZ$149),Exogenous!$V$63*SUM(Popn!BA$50:BA$85)/SUM(Popn!AZ$50:AZ$85),Exogenous!$W$63*SUM(Popn!BA$150:BA$185)/SUM(Popn!AZ$150:AZ$185))-1</f>
        <v>1.4215224916434011E-3</v>
      </c>
      <c r="AU265" s="72">
        <f>SUM(Exogenous!$V$59*Popn!BB$27/Popn!BA$27,Exogenous!$W$59*Popn!BB$127/Popn!BA$127,Exogenous!$V$60*SUM(Popn!BB$28:BB$29)/SUM(Popn!BA$28:BA$29),Exogenous!$W$60*SUM(Popn!BB$128:BB$129)/SUM(Popn!BA$128:BA$129),Exogenous!$V$61*SUM(Popn!BB$30:BB$34)/SUM(Popn!BA$30:BA$34),Exogenous!$W$61*SUM(Popn!BB$130:BB$134)/SUM(Popn!BA$130:BA$134),Exogenous!$V$62*SUM(Popn!BB$35:BB$49)/SUM(Popn!BA$35:BA$49),Exogenous!$W$62*SUM(Popn!BB$135:BB$149)/SUM(Popn!BA$135:BA$149),Exogenous!$V$63*SUM(Popn!BB$50:BB$85)/SUM(Popn!BA$50:BA$85),Exogenous!$W$63*SUM(Popn!BB$150:BB$185)/SUM(Popn!BA$150:BA$185))-1</f>
        <v>1.5410553836974206E-3</v>
      </c>
      <c r="AV265" s="72">
        <f>SUM(Exogenous!$V$59*Popn!BC$27/Popn!BB$27,Exogenous!$W$59*Popn!BC$127/Popn!BB$127,Exogenous!$V$60*SUM(Popn!BC$28:BC$29)/SUM(Popn!BB$28:BB$29),Exogenous!$W$60*SUM(Popn!BC$128:BC$129)/SUM(Popn!BB$128:BB$129),Exogenous!$V$61*SUM(Popn!BC$30:BC$34)/SUM(Popn!BB$30:BB$34),Exogenous!$W$61*SUM(Popn!BC$130:BC$134)/SUM(Popn!BB$130:BB$134),Exogenous!$V$62*SUM(Popn!BC$35:BC$49)/SUM(Popn!BB$35:BB$49),Exogenous!$W$62*SUM(Popn!BC$135:BC$149)/SUM(Popn!BB$135:BB$149),Exogenous!$V$63*SUM(Popn!BC$50:BC$85)/SUM(Popn!BB$50:BB$85),Exogenous!$W$63*SUM(Popn!BC$150:BC$185)/SUM(Popn!BB$150:BB$185))-1</f>
        <v>1.4887545180781725E-3</v>
      </c>
      <c r="AW265" s="72">
        <f>SUM(Exogenous!$V$59*Popn!BD$27/Popn!BC$27,Exogenous!$W$59*Popn!BD$127/Popn!BC$127,Exogenous!$V$60*SUM(Popn!BD$28:BD$29)/SUM(Popn!BC$28:BC$29),Exogenous!$W$60*SUM(Popn!BD$128:BD$129)/SUM(Popn!BC$128:BC$129),Exogenous!$V$61*SUM(Popn!BD$30:BD$34)/SUM(Popn!BC$30:BC$34),Exogenous!$W$61*SUM(Popn!BD$130:BD$134)/SUM(Popn!BC$130:BC$134),Exogenous!$V$62*SUM(Popn!BD$35:BD$49)/SUM(Popn!BC$35:BC$49),Exogenous!$W$62*SUM(Popn!BD$135:BD$149)/SUM(Popn!BC$135:BC$149),Exogenous!$V$63*SUM(Popn!BD$50:BD$85)/SUM(Popn!BC$50:BC$85),Exogenous!$W$63*SUM(Popn!BD$150:BD$185)/SUM(Popn!BC$150:BC$185))-1</f>
        <v>1.5509879936645987E-3</v>
      </c>
    </row>
    <row r="266" spans="1:49" ht="15" x14ac:dyDescent="0.25">
      <c r="D266" s="73"/>
      <c r="E266" s="56"/>
      <c r="F266" s="56"/>
      <c r="G266" s="56"/>
      <c r="H266" s="56"/>
      <c r="I266" s="56"/>
      <c r="J266" s="57"/>
      <c r="K266" s="57"/>
      <c r="L266" s="57"/>
      <c r="M266" s="57"/>
      <c r="N266" s="57"/>
      <c r="O266" s="57"/>
      <c r="P266" s="57"/>
      <c r="Q266" s="57"/>
      <c r="R266" s="57"/>
      <c r="S266" s="57"/>
    </row>
    <row r="267" spans="1:49" x14ac:dyDescent="0.2">
      <c r="A267" s="22" t="s">
        <v>552</v>
      </c>
    </row>
    <row r="268" spans="1:49" x14ac:dyDescent="0.2">
      <c r="A268" s="1" t="s">
        <v>321</v>
      </c>
      <c r="B268" s="4"/>
      <c r="D268" s="18">
        <f t="shared" ref="D268:I268" si="188">D$176</f>
        <v>0.51300000000000001</v>
      </c>
      <c r="E268" s="19">
        <f t="shared" si="188"/>
        <v>0.53</v>
      </c>
      <c r="F268" s="19">
        <f t="shared" si="188"/>
        <v>0.59199999999999997</v>
      </c>
      <c r="G268" s="19">
        <f t="shared" si="188"/>
        <v>0.59499999999999997</v>
      </c>
      <c r="H268" s="19">
        <f t="shared" si="188"/>
        <v>0.58599999999999997</v>
      </c>
      <c r="I268" s="19">
        <f t="shared" si="188"/>
        <v>0.58599999999999997</v>
      </c>
      <c r="J268" s="7">
        <f t="shared" ref="J268:AW268" ca="1" si="189">J$176</f>
        <v>0.62359402369910744</v>
      </c>
      <c r="K268" s="7">
        <f t="shared" ca="1" si="189"/>
        <v>0.64965414101038543</v>
      </c>
      <c r="L268" s="7">
        <f t="shared" ca="1" si="189"/>
        <v>0.67781358835892724</v>
      </c>
      <c r="M268" s="7">
        <f t="shared" ca="1" si="189"/>
        <v>0.70709950977802272</v>
      </c>
      <c r="N268" s="7">
        <f t="shared" ca="1" si="189"/>
        <v>0.73759492728030718</v>
      </c>
      <c r="O268" s="7">
        <f t="shared" ca="1" si="189"/>
        <v>0.76908044506482742</v>
      </c>
      <c r="P268" s="7">
        <f t="shared" ca="1" si="189"/>
        <v>0.80160401203800202</v>
      </c>
      <c r="Q268" s="7">
        <f t="shared" ca="1" si="189"/>
        <v>0.83513049677556295</v>
      </c>
      <c r="R268" s="7">
        <f t="shared" ca="1" si="189"/>
        <v>0.86963501533360654</v>
      </c>
      <c r="S268" s="7">
        <f t="shared" ca="1" si="189"/>
        <v>0.90522722166511427</v>
      </c>
      <c r="T268" s="7">
        <f t="shared" ca="1" si="189"/>
        <v>0.94192009504269969</v>
      </c>
      <c r="U268" s="7">
        <f t="shared" ca="1" si="189"/>
        <v>0.97984532522170287</v>
      </c>
      <c r="V268" s="7">
        <f t="shared" ca="1" si="189"/>
        <v>1.0190965308494406</v>
      </c>
      <c r="W268" s="7">
        <f t="shared" ca="1" si="189"/>
        <v>1.0597874325692371</v>
      </c>
      <c r="X268" s="7">
        <f t="shared" ca="1" si="189"/>
        <v>1.102046917075997</v>
      </c>
      <c r="Y268" s="7">
        <f t="shared" ca="1" si="189"/>
        <v>1.145870664051158</v>
      </c>
      <c r="Z268" s="7">
        <f t="shared" ca="1" si="189"/>
        <v>1.1914804936302461</v>
      </c>
      <c r="AA268" s="7">
        <f t="shared" ca="1" si="189"/>
        <v>1.2389502026748054</v>
      </c>
      <c r="AB268" s="7">
        <f t="shared" ca="1" si="189"/>
        <v>1.288422347104984</v>
      </c>
      <c r="AC268" s="7">
        <f t="shared" ca="1" si="189"/>
        <v>1.3400836909794946</v>
      </c>
      <c r="AD268" s="7">
        <f t="shared" ca="1" si="189"/>
        <v>1.3939886859920594</v>
      </c>
      <c r="AE268" s="7">
        <f t="shared" ca="1" si="189"/>
        <v>1.4500878275895615</v>
      </c>
      <c r="AF268" s="7">
        <f t="shared" ca="1" si="189"/>
        <v>1.5085363196346488</v>
      </c>
      <c r="AG268" s="7">
        <f t="shared" ca="1" si="189"/>
        <v>1.5693668440800259</v>
      </c>
      <c r="AH268" s="7">
        <f t="shared" ca="1" si="189"/>
        <v>1.6326769468924458</v>
      </c>
      <c r="AI268" s="7">
        <f t="shared" ca="1" si="189"/>
        <v>1.6983560043645252</v>
      </c>
      <c r="AJ268" s="7">
        <f t="shared" ca="1" si="189"/>
        <v>1.7666144192408535</v>
      </c>
      <c r="AK268" s="7">
        <f t="shared" ca="1" si="189"/>
        <v>1.8373960400467502</v>
      </c>
      <c r="AL268" s="7">
        <f t="shared" ca="1" si="189"/>
        <v>1.9106451101467705</v>
      </c>
      <c r="AM268" s="7">
        <f t="shared" ca="1" si="189"/>
        <v>1.9864616973091862</v>
      </c>
      <c r="AN268" s="7">
        <f t="shared" ca="1" si="189"/>
        <v>2.0649512616725252</v>
      </c>
      <c r="AO268" s="7">
        <f t="shared" ca="1" si="189"/>
        <v>2.1458056018604821</v>
      </c>
      <c r="AP268" s="7">
        <f t="shared" ca="1" si="189"/>
        <v>2.2293680654339632</v>
      </c>
      <c r="AQ268" s="7">
        <f t="shared" ca="1" si="189"/>
        <v>2.3154045106337362</v>
      </c>
      <c r="AR268" s="7">
        <f t="shared" ca="1" si="189"/>
        <v>2.4040123461074177</v>
      </c>
      <c r="AS268" s="7">
        <f t="shared" ca="1" si="189"/>
        <v>2.4953982913793737</v>
      </c>
      <c r="AT268" s="7">
        <f t="shared" ca="1" si="189"/>
        <v>2.5896353334121995</v>
      </c>
      <c r="AU268" s="7">
        <f t="shared" ca="1" si="189"/>
        <v>2.6868487864338872</v>
      </c>
      <c r="AV268" s="7">
        <f t="shared" ca="1" si="189"/>
        <v>2.7873392245316917</v>
      </c>
      <c r="AW268" s="7">
        <f t="shared" ca="1" si="189"/>
        <v>2.8910499152079563</v>
      </c>
    </row>
    <row r="269" spans="1:49" x14ac:dyDescent="0.2">
      <c r="A269" s="1" t="s">
        <v>559</v>
      </c>
      <c r="B269" s="4" t="s">
        <v>560</v>
      </c>
      <c r="D269" s="18">
        <f>Exogenous!K$38</f>
        <v>0.873</v>
      </c>
      <c r="E269" s="19">
        <f>Exogenous!L$38</f>
        <v>1.0029999999999999</v>
      </c>
      <c r="F269" s="19">
        <f>Exogenous!M$38</f>
        <v>1.093</v>
      </c>
      <c r="G269" s="19">
        <f>Exogenous!N$38</f>
        <v>1.1240000000000001</v>
      </c>
      <c r="H269" s="19">
        <f>Exogenous!O$38</f>
        <v>1.121</v>
      </c>
      <c r="I269" s="19">
        <f>Exogenous!P$38</f>
        <v>1.119</v>
      </c>
      <c r="J269" s="7">
        <f ca="1">IF(J$6=OFFSET(Assumptions!$B$8,0,$C$1),AVERAGE(G$269/G$139,H$269/H$139,I$269/I$139),I$269/I$139)*J$139</f>
        <v>1.2401438604832451</v>
      </c>
      <c r="K269" s="7">
        <f ca="1">IF(K$6=OFFSET(Assumptions!$B$8,0,$C$1),AVERAGE(H$269/H$139,I$269/I$139,J$269/J$139),J$269/J$139)*K$139</f>
        <v>1.2974505079238057</v>
      </c>
      <c r="L269" s="7">
        <f ca="1">IF(L$6=OFFSET(Assumptions!$B$8,0,$C$1),AVERAGE(I$269/I$139,J$269/J$139,K$269/K$139),K$269/K$139)*L$139</f>
        <v>1.3558681232926453</v>
      </c>
      <c r="M269" s="7">
        <f ca="1">IF(M$6=OFFSET(Assumptions!$B$8,0,$C$1),AVERAGE(J$269/J$139,K$269/K$139,L$269/L$139),L$269/L$139)*M$139</f>
        <v>1.4144503765778627</v>
      </c>
      <c r="N269" s="7">
        <f ca="1">IF(N$6=OFFSET(Assumptions!$B$8,0,$C$1),AVERAGE(K$269/K$139,L$269/L$139,M$269/M$139),M$269/M$139)*N$139</f>
        <v>1.4754520519764873</v>
      </c>
      <c r="O269" s="7">
        <f ca="1">IF(O$6=OFFSET(Assumptions!$B$8,0,$C$1),AVERAGE(L$269/L$139,M$269/M$139,N$269/N$139),N$269/N$139)*O$139</f>
        <v>1.5385523527347087</v>
      </c>
      <c r="P269" s="7">
        <f ca="1">IF(P$6=OFFSET(Assumptions!$B$8,0,$C$1),AVERAGE(M$269/M$139,N$269/N$139,O$269/O$139),O$269/O$139)*P$139</f>
        <v>1.6064267373213907</v>
      </c>
      <c r="Q269" s="7">
        <f ca="1">IF(Q$6=OFFSET(Assumptions!$B$8,0,$C$1),AVERAGE(N$269/N$139,O$269/O$139,P$269/P$139),P$269/P$139)*Q$139</f>
        <v>1.6749597821702285</v>
      </c>
      <c r="R269" s="7">
        <f ca="1">IF(R$6=OFFSET(Assumptions!$B$8,0,$C$1),AVERAGE(O$269/O$139,P$269/P$139,Q$269/Q$139),Q$269/Q$139)*R$139</f>
        <v>1.7441629559388911</v>
      </c>
      <c r="S269" s="7">
        <f ca="1">IF(S$6=OFFSET(Assumptions!$B$8,0,$C$1),AVERAGE(P$269/P$139,Q$269/Q$139,R$269/R$139),R$269/R$139)*S$139</f>
        <v>1.8155476250345062</v>
      </c>
      <c r="T269" s="7">
        <f ca="1">IF(T$6=OFFSET(Assumptions!$B$8,0,$C$1),AVERAGE(Q$269/Q$139,R$269/R$139,S$269/S$139),S$269/S$139)*T$139</f>
        <v>1.8891398210290411</v>
      </c>
      <c r="U269" s="7">
        <f ca="1">IF(U$6=OFFSET(Assumptions!$B$8,0,$C$1),AVERAGE(R$269/R$139,S$269/S$139,T$269/T$139),T$269/T$139)*U$139</f>
        <v>1.9652036643740534</v>
      </c>
      <c r="V269" s="7">
        <f ca="1">IF(V$6=OFFSET(Assumptions!$B$8,0,$C$1),AVERAGE(S$269/S$139,T$269/T$139,U$269/U$139),U$269/U$139)*V$139</f>
        <v>2.0439269191013003</v>
      </c>
      <c r="W269" s="7">
        <f ca="1">IF(W$6=OFFSET(Assumptions!$B$8,0,$C$1),AVERAGE(T$269/T$139,U$269/U$139,V$269/V$139),V$269/V$139)*W$139</f>
        <v>2.1255376663366716</v>
      </c>
      <c r="X269" s="7">
        <f ca="1">IF(X$6=OFFSET(Assumptions!$B$8,0,$C$1),AVERAGE(U$269/U$139,V$269/V$139,W$269/W$139),W$269/W$139)*X$139</f>
        <v>2.2102944046396806</v>
      </c>
      <c r="Y269" s="7">
        <f ca="1">IF(Y$6=OFFSET(Assumptions!$B$8,0,$C$1),AVERAGE(V$269/V$139,W$269/W$139,X$269/X$139),X$269/X$139)*Y$139</f>
        <v>2.2981884690653094</v>
      </c>
      <c r="Z269" s="7">
        <f ca="1">IF(Z$6=OFFSET(Assumptions!$B$8,0,$C$1),AVERAGE(W$269/W$139,X$269/X$139,Y$269/Y$139),Y$269/Y$139)*Z$139</f>
        <v>2.3896647479361812</v>
      </c>
      <c r="AA269" s="7">
        <f ca="1">IF(AA$6=OFFSET(Assumptions!$B$8,0,$C$1),AVERAGE(X$269/X$139,Y$269/Y$139,Z$269/Z$139),Z$269/Z$139)*AA$139</f>
        <v>2.4848712501869628</v>
      </c>
      <c r="AB269" s="7">
        <f ca="1">IF(AB$6=OFFSET(Assumptions!$B$8,0,$C$1),AVERAGE(Y$269/Y$139,Z$269/Z$139,AA$269/AA$139),AA$269/AA$139)*AB$139</f>
        <v>2.5840938897363546</v>
      </c>
      <c r="AC269" s="7">
        <f ca="1">IF(AC$6=OFFSET(Assumptions!$B$8,0,$C$1),AVERAGE(Z$269/Z$139,AA$269/AA$139,AB$269/AB$139),AB$269/AB$139)*AC$139</f>
        <v>2.6877072455134052</v>
      </c>
      <c r="AD269" s="7">
        <f ca="1">IF(AD$6=OFFSET(Assumptions!$B$8,0,$C$1),AVERAGE(AA$269/AA$139,AB$269/AB$139,AC$269/AC$139),AC$269/AC$139)*AD$139</f>
        <v>2.7958205272732468</v>
      </c>
      <c r="AE269" s="7">
        <f ca="1">IF(AE$6=OFFSET(Assumptions!$B$8,0,$C$1),AVERAGE(AB$269/AB$139,AC$269/AC$139,AD$269/AD$139),AD$269/AD$139)*AE$139</f>
        <v>2.9083344473766113</v>
      </c>
      <c r="AF269" s="7">
        <f ca="1">IF(AF$6=OFFSET(Assumptions!$B$8,0,$C$1),AVERAGE(AC$269/AC$139,AD$269/AD$139,AE$269/AE$139),AE$269/AE$139)*AF$139</f>
        <v>3.0255602867897395</v>
      </c>
      <c r="AG269" s="7">
        <f ca="1">IF(AG$6=OFFSET(Assumptions!$B$8,0,$C$1),AVERAGE(AD$269/AD$139,AE$269/AE$139,AF$269/AF$139),AF$269/AF$139)*AG$139</f>
        <v>3.1475635933001853</v>
      </c>
      <c r="AH269" s="7">
        <f ca="1">IF(AH$6=OFFSET(Assumptions!$B$8,0,$C$1),AVERAGE(AE$269/AE$139,AF$269/AF$139,AG$269/AG$139),AG$269/AG$139)*AH$139</f>
        <v>3.2745400076752955</v>
      </c>
      <c r="AI269" s="7">
        <f ca="1">IF(AI$6=OFFSET(Assumptions!$B$8,0,$C$1),AVERAGE(AF$269/AF$139,AG$269/AG$139,AH$269/AH$139),AH$269/AH$139)*AI$139</f>
        <v>3.4062676600857</v>
      </c>
      <c r="AJ269" s="7">
        <f ca="1">IF(AJ$6=OFFSET(Assumptions!$B$8,0,$C$1),AVERAGE(AG$269/AG$139,AH$269/AH$139,AI$269/AI$139),AI$269/AI$139)*AJ$139</f>
        <v>3.5431685398331987</v>
      </c>
      <c r="AK269" s="7">
        <f ca="1">IF(AK$6=OFFSET(Assumptions!$B$8,0,$C$1),AVERAGE(AH$269/AH$139,AI$269/AI$139,AJ$269/AJ$139),AJ$269/AJ$139)*AK$139</f>
        <v>3.6851300280370736</v>
      </c>
      <c r="AL269" s="7">
        <f ca="1">IF(AL$6=OFFSET(Assumptions!$B$8,0,$C$1),AVERAGE(AI$269/AI$139,AJ$269/AJ$139,AK$269/AK$139),AK$269/AK$139)*AL$139</f>
        <v>3.8320402977166093</v>
      </c>
      <c r="AM269" s="7">
        <f ca="1">IF(AM$6=OFFSET(Assumptions!$B$8,0,$C$1),AVERAGE(AJ$269/AJ$139,AK$269/AK$139,AL$269/AL$139),AL$269/AL$139)*AM$139</f>
        <v>3.9841000474308825</v>
      </c>
      <c r="AN269" s="7">
        <f ca="1">IF(AN$6=OFFSET(Assumptions!$B$8,0,$C$1),AVERAGE(AK$269/AK$139,AL$269/AL$139,AM$269/AM$139),AM$269/AM$139)*AN$139</f>
        <v>4.1415207908191896</v>
      </c>
      <c r="AO269" s="7">
        <f ca="1">IF(AO$6=OFFSET(Assumptions!$B$8,0,$C$1),AVERAGE(AL$269/AL$139,AM$269/AM$139,AN$269/AN$139),AN$269/AN$139)*AO$139</f>
        <v>4.3036843910608571</v>
      </c>
      <c r="AP269" s="7">
        <f ca="1">IF(AP$6=OFFSET(Assumptions!$B$8,0,$C$1),AVERAGE(AM$269/AM$139,AN$269/AN$139,AO$269/AO$139),AO$269/AO$139)*AP$139</f>
        <v>4.4712794750926887</v>
      </c>
      <c r="AQ269" s="7">
        <f ca="1">IF(AQ$6=OFFSET(Assumptions!$B$8,0,$C$1),AVERAGE(AN$269/AN$139,AO$269/AO$139,AP$269/AP$139),AP$269/AP$139)*AQ$139</f>
        <v>4.6438364420181122</v>
      </c>
      <c r="AR269" s="7">
        <f ca="1">IF(AR$6=OFFSET(Assumptions!$B$8,0,$C$1),AVERAGE(AO$269/AO$139,AP$269/AP$139,AQ$269/AQ$139),AQ$269/AQ$139)*AR$139</f>
        <v>4.821550657193586</v>
      </c>
      <c r="AS269" s="7">
        <f ca="1">IF(AS$6=OFFSET(Assumptions!$B$8,0,$C$1),AVERAGE(AP$269/AP$139,AQ$269/AQ$139,AR$269/AR$139),AR$269/AR$139)*AS$139</f>
        <v>5.0048367227571475</v>
      </c>
      <c r="AT269" s="7">
        <f ca="1">IF(AT$6=OFFSET(Assumptions!$B$8,0,$C$1),AVERAGE(AQ$269/AQ$139,AR$269/AR$139,AS$269/AS$139),AS$269/AS$139)*AT$139</f>
        <v>5.1938410232887424</v>
      </c>
      <c r="AU269" s="7">
        <f ca="1">IF(AU$6=OFFSET(Assumptions!$B$8,0,$C$1),AVERAGE(AR$269/AR$139,AS$269/AS$139,AT$269/AT$139),AT$269/AT$139)*AU$139</f>
        <v>5.3888148923138868</v>
      </c>
      <c r="AV269" s="7">
        <f ca="1">IF(AV$6=OFFSET(Assumptions!$B$8,0,$C$1),AVERAGE(AS$269/AS$139,AT$269/AT$139,AU$269/AU$139),AU$269/AU$139)*AV$139</f>
        <v>5.5903611691608734</v>
      </c>
      <c r="AW269" s="7">
        <f ca="1">IF(AW$6=OFFSET(Assumptions!$B$8,0,$C$1),AVERAGE(AT$269/AT$139,AU$269/AU$139,AV$269/AV$139),AV$269/AV$139)*AW$139</f>
        <v>5.7983660696339587</v>
      </c>
    </row>
    <row r="270" spans="1:49" x14ac:dyDescent="0.2">
      <c r="A270" s="1" t="s">
        <v>563</v>
      </c>
      <c r="B270" s="4" t="str">
        <f>$B$43</f>
        <v>From Fiscal</v>
      </c>
      <c r="D270" s="18">
        <f>Fiscal!D$57-SUM(D$268:D$269)</f>
        <v>2.7480000000000002</v>
      </c>
      <c r="E270" s="19">
        <f ca="1">Fiscal!E$57-SUM(E$268:E$269) +IF(OR(OFFSET(Assumptions!$B$72,0,$C$1)="BU",OFFSET(Assumptions!$B$113,0,$C$1)="SND"),Allocate!C$17,0)</f>
        <v>2.8529999999999998</v>
      </c>
      <c r="F270" s="19">
        <f ca="1">Fiscal!F$57-SUM(F$268:F$269) +IF(OR(OFFSET(Assumptions!$B$72,0,$C$1)="BU",OFFSET(Assumptions!$B$113,0,$C$1)="SND"),Allocate!D$17,0)</f>
        <v>3.2089999999999996</v>
      </c>
      <c r="G270" s="19">
        <f ca="1">Fiscal!G$57-SUM(G$268:G$269) +IF(OR(OFFSET(Assumptions!$B$72,0,$C$1)="BU",OFFSET(Assumptions!$B$113,0,$C$1)="SND"),Allocate!E$17,0)</f>
        <v>3.1939999999999995</v>
      </c>
      <c r="H270" s="19">
        <f ca="1">Fiscal!H$57-SUM(H$268:H$269) +IF(OR(OFFSET(Assumptions!$B$72,0,$C$1)="BU",OFFSET(Assumptions!$B$113,0,$C$1)="SND"),Allocate!F$17,0)</f>
        <v>3.2060000000000004</v>
      </c>
      <c r="I270" s="19">
        <f ca="1">Fiscal!I$57-SUM(I$268:I$269) +IF(OR(OFFSET(Assumptions!$B$72,0,$C$1)="BU",OFFSET(Assumptions!$B$113,0,$C$1)="SND"),Allocate!G$17,0)</f>
        <v>3.3310000000000004</v>
      </c>
      <c r="J270" s="7">
        <f ca="1">IF(OFFSET(Assumptions!$B$72,0,$C$1)="BU",J$14*(I$270/I$14+MIN(ABS(OFFSET(Assumptions!$B$78,0,$C$1)-I$270/I$14),OFFSET(Assumptions!$B$75,0,$C$1))*SIGN(OFFSET(Assumptions!$B$78,0,$C$1)-I$270/I$14)),I$270+IF(OFFSET(Assumptions!$B$113,0,$C$1)="SND",Allocate!$B$17*J$232*J$14,0))</f>
        <v>3.4868985059247772</v>
      </c>
      <c r="K270" s="7">
        <f ca="1">IF(OFFSET(Assumptions!$B$72,0,$C$1)="BU",K$14*(J$270/J$14+MIN(ABS(OFFSET(Assumptions!$B$78,0,$C$1)-J$270/J$14),OFFSET(Assumptions!$B$75,0,$C$1))*SIGN(OFFSET(Assumptions!$B$78,0,$C$1)-J$270/J$14)),J$270+IF(OFFSET(Assumptions!$B$113,0,$C$1)="SND",Allocate!$B$17*K$232*K$14,0))</f>
        <v>3.6493120411773736</v>
      </c>
      <c r="L270" s="7">
        <f ca="1">IF(OFFSET(Assumptions!$B$72,0,$C$1)="BU",L$14*(K$270/K$14+MIN(ABS(OFFSET(Assumptions!$B$78,0,$C$1)-K$270/K$14),OFFSET(Assumptions!$B$75,0,$C$1))*SIGN(OFFSET(Assumptions!$B$78,0,$C$1)-K$270/K$14)),K$270+IF(OFFSET(Assumptions!$B$113,0,$C$1)="SND",Allocate!$B$17*L$232*L$14,0))</f>
        <v>3.8187654382671052</v>
      </c>
      <c r="M270" s="7">
        <f ca="1">IF(OFFSET(Assumptions!$B$72,0,$C$1)="BU",M$14*(L$270/L$14+MIN(ABS(OFFSET(Assumptions!$B$78,0,$C$1)-L$270/L$14),OFFSET(Assumptions!$B$75,0,$C$1))*SIGN(OFFSET(Assumptions!$B$78,0,$C$1)-L$270/L$14)),L$270+IF(OFFSET(Assumptions!$B$113,0,$C$1)="SND",Allocate!$B$17*M$232*M$14,0))</f>
        <v>3.9955403157116107</v>
      </c>
      <c r="N270" s="7">
        <f ca="1">IF(OFFSET(Assumptions!$B$72,0,$C$1)="BU",N$14*(M$270/M$14+MIN(ABS(OFFSET(Assumptions!$B$78,0,$C$1)-M$270/M$14),OFFSET(Assumptions!$B$75,0,$C$1))*SIGN(OFFSET(Assumptions!$B$78,0,$C$1)-M$270/M$14)),M$270+IF(OFFSET(Assumptions!$B$113,0,$C$1)="SND",Allocate!$B$17*N$232*N$14,0))</f>
        <v>4.1799390475316871</v>
      </c>
      <c r="O270" s="7">
        <f ca="1">IF(OFFSET(Assumptions!$B$72,0,$C$1)="BU",O$14*(N$270/N$14+MIN(ABS(OFFSET(Assumptions!$B$78,0,$C$1)-N$270/N$14),OFFSET(Assumptions!$B$75,0,$C$1))*SIGN(OFFSET(Assumptions!$B$78,0,$C$1)-N$270/N$14)),N$270+IF(OFFSET(Assumptions!$B$113,0,$C$1)="SND",Allocate!$B$17*O$232*O$14,0))</f>
        <v>4.3722091587978937</v>
      </c>
      <c r="P270" s="7">
        <f ca="1">IF(OFFSET(Assumptions!$B$72,0,$C$1)="BU",P$14*(O$270/O$14+MIN(ABS(OFFSET(Assumptions!$B$78,0,$C$1)-O$270/O$14),OFFSET(Assumptions!$B$75,0,$C$1))*SIGN(OFFSET(Assumptions!$B$78,0,$C$1)-O$270/O$14)),O$270+IF(OFFSET(Assumptions!$B$113,0,$C$1)="SND",Allocate!$B$17*P$232*P$14,0))</f>
        <v>4.6728106633121449</v>
      </c>
      <c r="Q270" s="7">
        <f ca="1">IF(OFFSET(Assumptions!$B$72,0,$C$1)="BU",Q$14*(P$270/P$14+MIN(ABS(OFFSET(Assumptions!$B$78,0,$C$1)-P$270/P$14),OFFSET(Assumptions!$B$75,0,$C$1))*SIGN(OFFSET(Assumptions!$B$78,0,$C$1)-P$270/P$14)),P$270+IF(OFFSET(Assumptions!$B$113,0,$C$1)="SND",Allocate!$B$17*Q$232*Q$14,0))</f>
        <v>4.9859845996029808</v>
      </c>
      <c r="R270" s="7">
        <f ca="1">IF(OFFSET(Assumptions!$B$72,0,$C$1)="BU",R$14*(Q$270/Q$14+MIN(ABS(OFFSET(Assumptions!$B$78,0,$C$1)-Q$270/Q$14),OFFSET(Assumptions!$B$75,0,$C$1))*SIGN(OFFSET(Assumptions!$B$78,0,$C$1)-Q$270/Q$14)),Q$270+IF(OFFSET(Assumptions!$B$113,0,$C$1)="SND",Allocate!$B$17*R$232*R$14,0))</f>
        <v>5.3120977303530834</v>
      </c>
      <c r="S270" s="7">
        <f ca="1">IF(OFFSET(Assumptions!$B$72,0,$C$1)="BU",S$14*(R$270/R$14+MIN(ABS(OFFSET(Assumptions!$B$78,0,$C$1)-R$270/R$14),OFFSET(Assumptions!$B$75,0,$C$1))*SIGN(OFFSET(Assumptions!$B$78,0,$C$1)-R$270/R$14)),R$270+IF(OFFSET(Assumptions!$B$113,0,$C$1)="SND",Allocate!$B$17*S$232*S$14,0))</f>
        <v>5.6515579384775014</v>
      </c>
      <c r="T270" s="7">
        <f ca="1">IF(OFFSET(Assumptions!$B$72,0,$C$1)="BU",T$14*(S$270/S$14+MIN(ABS(OFFSET(Assumptions!$B$78,0,$C$1)-S$270/S$14),OFFSET(Assumptions!$B$75,0,$C$1))*SIGN(OFFSET(Assumptions!$B$78,0,$C$1)-S$270/S$14)),S$270+IF(OFFSET(Assumptions!$B$113,0,$C$1)="SND",Allocate!$B$17*T$232*T$14,0))</f>
        <v>6.0047779741185137</v>
      </c>
      <c r="U270" s="7">
        <f ca="1">IF(OFFSET(Assumptions!$B$72,0,$C$1)="BU",U$14*(T$270/T$14+MIN(ABS(OFFSET(Assumptions!$B$78,0,$C$1)-T$270/T$14),OFFSET(Assumptions!$B$75,0,$C$1))*SIGN(OFFSET(Assumptions!$B$78,0,$C$1)-T$270/T$14)),T$270+IF(OFFSET(Assumptions!$B$113,0,$C$1)="SND",Allocate!$B$17*U$232*U$14,0))</f>
        <v>6.3722199710766523</v>
      </c>
      <c r="V270" s="7">
        <f ca="1">IF(OFFSET(Assumptions!$B$72,0,$C$1)="BU",V$14*(U$270/U$14+MIN(ABS(OFFSET(Assumptions!$B$78,0,$C$1)-U$270/U$14),OFFSET(Assumptions!$B$75,0,$C$1))*SIGN(OFFSET(Assumptions!$B$78,0,$C$1)-U$270/U$14)),U$270+IF(OFFSET(Assumptions!$B$113,0,$C$1)="SND",Allocate!$B$17*V$232*V$14,0))</f>
        <v>6.7543811701451926</v>
      </c>
      <c r="W270" s="7">
        <f ca="1">IF(OFFSET(Assumptions!$B$72,0,$C$1)="BU",W$14*(V$270/V$14+MIN(ABS(OFFSET(Assumptions!$B$78,0,$C$1)-V$270/V$14),OFFSET(Assumptions!$B$75,0,$C$1))*SIGN(OFFSET(Assumptions!$B$78,0,$C$1)-V$270/V$14)),V$270+IF(OFFSET(Assumptions!$B$113,0,$C$1)="SND",Allocate!$B$17*W$232*W$14,0))</f>
        <v>7.1518014573586566</v>
      </c>
      <c r="X270" s="7">
        <f ca="1">IF(OFFSET(Assumptions!$B$72,0,$C$1)="BU",X$14*(W$270/W$14+MIN(ABS(OFFSET(Assumptions!$B$78,0,$C$1)-W$270/W$14),OFFSET(Assumptions!$B$75,0,$C$1))*SIGN(OFFSET(Assumptions!$B$78,0,$C$1)-W$270/W$14)),W$270+IF(OFFSET(Assumptions!$B$113,0,$C$1)="SND",Allocate!$B$17*X$232*X$14,0))</f>
        <v>7.5650690512621557</v>
      </c>
      <c r="Y270" s="7">
        <f ca="1">IF(OFFSET(Assumptions!$B$72,0,$C$1)="BU",Y$14*(X$270/X$14+MIN(ABS(OFFSET(Assumptions!$B$78,0,$C$1)-X$270/X$14),OFFSET(Assumptions!$B$75,0,$C$1))*SIGN(OFFSET(Assumptions!$B$78,0,$C$1)-X$270/X$14)),X$270+IF(OFFSET(Assumptions!$B$113,0,$C$1)="SND",Allocate!$B$17*Y$232*Y$14,0))</f>
        <v>7.9947705502813395</v>
      </c>
      <c r="Z270" s="7">
        <f ca="1">IF(OFFSET(Assumptions!$B$72,0,$C$1)="BU",Z$14*(Y$270/Y$14+MIN(ABS(OFFSET(Assumptions!$B$78,0,$C$1)-Y$270/Y$14),OFFSET(Assumptions!$B$75,0,$C$1))*SIGN(OFFSET(Assumptions!$B$78,0,$C$1)-Y$270/Y$14)),Y$270+IF(OFFSET(Assumptions!$B$113,0,$C$1)="SND",Allocate!$B$17*Z$232*Z$14,0))</f>
        <v>8.4415757353926821</v>
      </c>
      <c r="AA270" s="7">
        <f ca="1">IF(OFFSET(Assumptions!$B$72,0,$C$1)="BU",AA$14*(Z$270/Z$14+MIN(ABS(OFFSET(Assumptions!$B$78,0,$C$1)-Z$270/Z$14),OFFSET(Assumptions!$B$75,0,$C$1))*SIGN(OFFSET(Assumptions!$B$78,0,$C$1)-Z$270/Z$14)),Z$270+IF(OFFSET(Assumptions!$B$113,0,$C$1)="SND",Allocate!$B$17*AA$232*AA$14,0))</f>
        <v>8.751313286061384</v>
      </c>
      <c r="AB270" s="7">
        <f ca="1">IF(OFFSET(Assumptions!$B$72,0,$C$1)="BU",AB$14*(AA$270/AA$14+MIN(ABS(OFFSET(Assumptions!$B$78,0,$C$1)-AA$270/AA$14),OFFSET(Assumptions!$B$75,0,$C$1))*SIGN(OFFSET(Assumptions!$B$78,0,$C$1)-AA$270/AA$14)),AA$270+IF(OFFSET(Assumptions!$B$113,0,$C$1)="SND",Allocate!$B$17*AB$232*AB$14,0))</f>
        <v>9.0734188728376299</v>
      </c>
      <c r="AC270" s="7">
        <f ca="1">IF(OFFSET(Assumptions!$B$72,0,$C$1)="BU",AC$14*(AB$270/AB$14+MIN(ABS(OFFSET(Assumptions!$B$78,0,$C$1)-AB$270/AB$14),OFFSET(Assumptions!$B$75,0,$C$1))*SIGN(OFFSET(Assumptions!$B$78,0,$C$1)-AB$270/AB$14)),AB$270+IF(OFFSET(Assumptions!$B$113,0,$C$1)="SND",Allocate!$B$17*AC$232*AC$14,0))</f>
        <v>9.4084397955825043</v>
      </c>
      <c r="AD270" s="7">
        <f ca="1">IF(OFFSET(Assumptions!$B$72,0,$C$1)="BU",AD$14*(AC$270/AC$14+MIN(ABS(OFFSET(Assumptions!$B$78,0,$C$1)-AC$270/AC$14),OFFSET(Assumptions!$B$75,0,$C$1))*SIGN(OFFSET(Assumptions!$B$78,0,$C$1)-AC$270/AC$14)),AC$270+IF(OFFSET(Assumptions!$B$113,0,$C$1)="SND",Allocate!$B$17*AD$232*AD$14,0))</f>
        <v>9.7569369670805184</v>
      </c>
      <c r="AE270" s="7">
        <f ca="1">IF(OFFSET(Assumptions!$B$72,0,$C$1)="BU",AE$14*(AD$270/AD$14+MIN(ABS(OFFSET(Assumptions!$B$78,0,$C$1)-AD$270/AD$14),OFFSET(Assumptions!$B$75,0,$C$1))*SIGN(OFFSET(Assumptions!$B$78,0,$C$1)-AD$270/AD$14)),AD$270+IF(OFFSET(Assumptions!$B$113,0,$C$1)="SND",Allocate!$B$17*AE$232*AE$14,0))</f>
        <v>10.119458923977909</v>
      </c>
      <c r="AF270" s="7">
        <f ca="1">IF(OFFSET(Assumptions!$B$72,0,$C$1)="BU",AF$14*(AE$270/AE$14+MIN(ABS(OFFSET(Assumptions!$B$78,0,$C$1)-AE$270/AE$14),OFFSET(Assumptions!$B$75,0,$C$1))*SIGN(OFFSET(Assumptions!$B$78,0,$C$1)-AE$270/AE$14)),AE$270+IF(OFFSET(Assumptions!$B$113,0,$C$1)="SND",Allocate!$B$17*AF$232*AF$14,0))</f>
        <v>10.496593003886572</v>
      </c>
      <c r="AG270" s="7">
        <f ca="1">IF(OFFSET(Assumptions!$B$72,0,$C$1)="BU",AG$14*(AF$270/AF$14+MIN(ABS(OFFSET(Assumptions!$B$78,0,$C$1)-AF$270/AF$14),OFFSET(Assumptions!$B$75,0,$C$1))*SIGN(OFFSET(Assumptions!$B$78,0,$C$1)-AF$270/AF$14)),AF$270+IF(OFFSET(Assumptions!$B$113,0,$C$1)="SND",Allocate!$B$17*AG$232*AG$14,0))</f>
        <v>10.888934714906579</v>
      </c>
      <c r="AH270" s="7">
        <f ca="1">IF(OFFSET(Assumptions!$B$72,0,$C$1)="BU",AH$14*(AG$270/AG$14+MIN(ABS(OFFSET(Assumptions!$B$78,0,$C$1)-AG$270/AG$14),OFFSET(Assumptions!$B$75,0,$C$1))*SIGN(OFFSET(Assumptions!$B$78,0,$C$1)-AG$270/AG$14)),AG$270+IF(OFFSET(Assumptions!$B$113,0,$C$1)="SND",Allocate!$B$17*AH$232*AH$14,0))</f>
        <v>11.29710395162969</v>
      </c>
      <c r="AI270" s="7">
        <f ca="1">IF(OFFSET(Assumptions!$B$72,0,$C$1)="BU",AI$14*(AH$270/AH$14+MIN(ABS(OFFSET(Assumptions!$B$78,0,$C$1)-AH$270/AH$14),OFFSET(Assumptions!$B$75,0,$C$1))*SIGN(OFFSET(Assumptions!$B$78,0,$C$1)-AH$270/AH$14)),AH$270+IF(OFFSET(Assumptions!$B$113,0,$C$1)="SND",Allocate!$B$17*AI$232*AI$14,0))</f>
        <v>11.721692952720822</v>
      </c>
      <c r="AJ270" s="7">
        <f ca="1">IF(OFFSET(Assumptions!$B$72,0,$C$1)="BU",AJ$14*(AI$270/AI$14+MIN(ABS(OFFSET(Assumptions!$B$78,0,$C$1)-AI$270/AI$14),OFFSET(Assumptions!$B$75,0,$C$1))*SIGN(OFFSET(Assumptions!$B$78,0,$C$1)-AI$270/AI$14)),AI$270+IF(OFFSET(Assumptions!$B$113,0,$C$1)="SND",Allocate!$B$17*AJ$232*AJ$14,0))</f>
        <v>12.163346557531035</v>
      </c>
      <c r="AK270" s="7">
        <f ca="1">IF(OFFSET(Assumptions!$B$72,0,$C$1)="BU",AK$14*(AJ$270/AJ$14+MIN(ABS(OFFSET(Assumptions!$B$78,0,$C$1)-AJ$270/AJ$14),OFFSET(Assumptions!$B$75,0,$C$1))*SIGN(OFFSET(Assumptions!$B$78,0,$C$1)-AJ$270/AJ$14)),AJ$270+IF(OFFSET(Assumptions!$B$113,0,$C$1)="SND",Allocate!$B$17*AK$232*AK$14,0))</f>
        <v>12.622695567542722</v>
      </c>
      <c r="AL270" s="7">
        <f ca="1">IF(OFFSET(Assumptions!$B$72,0,$C$1)="BU",AL$14*(AK$270/AK$14+MIN(ABS(OFFSET(Assumptions!$B$78,0,$C$1)-AK$270/AK$14),OFFSET(Assumptions!$B$75,0,$C$1))*SIGN(OFFSET(Assumptions!$B$78,0,$C$1)-AK$270/AK$14)),AK$270+IF(OFFSET(Assumptions!$B$113,0,$C$1)="SND",Allocate!$B$17*AL$232*AL$14,0))</f>
        <v>13.100356845079414</v>
      </c>
      <c r="AM270" s="7">
        <f ca="1">IF(OFFSET(Assumptions!$B$72,0,$C$1)="BU",AM$14*(AL$270/AL$14+MIN(ABS(OFFSET(Assumptions!$B$78,0,$C$1)-AL$270/AL$14),OFFSET(Assumptions!$B$75,0,$C$1))*SIGN(OFFSET(Assumptions!$B$78,0,$C$1)-AL$270/AL$14)),AL$270+IF(OFFSET(Assumptions!$B$113,0,$C$1)="SND",Allocate!$B$17*AM$232*AM$14,0))</f>
        <v>13.596972269406711</v>
      </c>
      <c r="AN270" s="7">
        <f ca="1">IF(OFFSET(Assumptions!$B$72,0,$C$1)="BU",AN$14*(AM$270/AM$14+MIN(ABS(OFFSET(Assumptions!$B$78,0,$C$1)-AM$270/AM$14),OFFSET(Assumptions!$B$75,0,$C$1))*SIGN(OFFSET(Assumptions!$B$78,0,$C$1)-AM$270/AM$14)),AM$270+IF(OFFSET(Assumptions!$B$113,0,$C$1)="SND",Allocate!$B$17*AN$232*AN$14,0))</f>
        <v>14.113210084824843</v>
      </c>
      <c r="AO270" s="7">
        <f ca="1">IF(OFFSET(Assumptions!$B$72,0,$C$1)="BU",AO$14*(AN$270/AN$14+MIN(ABS(OFFSET(Assumptions!$B$78,0,$C$1)-AN$270/AN$14),OFFSET(Assumptions!$B$75,0,$C$1))*SIGN(OFFSET(Assumptions!$B$78,0,$C$1)-AN$270/AN$14)),AN$270+IF(OFFSET(Assumptions!$B$113,0,$C$1)="SND",Allocate!$B$17*AO$232*AO$14,0))</f>
        <v>14.649661485289963</v>
      </c>
      <c r="AP270" s="7">
        <f ca="1">IF(OFFSET(Assumptions!$B$72,0,$C$1)="BU",AP$14*(AO$270/AO$14+MIN(ABS(OFFSET(Assumptions!$B$78,0,$C$1)-AO$270/AO$14),OFFSET(Assumptions!$B$75,0,$C$1))*SIGN(OFFSET(Assumptions!$B$78,0,$C$1)-AO$270/AO$14)),AO$270+IF(OFFSET(Assumptions!$B$113,0,$C$1)="SND",Allocate!$B$17*AP$232*AP$14,0))</f>
        <v>15.207003501648455</v>
      </c>
      <c r="AQ270" s="7">
        <f ca="1">IF(OFFSET(Assumptions!$B$72,0,$C$1)="BU",AQ$14*(AP$270/AP$14+MIN(ABS(OFFSET(Assumptions!$B$78,0,$C$1)-AP$270/AP$14),OFFSET(Assumptions!$B$75,0,$C$1))*SIGN(OFFSET(Assumptions!$B$78,0,$C$1)-AP$270/AP$14)),AP$270+IF(OFFSET(Assumptions!$B$113,0,$C$1)="SND",Allocate!$B$17*AQ$232*AQ$14,0))</f>
        <v>15.785854629306888</v>
      </c>
      <c r="AR270" s="7">
        <f ca="1">IF(OFFSET(Assumptions!$B$72,0,$C$1)="BU",AR$14*(AQ$270/AQ$14+MIN(ABS(OFFSET(Assumptions!$B$78,0,$C$1)-AQ$270/AQ$14),OFFSET(Assumptions!$B$75,0,$C$1))*SIGN(OFFSET(Assumptions!$B$78,0,$C$1)-AQ$270/AQ$14)),AQ$270+IF(OFFSET(Assumptions!$B$113,0,$C$1)="SND",Allocate!$B$17*AR$232*AR$14,0))</f>
        <v>16.386857715833742</v>
      </c>
      <c r="AS270" s="7">
        <f ca="1">IF(OFFSET(Assumptions!$B$72,0,$C$1)="BU",AS$14*(AR$270/AR$14+MIN(ABS(OFFSET(Assumptions!$B$78,0,$C$1)-AR$270/AR$14),OFFSET(Assumptions!$B$75,0,$C$1))*SIGN(OFFSET(Assumptions!$B$78,0,$C$1)-AR$270/AR$14)),AR$270+IF(OFFSET(Assumptions!$B$113,0,$C$1)="SND",Allocate!$B$17*AS$232*AS$14,0))</f>
        <v>17.010707288678585</v>
      </c>
      <c r="AT270" s="7">
        <f ca="1">IF(OFFSET(Assumptions!$B$72,0,$C$1)="BU",AT$14*(AS$270/AS$14+MIN(ABS(OFFSET(Assumptions!$B$78,0,$C$1)-AS$270/AS$14),OFFSET(Assumptions!$B$75,0,$C$1))*SIGN(OFFSET(Assumptions!$B$78,0,$C$1)-AS$270/AS$14)),AS$270+IF(OFFSET(Assumptions!$B$113,0,$C$1)="SND",Allocate!$B$17*AT$232*AT$14,0))</f>
        <v>17.658116122031636</v>
      </c>
      <c r="AU270" s="7">
        <f ca="1">IF(OFFSET(Assumptions!$B$72,0,$C$1)="BU",AU$14*(AT$270/AT$14+MIN(ABS(OFFSET(Assumptions!$B$78,0,$C$1)-AT$270/AT$14),OFFSET(Assumptions!$B$75,0,$C$1))*SIGN(OFFSET(Assumptions!$B$78,0,$C$1)-AT$270/AT$14)),AT$270+IF(OFFSET(Assumptions!$B$113,0,$C$1)="SND",Allocate!$B$17*AU$232*AU$14,0))</f>
        <v>18.329828318640107</v>
      </c>
      <c r="AV270" s="7">
        <f ca="1">IF(OFFSET(Assumptions!$B$72,0,$C$1)="BU",AV$14*(AU$270/AU$14+MIN(ABS(OFFSET(Assumptions!$B$78,0,$C$1)-AU$270/AU$14),OFFSET(Assumptions!$B$75,0,$C$1))*SIGN(OFFSET(Assumptions!$B$78,0,$C$1)-AU$270/AU$14)),AU$270+IF(OFFSET(Assumptions!$B$113,0,$C$1)="SND",Allocate!$B$17*AV$232*AV$14,0))</f>
        <v>19.02666312477303</v>
      </c>
      <c r="AW270" s="7">
        <f ca="1">IF(OFFSET(Assumptions!$B$72,0,$C$1)="BU",AW$14*(AV$270/AV$14+MIN(ABS(OFFSET(Assumptions!$B$78,0,$C$1)-AV$270/AV$14),OFFSET(Assumptions!$B$75,0,$C$1))*SIGN(OFFSET(Assumptions!$B$78,0,$C$1)-AV$270/AV$14)),AV$270+IF(OFFSET(Assumptions!$B$113,0,$C$1)="SND",Allocate!$B$17*AW$232*AW$14,0))</f>
        <v>19.74942560357502</v>
      </c>
    </row>
    <row r="271" spans="1:49" ht="15" x14ac:dyDescent="0.25">
      <c r="A271" s="2" t="s">
        <v>564</v>
      </c>
      <c r="D271" s="40">
        <f t="shared" ref="D271" si="190">SUM(D$268:D$270)</f>
        <v>4.1340000000000003</v>
      </c>
      <c r="E271" s="39">
        <f t="shared" ref="E271:AW271" ca="1" si="191">SUM(E$268:E$270)</f>
        <v>4.3859999999999992</v>
      </c>
      <c r="F271" s="39">
        <f t="shared" ca="1" si="191"/>
        <v>4.8940000000000001</v>
      </c>
      <c r="G271" s="39">
        <f t="shared" ca="1" si="191"/>
        <v>4.9129999999999994</v>
      </c>
      <c r="H271" s="39">
        <f t="shared" ca="1" si="191"/>
        <v>4.9130000000000003</v>
      </c>
      <c r="I271" s="39">
        <f t="shared" ca="1" si="191"/>
        <v>5.0360000000000005</v>
      </c>
      <c r="J271" s="43">
        <f t="shared" ca="1" si="191"/>
        <v>5.3506363901071303</v>
      </c>
      <c r="K271" s="43">
        <f t="shared" ca="1" si="191"/>
        <v>5.5964166901115648</v>
      </c>
      <c r="L271" s="43">
        <f t="shared" ca="1" si="191"/>
        <v>5.8524471499186781</v>
      </c>
      <c r="M271" s="43">
        <f t="shared" ca="1" si="191"/>
        <v>6.1170902020674962</v>
      </c>
      <c r="N271" s="43">
        <f t="shared" ca="1" si="191"/>
        <v>6.3929860267884813</v>
      </c>
      <c r="O271" s="43">
        <f t="shared" ca="1" si="191"/>
        <v>6.6798419565974303</v>
      </c>
      <c r="P271" s="43">
        <f t="shared" ca="1" si="191"/>
        <v>7.0808414126715373</v>
      </c>
      <c r="Q271" s="43">
        <f t="shared" ca="1" si="191"/>
        <v>7.4960748785487716</v>
      </c>
      <c r="R271" s="43">
        <f t="shared" ca="1" si="191"/>
        <v>7.9258957016255813</v>
      </c>
      <c r="S271" s="43">
        <f t="shared" ca="1" si="191"/>
        <v>8.3723327851771217</v>
      </c>
      <c r="T271" s="43">
        <f t="shared" ca="1" si="191"/>
        <v>8.8358378901902555</v>
      </c>
      <c r="U271" s="43">
        <f t="shared" ca="1" si="191"/>
        <v>9.3172689606724077</v>
      </c>
      <c r="V271" s="43">
        <f t="shared" ca="1" si="191"/>
        <v>9.8174046200959335</v>
      </c>
      <c r="W271" s="43">
        <f t="shared" ca="1" si="191"/>
        <v>10.337126556264565</v>
      </c>
      <c r="X271" s="43">
        <f t="shared" ca="1" si="191"/>
        <v>10.877410372977833</v>
      </c>
      <c r="Y271" s="43">
        <f t="shared" ca="1" si="191"/>
        <v>11.438829683397806</v>
      </c>
      <c r="Z271" s="43">
        <f t="shared" ca="1" si="191"/>
        <v>12.022720976959111</v>
      </c>
      <c r="AA271" s="43">
        <f t="shared" ca="1" si="191"/>
        <v>12.475134738923153</v>
      </c>
      <c r="AB271" s="43">
        <f t="shared" ca="1" si="191"/>
        <v>12.945935109678969</v>
      </c>
      <c r="AC271" s="43">
        <f t="shared" ca="1" si="191"/>
        <v>13.436230732075405</v>
      </c>
      <c r="AD271" s="43">
        <f t="shared" ca="1" si="191"/>
        <v>13.946746180345825</v>
      </c>
      <c r="AE271" s="43">
        <f t="shared" ca="1" si="191"/>
        <v>14.477881198944083</v>
      </c>
      <c r="AF271" s="43">
        <f t="shared" ca="1" si="191"/>
        <v>15.03068961031096</v>
      </c>
      <c r="AG271" s="43">
        <f t="shared" ca="1" si="191"/>
        <v>15.605865152286791</v>
      </c>
      <c r="AH271" s="43">
        <f t="shared" ca="1" si="191"/>
        <v>16.204320906197431</v>
      </c>
      <c r="AI271" s="43">
        <f t="shared" ca="1" si="191"/>
        <v>16.826316617171045</v>
      </c>
      <c r="AJ271" s="43">
        <f t="shared" ca="1" si="191"/>
        <v>17.473129516605088</v>
      </c>
      <c r="AK271" s="43">
        <f t="shared" ca="1" si="191"/>
        <v>18.145221635626548</v>
      </c>
      <c r="AL271" s="43">
        <f t="shared" ca="1" si="191"/>
        <v>18.843042252942794</v>
      </c>
      <c r="AM271" s="43">
        <f t="shared" ca="1" si="191"/>
        <v>19.56753401414678</v>
      </c>
      <c r="AN271" s="43">
        <f t="shared" ca="1" si="191"/>
        <v>20.319682137316558</v>
      </c>
      <c r="AO271" s="43">
        <f t="shared" ca="1" si="191"/>
        <v>21.099151478211304</v>
      </c>
      <c r="AP271" s="43">
        <f t="shared" ca="1" si="191"/>
        <v>21.907651042175107</v>
      </c>
      <c r="AQ271" s="43">
        <f t="shared" ca="1" si="191"/>
        <v>22.745095581958736</v>
      </c>
      <c r="AR271" s="43">
        <f t="shared" ca="1" si="191"/>
        <v>23.612420719134747</v>
      </c>
      <c r="AS271" s="43">
        <f t="shared" ca="1" si="191"/>
        <v>24.510942302815106</v>
      </c>
      <c r="AT271" s="43">
        <f t="shared" ca="1" si="191"/>
        <v>25.441592478732577</v>
      </c>
      <c r="AU271" s="43">
        <f t="shared" ca="1" si="191"/>
        <v>26.40549199738788</v>
      </c>
      <c r="AV271" s="43">
        <f t="shared" ca="1" si="191"/>
        <v>27.404363518465594</v>
      </c>
      <c r="AW271" s="43">
        <f t="shared" ca="1" si="191"/>
        <v>28.438841588416935</v>
      </c>
    </row>
    <row r="272" spans="1:49" ht="15" x14ac:dyDescent="0.25">
      <c r="A272" s="2" t="s">
        <v>565</v>
      </c>
      <c r="B272" s="4" t="str">
        <f>$B$43</f>
        <v>From Fiscal</v>
      </c>
      <c r="D272" s="47">
        <f>Fiscal!D$40</f>
        <v>3.8980000000000001</v>
      </c>
      <c r="E272" s="44">
        <f ca="1">Fiscal!E$40  +IF(OR(OFFSET(Assumptions!$B$72,0,$C$1)="BU",OFFSET(Assumptions!$B$113,0,$C$1)="SND"),Allocate!C$17,0)</f>
        <v>4.1760000000000002</v>
      </c>
      <c r="F272" s="44">
        <f ca="1">Fiscal!F$40  +IF(OR(OFFSET(Assumptions!$B$72,0,$C$1)="BU",OFFSET(Assumptions!$B$113,0,$C$1)="SND"),Allocate!D$17,0)</f>
        <v>4.8249999999999993</v>
      </c>
      <c r="G272" s="44">
        <f ca="1">Fiscal!G$40  +IF(OR(OFFSET(Assumptions!$B$72,0,$C$1)="BU",OFFSET(Assumptions!$B$113,0,$C$1)="SND"),Allocate!E$17,0)</f>
        <v>4.867</v>
      </c>
      <c r="H272" s="44">
        <f ca="1">Fiscal!H$40  +IF(OR(OFFSET(Assumptions!$B$72,0,$C$1)="BU",OFFSET(Assumptions!$B$113,0,$C$1)="SND"),Allocate!F$17,0)</f>
        <v>4.8209999999999997</v>
      </c>
      <c r="I272" s="44">
        <f ca="1">Fiscal!I$40  +IF(OR(OFFSET(Assumptions!$B$72,0,$C$1)="BU",OFFSET(Assumptions!$B$113,0,$C$1)="SND"),Allocate!G$17,0)</f>
        <v>4.952</v>
      </c>
      <c r="J272" s="8">
        <f ca="1">IF(J$6=OFFSET(Assumptions!$B$8,0,$C$1),AVERAGE((G$272-G$271)/G$14,(H$272-H$271)/H$14,(I$272-I$271)/I$14),(I$272-I$271)/I$14)*J$14 + J$271</f>
        <v>5.2707194468352467</v>
      </c>
      <c r="K272" s="8">
        <f ca="1">IF(K$6=OFFSET(Assumptions!$B$8,0,$C$1),AVERAGE((H$272-H$271)/H$14,(I$272-I$271)/I$14,(J$272-J$271)/J$14),(J$272-J$271)/J$14)*K$14 + K$271</f>
        <v>5.5131600020094309</v>
      </c>
      <c r="L272" s="8">
        <f ca="1">IF(L$6=OFFSET(Assumptions!$B$8,0,$C$1),AVERAGE((I$272-I$271)/I$14,(J$272-J$271)/J$14,(K$272-K$271)/K$14),(K$272-K$271)/K$14)*L$14 + L$271</f>
        <v>5.7655816764998224</v>
      </c>
      <c r="M272" s="8">
        <f ca="1">IF(M$6=OFFSET(Assumptions!$B$8,0,$C$1),AVERAGE((J$272-J$271)/J$14,(K$272-K$271)/K$14,(L$272-L$271)/L$14),(L$272-L$271)/L$14)*M$14 + M$271</f>
        <v>6.0264715795936974</v>
      </c>
      <c r="N272" s="8">
        <f ca="1">IF(N$6=OFFSET(Assumptions!$B$8,0,$C$1),AVERAGE((K$272-K$271)/K$14,(L$272-L$271)/L$14,(M$272-M$271)/M$14),(M$272-M$271)/M$14)*N$14 + N$271</f>
        <v>6.2984592518020497</v>
      </c>
      <c r="O272" s="8">
        <f ca="1">IF(O$6=OFFSET(Assumptions!$B$8,0,$C$1),AVERAGE((L$272-L$271)/L$14,(M$272-M$271)/M$14,(N$272-N$271)/N$14),(N$272-N$271)/N$14)*O$14 + O$271</f>
        <v>6.5812801423979135</v>
      </c>
      <c r="P272" s="8">
        <f ca="1">IF(P$6=OFFSET(Assumptions!$B$8,0,$C$1),AVERAGE((M$272-M$271)/M$14,(N$272-N$271)/N$14,(O$272-O$271)/O$14),(O$272-O$271)/O$14)*P$14 + P$271</f>
        <v>6.9781115276470684</v>
      </c>
      <c r="Q272" s="8">
        <f ca="1">IF(Q$6=OFFSET(Assumptions!$B$8,0,$C$1),AVERAGE((N$272-N$271)/N$14,(O$272-O$271)/O$14,(P$272-P$271)/P$14),(P$272-P$271)/P$14)*Q$14 + Q$271</f>
        <v>7.3890483933693112</v>
      </c>
      <c r="R272" s="8">
        <f ca="1">IF(R$6=OFFSET(Assumptions!$B$8,0,$C$1),AVERAGE((O$272-O$271)/O$14,(P$272-P$271)/P$14,(Q$272-Q$271)/Q$14),(Q$272-Q$271)/Q$14)*R$14 + R$271</f>
        <v>7.8144472759729435</v>
      </c>
      <c r="S272" s="8">
        <f ca="1">IF(S$6=OFFSET(Assumptions!$B$8,0,$C$1),AVERAGE((P$272-P$271)/P$14,(Q$272-Q$271)/Q$14,(R$272-R$271)/R$14),(R$272-R$271)/R$14)*S$14 + S$271</f>
        <v>8.2563230259866103</v>
      </c>
      <c r="T272" s="8">
        <f ca="1">IF(T$6=OFFSET(Assumptions!$B$8,0,$C$1),AVERAGE((Q$272-Q$271)/Q$14,(R$272-R$271)/R$14,(S$272-S$271)/S$14),(S$272-S$271)/S$14)*T$14 + T$271</f>
        <v>8.7151257410332654</v>
      </c>
      <c r="U272" s="8">
        <f ca="1">IF(U$6=OFFSET(Assumptions!$B$8,0,$C$1),AVERAGE((R$272-R$271)/R$14,(S$272-S$271)/S$14,(T$272-T$271)/T$14),(T$272-T$271)/T$14)*U$14 + U$271</f>
        <v>9.1916964883666967</v>
      </c>
      <c r="V272" s="8">
        <f ca="1">IF(V$6=OFFSET(Assumptions!$B$8,0,$C$1),AVERAGE((S$272-S$271)/S$14,(T$272-T$271)/T$14,(U$272-U$271)/U$14),(U$272-U$271)/U$14)*V$14 + V$271</f>
        <v>9.686801893723807</v>
      </c>
      <c r="W272" s="8">
        <f ca="1">IF(W$6=OFFSET(Assumptions!$B$8,0,$C$1),AVERAGE((T$272-T$271)/T$14,(U$272-U$271)/U$14,(V$272-V$271)/V$14),(V$272-V$271)/V$14)*W$14 + W$271</f>
        <v>10.201309070993478</v>
      </c>
      <c r="X272" s="8">
        <f ca="1">IF(X$6=OFFSET(Assumptions!$B$8,0,$C$1),AVERAGE((U$272-U$271)/U$14,(V$272-V$271)/V$14,(W$272-W$271)/W$14),(W$272-W$271)/W$14)*X$14 + X$271</f>
        <v>10.736177106448945</v>
      </c>
      <c r="Y272" s="8">
        <f ca="1">IF(Y$6=OFFSET(Assumptions!$B$8,0,$C$1),AVERAGE((V$272-V$271)/V$14,(W$272-W$271)/W$14,(X$272-X$271)/X$14),(X$272-X$271)/X$14)*Y$14 + Y$271</f>
        <v>11.291980166924443</v>
      </c>
      <c r="Z272" s="8">
        <f ca="1">IF(Z$6=OFFSET(Assumptions!$B$8,0,$C$1),AVERAGE((W$272-W$271)/W$14,(X$272-X$271)/X$14,(Y$272-Y$271)/Y$14),(Y$272-Y$271)/Y$14)*Z$14 + Z$271</f>
        <v>11.870026314405786</v>
      </c>
      <c r="AA272" s="8">
        <f ca="1">IF(AA$6=OFFSET(Assumptions!$B$8,0,$C$1),AVERAGE((X$272-X$271)/X$14,(Y$272-Y$271)/Y$14,(Z$272-Z$271)/Z$14),(Z$272-Z$271)/Z$14)*AA$14 + AA$271</f>
        <v>12.316356576687866</v>
      </c>
      <c r="AB272" s="8">
        <f ca="1">IF(AB$6=OFFSET(Assumptions!$B$8,0,$C$1),AVERAGE((Y$272-Y$271)/Y$14,(Z$272-Z$271)/Z$14,(AA$272-AA$271)/AA$14),(AA$272-AA$271)/AA$14)*AB$14 + AB$271</f>
        <v>12.780816824848356</v>
      </c>
      <c r="AC272" s="8">
        <f ca="1">IF(AC$6=OFFSET(Assumptions!$B$8,0,$C$1),AVERAGE((Z$272-Z$271)/Z$14,(AA$272-AA$271)/AA$14,(AB$272-AB$271)/AB$14),(AB$272-AB$271)/AB$14)*AC$14 + AC$271</f>
        <v>13.264491766912935</v>
      </c>
      <c r="AD272" s="8">
        <f ca="1">IF(AD$6=OFFSET(Assumptions!$B$8,0,$C$1),AVERAGE((AA$272-AA$271)/AA$14,(AB$272-AB$271)/AB$14,(AC$272-AC$271)/AC$14),(AC$272-AC$271)/AC$14)*AD$14 + AD$271</f>
        <v>13.768098998836225</v>
      </c>
      <c r="AE272" s="8">
        <f ca="1">IF(AE$6=OFFSET(Assumptions!$B$8,0,$C$1),AVERAGE((AB$272-AB$271)/AB$14,(AC$272-AC$271)/AC$14,(AD$272-AD$271)/AD$14),(AD$272-AD$271)/AD$14)*AE$14 + AE$271</f>
        <v>14.292044609348025</v>
      </c>
      <c r="AF272" s="8">
        <f ca="1">IF(AF$6=OFFSET(Assumptions!$B$8,0,$C$1),AVERAGE((AC$272-AC$271)/AC$14,(AD$272-AD$271)/AD$14,(AE$272-AE$271)/AE$14),(AE$272-AE$271)/AE$14)*AF$14 + AF$271</f>
        <v>14.837362530675588</v>
      </c>
      <c r="AG272" s="8">
        <f ca="1">IF(AG$6=OFFSET(Assumptions!$B$8,0,$C$1),AVERAGE((AD$272-AD$271)/AD$14,(AE$272-AE$271)/AE$14,(AF$272-AF$271)/AF$14),(AF$272-AF$271)/AF$14)*AG$14 + AG$271</f>
        <v>15.404742312290434</v>
      </c>
      <c r="AH272" s="8">
        <f ca="1">IF(AH$6=OFFSET(Assumptions!$B$8,0,$C$1),AVERAGE((AE$272-AE$271)/AE$14,(AF$272-AF$271)/AF$14,(AG$272-AG$271)/AG$14),(AG$272-AG$271)/AG$14)*AH$14 + AH$271</f>
        <v>15.995084534475764</v>
      </c>
      <c r="AI272" s="8">
        <f ca="1">IF(AI$6=OFFSET(Assumptions!$B$8,0,$C$1),AVERAGE((AF$272-AF$271)/AF$14,(AG$272-AG$271)/AG$14,(AH$272-AH$271)/AH$14),(AH$272-AH$271)/AH$14)*AI$14 + AI$271</f>
        <v>16.608663119385515</v>
      </c>
      <c r="AJ272" s="8">
        <f ca="1">IF(AJ$6=OFFSET(Assumptions!$B$8,0,$C$1),AVERAGE((AG$272-AG$271)/AG$14,(AH$272-AH$271)/AH$14,(AI$272-AI$271)/AI$14),(AI$272-AI$271)/AI$14)*AJ$14 + AJ$271</f>
        <v>17.246728334168665</v>
      </c>
      <c r="AK272" s="8">
        <f ca="1">IF(AK$6=OFFSET(Assumptions!$B$8,0,$C$1),AVERAGE((AH$272-AH$271)/AH$14,(AI$272-AI$271)/AI$14,(AJ$272-AJ$271)/AJ$14),(AJ$272-AJ$271)/AJ$14)*AK$14 + AK$271</f>
        <v>17.909749406067061</v>
      </c>
      <c r="AL272" s="8">
        <f ca="1">IF(AL$6=OFFSET(Assumptions!$B$8,0,$C$1),AVERAGE((AI$272-AI$271)/AI$14,(AJ$272-AJ$271)/AJ$14,(AK$272-AK$271)/AK$14),(AK$272-AK$271)/AK$14)*AL$14 + AL$271</f>
        <v>18.598182759302137</v>
      </c>
      <c r="AM272" s="8">
        <f ca="1">IF(AM$6=OFFSET(Assumptions!$B$8,0,$C$1),AVERAGE((AJ$272-AJ$271)/AJ$14,(AK$272-AK$271)/AK$14,(AL$272-AL$271)/AL$14),(AL$272-AL$271)/AL$14)*AM$14 + AM$271</f>
        <v>19.312958215241707</v>
      </c>
      <c r="AN272" s="8">
        <f ca="1">IF(AN$6=OFFSET(Assumptions!$B$8,0,$C$1),AVERAGE((AK$272-AK$271)/AK$14,(AL$272-AL$271)/AL$14,(AM$272-AM$271)/AM$14),(AM$272-AM$271)/AM$14)*AN$14 + AN$271</f>
        <v>20.055047476677291</v>
      </c>
      <c r="AO272" s="8">
        <f ca="1">IF(AO$6=OFFSET(Assumptions!$B$8,0,$C$1),AVERAGE((AL$272-AL$271)/AL$14,(AM$272-AM$271)/AM$14,(AN$272-AN$271)/AN$14),(AN$272-AN$271)/AN$14)*AO$14 + AO$271</f>
        <v>20.824154897039577</v>
      </c>
      <c r="AP272" s="8">
        <f ca="1">IF(AP$6=OFFSET(Assumptions!$B$8,0,$C$1),AVERAGE((AM$272-AM$271)/AM$14,(AN$272-AN$271)/AN$14,(AO$272-AO$271)/AO$14),(AO$272-AO$271)/AO$14)*AP$14 + AP$271</f>
        <v>21.621945479827698</v>
      </c>
      <c r="AQ272" s="8">
        <f ca="1">IF(AQ$6=OFFSET(Assumptions!$B$8,0,$C$1),AVERAGE((AN$272-AN$271)/AN$14,(AO$272-AO$271)/AO$14,(AP$272-AP$271)/AP$14),(AP$272-AP$271)/AP$14)*AQ$14 + AQ$271</f>
        <v>22.448363984323883</v>
      </c>
      <c r="AR272" s="8">
        <f ca="1">IF(AR$6=OFFSET(Assumptions!$B$8,0,$C$1),AVERAGE((AO$272-AO$271)/AO$14,(AP$272-AP$271)/AP$14,(AQ$272-AQ$271)/AQ$14),(AQ$272-AQ$271)/AQ$14)*AR$14 + AR$271</f>
        <v>23.304333548656221</v>
      </c>
      <c r="AS272" s="8">
        <f ca="1">IF(AS$6=OFFSET(Assumptions!$B$8,0,$C$1),AVERAGE((AP$272-AP$271)/AP$14,(AQ$272-AQ$271)/AQ$14,(AR$272-AR$271)/AR$14),(AR$272-AR$271)/AR$14)*AS$14 + AS$271</f>
        <v>24.191143529712772</v>
      </c>
      <c r="AT272" s="8">
        <f ca="1">IF(AT$6=OFFSET(Assumptions!$B$8,0,$C$1),AVERAGE((AQ$272-AQ$271)/AQ$14,(AR$272-AR$271)/AR$14,(AS$272-AS$271)/AS$14),(AS$272-AS$271)/AS$14)*AT$14 + AT$271</f>
        <v>25.109716719552708</v>
      </c>
      <c r="AU272" s="8">
        <f ca="1">IF(AU$6=OFFSET(Assumptions!$B$8,0,$C$1),AVERAGE((AR$272-AR$271)/AR$14,(AS$272-AS$271)/AS$14,(AT$272-AT$271)/AT$14),(AT$272-AT$271)/AT$14)*AU$14 + AU$271</f>
        <v>26.061157808981392</v>
      </c>
      <c r="AV272" s="8">
        <f ca="1">IF(AV$6=OFFSET(Assumptions!$B$8,0,$C$1),AVERAGE((AS$272-AS$271)/AS$14,(AT$272-AT$271)/AT$14,(AU$272-AU$271)/AU$14),(AU$272-AU$271)/AU$14)*AV$14 + AV$271</f>
        <v>27.047150937490187</v>
      </c>
      <c r="AW272" s="8">
        <f ca="1">IF(AW$6=OFFSET(Assumptions!$B$8,0,$C$1),AVERAGE((AT$272-AT$271)/AT$14,(AU$272-AU$271)/AU$14,(AV$272-AV$271)/AV$14),(AV$272-AV$271)/AV$14)*AW$14 + AW$271</f>
        <v>28.068337922106394</v>
      </c>
    </row>
    <row r="273" spans="1:49" ht="15" x14ac:dyDescent="0.25">
      <c r="A273" s="2"/>
      <c r="B273" s="4"/>
      <c r="D273" s="47"/>
      <c r="E273" s="44"/>
      <c r="F273" s="44"/>
      <c r="G273" s="44"/>
      <c r="H273" s="44"/>
      <c r="I273" s="44"/>
      <c r="J273" s="8"/>
      <c r="K273" s="8"/>
      <c r="L273" s="8"/>
      <c r="M273" s="8"/>
      <c r="N273" s="8"/>
      <c r="O273" s="8"/>
      <c r="P273" s="8"/>
      <c r="Q273" s="8"/>
      <c r="R273" s="8"/>
      <c r="S273" s="8"/>
    </row>
    <row r="274" spans="1:49" ht="15" x14ac:dyDescent="0.25">
      <c r="A274" s="22" t="s">
        <v>624</v>
      </c>
      <c r="B274" s="4"/>
      <c r="D274" s="47"/>
      <c r="E274" s="44"/>
      <c r="F274" s="44"/>
      <c r="G274" s="44"/>
      <c r="H274" s="44"/>
      <c r="I274" s="44"/>
      <c r="J274" s="8"/>
      <c r="K274" s="8"/>
      <c r="L274" s="8"/>
      <c r="M274" s="8"/>
      <c r="N274" s="8"/>
      <c r="O274" s="8"/>
      <c r="P274" s="8"/>
      <c r="Q274" s="8"/>
      <c r="R274" s="8"/>
      <c r="S274" s="8"/>
    </row>
    <row r="275" spans="1:49" ht="15" x14ac:dyDescent="0.25">
      <c r="A275" s="2" t="s">
        <v>566</v>
      </c>
      <c r="B275" s="4" t="str">
        <f t="shared" ref="B275:B280" si="192">$B$43</f>
        <v>From Fiscal</v>
      </c>
      <c r="D275" s="47">
        <f>Fiscal!D$58</f>
        <v>3.5150000000000001</v>
      </c>
      <c r="E275" s="44">
        <f ca="1">Fiscal!E$58  +IF(OR(OFFSET(Assumptions!$B$72,0,$C$1)="BU",OFFSET(Assumptions!$B$113,0,$C$1)="SND"),Allocate!C$18,0)</f>
        <v>3.6429999999999998</v>
      </c>
      <c r="F275" s="44">
        <f ca="1">Fiscal!F$58  +IF(OR(OFFSET(Assumptions!$B$72,0,$C$1)="BU",OFFSET(Assumptions!$B$113,0,$C$1)="SND"),Allocate!D$18,0)</f>
        <v>3.7719999999999998</v>
      </c>
      <c r="G275" s="44">
        <f ca="1">Fiscal!G$58  +IF(OR(OFFSET(Assumptions!$B$72,0,$C$1)="BU",OFFSET(Assumptions!$B$113,0,$C$1)="SND"),Allocate!E$18,0)</f>
        <v>3.9329999999999998</v>
      </c>
      <c r="H275" s="44">
        <f ca="1">Fiscal!H$58  +IF(OR(OFFSET(Assumptions!$B$72,0,$C$1)="BU",OFFSET(Assumptions!$B$113,0,$C$1)="SND"),Allocate!F$18,0)</f>
        <v>4.0259999999999998</v>
      </c>
      <c r="I275" s="44">
        <f ca="1">Fiscal!I$58  +IF(OR(OFFSET(Assumptions!$B$72,0,$C$1)="BU",OFFSET(Assumptions!$B$113,0,$C$1)="SND"),Allocate!G$18,0)</f>
        <v>4.1609999999999996</v>
      </c>
      <c r="J275" s="8">
        <f ca="1">IF(OFFSET(Assumptions!$B$72,0,$C$1)="BU",J$14*(I$275/I$14+MIN(ABS(OFFSET(Assumptions!$B$79,0,$C$1)-I$275/I$14),OFFSET(Assumptions!$B$75,0,$C$1))*SIGN(OFFSET(Assumptions!$B$79,0,$C$1)-I$275/I$14)),I$275+IF(OFFSET(Assumptions!$B$113,0,$C$1)="SND",Allocate!$B$18*J$232*J$14,0))</f>
        <v>4.2857188047398207</v>
      </c>
      <c r="K275" s="8">
        <f ca="1">IF(OFFSET(Assumptions!$B$72,0,$C$1)="BU",K$14*(J$275/J$14+MIN(ABS(OFFSET(Assumptions!$B$79,0,$C$1)-J$275/J$14),OFFSET(Assumptions!$B$75,0,$C$1))*SIGN(OFFSET(Assumptions!$B$79,0,$C$1)-J$275/J$14)),J$275+IF(OFFSET(Assumptions!$B$113,0,$C$1)="SND",Allocate!$B$18*K$232*K$14,0))</f>
        <v>4.4156496329418982</v>
      </c>
      <c r="L275" s="8">
        <f ca="1">IF(OFFSET(Assumptions!$B$72,0,$C$1)="BU",L$14*(K$275/K$14+MIN(ABS(OFFSET(Assumptions!$B$79,0,$C$1)-K$275/K$14),OFFSET(Assumptions!$B$75,0,$C$1))*SIGN(OFFSET(Assumptions!$B$79,0,$C$1)-K$275/K$14)),K$275+IF(OFFSET(Assumptions!$B$113,0,$C$1)="SND",Allocate!$B$18*L$232*L$14,0))</f>
        <v>4.5512123506136835</v>
      </c>
      <c r="M275" s="8">
        <f ca="1">IF(OFFSET(Assumptions!$B$72,0,$C$1)="BU",M$14*(L$275/L$14+MIN(ABS(OFFSET(Assumptions!$B$79,0,$C$1)-L$275/L$14),OFFSET(Assumptions!$B$75,0,$C$1))*SIGN(OFFSET(Assumptions!$B$79,0,$C$1)-L$275/L$14)),L$275+IF(OFFSET(Assumptions!$B$113,0,$C$1)="SND",Allocate!$B$18*M$232*M$14,0))</f>
        <v>4.6926322525692878</v>
      </c>
      <c r="N275" s="8">
        <f ca="1">IF(OFFSET(Assumptions!$B$72,0,$C$1)="BU",N$14*(M$275/M$14+MIN(ABS(OFFSET(Assumptions!$B$79,0,$C$1)-M$275/M$14),OFFSET(Assumptions!$B$75,0,$C$1))*SIGN(OFFSET(Assumptions!$B$79,0,$C$1)-M$275/M$14)),M$275+IF(OFFSET(Assumptions!$B$113,0,$C$1)="SND",Allocate!$B$18*N$232*N$14,0))</f>
        <v>4.8401512380253493</v>
      </c>
      <c r="O275" s="8">
        <f ca="1">IF(OFFSET(Assumptions!$B$72,0,$C$1)="BU",O$14*(N$275/N$14+MIN(ABS(OFFSET(Assumptions!$B$79,0,$C$1)-N$275/N$14),OFFSET(Assumptions!$B$75,0,$C$1))*SIGN(OFFSET(Assumptions!$B$79,0,$C$1)-N$275/N$14)),N$275+IF(OFFSET(Assumptions!$B$113,0,$C$1)="SND",Allocate!$B$18*O$232*O$14,0))</f>
        <v>4.9939673270383151</v>
      </c>
      <c r="P275" s="8">
        <f ca="1">IF(OFFSET(Assumptions!$B$72,0,$C$1)="BU",P$14*(O$275/O$14+MIN(ABS(OFFSET(Assumptions!$B$79,0,$C$1)-O$275/O$14),OFFSET(Assumptions!$B$75,0,$C$1))*SIGN(OFFSET(Assumptions!$B$79,0,$C$1)-O$275/O$14)),O$275+IF(OFFSET(Assumptions!$B$113,0,$C$1)="SND",Allocate!$B$18*P$232*P$14,0))</f>
        <v>5.2344485306497157</v>
      </c>
      <c r="Q275" s="8">
        <f ca="1">IF(OFFSET(Assumptions!$B$72,0,$C$1)="BU",Q$14*(P$275/P$14+MIN(ABS(OFFSET(Assumptions!$B$79,0,$C$1)-P$275/P$14),OFFSET(Assumptions!$B$75,0,$C$1))*SIGN(OFFSET(Assumptions!$B$79,0,$C$1)-P$275/P$14)),P$275+IF(OFFSET(Assumptions!$B$113,0,$C$1)="SND",Allocate!$B$18*Q$232*Q$14,0))</f>
        <v>5.4849876796823844</v>
      </c>
      <c r="R275" s="8">
        <f ca="1">IF(OFFSET(Assumptions!$B$72,0,$C$1)="BU",R$14*(Q$275/Q$14+MIN(ABS(OFFSET(Assumptions!$B$79,0,$C$1)-Q$275/Q$14),OFFSET(Assumptions!$B$75,0,$C$1))*SIGN(OFFSET(Assumptions!$B$79,0,$C$1)-Q$275/Q$14)),Q$275+IF(OFFSET(Assumptions!$B$113,0,$C$1)="SND",Allocate!$B$18*R$232*R$14,0))</f>
        <v>5.745878184282466</v>
      </c>
      <c r="S275" s="8">
        <f ca="1">IF(OFFSET(Assumptions!$B$72,0,$C$1)="BU",S$14*(R$275/R$14+MIN(ABS(OFFSET(Assumptions!$B$79,0,$C$1)-R$275/R$14),OFFSET(Assumptions!$B$75,0,$C$1))*SIGN(OFFSET(Assumptions!$B$79,0,$C$1)-R$275/R$14)),R$275+IF(OFFSET(Assumptions!$B$113,0,$C$1)="SND",Allocate!$B$18*S$232*S$14,0))</f>
        <v>6.0174463507820004</v>
      </c>
      <c r="T275" s="8">
        <f ca="1">IF(OFFSET(Assumptions!$B$72,0,$C$1)="BU",T$14*(S$275/S$14+MIN(ABS(OFFSET(Assumptions!$B$79,0,$C$1)-S$275/S$14),OFFSET(Assumptions!$B$75,0,$C$1))*SIGN(OFFSET(Assumptions!$B$79,0,$C$1)-S$275/S$14)),S$275+IF(OFFSET(Assumptions!$B$113,0,$C$1)="SND",Allocate!$B$18*T$232*T$14,0))</f>
        <v>6.30002237929481</v>
      </c>
      <c r="U275" s="8">
        <f ca="1">IF(OFFSET(Assumptions!$B$72,0,$C$1)="BU",U$14*(T$275/T$14+MIN(ABS(OFFSET(Assumptions!$B$79,0,$C$1)-T$275/T$14),OFFSET(Assumptions!$B$75,0,$C$1))*SIGN(OFFSET(Assumptions!$B$79,0,$C$1)-T$275/T$14)),T$275+IF(OFFSET(Assumptions!$B$113,0,$C$1)="SND",Allocate!$B$18*U$232*U$14,0))</f>
        <v>6.5939759768613211</v>
      </c>
      <c r="V275" s="8">
        <f ca="1">IF(OFFSET(Assumptions!$B$72,0,$C$1)="BU",V$14*(U$275/U$14+MIN(ABS(OFFSET(Assumptions!$B$79,0,$C$1)-U$275/U$14),OFFSET(Assumptions!$B$75,0,$C$1))*SIGN(OFFSET(Assumptions!$B$79,0,$C$1)-U$275/U$14)),U$275+IF(OFFSET(Assumptions!$B$113,0,$C$1)="SND",Allocate!$B$18*V$232*V$14,0))</f>
        <v>6.8997049361161533</v>
      </c>
      <c r="W275" s="8">
        <f ca="1">IF(OFFSET(Assumptions!$B$72,0,$C$1)="BU",W$14*(V$275/V$14+MIN(ABS(OFFSET(Assumptions!$B$79,0,$C$1)-V$275/V$14),OFFSET(Assumptions!$B$75,0,$C$1))*SIGN(OFFSET(Assumptions!$B$79,0,$C$1)-V$275/V$14)),V$275+IF(OFFSET(Assumptions!$B$113,0,$C$1)="SND",Allocate!$B$18*W$232*W$14,0))</f>
        <v>7.2176411658869242</v>
      </c>
      <c r="X275" s="8">
        <f ca="1">IF(OFFSET(Assumptions!$B$72,0,$C$1)="BU",X$14*(W$275/W$14+MIN(ABS(OFFSET(Assumptions!$B$79,0,$C$1)-W$275/W$14),OFFSET(Assumptions!$B$75,0,$C$1))*SIGN(OFFSET(Assumptions!$B$79,0,$C$1)-W$275/W$14)),W$275+IF(OFFSET(Assumptions!$B$113,0,$C$1)="SND",Allocate!$B$18*X$232*X$14,0))</f>
        <v>7.5482552410097234</v>
      </c>
      <c r="Y275" s="8">
        <f ca="1">IF(OFFSET(Assumptions!$B$72,0,$C$1)="BU",Y$14*(X$275/X$14+MIN(ABS(OFFSET(Assumptions!$B$79,0,$C$1)-X$275/X$14),OFFSET(Assumptions!$B$75,0,$C$1))*SIGN(OFFSET(Assumptions!$B$79,0,$C$1)-X$275/X$14)),X$275+IF(OFFSET(Assumptions!$B$113,0,$C$1)="SND",Allocate!$B$18*Y$232*Y$14,0))</f>
        <v>7.8920164402250705</v>
      </c>
      <c r="Z275" s="8">
        <f ca="1">IF(OFFSET(Assumptions!$B$72,0,$C$1)="BU",Z$14*(Y$275/Y$14+MIN(ABS(OFFSET(Assumptions!$B$79,0,$C$1)-Y$275/Y$14),OFFSET(Assumptions!$B$75,0,$C$1))*SIGN(OFFSET(Assumptions!$B$79,0,$C$1)-Y$275/Y$14)),Y$275+IF(OFFSET(Assumptions!$B$113,0,$C$1)="SND",Allocate!$B$18*Z$232*Z$14,0))</f>
        <v>8.249460588314145</v>
      </c>
      <c r="AA275" s="8">
        <f ca="1">IF(OFFSET(Assumptions!$B$72,0,$C$1)="BU",AA$14*(Z$275/Z$14+MIN(ABS(OFFSET(Assumptions!$B$79,0,$C$1)-Z$275/Z$14),OFFSET(Assumptions!$B$75,0,$C$1))*SIGN(OFFSET(Assumptions!$B$79,0,$C$1)-Z$275/Z$14)),Z$275+IF(OFFSET(Assumptions!$B$113,0,$C$1)="SND",Allocate!$B$18*AA$232*AA$14,0))</f>
        <v>8.4972506288491054</v>
      </c>
      <c r="AB275" s="8">
        <f ca="1">IF(OFFSET(Assumptions!$B$72,0,$C$1)="BU",AB$14*(AA$275/AA$14+MIN(ABS(OFFSET(Assumptions!$B$79,0,$C$1)-AA$275/AA$14),OFFSET(Assumptions!$B$75,0,$C$1))*SIGN(OFFSET(Assumptions!$B$79,0,$C$1)-AA$275/AA$14)),AA$275+IF(OFFSET(Assumptions!$B$113,0,$C$1)="SND",Allocate!$B$18*AB$232*AB$14,0))</f>
        <v>8.7549350982701029</v>
      </c>
      <c r="AC275" s="8">
        <f ca="1">IF(OFFSET(Assumptions!$B$72,0,$C$1)="BU",AC$14*(AB$275/AB$14+MIN(ABS(OFFSET(Assumptions!$B$79,0,$C$1)-AB$275/AB$14),OFFSET(Assumptions!$B$75,0,$C$1))*SIGN(OFFSET(Assumptions!$B$79,0,$C$1)-AB$275/AB$14)),AB$275+IF(OFFSET(Assumptions!$B$113,0,$C$1)="SND",Allocate!$B$18*AC$232*AC$14,0))</f>
        <v>9.0229518364660013</v>
      </c>
      <c r="AD275" s="8">
        <f ca="1">IF(OFFSET(Assumptions!$B$72,0,$C$1)="BU",AD$14*(AC$275/AC$14+MIN(ABS(OFFSET(Assumptions!$B$79,0,$C$1)-AC$275/AC$14),OFFSET(Assumptions!$B$75,0,$C$1))*SIGN(OFFSET(Assumptions!$B$79,0,$C$1)-AC$275/AC$14)),AC$275+IF(OFFSET(Assumptions!$B$113,0,$C$1)="SND",Allocate!$B$18*AD$232*AD$14,0))</f>
        <v>9.3017495736644129</v>
      </c>
      <c r="AE275" s="8">
        <f ca="1">IF(OFFSET(Assumptions!$B$72,0,$C$1)="BU",AE$14*(AD$275/AD$14+MIN(ABS(OFFSET(Assumptions!$B$79,0,$C$1)-AD$275/AD$14),OFFSET(Assumptions!$B$75,0,$C$1))*SIGN(OFFSET(Assumptions!$B$79,0,$C$1)-AD$275/AD$14)),AD$275+IF(OFFSET(Assumptions!$B$113,0,$C$1)="SND",Allocate!$B$18*AE$232*AE$14,0))</f>
        <v>9.5917671391823252</v>
      </c>
      <c r="AF275" s="8">
        <f ca="1">IF(OFFSET(Assumptions!$B$72,0,$C$1)="BU",AF$14*(AE$275/AE$14+MIN(ABS(OFFSET(Assumptions!$B$79,0,$C$1)-AE$275/AE$14),OFFSET(Assumptions!$B$75,0,$C$1))*SIGN(OFFSET(Assumptions!$B$79,0,$C$1)-AE$275/AE$14)),AE$275+IF(OFFSET(Assumptions!$B$113,0,$C$1)="SND",Allocate!$B$18*AF$232*AF$14,0))</f>
        <v>9.8934744031092556</v>
      </c>
      <c r="AG275" s="8">
        <f ca="1">IF(OFFSET(Assumptions!$B$72,0,$C$1)="BU",AG$14*(AF$275/AF$14+MIN(ABS(OFFSET(Assumptions!$B$79,0,$C$1)-AF$275/AF$14),OFFSET(Assumptions!$B$75,0,$C$1))*SIGN(OFFSET(Assumptions!$B$79,0,$C$1)-AF$275/AF$14)),AF$275+IF(OFFSET(Assumptions!$B$113,0,$C$1)="SND",Allocate!$B$18*AG$232*AG$14,0))</f>
        <v>10.20734777192526</v>
      </c>
      <c r="AH275" s="8">
        <f ca="1">IF(OFFSET(Assumptions!$B$72,0,$C$1)="BU",AH$14*(AG$275/AG$14+MIN(ABS(OFFSET(Assumptions!$B$79,0,$C$1)-AG$275/AG$14),OFFSET(Assumptions!$B$75,0,$C$1))*SIGN(OFFSET(Assumptions!$B$79,0,$C$1)-AG$275/AG$14)),AG$275+IF(OFFSET(Assumptions!$B$113,0,$C$1)="SND",Allocate!$B$18*AH$232*AH$14,0))</f>
        <v>10.533883161303748</v>
      </c>
      <c r="AI275" s="8">
        <f ca="1">IF(OFFSET(Assumptions!$B$72,0,$C$1)="BU",AI$14*(AH$275/AH$14+MIN(ABS(OFFSET(Assumptions!$B$79,0,$C$1)-AH$275/AH$14),OFFSET(Assumptions!$B$75,0,$C$1))*SIGN(OFFSET(Assumptions!$B$79,0,$C$1)-AH$275/AH$14)),AH$275+IF(OFFSET(Assumptions!$B$113,0,$C$1)="SND",Allocate!$B$18*AI$232*AI$14,0))</f>
        <v>10.873554362176653</v>
      </c>
      <c r="AJ275" s="8">
        <f ca="1">IF(OFFSET(Assumptions!$B$72,0,$C$1)="BU",AJ$14*(AI$275/AI$14+MIN(ABS(OFFSET(Assumptions!$B$79,0,$C$1)-AI$275/AI$14),OFFSET(Assumptions!$B$75,0,$C$1))*SIGN(OFFSET(Assumptions!$B$79,0,$C$1)-AI$275/AI$14)),AI$275+IF(OFFSET(Assumptions!$B$113,0,$C$1)="SND",Allocate!$B$18*AJ$232*AJ$14,0))</f>
        <v>11.226877246024824</v>
      </c>
      <c r="AK275" s="8">
        <f ca="1">IF(OFFSET(Assumptions!$B$72,0,$C$1)="BU",AK$14*(AJ$275/AJ$14+MIN(ABS(OFFSET(Assumptions!$B$79,0,$C$1)-AJ$275/AJ$14),OFFSET(Assumptions!$B$75,0,$C$1))*SIGN(OFFSET(Assumptions!$B$79,0,$C$1)-AJ$275/AJ$14)),AJ$275+IF(OFFSET(Assumptions!$B$113,0,$C$1)="SND",Allocate!$B$18*AK$232*AK$14,0))</f>
        <v>11.594356454034173</v>
      </c>
      <c r="AL275" s="8">
        <f ca="1">IF(OFFSET(Assumptions!$B$72,0,$C$1)="BU",AL$14*(AK$275/AK$14+MIN(ABS(OFFSET(Assumptions!$B$79,0,$C$1)-AK$275/AK$14),OFFSET(Assumptions!$B$75,0,$C$1))*SIGN(OFFSET(Assumptions!$B$79,0,$C$1)-AK$275/AK$14)),AK$275+IF(OFFSET(Assumptions!$B$113,0,$C$1)="SND",Allocate!$B$18*AL$232*AL$14,0))</f>
        <v>11.976485476063527</v>
      </c>
      <c r="AM275" s="8">
        <f ca="1">IF(OFFSET(Assumptions!$B$72,0,$C$1)="BU",AM$14*(AL$275/AL$14+MIN(ABS(OFFSET(Assumptions!$B$79,0,$C$1)-AL$275/AL$14),OFFSET(Assumptions!$B$75,0,$C$1))*SIGN(OFFSET(Assumptions!$B$79,0,$C$1)-AL$275/AL$14)),AL$275+IF(OFFSET(Assumptions!$B$113,0,$C$1)="SND",Allocate!$B$18*AM$232*AM$14,0))</f>
        <v>12.373777815525363</v>
      </c>
      <c r="AN275" s="8">
        <f ca="1">IF(OFFSET(Assumptions!$B$72,0,$C$1)="BU",AN$14*(AM$275/AM$14+MIN(ABS(OFFSET(Assumptions!$B$79,0,$C$1)-AM$275/AM$14),OFFSET(Assumptions!$B$75,0,$C$1))*SIGN(OFFSET(Assumptions!$B$79,0,$C$1)-AM$275/AM$14)),AM$275+IF(OFFSET(Assumptions!$B$113,0,$C$1)="SND",Allocate!$B$18*AN$232*AN$14,0))</f>
        <v>12.786768067859867</v>
      </c>
      <c r="AO275" s="8">
        <f ca="1">IF(OFFSET(Assumptions!$B$72,0,$C$1)="BU",AO$14*(AN$275/AN$14+MIN(ABS(OFFSET(Assumptions!$B$79,0,$C$1)-AN$275/AN$14),OFFSET(Assumptions!$B$75,0,$C$1))*SIGN(OFFSET(Assumptions!$B$79,0,$C$1)-AN$275/AN$14)),AN$275+IF(OFFSET(Assumptions!$B$113,0,$C$1)="SND",Allocate!$B$18*AO$232*AO$14,0))</f>
        <v>13.215929188231964</v>
      </c>
      <c r="AP275" s="8">
        <f ca="1">IF(OFFSET(Assumptions!$B$72,0,$C$1)="BU",AP$14*(AO$275/AO$14+MIN(ABS(OFFSET(Assumptions!$B$79,0,$C$1)-AO$275/AO$14),OFFSET(Assumptions!$B$75,0,$C$1))*SIGN(OFFSET(Assumptions!$B$79,0,$C$1)-AO$275/AO$14)),AO$275+IF(OFFSET(Assumptions!$B$113,0,$C$1)="SND",Allocate!$B$18*AP$232*AP$14,0))</f>
        <v>13.661802801318757</v>
      </c>
      <c r="AQ275" s="8">
        <f ca="1">IF(OFFSET(Assumptions!$B$72,0,$C$1)="BU",AQ$14*(AP$275/AP$14+MIN(ABS(OFFSET(Assumptions!$B$79,0,$C$1)-AP$275/AP$14),OFFSET(Assumptions!$B$75,0,$C$1))*SIGN(OFFSET(Assumptions!$B$79,0,$C$1)-AP$275/AP$14)),AP$275+IF(OFFSET(Assumptions!$B$113,0,$C$1)="SND",Allocate!$B$18*AQ$232*AQ$14,0))</f>
        <v>14.124883703445505</v>
      </c>
      <c r="AR275" s="8">
        <f ca="1">IF(OFFSET(Assumptions!$B$72,0,$C$1)="BU",AR$14*(AQ$275/AQ$14+MIN(ABS(OFFSET(Assumptions!$B$79,0,$C$1)-AQ$275/AQ$14),OFFSET(Assumptions!$B$75,0,$C$1))*SIGN(OFFSET(Assumptions!$B$79,0,$C$1)-AQ$275/AQ$14)),AQ$275+IF(OFFSET(Assumptions!$B$113,0,$C$1)="SND",Allocate!$B$18*AR$232*AR$14,0))</f>
        <v>14.605686172666989</v>
      </c>
      <c r="AS275" s="8">
        <f ca="1">IF(OFFSET(Assumptions!$B$72,0,$C$1)="BU",AS$14*(AR$275/AR$14+MIN(ABS(OFFSET(Assumptions!$B$79,0,$C$1)-AR$275/AR$14),OFFSET(Assumptions!$B$75,0,$C$1))*SIGN(OFFSET(Assumptions!$B$79,0,$C$1)-AR$275/AR$14)),AR$275+IF(OFFSET(Assumptions!$B$113,0,$C$1)="SND",Allocate!$B$18*AS$232*AS$14,0))</f>
        <v>15.104765830942863</v>
      </c>
      <c r="AT275" s="8">
        <f ca="1">IF(OFFSET(Assumptions!$B$72,0,$C$1)="BU",AT$14*(AS$275/AS$14+MIN(ABS(OFFSET(Assumptions!$B$79,0,$C$1)-AS$275/AS$14),OFFSET(Assumptions!$B$75,0,$C$1))*SIGN(OFFSET(Assumptions!$B$79,0,$C$1)-AS$275/AS$14)),AS$275+IF(OFFSET(Assumptions!$B$113,0,$C$1)="SND",Allocate!$B$18*AT$232*AT$14,0))</f>
        <v>15.622692897625303</v>
      </c>
      <c r="AU275" s="8">
        <f ca="1">IF(OFFSET(Assumptions!$B$72,0,$C$1)="BU",AU$14*(AT$275/AT$14+MIN(ABS(OFFSET(Assumptions!$B$79,0,$C$1)-AT$275/AT$14),OFFSET(Assumptions!$B$75,0,$C$1))*SIGN(OFFSET(Assumptions!$B$79,0,$C$1)-AT$275/AT$14)),AT$275+IF(OFFSET(Assumptions!$B$113,0,$C$1)="SND",Allocate!$B$18*AU$232*AU$14,0))</f>
        <v>16.160062654912082</v>
      </c>
      <c r="AV275" s="8">
        <f ca="1">IF(OFFSET(Assumptions!$B$72,0,$C$1)="BU",AV$14*(AU$275/AU$14+MIN(ABS(OFFSET(Assumptions!$B$79,0,$C$1)-AU$275/AU$14),OFFSET(Assumptions!$B$75,0,$C$1))*SIGN(OFFSET(Assumptions!$B$79,0,$C$1)-AU$275/AU$14)),AU$275+IF(OFFSET(Assumptions!$B$113,0,$C$1)="SND",Allocate!$B$18*AV$232*AV$14,0))</f>
        <v>16.71753049981842</v>
      </c>
      <c r="AW275" s="8">
        <f ca="1">IF(OFFSET(Assumptions!$B$72,0,$C$1)="BU",AW$14*(AV$275/AV$14+MIN(ABS(OFFSET(Assumptions!$B$79,0,$C$1)-AV$275/AV$14),OFFSET(Assumptions!$B$75,0,$C$1))*SIGN(OFFSET(Assumptions!$B$79,0,$C$1)-AV$275/AV$14)),AV$275+IF(OFFSET(Assumptions!$B$113,0,$C$1)="SND",Allocate!$B$18*AW$232*AW$14,0))</f>
        <v>17.295740482860012</v>
      </c>
    </row>
    <row r="276" spans="1:49" ht="15" x14ac:dyDescent="0.25">
      <c r="A276" s="2" t="s">
        <v>567</v>
      </c>
      <c r="B276" s="4" t="str">
        <f t="shared" si="192"/>
        <v>From Fiscal</v>
      </c>
      <c r="D276" s="47">
        <f>Fiscal!D$41</f>
        <v>3.73</v>
      </c>
      <c r="E276" s="44">
        <f ca="1">Fiscal!E$41  +IF(OR(OFFSET(Assumptions!$B$72,0,$C$1)="BU",OFFSET(Assumptions!$B$113,0,$C$1)="SND"),Allocate!C$18,0)</f>
        <v>3.8780000000000001</v>
      </c>
      <c r="F276" s="44">
        <f ca="1">Fiscal!F$41  +IF(OR(OFFSET(Assumptions!$B$72,0,$C$1)="BU",OFFSET(Assumptions!$B$113,0,$C$1)="SND"),Allocate!D$18,0)</f>
        <v>4.0230000000000006</v>
      </c>
      <c r="G276" s="44">
        <f ca="1">Fiscal!G$41  +IF(OR(OFFSET(Assumptions!$B$72,0,$C$1)="BU",OFFSET(Assumptions!$B$113,0,$C$1)="SND"),Allocate!E$18,0)</f>
        <v>4.1719999999999997</v>
      </c>
      <c r="H276" s="44">
        <f ca="1">Fiscal!H$41  +IF(OR(OFFSET(Assumptions!$B$72,0,$C$1)="BU",OFFSET(Assumptions!$B$113,0,$C$1)="SND"),Allocate!F$18,0)</f>
        <v>4.3170000000000002</v>
      </c>
      <c r="I276" s="44">
        <f ca="1">Fiscal!I$41  +IF(OR(OFFSET(Assumptions!$B$72,0,$C$1)="BU",OFFSET(Assumptions!$B$113,0,$C$1)="SND"),Allocate!G$18,0)</f>
        <v>4.4539999999999997</v>
      </c>
      <c r="J276" s="8">
        <f ca="1">IF(J$6=OFFSET(Assumptions!$B$8,0,$C$1),AVERAGE((G$276-G$275)/G$14,(H$276-H$275)/H$14,(I$276-I$275)/I$14),(I$276-I$275)/I$14)*J$14 + J$275</f>
        <v>4.5835000053915769</v>
      </c>
      <c r="K276" s="8">
        <f ca="1">IF(K$6=OFFSET(Assumptions!$B$8,0,$C$1),AVERAGE((H$276-H$275)/H$14,(I$276-I$275)/I$14,(J$276-J$275)/J$14),(J$276-J$275)/J$14)*K$14 + K$275</f>
        <v>4.7258751687334382</v>
      </c>
      <c r="L276" s="8">
        <f ca="1">IF(L$6=OFFSET(Assumptions!$B$8,0,$C$1),AVERAGE((I$276-I$275)/I$14,(J$276-J$275)/J$14,(K$276-K$275)/K$14),(K$276-K$275)/K$14)*L$14 + L$275</f>
        <v>4.8748847023182389</v>
      </c>
      <c r="M276" s="8">
        <f ca="1">IF(M$6=OFFSET(Assumptions!$B$8,0,$C$1),AVERAGE((J$276-J$275)/J$14,(K$276-K$275)/K$14,(L$276-L$275)/L$14),(L$276-L$275)/L$14)*M$14 + M$275</f>
        <v>5.030289338750034</v>
      </c>
      <c r="N276" s="8">
        <f ca="1">IF(N$6=OFFSET(Assumptions!$B$8,0,$C$1),AVERAGE((K$276-K$275)/K$14,(L$276-L$275)/L$14,(M$276-M$275)/M$14),(M$276-M$275)/M$14)*N$14 + N$275</f>
        <v>5.1923706222607482</v>
      </c>
      <c r="O276" s="8">
        <f ca="1">IF(O$6=OFFSET(Assumptions!$B$8,0,$C$1),AVERAGE((L$276-L$275)/L$14,(M$276-M$275)/M$14,(N$276-N$275)/N$14),(N$276-N$275)/N$14)*O$14 + O$275</f>
        <v>5.3612218061153873</v>
      </c>
      <c r="P276" s="8">
        <f ca="1">IF(P$6=OFFSET(Assumptions!$B$8,0,$C$1),AVERAGE((M$276-M$275)/M$14,(N$276-N$275)/N$14,(O$276-O$275)/O$14),(O$276-O$275)/O$14)*P$14 + P$275</f>
        <v>5.6172337981158424</v>
      </c>
      <c r="Q276" s="8">
        <f ca="1">IF(Q$6=OFFSET(Assumptions!$B$8,0,$C$1),AVERAGE((N$276-N$275)/N$14,(O$276-O$275)/O$14,(P$276-P$275)/P$14),(P$276-P$275)/P$14)*Q$14 + Q$275</f>
        <v>5.8837826529817425</v>
      </c>
      <c r="R276" s="8">
        <f ca="1">IF(R$6=OFFSET(Assumptions!$B$8,0,$C$1),AVERAGE((O$276-O$275)/O$14,(P$276-P$275)/P$14,(Q$276-Q$275)/Q$14),(Q$276-Q$275)/Q$14)*R$14 + R$275</f>
        <v>6.1611498981752888</v>
      </c>
      <c r="S276" s="8">
        <f ca="1">IF(S$6=OFFSET(Assumptions!$B$8,0,$C$1),AVERAGE((P$276-P$275)/P$14,(Q$276-Q$275)/Q$14,(R$276-R$275)/R$14),(R$276-R$275)/R$14)*S$14 + S$275</f>
        <v>6.449714202438253</v>
      </c>
      <c r="T276" s="8">
        <f ca="1">IF(T$6=OFFSET(Assumptions!$B$8,0,$C$1),AVERAGE((Q$276-Q$275)/Q$14,(R$276-R$275)/R$14,(S$276-S$275)/S$14),(S$276-S$275)/S$14)*T$14 + T$275</f>
        <v>6.7498119638004663</v>
      </c>
      <c r="U276" s="8">
        <f ca="1">IF(U$6=OFFSET(Assumptions!$B$8,0,$C$1),AVERAGE((R$276-R$275)/R$14,(S$276-S$275)/S$14,(T$276-T$275)/T$14),(T$276-T$275)/T$14)*U$14 + U$275</f>
        <v>7.0618757743396836</v>
      </c>
      <c r="V276" s="8">
        <f ca="1">IF(V$6=OFFSET(Assumptions!$B$8,0,$C$1),AVERAGE((S$276-S$275)/S$14,(T$276-T$275)/T$14,(U$276-U$275)/U$14),(U$276-U$275)/U$14)*V$14 + V$275</f>
        <v>7.3863481318546897</v>
      </c>
      <c r="W276" s="8">
        <f ca="1">IF(W$6=OFFSET(Assumptions!$B$8,0,$C$1),AVERAGE((T$276-T$275)/T$14,(U$276-U$275)/U$14,(V$276-V$275)/V$14),(V$276-V$275)/V$14)*W$14 + W$275</f>
        <v>7.7237152495256467</v>
      </c>
      <c r="X276" s="8">
        <f ca="1">IF(X$6=OFFSET(Assumptions!$B$8,0,$C$1),AVERAGE((U$276-U$275)/U$14,(V$276-V$275)/V$14,(W$276-W$275)/W$14),(W$276-W$275)/W$14)*X$14 + X$275</f>
        <v>8.0745092486969465</v>
      </c>
      <c r="Y276" s="8">
        <f ca="1">IF(Y$6=OFFSET(Assumptions!$B$8,0,$C$1),AVERAGE((V$276-V$275)/V$14,(W$276-W$275)/W$14,(X$276-X$275)/X$14),(X$276-X$275)/X$14)*Y$14 + Y$275</f>
        <v>8.4391973450526976</v>
      </c>
      <c r="Z276" s="8">
        <f ca="1">IF(Z$6=OFFSET(Assumptions!$B$8,0,$C$1),AVERAGE((W$276-W$275)/W$14,(X$276-X$275)/X$14,(Y$276-Y$275)/Y$14),(Y$276-Y$275)/Y$14)*Z$14 + Z$275</f>
        <v>8.8184212878438082</v>
      </c>
      <c r="AA276" s="8">
        <f ca="1">IF(AA$6=OFFSET(Assumptions!$B$8,0,$C$1),AVERAGE((X$276-X$275)/X$14,(Y$276-Y$275)/Y$14,(Z$276-Z$275)/Z$14),(Z$276-Z$275)/Z$14)*AA$14 + AA$275</f>
        <v>9.0888792604253705</v>
      </c>
      <c r="AB276" s="8">
        <f ca="1">IF(AB$6=OFFSET(Assumptions!$B$8,0,$C$1),AVERAGE((Y$276-Y$275)/Y$14,(Z$276-Z$275)/Z$14,(AA$276-AA$275)/AA$14),(AA$276-AA$275)/AA$14)*AB$14 + AB$275</f>
        <v>9.3701878731308845</v>
      </c>
      <c r="AC276" s="8">
        <f ca="1">IF(AC$6=OFFSET(Assumptions!$B$8,0,$C$1),AVERAGE((Z$276-Z$275)/Z$14,(AA$276-AA$275)/AA$14,(AB$276-AB$275)/AB$14),(AB$276-AB$275)/AB$14)*AC$14 + AC$275</f>
        <v>9.6628741501959645</v>
      </c>
      <c r="AD276" s="8">
        <f ca="1">IF(AD$6=OFFSET(Assumptions!$B$8,0,$C$1),AVERAGE((AA$276-AA$275)/AA$14,(AB$276-AB$275)/AB$14,(AC$276-AC$275)/AC$14),(AC$276-AC$275)/AC$14)*AD$14 + AD$275</f>
        <v>9.9674128238465087</v>
      </c>
      <c r="AE276" s="8">
        <f ca="1">IF(AE$6=OFFSET(Assumptions!$B$8,0,$C$1),AVERAGE((AB$276-AB$275)/AB$14,(AC$276-AC$275)/AC$14,(AD$276-AD$275)/AD$14),(AD$276-AD$275)/AD$14)*AE$14 + AE$275</f>
        <v>10.28421908378029</v>
      </c>
      <c r="AF276" s="8">
        <f ca="1">IF(AF$6=OFFSET(Assumptions!$B$8,0,$C$1),AVERAGE((AC$276-AC$275)/AC$14,(AD$276-AD$275)/AD$14,(AE$276-AE$275)/AE$14),(AE$276-AE$275)/AE$14)*AF$14 + AF$275</f>
        <v>10.613836913678053</v>
      </c>
      <c r="AG276" s="8">
        <f ca="1">IF(AG$6=OFFSET(Assumptions!$B$8,0,$C$1),AVERAGE((AD$276-AD$275)/AD$14,(AE$276-AE$275)/AE$14,(AF$276-AF$275)/AF$14),(AF$276-AF$275)/AF$14)*AG$14 + AG$275</f>
        <v>10.956758326441253</v>
      </c>
      <c r="AH276" s="8">
        <f ca="1">IF(AH$6=OFFSET(Assumptions!$B$8,0,$C$1),AVERAGE((AE$276-AE$275)/AE$14,(AF$276-AF$275)/AF$14,(AG$276-AG$275)/AG$14),(AG$276-AG$275)/AG$14)*AH$14 + AH$275</f>
        <v>11.313525818297308</v>
      </c>
      <c r="AI276" s="8">
        <f ca="1">IF(AI$6=OFFSET(Assumptions!$B$8,0,$C$1),AVERAGE((AF$276-AF$275)/AF$14,(AG$276-AG$275)/AG$14,(AH$276-AH$275)/AH$14),(AH$276-AH$275)/AH$14)*AI$14 + AI$275</f>
        <v>11.684560354687278</v>
      </c>
      <c r="AJ276" s="8">
        <f ca="1">IF(AJ$6=OFFSET(Assumptions!$B$8,0,$C$1),AVERAGE((AG$276-AG$275)/AG$14,(AH$276-AH$275)/AH$14,(AI$276-AI$275)/AI$14),(AI$276-AI$275)/AI$14)*AJ$14 + AJ$275</f>
        <v>12.070478279481938</v>
      </c>
      <c r="AK276" s="8">
        <f ca="1">IF(AK$6=OFFSET(Assumptions!$B$8,0,$C$1),AVERAGE((AH$276-AH$275)/AH$14,(AI$276-AI$275)/AI$14,(AJ$276-AJ$275)/AJ$14),(AJ$276-AJ$275)/AJ$14)*AK$14 + AK$275</f>
        <v>12.471757420182476</v>
      </c>
      <c r="AL276" s="8">
        <f ca="1">IF(AL$6=OFFSET(Assumptions!$B$8,0,$C$1),AVERAGE((AI$276-AI$275)/AI$14,(AJ$276-AJ$275)/AJ$14,(AK$276-AK$275)/AK$14),(AK$276-AK$275)/AK$14)*AL$14 + AL$275</f>
        <v>12.888864641508256</v>
      </c>
      <c r="AM276" s="8">
        <f ca="1">IF(AM$6=OFFSET(Assumptions!$B$8,0,$C$1),AVERAGE((AJ$276-AJ$275)/AJ$14,(AK$276-AK$275)/AK$14,(AL$276-AL$275)/AL$14),(AL$276-AL$275)/AL$14)*AM$14 + AM$275</f>
        <v>13.32236123164687</v>
      </c>
      <c r="AN276" s="8">
        <f ca="1">IF(AN$6=OFFSET(Assumptions!$B$8,0,$C$1),AVERAGE((AK$276-AK$275)/AK$14,(AL$276-AL$275)/AL$14,(AM$276-AM$275)/AM$14),(AM$276-AM$275)/AM$14)*AN$14 + AN$275</f>
        <v>13.772832145800587</v>
      </c>
      <c r="AO276" s="8">
        <f ca="1">IF(AO$6=OFFSET(Assumptions!$B$8,0,$C$1),AVERAGE((AL$276-AL$275)/AL$14,(AM$276-AM$275)/AM$14,(AN$276-AN$275)/AN$14),(AN$276-AN$275)/AN$14)*AO$14 + AO$275</f>
        <v>14.240603165536781</v>
      </c>
      <c r="AP276" s="8">
        <f ca="1">IF(AP$6=OFFSET(Assumptions!$B$8,0,$C$1),AVERAGE((AM$276-AM$275)/AM$14,(AN$276-AN$275)/AN$14,(AO$276-AO$275)/AO$14),(AO$276-AO$275)/AO$14)*AP$14 + AP$275</f>
        <v>14.726379872281726</v>
      </c>
      <c r="AQ276" s="8">
        <f ca="1">IF(AQ$6=OFFSET(Assumptions!$B$8,0,$C$1),AVERAGE((AN$276-AN$275)/AN$14,(AO$276-AO$275)/AO$14,(AP$276-AP$275)/AP$14),(AP$276-AP$275)/AP$14)*AQ$14 + AQ$275</f>
        <v>15.230545254018175</v>
      </c>
      <c r="AR276" s="8">
        <f ca="1">IF(AR$6=OFFSET(Assumptions!$B$8,0,$C$1),AVERAGE((AO$276-AO$275)/AO$14,(AP$276-AP$275)/AP$14,(AQ$276-AQ$275)/AQ$14),(AQ$276-AQ$275)/AQ$14)*AR$14 + AR$275</f>
        <v>15.75366010378171</v>
      </c>
      <c r="AS276" s="8">
        <f ca="1">IF(AS$6=OFFSET(Assumptions!$B$8,0,$C$1),AVERAGE((AP$276-AP$275)/AP$14,(AQ$276-AQ$275)/AQ$14,(AR$276-AR$275)/AR$14),(AR$276-AR$275)/AR$14)*AS$14 + AS$275</f>
        <v>16.29637875709534</v>
      </c>
      <c r="AT276" s="8">
        <f ca="1">IF(AT$6=OFFSET(Assumptions!$B$8,0,$C$1),AVERAGE((AQ$276-AQ$275)/AQ$14,(AR$276-AR$275)/AR$14,(AS$276-AS$275)/AS$14),(AS$276-AS$275)/AS$14)*AT$14 + AT$275</f>
        <v>16.85930628634787</v>
      </c>
      <c r="AU276" s="8">
        <f ca="1">IF(AU$6=OFFSET(Assumptions!$B$8,0,$C$1),AVERAGE((AR$276-AR$275)/AR$14,(AS$276-AS$275)/AS$14,(AT$276-AT$275)/AT$14),(AT$276-AT$275)/AT$14)*AU$14 + AU$275</f>
        <v>17.443097814306185</v>
      </c>
      <c r="AV276" s="8">
        <f ca="1">IF(AV$6=OFFSET(Assumptions!$B$8,0,$C$1),AVERAGE((AS$276-AS$275)/AS$14,(AT$276-AT$275)/AT$14,(AU$276-AU$275)/AU$14),(AU$276-AU$275)/AU$14)*AV$14 + AV$275</f>
        <v>18.0485522693684</v>
      </c>
      <c r="AW276" s="8">
        <f ca="1">IF(AW$6=OFFSET(Assumptions!$B$8,0,$C$1),AVERAGE((AT$276-AT$275)/AT$14,(AU$276-AU$275)/AU$14,(AV$276-AV$275)/AV$14),(AV$276-AV$275)/AV$14)*AW$14 + AW$275</f>
        <v>18.676286610912989</v>
      </c>
    </row>
    <row r="277" spans="1:49" ht="15" x14ac:dyDescent="0.25">
      <c r="A277" s="2"/>
      <c r="B277" s="4"/>
      <c r="D277" s="47"/>
      <c r="E277" s="44"/>
      <c r="F277" s="44"/>
      <c r="G277" s="44"/>
      <c r="H277" s="44"/>
      <c r="I277" s="44"/>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row>
    <row r="278" spans="1:49" ht="15" x14ac:dyDescent="0.25">
      <c r="A278" s="22" t="s">
        <v>625</v>
      </c>
      <c r="B278" s="4"/>
      <c r="D278" s="47"/>
      <c r="E278" s="47"/>
      <c r="F278" s="47"/>
      <c r="G278" s="47"/>
      <c r="H278" s="47"/>
      <c r="I278" s="47"/>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row>
    <row r="279" spans="1:49" ht="15" x14ac:dyDescent="0.25">
      <c r="A279" s="2" t="s">
        <v>568</v>
      </c>
      <c r="B279" s="4" t="str">
        <f t="shared" si="192"/>
        <v>From Fiscal</v>
      </c>
      <c r="D279" s="47">
        <f>Fiscal!D$59</f>
        <v>1.9610000000000001</v>
      </c>
      <c r="E279" s="44">
        <f ca="1">Fiscal!E$59  +IF(OR(OFFSET(Assumptions!$B$72,0,$C$1)="BU",OFFSET(Assumptions!$B$113,0,$C$1)="SND"),Allocate!C$19,0)</f>
        <v>2.02</v>
      </c>
      <c r="F279" s="44">
        <f ca="1">Fiscal!F$59  +IF(OR(OFFSET(Assumptions!$B$72,0,$C$1)="BU",OFFSET(Assumptions!$B$113,0,$C$1)="SND"),Allocate!D$19,0)</f>
        <v>2.1550000000000002</v>
      </c>
      <c r="G279" s="44">
        <f ca="1">Fiscal!G$59  +IF(OR(OFFSET(Assumptions!$B$72,0,$C$1)="BU",OFFSET(Assumptions!$B$113,0,$C$1)="SND"),Allocate!E$19,0)</f>
        <v>2.2669999999999999</v>
      </c>
      <c r="H279" s="44">
        <f ca="1">Fiscal!H$59  +IF(OR(OFFSET(Assumptions!$B$72,0,$C$1)="BU",OFFSET(Assumptions!$B$113,0,$C$1)="SND"),Allocate!F$19,0)</f>
        <v>2.3519999999999999</v>
      </c>
      <c r="I279" s="44">
        <f ca="1">Fiscal!I$59  +IF(OR(OFFSET(Assumptions!$B$72,0,$C$1)="BU",OFFSET(Assumptions!$B$113,0,$C$1)="SND"),Allocate!G$19,0)</f>
        <v>2.4299999999999997</v>
      </c>
      <c r="J279" s="8">
        <f ca="1">IF(OFFSET(Assumptions!$B$72,0,$C$1)="BU",J$14*(I$279/I$14+MIN(ABS(OFFSET(Assumptions!$B$80,0,$C$1)-I$279/I$14),OFFSET(Assumptions!$B$75,0,$C$1))*SIGN(OFFSET(Assumptions!$B$80,0,$C$1)-I$279/I$14)),I$279+IF(OFFSET(Assumptions!$B$113,0,$C$1)="SND",Allocate!$B$19*J$232*J$14,0))</f>
        <v>2.5001543276661491</v>
      </c>
      <c r="K279" s="8">
        <f ca="1">IF(OFFSET(Assumptions!$B$72,0,$C$1)="BU",K$14*(J$279/J$14+MIN(ABS(OFFSET(Assumptions!$B$80,0,$C$1)-J$279/J$14),OFFSET(Assumptions!$B$75,0,$C$1))*SIGN(OFFSET(Assumptions!$B$80,0,$C$1)-J$279/J$14)),J$279+IF(OFFSET(Assumptions!$B$113,0,$C$1)="SND",Allocate!$B$19*K$232*K$14,0))</f>
        <v>2.5732404185298172</v>
      </c>
      <c r="L279" s="8">
        <f ca="1">IF(OFFSET(Assumptions!$B$72,0,$C$1)="BU",L$14*(K$279/K$14+MIN(ABS(OFFSET(Assumptions!$B$80,0,$C$1)-K$279/K$14),OFFSET(Assumptions!$B$75,0,$C$1))*SIGN(OFFSET(Assumptions!$B$80,0,$C$1)-K$279/K$14)),K$279+IF(OFFSET(Assumptions!$B$113,0,$C$1)="SND",Allocate!$B$19*L$232*L$14,0))</f>
        <v>2.6494944472201967</v>
      </c>
      <c r="M279" s="8">
        <f ca="1">IF(OFFSET(Assumptions!$B$72,0,$C$1)="BU",M$14*(L$279/L$14+MIN(ABS(OFFSET(Assumptions!$B$80,0,$C$1)-L$279/L$14),OFFSET(Assumptions!$B$75,0,$C$1))*SIGN(OFFSET(Assumptions!$B$80,0,$C$1)-L$279/L$14)),L$279+IF(OFFSET(Assumptions!$B$113,0,$C$1)="SND",Allocate!$B$19*M$232*M$14,0))</f>
        <v>2.7290431420702244</v>
      </c>
      <c r="N279" s="8">
        <f ca="1">IF(OFFSET(Assumptions!$B$72,0,$C$1)="BU",N$14*(M$279/M$14+MIN(ABS(OFFSET(Assumptions!$B$80,0,$C$1)-M$279/M$14),OFFSET(Assumptions!$B$75,0,$C$1))*SIGN(OFFSET(Assumptions!$B$80,0,$C$1)-M$279/M$14)),M$279+IF(OFFSET(Assumptions!$B$113,0,$C$1)="SND",Allocate!$B$19*N$232*N$14,0))</f>
        <v>2.8120225713892588</v>
      </c>
      <c r="O279" s="8">
        <f ca="1">IF(OFFSET(Assumptions!$B$72,0,$C$1)="BU",O$14*(N$279/N$14+MIN(ABS(OFFSET(Assumptions!$B$80,0,$C$1)-N$279/N$14),OFFSET(Assumptions!$B$75,0,$C$1))*SIGN(OFFSET(Assumptions!$B$80,0,$C$1)-N$279/N$14)),N$279+IF(OFFSET(Assumptions!$B$113,0,$C$1)="SND",Allocate!$B$19*O$232*O$14,0))</f>
        <v>2.8985441214590519</v>
      </c>
      <c r="P279" s="8">
        <f ca="1">IF(OFFSET(Assumptions!$B$72,0,$C$1)="BU",P$14*(O$279/O$14+MIN(ABS(OFFSET(Assumptions!$B$80,0,$C$1)-O$279/O$14),OFFSET(Assumptions!$B$75,0,$C$1))*SIGN(OFFSET(Assumptions!$B$80,0,$C$1)-O$279/O$14)),O$279+IF(OFFSET(Assumptions!$B$113,0,$C$1)="SND",Allocate!$B$19*P$232*P$14,0))</f>
        <v>3.0338147984904649</v>
      </c>
      <c r="Q279" s="8">
        <f ca="1">IF(OFFSET(Assumptions!$B$72,0,$C$1)="BU",Q$14*(P$279/P$14+MIN(ABS(OFFSET(Assumptions!$B$80,0,$C$1)-P$279/P$14),OFFSET(Assumptions!$B$75,0,$C$1))*SIGN(OFFSET(Assumptions!$B$80,0,$C$1)-P$279/P$14)),P$279+IF(OFFSET(Assumptions!$B$113,0,$C$1)="SND",Allocate!$B$19*Q$232*Q$14,0))</f>
        <v>3.174743069821341</v>
      </c>
      <c r="R279" s="8">
        <f ca="1">IF(OFFSET(Assumptions!$B$72,0,$C$1)="BU",R$14*(Q$279/Q$14+MIN(ABS(OFFSET(Assumptions!$B$80,0,$C$1)-Q$279/Q$14),OFFSET(Assumptions!$B$75,0,$C$1))*SIGN(OFFSET(Assumptions!$B$80,0,$C$1)-Q$279/Q$14)),Q$279+IF(OFFSET(Assumptions!$B$113,0,$C$1)="SND",Allocate!$B$19*R$232*R$14,0))</f>
        <v>3.3214939786588871</v>
      </c>
      <c r="S279" s="8">
        <f ca="1">IF(OFFSET(Assumptions!$B$72,0,$C$1)="BU",S$14*(R$279/R$14+MIN(ABS(OFFSET(Assumptions!$B$80,0,$C$1)-R$279/R$14),OFFSET(Assumptions!$B$75,0,$C$1))*SIGN(OFFSET(Assumptions!$B$80,0,$C$1)-R$279/R$14)),R$279+IF(OFFSET(Assumptions!$B$113,0,$C$1)="SND",Allocate!$B$19*S$232*S$14,0))</f>
        <v>3.4742510723148752</v>
      </c>
      <c r="T279" s="8">
        <f ca="1">IF(OFFSET(Assumptions!$B$72,0,$C$1)="BU",T$14*(S$279/S$14+MIN(ABS(OFFSET(Assumptions!$B$80,0,$C$1)-S$279/S$14),OFFSET(Assumptions!$B$75,0,$C$1))*SIGN(OFFSET(Assumptions!$B$80,0,$C$1)-S$279/S$14)),S$279+IF(OFFSET(Assumptions!$B$113,0,$C$1)="SND",Allocate!$B$19*T$232*T$14,0))</f>
        <v>3.6332000883533309</v>
      </c>
      <c r="U279" s="8">
        <f ca="1">IF(OFFSET(Assumptions!$B$72,0,$C$1)="BU",U$14*(T$279/T$14+MIN(ABS(OFFSET(Assumptions!$B$80,0,$C$1)-T$279/T$14),OFFSET(Assumptions!$B$75,0,$C$1))*SIGN(OFFSET(Assumptions!$B$80,0,$C$1)-T$279/T$14)),T$279+IF(OFFSET(Assumptions!$B$113,0,$C$1)="SND",Allocate!$B$19*U$232*U$14,0))</f>
        <v>3.7985489869844931</v>
      </c>
      <c r="V279" s="8">
        <f ca="1">IF(OFFSET(Assumptions!$B$72,0,$C$1)="BU",V$14*(U$279/U$14+MIN(ABS(OFFSET(Assumptions!$B$80,0,$C$1)-U$279/U$14),OFFSET(Assumptions!$B$75,0,$C$1))*SIGN(OFFSET(Assumptions!$B$80,0,$C$1)-U$279/U$14)),U$279+IF(OFFSET(Assumptions!$B$113,0,$C$1)="SND",Allocate!$B$19*V$232*V$14,0))</f>
        <v>3.970521526565336</v>
      </c>
      <c r="W279" s="8">
        <f ca="1">IF(OFFSET(Assumptions!$B$72,0,$C$1)="BU",W$14*(V$279/V$14+MIN(ABS(OFFSET(Assumptions!$B$80,0,$C$1)-V$279/V$14),OFFSET(Assumptions!$B$75,0,$C$1))*SIGN(OFFSET(Assumptions!$B$80,0,$C$1)-V$279/V$14)),V$279+IF(OFFSET(Assumptions!$B$113,0,$C$1)="SND",Allocate!$B$19*W$232*W$14,0))</f>
        <v>4.1493606558113951</v>
      </c>
      <c r="X279" s="8">
        <f ca="1">IF(OFFSET(Assumptions!$B$72,0,$C$1)="BU",X$14*(W$279/W$14+MIN(ABS(OFFSET(Assumptions!$B$80,0,$C$1)-W$279/W$14),OFFSET(Assumptions!$B$75,0,$C$1))*SIGN(OFFSET(Assumptions!$B$80,0,$C$1)-W$279/W$14)),W$279+IF(OFFSET(Assumptions!$B$113,0,$C$1)="SND",Allocate!$B$19*X$232*X$14,0))</f>
        <v>4.3353310730679695</v>
      </c>
      <c r="Y279" s="8">
        <f ca="1">IF(OFFSET(Assumptions!$B$72,0,$C$1)="BU",Y$14*(X$279/X$14+MIN(ABS(OFFSET(Assumptions!$B$80,0,$C$1)-X$279/X$14),OFFSET(Assumptions!$B$75,0,$C$1))*SIGN(OFFSET(Assumptions!$B$80,0,$C$1)-X$279/X$14)),X$279+IF(OFFSET(Assumptions!$B$113,0,$C$1)="SND",Allocate!$B$19*Y$232*Y$14,0))</f>
        <v>4.5286967476266025</v>
      </c>
      <c r="Z279" s="8">
        <f ca="1">IF(OFFSET(Assumptions!$B$72,0,$C$1)="BU",Z$14*(Y$279/Y$14+MIN(ABS(OFFSET(Assumptions!$B$80,0,$C$1)-Y$279/Y$14),OFFSET(Assumptions!$B$75,0,$C$1))*SIGN(OFFSET(Assumptions!$B$80,0,$C$1)-Y$279/Y$14)),Y$279+IF(OFFSET(Assumptions!$B$113,0,$C$1)="SND",Allocate!$B$19*Z$232*Z$14,0))</f>
        <v>4.7297590809267067</v>
      </c>
      <c r="AA279" s="8">
        <f ca="1">IF(OFFSET(Assumptions!$B$72,0,$C$1)="BU",AA$14*(Z$279/Z$14+MIN(ABS(OFFSET(Assumptions!$B$80,0,$C$1)-Z$279/Z$14),OFFSET(Assumptions!$B$75,0,$C$1))*SIGN(OFFSET(Assumptions!$B$80,0,$C$1)-Z$279/Z$14)),Z$279+IF(OFFSET(Assumptions!$B$113,0,$C$1)="SND",Allocate!$B$19*AA$232*AA$14,0))</f>
        <v>4.8691409787276223</v>
      </c>
      <c r="AB279" s="8">
        <f ca="1">IF(OFFSET(Assumptions!$B$72,0,$C$1)="BU",AB$14*(AA$279/AA$14+MIN(ABS(OFFSET(Assumptions!$B$80,0,$C$1)-AA$279/AA$14),OFFSET(Assumptions!$B$75,0,$C$1))*SIGN(OFFSET(Assumptions!$B$80,0,$C$1)-AA$279/AA$14)),AA$279+IF(OFFSET(Assumptions!$B$113,0,$C$1)="SND",Allocate!$B$19*AB$232*AB$14,0))</f>
        <v>5.0140884927769331</v>
      </c>
      <c r="AC279" s="8">
        <f ca="1">IF(OFFSET(Assumptions!$B$72,0,$C$1)="BU",AC$14*(AB$279/AB$14+MIN(ABS(OFFSET(Assumptions!$B$80,0,$C$1)-AB$279/AB$14),OFFSET(Assumptions!$B$75,0,$C$1))*SIGN(OFFSET(Assumptions!$B$80,0,$C$1)-AB$279/AB$14)),AB$279+IF(OFFSET(Assumptions!$B$113,0,$C$1)="SND",Allocate!$B$19*AC$232*AC$14,0))</f>
        <v>5.1648479080121259</v>
      </c>
      <c r="AD279" s="8">
        <f ca="1">IF(OFFSET(Assumptions!$B$72,0,$C$1)="BU",AD$14*(AC$279/AC$14+MIN(ABS(OFFSET(Assumptions!$B$80,0,$C$1)-AC$279/AC$14),OFFSET(Assumptions!$B$75,0,$C$1))*SIGN(OFFSET(Assumptions!$B$80,0,$C$1)-AC$279/AC$14)),AC$279+IF(OFFSET(Assumptions!$B$113,0,$C$1)="SND",Allocate!$B$19*AD$232*AD$14,0))</f>
        <v>5.3216716351862328</v>
      </c>
      <c r="AE279" s="8">
        <f ca="1">IF(OFFSET(Assumptions!$B$72,0,$C$1)="BU",AE$14*(AD$279/AD$14+MIN(ABS(OFFSET(Assumptions!$B$80,0,$C$1)-AD$279/AD$14),OFFSET(Assumptions!$B$75,0,$C$1))*SIGN(OFFSET(Assumptions!$B$80,0,$C$1)-AD$279/AD$14)),AD$279+IF(OFFSET(Assumptions!$B$113,0,$C$1)="SND",Allocate!$B$19*AE$232*AE$14,0))</f>
        <v>5.4848065157900585</v>
      </c>
      <c r="AF279" s="8">
        <f ca="1">IF(OFFSET(Assumptions!$B$72,0,$C$1)="BU",AF$14*(AE$279/AE$14+MIN(ABS(OFFSET(Assumptions!$B$80,0,$C$1)-AE$279/AE$14),OFFSET(Assumptions!$B$75,0,$C$1))*SIGN(OFFSET(Assumptions!$B$80,0,$C$1)-AE$279/AE$14)),AE$279+IF(OFFSET(Assumptions!$B$113,0,$C$1)="SND",Allocate!$B$19*AF$232*AF$14,0))</f>
        <v>5.6545168517489568</v>
      </c>
      <c r="AG279" s="8">
        <f ca="1">IF(OFFSET(Assumptions!$B$72,0,$C$1)="BU",AG$14*(AF$279/AF$14+MIN(ABS(OFFSET(Assumptions!$B$80,0,$C$1)-AF$279/AF$14),OFFSET(Assumptions!$B$75,0,$C$1))*SIGN(OFFSET(Assumptions!$B$80,0,$C$1)-AF$279/AF$14)),AF$279+IF(OFFSET(Assumptions!$B$113,0,$C$1)="SND",Allocate!$B$19*AG$232*AG$14,0))</f>
        <v>5.8310706217079593</v>
      </c>
      <c r="AH279" s="8">
        <f ca="1">IF(OFFSET(Assumptions!$B$72,0,$C$1)="BU",AH$14*(AG$279/AG$14+MIN(ABS(OFFSET(Assumptions!$B$80,0,$C$1)-AG$279/AG$14),OFFSET(Assumptions!$B$75,0,$C$1))*SIGN(OFFSET(Assumptions!$B$80,0,$C$1)-AG$279/AG$14)),AG$279+IF(OFFSET(Assumptions!$B$113,0,$C$1)="SND",Allocate!$B$19*AH$232*AH$14,0))</f>
        <v>6.0147467782333592</v>
      </c>
      <c r="AI279" s="8">
        <f ca="1">IF(OFFSET(Assumptions!$B$72,0,$C$1)="BU",AI$14*(AH$279/AH$14+MIN(ABS(OFFSET(Assumptions!$B$80,0,$C$1)-AH$279/AH$14),OFFSET(Assumptions!$B$75,0,$C$1))*SIGN(OFFSET(Assumptions!$B$80,0,$C$1)-AH$279/AH$14)),AH$279+IF(OFFSET(Assumptions!$B$113,0,$C$1)="SND",Allocate!$B$19*AI$232*AI$14,0))</f>
        <v>6.205811828724368</v>
      </c>
      <c r="AJ279" s="8">
        <f ca="1">IF(OFFSET(Assumptions!$B$72,0,$C$1)="BU",AJ$14*(AI$279/AI$14+MIN(ABS(OFFSET(Assumptions!$B$80,0,$C$1)-AI$279/AI$14),OFFSET(Assumptions!$B$75,0,$C$1))*SIGN(OFFSET(Assumptions!$B$80,0,$C$1)-AI$279/AI$14)),AI$279+IF(OFFSET(Assumptions!$B$113,0,$C$1)="SND",Allocate!$B$19*AJ$232*AJ$14,0))</f>
        <v>6.4045559508889642</v>
      </c>
      <c r="AK279" s="8">
        <f ca="1">IF(OFFSET(Assumptions!$B$72,0,$C$1)="BU",AK$14*(AJ$279/AJ$14+MIN(ABS(OFFSET(Assumptions!$B$80,0,$C$1)-AJ$279/AJ$14),OFFSET(Assumptions!$B$75,0,$C$1))*SIGN(OFFSET(Assumptions!$B$80,0,$C$1)-AJ$279/AJ$14)),AJ$279+IF(OFFSET(Assumptions!$B$113,0,$C$1)="SND",Allocate!$B$19*AK$232*AK$14,0))</f>
        <v>6.6112630053942238</v>
      </c>
      <c r="AL279" s="8">
        <f ca="1">IF(OFFSET(Assumptions!$B$72,0,$C$1)="BU",AL$14*(AK$279/AK$14+MIN(ABS(OFFSET(Assumptions!$B$80,0,$C$1)-AK$279/AK$14),OFFSET(Assumptions!$B$75,0,$C$1))*SIGN(OFFSET(Assumptions!$B$80,0,$C$1)-AK$279/AK$14)),AK$279+IF(OFFSET(Assumptions!$B$113,0,$C$1)="SND",Allocate!$B$19*AL$232*AL$14,0))</f>
        <v>6.8262105802857356</v>
      </c>
      <c r="AM279" s="8">
        <f ca="1">IF(OFFSET(Assumptions!$B$72,0,$C$1)="BU",AM$14*(AL$279/AL$14+MIN(ABS(OFFSET(Assumptions!$B$80,0,$C$1)-AL$279/AL$14),OFFSET(Assumptions!$B$75,0,$C$1))*SIGN(OFFSET(Assumptions!$B$80,0,$C$1)-AL$279/AL$14)),AL$279+IF(OFFSET(Assumptions!$B$113,0,$C$1)="SND",Allocate!$B$19*AM$232*AM$14,0))</f>
        <v>7.049687521233019</v>
      </c>
      <c r="AN279" s="8">
        <f ca="1">IF(OFFSET(Assumptions!$B$72,0,$C$1)="BU",AN$14*(AM$279/AM$14+MIN(ABS(OFFSET(Assumptions!$B$80,0,$C$1)-AM$279/AM$14),OFFSET(Assumptions!$B$75,0,$C$1))*SIGN(OFFSET(Assumptions!$B$80,0,$C$1)-AM$279/AM$14)),AM$279+IF(OFFSET(Assumptions!$B$113,0,$C$1)="SND",Allocate!$B$19*AN$232*AN$14,0))</f>
        <v>7.2819945381711779</v>
      </c>
      <c r="AO279" s="8">
        <f ca="1">IF(OFFSET(Assumptions!$B$72,0,$C$1)="BU",AO$14*(AN$279/AN$14+MIN(ABS(OFFSET(Assumptions!$B$80,0,$C$1)-AN$279/AN$14),OFFSET(Assumptions!$B$75,0,$C$1))*SIGN(OFFSET(Assumptions!$B$80,0,$C$1)-AN$279/AN$14)),AN$279+IF(OFFSET(Assumptions!$B$113,0,$C$1)="SND",Allocate!$B$19*AO$232*AO$14,0))</f>
        <v>7.5233976683804817</v>
      </c>
      <c r="AP279" s="8">
        <f ca="1">IF(OFFSET(Assumptions!$B$72,0,$C$1)="BU",AP$14*(AO$279/AO$14+MIN(ABS(OFFSET(Assumptions!$B$80,0,$C$1)-AO$279/AO$14),OFFSET(Assumptions!$B$75,0,$C$1))*SIGN(OFFSET(Assumptions!$B$80,0,$C$1)-AO$279/AO$14)),AO$279+IF(OFFSET(Assumptions!$B$113,0,$C$1)="SND",Allocate!$B$19*AP$232*AP$14,0))</f>
        <v>7.7742015757418024</v>
      </c>
      <c r="AQ279" s="8">
        <f ca="1">IF(OFFSET(Assumptions!$B$72,0,$C$1)="BU",AQ$14*(AP$279/AP$14+MIN(ABS(OFFSET(Assumptions!$B$80,0,$C$1)-AP$279/AP$14),OFFSET(Assumptions!$B$75,0,$C$1))*SIGN(OFFSET(Assumptions!$B$80,0,$C$1)-AP$279/AP$14)),AP$279+IF(OFFSET(Assumptions!$B$113,0,$C$1)="SND",Allocate!$B$19*AQ$232*AQ$14,0))</f>
        <v>8.0346845831880973</v>
      </c>
      <c r="AR279" s="8">
        <f ca="1">IF(OFFSET(Assumptions!$B$72,0,$C$1)="BU",AR$14*(AQ$279/AQ$14+MIN(ABS(OFFSET(Assumptions!$B$80,0,$C$1)-AQ$279/AQ$14),OFFSET(Assumptions!$B$75,0,$C$1))*SIGN(OFFSET(Assumptions!$B$80,0,$C$1)-AQ$279/AQ$14)),AQ$279+IF(OFFSET(Assumptions!$B$113,0,$C$1)="SND",Allocate!$B$19*AR$232*AR$14,0))</f>
        <v>8.3051359721251821</v>
      </c>
      <c r="AS279" s="8">
        <f ca="1">IF(OFFSET(Assumptions!$B$72,0,$C$1)="BU",AS$14*(AR$279/AR$14+MIN(ABS(OFFSET(Assumptions!$B$80,0,$C$1)-AR$279/AR$14),OFFSET(Assumptions!$B$75,0,$C$1))*SIGN(OFFSET(Assumptions!$B$80,0,$C$1)-AR$279/AR$14)),AR$279+IF(OFFSET(Assumptions!$B$113,0,$C$1)="SND",Allocate!$B$19*AS$232*AS$14,0))</f>
        <v>8.5858682799053625</v>
      </c>
      <c r="AT279" s="8">
        <f ca="1">IF(OFFSET(Assumptions!$B$72,0,$C$1)="BU",AT$14*(AS$279/AS$14+MIN(ABS(OFFSET(Assumptions!$B$80,0,$C$1)-AS$279/AS$14),OFFSET(Assumptions!$B$75,0,$C$1))*SIGN(OFFSET(Assumptions!$B$80,0,$C$1)-AS$279/AS$14)),AS$279+IF(OFFSET(Assumptions!$B$113,0,$C$1)="SND",Allocate!$B$19*AT$232*AT$14,0))</f>
        <v>8.8772022549142342</v>
      </c>
      <c r="AU279" s="8">
        <f ca="1">IF(OFFSET(Assumptions!$B$72,0,$C$1)="BU",AU$14*(AT$279/AT$14+MIN(ABS(OFFSET(Assumptions!$B$80,0,$C$1)-AT$279/AT$14),OFFSET(Assumptions!$B$75,0,$C$1))*SIGN(OFFSET(Assumptions!$B$80,0,$C$1)-AT$279/AT$14)),AT$279+IF(OFFSET(Assumptions!$B$113,0,$C$1)="SND",Allocate!$B$19*AU$232*AU$14,0))</f>
        <v>9.1794727433880468</v>
      </c>
      <c r="AV279" s="8">
        <f ca="1">IF(OFFSET(Assumptions!$B$72,0,$C$1)="BU",AV$14*(AU$279/AU$14+MIN(ABS(OFFSET(Assumptions!$B$80,0,$C$1)-AU$279/AU$14),OFFSET(Assumptions!$B$75,0,$C$1))*SIGN(OFFSET(Assumptions!$B$80,0,$C$1)-AU$279/AU$14)),AU$279+IF(OFFSET(Assumptions!$B$113,0,$C$1)="SND",Allocate!$B$19*AV$232*AV$14,0))</f>
        <v>9.4930484061478619</v>
      </c>
      <c r="AW279" s="8">
        <f ca="1">IF(OFFSET(Assumptions!$B$72,0,$C$1)="BU",AW$14*(AV$279/AV$14+MIN(ABS(OFFSET(Assumptions!$B$80,0,$C$1)-AV$279/AV$14),OFFSET(Assumptions!$B$75,0,$C$1))*SIGN(OFFSET(Assumptions!$B$80,0,$C$1)-AV$279/AV$14)),AV$279+IF(OFFSET(Assumptions!$B$113,0,$C$1)="SND",Allocate!$B$19*AW$232*AW$14,0))</f>
        <v>9.8182915216087565</v>
      </c>
    </row>
    <row r="280" spans="1:49" ht="15" x14ac:dyDescent="0.25">
      <c r="A280" s="2" t="s">
        <v>569</v>
      </c>
      <c r="B280" s="4" t="str">
        <f t="shared" si="192"/>
        <v>From Fiscal</v>
      </c>
      <c r="D280" s="47">
        <f>Fiscal!D$42</f>
        <v>1.917</v>
      </c>
      <c r="E280" s="44">
        <f ca="1">Fiscal!E$42  +IF(OR(OFFSET(Assumptions!$B$72,0,$C$1)="BU",OFFSET(Assumptions!$B$113,0,$C$1)="SND"),Allocate!C$19,0)</f>
        <v>2.0059999999999998</v>
      </c>
      <c r="F280" s="44">
        <f ca="1">Fiscal!F$42  +IF(OR(OFFSET(Assumptions!$B$72,0,$C$1)="BU",OFFSET(Assumptions!$B$113,0,$C$1)="SND"),Allocate!D$19,0)</f>
        <v>2.1270000000000002</v>
      </c>
      <c r="G280" s="44">
        <f ca="1">Fiscal!G$42  +IF(OR(OFFSET(Assumptions!$B$72,0,$C$1)="BU",OFFSET(Assumptions!$B$113,0,$C$1)="SND"),Allocate!E$19,0)</f>
        <v>2.2389999999999999</v>
      </c>
      <c r="H280" s="44">
        <f ca="1">Fiscal!H$42  +IF(OR(OFFSET(Assumptions!$B$72,0,$C$1)="BU",OFFSET(Assumptions!$B$113,0,$C$1)="SND"),Allocate!F$19,0)</f>
        <v>2.3239999999999998</v>
      </c>
      <c r="I280" s="44">
        <f ca="1">Fiscal!I$42  +IF(OR(OFFSET(Assumptions!$B$72,0,$C$1)="BU",OFFSET(Assumptions!$B$113,0,$C$1)="SND"),Allocate!G$19,0)</f>
        <v>2.4019999999999997</v>
      </c>
      <c r="J280" s="8">
        <f ca="1">IF(J$6=OFFSET(Assumptions!$B$8,0,$C$1),AVERAGE((G$280-G$279)/G$14,(H$280-H$279)/H$14,(I$280-I$279)/I$14),(I$280-I$279)/I$14)*J$14 + J$279</f>
        <v>2.4696681619534044</v>
      </c>
      <c r="K280" s="8">
        <f ca="1">IF(K$6=OFFSET(Assumptions!$B$8,0,$C$1),AVERAGE((H$280-H$279)/H$14,(I$280-I$279)/I$14,(J$280-J$279)/J$14),(J$280-J$279)/J$14)*K$14 + K$279</f>
        <v>2.5414802299357557</v>
      </c>
      <c r="L280" s="8">
        <f ca="1">IF(L$6=OFFSET(Assumptions!$B$8,0,$C$1),AVERAGE((I$280-I$279)/I$14,(J$280-J$279)/J$14,(K$280-K$279)/K$14),(K$280-K$279)/K$14)*L$14 + L$279</f>
        <v>2.6163576040309637</v>
      </c>
      <c r="M280" s="8">
        <f ca="1">IF(M$6=OFFSET(Assumptions!$B$8,0,$C$1),AVERAGE((J$280-J$279)/J$14,(K$280-K$279)/K$14,(L$280-L$279)/L$14),(L$280-L$279)/L$14)*M$14 + M$279</f>
        <v>2.6944745734001461</v>
      </c>
      <c r="N280" s="8">
        <f ca="1">IF(N$6=OFFSET(Assumptions!$B$8,0,$C$1),AVERAGE((K$280-K$279)/K$14,(L$280-L$279)/L$14,(M$280-M$279)/M$14),(M$280-M$279)/M$14)*N$14 + N$279</f>
        <v>2.775963147585677</v>
      </c>
      <c r="O280" s="8">
        <f ca="1">IF(O$6=OFFSET(Assumptions!$B$8,0,$C$1),AVERAGE((L$280-L$279)/L$14,(M$280-M$279)/M$14,(N$280-N$279)/N$14),(N$280-N$279)/N$14)*O$14 + O$279</f>
        <v>2.8609454386564237</v>
      </c>
      <c r="P280" s="8">
        <f ca="1">IF(P$6=OFFSET(Assumptions!$B$8,0,$C$1),AVERAGE((M$280-M$279)/M$14,(N$280-N$279)/N$14,(O$280-O$279)/O$14),(O$280-O$279)/O$14)*P$14 + P$279</f>
        <v>2.9946261087047161</v>
      </c>
      <c r="Q280" s="8">
        <f ca="1">IF(Q$6=OFFSET(Assumptions!$B$8,0,$C$1),AVERAGE((N$280-N$279)/N$14,(O$280-O$279)/O$14,(P$280-P$279)/P$14),(P$280-P$279)/P$14)*Q$14 + Q$279</f>
        <v>3.1339153425678949</v>
      </c>
      <c r="R280" s="8">
        <f ca="1">IF(R$6=OFFSET(Assumptions!$B$8,0,$C$1),AVERAGE((O$280-O$279)/O$14,(P$280-P$279)/P$14,(Q$280-Q$279)/Q$14),(Q$280-Q$279)/Q$14)*R$14 + R$279</f>
        <v>3.2789793999754688</v>
      </c>
      <c r="S280" s="8">
        <f ca="1">IF(S$6=OFFSET(Assumptions!$B$8,0,$C$1),AVERAGE((P$280-P$279)/P$14,(Q$280-Q$279)/Q$14,(R$280-R$279)/R$14),(R$280-R$279)/R$14)*S$14 + S$279</f>
        <v>3.4299964674941505</v>
      </c>
      <c r="T280" s="8">
        <f ca="1">IF(T$6=OFFSET(Assumptions!$B$8,0,$C$1),AVERAGE((Q$280-Q$279)/Q$14,(R$280-R$279)/R$14,(S$280-S$279)/S$14),(S$280-S$279)/S$14)*T$14 + T$279</f>
        <v>3.5871516481593448</v>
      </c>
      <c r="U280" s="8">
        <f ca="1">IF(U$6=OFFSET(Assumptions!$B$8,0,$C$1),AVERAGE((R$280-R$279)/R$14,(S$280-S$279)/S$14,(T$280-T$279)/T$14),(T$280-T$279)/T$14)*U$14 + U$279</f>
        <v>3.7506464641534212</v>
      </c>
      <c r="V280" s="8">
        <f ca="1">IF(V$6=OFFSET(Assumptions!$B$8,0,$C$1),AVERAGE((S$280-S$279)/S$14,(T$280-T$279)/T$14,(U$280-U$279)/U$14),(U$280-U$279)/U$14)*V$14 + V$279</f>
        <v>3.9207000970197736</v>
      </c>
      <c r="W280" s="8">
        <f ca="1">IF(W$6=OFFSET(Assumptions!$B$8,0,$C$1),AVERAGE((T$280-T$279)/T$14,(U$280-U$279)/U$14,(V$280-V$279)/V$14),(V$280-V$279)/V$14)*W$14 + W$279</f>
        <v>4.0975499359171668</v>
      </c>
      <c r="X280" s="8">
        <f ca="1">IF(X$6=OFFSET(Assumptions!$B$8,0,$C$1),AVERAGE((U$280-U$279)/U$14,(V$280-V$279)/V$14,(W$280-W$279)/W$14),(W$280-W$279)/W$14)*X$14 + X$279</f>
        <v>4.2814543781986023</v>
      </c>
      <c r="Y280" s="8">
        <f ca="1">IF(Y$6=OFFSET(Assumptions!$B$8,0,$C$1),AVERAGE((V$280-V$279)/V$14,(W$280-W$279)/W$14,(X$280-X$279)/X$14),(X$280-X$279)/X$14)*Y$14 + Y$279</f>
        <v>4.4726776043666732</v>
      </c>
      <c r="Z280" s="8">
        <f ca="1">IF(Z$6=OFFSET(Assumptions!$B$8,0,$C$1),AVERAGE((W$280-W$279)/W$14,(X$280-X$279)/X$14,(Y$280-Y$279)/Y$14),(Y$280-Y$279)/Y$14)*Z$14 + Z$279</f>
        <v>4.6715101715531926</v>
      </c>
      <c r="AA280" s="8">
        <f ca="1">IF(AA$6=OFFSET(Assumptions!$B$8,0,$C$1),AVERAGE((X$280-X$279)/X$14,(Y$280-Y$279)/Y$14,(Z$280-Z$279)/Z$14),(Z$280-Z$279)/Z$14)*AA$14 + AA$279</f>
        <v>4.8085713777482395</v>
      </c>
      <c r="AB280" s="8">
        <f ca="1">IF(AB$6=OFFSET(Assumptions!$B$8,0,$C$1),AVERAGE((Y$280-Y$279)/Y$14,(Z$280-Z$279)/Z$14,(AA$280-AA$279)/AA$14),(AA$280-AA$279)/AA$14)*AB$14 + AB$279</f>
        <v>4.951100305448187</v>
      </c>
      <c r="AC280" s="8">
        <f ca="1">IF(AC$6=OFFSET(Assumptions!$B$8,0,$C$1),AVERAGE((Z$280-Z$279)/Z$14,(AA$280-AA$279)/AA$14,(AB$280-AB$279)/AB$14),(AB$280-AB$279)/AB$14)*AC$14 + AC$279</f>
        <v>5.0993341090988444</v>
      </c>
      <c r="AD280" s="8">
        <f ca="1">IF(AD$6=OFFSET(Assumptions!$B$8,0,$C$1),AVERAGE((AA$280-AA$279)/AA$14,(AB$280-AB$279)/AB$14,(AC$280-AC$279)/AC$14),(AC$280-AC$279)/AC$14)*AD$14 + AD$279</f>
        <v>5.2535225374274788</v>
      </c>
      <c r="AE280" s="8">
        <f ca="1">IF(AE$6=OFFSET(Assumptions!$B$8,0,$C$1),AVERAGE((AB$280-AB$279)/AB$14,(AC$280-AC$279)/AC$14,(AD$280-AD$279)/AD$14),(AD$280-AD$279)/AD$14)*AE$14 + AE$279</f>
        <v>5.4139148520956351</v>
      </c>
      <c r="AF280" s="8">
        <f ca="1">IF(AF$6=OFFSET(Assumptions!$B$8,0,$C$1),AVERAGE((AC$280-AC$279)/AC$14,(AD$280-AD$279)/AD$14,(AE$280-AE$279)/AE$14),(AE$280-AE$279)/AE$14)*AF$14 + AF$279</f>
        <v>5.580767767446849</v>
      </c>
      <c r="AG280" s="8">
        <f ca="1">IF(AG$6=OFFSET(Assumptions!$B$8,0,$C$1),AVERAGE((AD$280-AD$279)/AD$14,(AE$280-AE$279)/AE$14,(AF$280-AF$279)/AF$14),(AF$280-AF$279)/AF$14)*AG$14 + AG$279</f>
        <v>5.7543476643760325</v>
      </c>
      <c r="AH280" s="8">
        <f ca="1">IF(AH$6=OFFSET(Assumptions!$B$8,0,$C$1),AVERAGE((AE$280-AE$279)/AE$14,(AF$280-AF$279)/AF$14,(AG$280-AG$279)/AG$14),(AG$280-AG$279)/AG$14)*AH$14 + AH$279</f>
        <v>5.9349287266377297</v>
      </c>
      <c r="AI280" s="8">
        <f ca="1">IF(AI$6=OFFSET(Assumptions!$B$8,0,$C$1),AVERAGE((AF$280-AF$279)/AF$14,(AG$280-AG$279)/AG$14,(AH$280-AH$279)/AH$14),(AH$280-AH$279)/AH$14)*AI$14 + AI$279</f>
        <v>6.1227828697854108</v>
      </c>
      <c r="AJ280" s="8">
        <f ca="1">IF(AJ$6=OFFSET(Assumptions!$B$8,0,$C$1),AVERAGE((AG$280-AG$279)/AG$14,(AH$280-AH$279)/AH$14,(AI$280-AI$279)/AI$14),(AI$280-AI$279)/AI$14)*AJ$14 + AJ$279</f>
        <v>6.3181899853910517</v>
      </c>
      <c r="AK280" s="8">
        <f ca="1">IF(AK$6=OFFSET(Assumptions!$B$8,0,$C$1),AVERAGE((AH$280-AH$279)/AH$14,(AI$280-AI$279)/AI$14,(AJ$280-AJ$279)/AJ$14),(AJ$280-AJ$279)/AJ$14)*AK$14 + AK$279</f>
        <v>6.5214366792461158</v>
      </c>
      <c r="AL280" s="8">
        <f ca="1">IF(AL$6=OFFSET(Assumptions!$B$8,0,$C$1),AVERAGE((AI$280-AI$279)/AI$14,(AJ$280-AJ$279)/AJ$14,(AK$280-AK$279)/AK$14),(AK$280-AK$279)/AK$14)*AL$14 + AL$279</f>
        <v>6.7328032652177416</v>
      </c>
      <c r="AM280" s="8">
        <f ca="1">IF(AM$6=OFFSET(Assumptions!$B$8,0,$C$1),AVERAGE((AJ$280-AJ$279)/AJ$14,(AK$280-AK$279)/AK$14,(AL$280-AL$279)/AL$14),(AL$280-AL$279)/AL$14)*AM$14 + AM$279</f>
        <v>6.9525736968782663</v>
      </c>
      <c r="AN280" s="8">
        <f ca="1">IF(AN$6=OFFSET(Assumptions!$B$8,0,$C$1),AVERAGE((AK$280-AK$279)/AK$14,(AL$280-AL$279)/AL$14,(AM$280-AM$279)/AM$14),(AM$280-AM$279)/AM$14)*AN$14 + AN$279</f>
        <v>7.1810435284442695</v>
      </c>
      <c r="AO280" s="8">
        <f ca="1">IF(AO$6=OFFSET(Assumptions!$B$8,0,$C$1),AVERAGE((AL$280-AL$279)/AL$14,(AM$280-AM$279)/AM$14,(AN$280-AN$279)/AN$14),(AN$280-AN$279)/AN$14)*AO$14 + AO$279</f>
        <v>7.4184938644960177</v>
      </c>
      <c r="AP280" s="8">
        <f ca="1">IF(AP$6=OFFSET(Assumptions!$B$8,0,$C$1),AVERAGE((AM$280-AM$279)/AM$14,(AN$280-AN$279)/AN$14,(AO$280-AO$279)/AO$14),(AO$280-AO$279)/AO$14)*AP$14 + AP$279</f>
        <v>7.6652125833932878</v>
      </c>
      <c r="AQ280" s="8">
        <f ca="1">IF(AQ$6=OFFSET(Assumptions!$B$8,0,$C$1),AVERAGE((AN$280-AN$279)/AN$14,(AO$280-AO$279)/AO$14,(AP$280-AP$279)/AP$14),(AP$280-AP$279)/AP$14)*AQ$14 + AQ$279</f>
        <v>7.9214894547542229</v>
      </c>
      <c r="AR280" s="8">
        <f ca="1">IF(AR$6=OFFSET(Assumptions!$B$8,0,$C$1),AVERAGE((AO$280-AO$279)/AO$14,(AP$280-AP$279)/AP$14,(AQ$280-AQ$279)/AQ$14),(AQ$280-AQ$279)/AQ$14)*AR$14 + AR$279</f>
        <v>8.1876089978861248</v>
      </c>
      <c r="AS280" s="8">
        <f ca="1">IF(AS$6=OFFSET(Assumptions!$B$8,0,$C$1),AVERAGE((AP$280-AP$279)/AP$14,(AQ$280-AQ$279)/AQ$14,(AR$280-AR$279)/AR$14),(AR$280-AR$279)/AR$14)*AS$14 + AS$279</f>
        <v>8.4638736440699827</v>
      </c>
      <c r="AT280" s="8">
        <f ca="1">IF(AT$6=OFFSET(Assumptions!$B$8,0,$C$1),AVERAGE((AQ$280-AQ$279)/AQ$14,(AR$280-AR$279)/AR$14,(AS$280-AS$279)/AS$14),(AS$280-AS$279)/AS$14)*AT$14 + AT$279</f>
        <v>8.7506005735163424</v>
      </c>
      <c r="AU280" s="8">
        <f ca="1">IF(AU$6=OFFSET(Assumptions!$B$8,0,$C$1),AVERAGE((AR$280-AR$279)/AR$14,(AS$280-AS$279)/AS$14,(AT$280-AT$279)/AT$14),(AT$280-AT$279)/AT$14)*AU$14 + AU$279</f>
        <v>9.048118506119355</v>
      </c>
      <c r="AV280" s="8">
        <f ca="1">IF(AV$6=OFFSET(Assumptions!$B$8,0,$C$1),AVERAGE((AS$280-AS$279)/AS$14,(AT$280-AT$279)/AT$14,(AU$280-AU$279)/AU$14),(AU$280-AU$279)/AU$14)*AV$14 + AV$279</f>
        <v>9.3567814082817815</v>
      </c>
      <c r="AW280" s="8">
        <f ca="1">IF(AW$6=OFFSET(Assumptions!$B$8,0,$C$1),AVERAGE((AT$280-AT$279)/AT$14,(AU$280-AU$279)/AU$14,(AV$280-AV$279)/AV$14),(AV$280-AV$279)/AV$14)*AW$14 + AW$279</f>
        <v>9.6769543319480462</v>
      </c>
    </row>
    <row r="281" spans="1:49" ht="15" x14ac:dyDescent="0.25">
      <c r="A281" s="2"/>
      <c r="B281" s="4"/>
      <c r="D281" s="47"/>
      <c r="E281" s="44"/>
      <c r="F281" s="44"/>
      <c r="G281" s="44"/>
      <c r="H281" s="44"/>
      <c r="I281" s="44"/>
      <c r="J281" s="8"/>
      <c r="K281" s="8"/>
      <c r="L281" s="8"/>
      <c r="M281" s="8"/>
      <c r="N281" s="8"/>
      <c r="O281" s="8"/>
      <c r="P281" s="8"/>
      <c r="Q281" s="8"/>
      <c r="R281" s="8"/>
      <c r="S281" s="8"/>
    </row>
    <row r="282" spans="1:49" ht="15" x14ac:dyDescent="0.25">
      <c r="A282" s="22" t="s">
        <v>570</v>
      </c>
      <c r="B282" s="4"/>
      <c r="D282" s="8"/>
      <c r="E282" s="8"/>
      <c r="F282" s="8"/>
      <c r="G282" s="8"/>
      <c r="H282" s="8"/>
      <c r="I282" s="8"/>
      <c r="J282" s="8"/>
      <c r="K282" s="8"/>
      <c r="L282" s="8"/>
      <c r="M282" s="8"/>
      <c r="N282" s="8"/>
      <c r="O282" s="8"/>
      <c r="P282" s="8"/>
      <c r="Q282" s="8"/>
      <c r="R282" s="8"/>
      <c r="S282" s="8"/>
    </row>
    <row r="283" spans="1:49" x14ac:dyDescent="0.2">
      <c r="A283" s="1" t="s">
        <v>324</v>
      </c>
      <c r="B283" s="4" t="str">
        <f t="shared" ref="B283:B286" si="193">$B$43</f>
        <v>From Fiscal</v>
      </c>
      <c r="D283" s="18">
        <f>Fiscal!D$60</f>
        <v>2.2909999999999999</v>
      </c>
      <c r="E283" s="19">
        <f>Fiscal!E$60</f>
        <v>2.246</v>
      </c>
      <c r="F283" s="19">
        <f>Fiscal!F$60</f>
        <v>2.3580000000000001</v>
      </c>
      <c r="G283" s="19">
        <f>Fiscal!G$60</f>
        <v>2.3820000000000001</v>
      </c>
      <c r="H283" s="19">
        <f>Fiscal!H$60</f>
        <v>2.407</v>
      </c>
      <c r="I283" s="19">
        <f>Fiscal!I$60</f>
        <v>2.4550000000000001</v>
      </c>
      <c r="J283" s="7">
        <f ca="1">IF(J$6=OFFSET(Assumptions!$B$8,0,$C$1),AVERAGE(G$283/G$135,H$283/H$135,I$283/I$135),I$283/I$135)*J$135</f>
        <v>2.6665557466740974</v>
      </c>
      <c r="K283" s="7">
        <f ca="1">IF(K$6=OFFSET(Assumptions!$B$8,0,$C$1),AVERAGE(H$283/H$135,I$283/I$135,J$283/J$135),J$283/J$135)*K$135</f>
        <v>2.8686161199967199</v>
      </c>
      <c r="L283" s="7">
        <f ca="1">IF(L$6=OFFSET(Assumptions!$B$8,0,$C$1),AVERAGE(I$283/I$135,J$283/J$135,K$283/K$135),K$283/K$135)*L$135</f>
        <v>2.99295711852956</v>
      </c>
      <c r="M283" s="7">
        <f ca="1">IF(M$6=OFFSET(Assumptions!$B$8,0,$C$1),AVERAGE(J$283/J$135,K$283/K$135,L$283/L$135),L$283/L$135)*M$135</f>
        <v>3.1222721816816494</v>
      </c>
      <c r="N283" s="7">
        <f ca="1">IF(N$6=OFFSET(Assumptions!$B$8,0,$C$1),AVERAGE(K$283/K$135,L$283/L$135,M$283/M$135),M$283/M$135)*N$135</f>
        <v>3.2569279018730568</v>
      </c>
      <c r="O283" s="7">
        <f ca="1">IF(O$6=OFFSET(Assumptions!$B$8,0,$C$1),AVERAGE(L$283/L$135,M$283/M$135,N$283/N$135),N$283/N$135)*O$135</f>
        <v>3.3959555138923485</v>
      </c>
      <c r="P283" s="7">
        <f ca="1">IF(P$6=OFFSET(Assumptions!$B$8,0,$C$1),AVERAGE(M$283/M$135,N$283/N$135,O$283/O$135),O$283/O$135)*P$135</f>
        <v>3.5395667411738967</v>
      </c>
      <c r="Q283" s="7">
        <f ca="1">IF(Q$6=OFFSET(Assumptions!$B$8,0,$C$1),AVERAGE(N$283/N$135,O$283/O$135,P$283/P$135),P$283/P$135)*Q$135</f>
        <v>3.6876064572225227</v>
      </c>
      <c r="R283" s="7">
        <f ca="1">IF(R$6=OFFSET(Assumptions!$B$8,0,$C$1),AVERAGE(O$283/O$135,P$283/P$135,Q$283/Q$135),Q$283/Q$135)*R$135</f>
        <v>3.8399647843693163</v>
      </c>
      <c r="S283" s="7">
        <f ca="1">IF(S$6=OFFSET(Assumptions!$B$8,0,$C$1),AVERAGE(P$283/P$135,Q$283/Q$135,R$283/R$135),R$283/R$135)*S$135</f>
        <v>3.9971259111652131</v>
      </c>
      <c r="T283" s="7">
        <f ca="1">IF(T$6=OFFSET(Assumptions!$B$8,0,$C$1),AVERAGE(Q$283/Q$135,R$283/R$135,S$283/S$135),S$283/S$135)*T$135</f>
        <v>4.1591471489521936</v>
      </c>
      <c r="U283" s="7">
        <f ca="1">IF(U$6=OFFSET(Assumptions!$B$8,0,$C$1),AVERAGE(R$283/R$135,S$283/S$135,T$283/T$135),T$283/T$135)*U$135</f>
        <v>4.3266099876818487</v>
      </c>
      <c r="V283" s="7">
        <f ca="1">IF(V$6=OFFSET(Assumptions!$B$8,0,$C$1),AVERAGE(S$283/S$135,T$283/T$135,U$283/U$135),U$283/U$135)*V$135</f>
        <v>4.4999278103280904</v>
      </c>
      <c r="W283" s="7">
        <f ca="1">IF(W$6=OFFSET(Assumptions!$B$8,0,$C$1),AVERAGE(T$283/T$135,U$283/U$135,V$283/V$135),V$283/V$135)*W$135</f>
        <v>4.6796027623403553</v>
      </c>
      <c r="X283" s="7">
        <f ca="1">IF(X$6=OFFSET(Assumptions!$B$8,0,$C$1),AVERAGE(U$283/U$135,V$283/V$135,W$283/W$135),W$283/W$135)*X$135</f>
        <v>4.8662039564623605</v>
      </c>
      <c r="Y283" s="7">
        <f ca="1">IF(Y$6=OFFSET(Assumptions!$B$8,0,$C$1),AVERAGE(V$283/V$135,W$283/W$135,X$283/X$135),X$283/X$135)*Y$135</f>
        <v>5.059712315873548</v>
      </c>
      <c r="Z283" s="7">
        <f ca="1">IF(Z$6=OFFSET(Assumptions!$B$8,0,$C$1),AVERAGE(W$283/W$135,X$283/X$135,Y$283/Y$135),Y$283/Y$135)*Z$135</f>
        <v>5.2611073106893871</v>
      </c>
      <c r="AA283" s="7">
        <f ca="1">IF(AA$6=OFFSET(Assumptions!$B$8,0,$C$1),AVERAGE(X$283/X$135,Y$283/Y$135,Z$283/Z$135),Z$283/Z$135)*AA$135</f>
        <v>5.4707147987059992</v>
      </c>
      <c r="AB283" s="7">
        <f ca="1">IF(AB$6=OFFSET(Assumptions!$B$8,0,$C$1),AVERAGE(Y$283/Y$135,Z$283/Z$135,AA$283/AA$135),AA$283/AA$135)*AB$135</f>
        <v>5.6891642505674129</v>
      </c>
      <c r="AC283" s="7">
        <f ca="1">IF(AC$6=OFFSET(Assumptions!$B$8,0,$C$1),AVERAGE(Z$283/Z$135,AA$283/AA$135,AB$283/AB$135),AB$283/AB$135)*AC$135</f>
        <v>5.917280342598521</v>
      </c>
      <c r="AD283" s="7">
        <f ca="1">IF(AD$6=OFFSET(Assumptions!$B$8,0,$C$1),AVERAGE(AA$283/AA$135,AB$283/AB$135,AC$283/AC$135),AC$283/AC$135)*AD$135</f>
        <v>6.1553035119742914</v>
      </c>
      <c r="AE283" s="7">
        <f ca="1">IF(AE$6=OFFSET(Assumptions!$B$8,0,$C$1),AVERAGE(AB$283/AB$135,AC$283/AC$135,AD$283/AD$135),AD$283/AD$135)*AE$135</f>
        <v>6.4030151661389043</v>
      </c>
      <c r="AF283" s="7">
        <f ca="1">IF(AF$6=OFFSET(Assumptions!$B$8,0,$C$1),AVERAGE(AC$283/AC$135,AD$283/AD$135,AE$283/AE$135),AE$283/AE$135)*AF$135</f>
        <v>6.6611006240554378</v>
      </c>
      <c r="AG283" s="7">
        <f ca="1">IF(AG$6=OFFSET(Assumptions!$B$8,0,$C$1),AVERAGE(AD$283/AD$135,AE$283/AE$135,AF$283/AF$135),AF$283/AF$135)*AG$135</f>
        <v>6.9297041963200128</v>
      </c>
      <c r="AH283" s="7">
        <f ca="1">IF(AH$6=OFFSET(Assumptions!$B$8,0,$C$1),AVERAGE(AE$283/AE$135,AF$283/AF$135,AG$283/AG$135),AG$283/AG$135)*AH$135</f>
        <v>7.2092566073981619</v>
      </c>
      <c r="AI283" s="7">
        <f ca="1">IF(AI$6=OFFSET(Assumptions!$B$8,0,$C$1),AVERAGE(AF$283/AF$135,AG$283/AG$135,AH$283/AH$135),AH$283/AH$135)*AI$135</f>
        <v>7.499269386686497</v>
      </c>
      <c r="AJ283" s="7">
        <f ca="1">IF(AJ$6=OFFSET(Assumptions!$B$8,0,$C$1),AVERAGE(AG$283/AG$135,AH$283/AH$135,AI$283/AI$135),AI$283/AI$135)*AJ$135</f>
        <v>7.8006715896111603</v>
      </c>
      <c r="AK283" s="7">
        <f ca="1">IF(AK$6=OFFSET(Assumptions!$B$8,0,$C$1),AVERAGE(AH$283/AH$135,AI$283/AI$135,AJ$283/AJ$135),AJ$283/AJ$135)*AK$135</f>
        <v>8.1132152734357579</v>
      </c>
      <c r="AL283" s="7">
        <f ca="1">IF(AL$6=OFFSET(Assumptions!$B$8,0,$C$1),AVERAGE(AI$283/AI$135,AJ$283/AJ$135,AK$283/AK$135),AK$283/AK$135)*AL$135</f>
        <v>8.436654238878031</v>
      </c>
      <c r="AM283" s="7">
        <f ca="1">IF(AM$6=OFFSET(Assumptions!$B$8,0,$C$1),AVERAGE(AJ$283/AJ$135,AK$283/AK$135,AL$283/AL$135),AL$283/AL$135)*AM$135</f>
        <v>8.7714303456830898</v>
      </c>
      <c r="AN283" s="7">
        <f ca="1">IF(AN$6=OFFSET(Assumptions!$B$8,0,$C$1),AVERAGE(AK$283/AK$135,AL$283/AL$135,AM$283/AM$135),AM$283/AM$135)*AN$135</f>
        <v>9.118009264173498</v>
      </c>
      <c r="AO283" s="7">
        <f ca="1">IF(AO$6=OFFSET(Assumptions!$B$8,0,$C$1),AVERAGE(AL$283/AL$135,AM$283/AM$135,AN$283/AN$135),AN$283/AN$135)*AO$135</f>
        <v>9.4750300987888867</v>
      </c>
      <c r="AP283" s="7">
        <f ca="1">IF(AP$6=OFFSET(Assumptions!$B$8,0,$C$1),AVERAGE(AM$283/AM$135,AN$283/AN$135,AO$283/AO$135),AO$283/AO$135)*AP$135</f>
        <v>9.8440089367606056</v>
      </c>
      <c r="AQ283" s="7">
        <f ca="1">IF(AQ$6=OFFSET(Assumptions!$B$8,0,$C$1),AVERAGE(AN$283/AN$135,AO$283/AO$135,AP$283/AP$135),AP$283/AP$135)*AQ$135</f>
        <v>10.223911900549053</v>
      </c>
      <c r="AR283" s="7">
        <f ca="1">IF(AR$6=OFFSET(Assumptions!$B$8,0,$C$1),AVERAGE(AO$283/AO$135,AP$283/AP$135,AQ$283/AQ$135),AQ$283/AQ$135)*AR$135</f>
        <v>10.615169108272688</v>
      </c>
      <c r="AS283" s="7">
        <f ca="1">IF(AS$6=OFFSET(Assumptions!$B$8,0,$C$1),AVERAGE(AP$283/AP$135,AQ$283/AQ$135,AR$283/AR$135),AR$283/AR$135)*AS$135</f>
        <v>11.018693351711754</v>
      </c>
      <c r="AT283" s="7">
        <f ca="1">IF(AT$6=OFFSET(Assumptions!$B$8,0,$C$1),AVERAGE(AQ$283/AQ$135,AR$283/AR$135,AS$283/AS$135),AS$283/AS$135)*AT$135</f>
        <v>11.434806912468462</v>
      </c>
      <c r="AU283" s="7">
        <f ca="1">IF(AU$6=OFFSET(Assumptions!$B$8,0,$C$1),AVERAGE(AR$283/AR$135,AS$283/AS$135,AT$283/AT$135),AT$283/AT$135)*AU$135</f>
        <v>11.864063128683513</v>
      </c>
      <c r="AV283" s="7">
        <f ca="1">IF(AV$6=OFFSET(Assumptions!$B$8,0,$C$1),AVERAGE(AS$283/AS$135,AT$283/AT$135,AU$283/AU$135),AU$283/AU$135)*AV$135</f>
        <v>12.307789216821057</v>
      </c>
      <c r="AW283" s="7">
        <f ca="1">IF(AW$6=OFFSET(Assumptions!$B$8,0,$C$1),AVERAGE(AT$283/AT$135,AU$283/AU$135,AV$283/AV$135),AV$283/AV$135)*AW$135</f>
        <v>12.7657346685767</v>
      </c>
    </row>
    <row r="284" spans="1:49" x14ac:dyDescent="0.2">
      <c r="A284" s="1" t="s">
        <v>295</v>
      </c>
      <c r="B284" s="4" t="str">
        <f t="shared" si="193"/>
        <v>From Fiscal</v>
      </c>
      <c r="D284" s="18">
        <f>Fiscal!D$197</f>
        <v>2.5640000000000001</v>
      </c>
      <c r="E284" s="19">
        <f>Fiscal!E$197</f>
        <v>2.7050000000000001</v>
      </c>
      <c r="F284" s="19">
        <f>Fiscal!F$197</f>
        <v>2.8359999999999999</v>
      </c>
      <c r="G284" s="19">
        <f>Fiscal!G$197</f>
        <v>2.827</v>
      </c>
      <c r="H284" s="19">
        <f>Fiscal!H$197</f>
        <v>2.7829999999999999</v>
      </c>
      <c r="I284" s="19">
        <f>Fiscal!I$197</f>
        <v>2.758</v>
      </c>
      <c r="J284" s="7">
        <f ca="1">IF(J$6=OFFSET(Assumptions!$B$8,0,$C$1),AVERAGE(G$284/G$283,H$284/H$283,I$284/I$283),I$284/I$283)*J$283</f>
        <v>3.081161113659733</v>
      </c>
      <c r="K284" s="7">
        <f ca="1">IF(K$6=OFFSET(Assumptions!$B$8,0,$C$1),AVERAGE(H$284/H$283,I$284/I$283,J$284/J$283),J$284/J$283)*K$283</f>
        <v>3.3146385369874682</v>
      </c>
      <c r="L284" s="7">
        <f ca="1">IF(L$6=OFFSET(Assumptions!$B$8,0,$C$1),AVERAGE(I$284/I$283,J$284/J$283,K$284/K$283),K$284/K$283)*L$283</f>
        <v>3.4583125066732152</v>
      </c>
      <c r="M284" s="7">
        <f ca="1">IF(M$6=OFFSET(Assumptions!$B$8,0,$C$1),AVERAGE(J$284/J$283,K$284/K$283,L$284/L$283),L$284/L$283)*M$283</f>
        <v>3.6077339258547312</v>
      </c>
      <c r="N284" s="7">
        <f ca="1">IF(N$6=OFFSET(Assumptions!$B$8,0,$C$1),AVERAGE(K$284/K$283,L$284/L$283,M$284/M$283),M$284/M$283)*N$283</f>
        <v>3.7633263860172819</v>
      </c>
      <c r="O284" s="7">
        <f ca="1">IF(O$6=OFFSET(Assumptions!$B$8,0,$C$1),AVERAGE(L$284/L$283,M$284/M$283,N$284/N$283),N$284/N$283)*O$283</f>
        <v>3.9239704949631009</v>
      </c>
      <c r="P284" s="7">
        <f ca="1">IF(P$6=OFFSET(Assumptions!$B$8,0,$C$1),AVERAGE(M$284/M$283,N$284/N$283,O$284/O$283),O$284/O$283)*P$283</f>
        <v>4.0899108956229249</v>
      </c>
      <c r="Q284" s="7">
        <f ca="1">IF(Q$6=OFFSET(Assumptions!$B$8,0,$C$1),AVERAGE(N$284/N$283,O$284/O$283,P$284/P$283),P$284/P$283)*Q$283</f>
        <v>4.2609683418942721</v>
      </c>
      <c r="R284" s="7">
        <f ca="1">IF(R$6=OFFSET(Assumptions!$B$8,0,$C$1),AVERAGE(O$284/O$283,P$284/P$283,Q$284/Q$283),Q$284/Q$283)*R$283</f>
        <v>4.4370158719458992</v>
      </c>
      <c r="S284" s="7">
        <f ca="1">IF(S$6=OFFSET(Assumptions!$B$8,0,$C$1),AVERAGE(P$284/P$283,Q$284/Q$283,R$284/R$283),R$284/R$283)*S$283</f>
        <v>4.6186129576495976</v>
      </c>
      <c r="T284" s="7">
        <f ca="1">IF(T$6=OFFSET(Assumptions!$B$8,0,$C$1),AVERAGE(Q$284/Q$283,R$284/R$283,S$284/S$283),S$284/S$283)*T$283</f>
        <v>4.8058258213142375</v>
      </c>
      <c r="U284" s="7">
        <f ca="1">IF(U$6=OFFSET(Assumptions!$B$8,0,$C$1),AVERAGE(R$284/R$283,S$284/S$283,T$284/T$283),T$284/T$283)*U$283</f>
        <v>4.999326364972644</v>
      </c>
      <c r="V284" s="7">
        <f ca="1">IF(V$6=OFFSET(Assumptions!$B$8,0,$C$1),AVERAGE(S$284/S$283,T$284/T$283,U$284/U$283),U$284/U$283)*V$283</f>
        <v>5.1995922458220649</v>
      </c>
      <c r="W284" s="7">
        <f ca="1">IF(W$6=OFFSET(Assumptions!$B$8,0,$C$1),AVERAGE(T$284/T$283,U$284/U$283,V$284/V$283),V$284/V$283)*W$283</f>
        <v>5.4072036846338598</v>
      </c>
      <c r="X284" s="7">
        <f ca="1">IF(X$6=OFFSET(Assumptions!$B$8,0,$C$1),AVERAGE(U$284/U$283,V$284/V$283,W$284/W$283),W$284/W$283)*X$283</f>
        <v>5.6228182817816243</v>
      </c>
      <c r="Y284" s="7">
        <f ca="1">IF(Y$6=OFFSET(Assumptions!$B$8,0,$C$1),AVERAGE(V$284/V$283,W$284/W$283,X$284/X$283),X$284/X$283)*Y$283</f>
        <v>5.8464139943143554</v>
      </c>
      <c r="Z284" s="7">
        <f ca="1">IF(Z$6=OFFSET(Assumptions!$B$8,0,$C$1),AVERAGE(W$284/W$283,X$284/X$283,Y$284/Y$283),Y$284/Y$283)*Z$283</f>
        <v>6.0791225837695855</v>
      </c>
      <c r="AA284" s="7">
        <f ca="1">IF(AA$6=OFFSET(Assumptions!$B$8,0,$C$1),AVERAGE(X$284/X$283,Y$284/Y$283,Z$284/Z$283),Z$284/Z$283)*AA$283</f>
        <v>6.3213205734475473</v>
      </c>
      <c r="AB284" s="7">
        <f ca="1">IF(AB$6=OFFSET(Assumptions!$B$8,0,$C$1),AVERAGE(Y$284/Y$283,Z$284/Z$283,AA$284/AA$283),AA$284/AA$283)*AB$283</f>
        <v>6.5737353062785333</v>
      </c>
      <c r="AC284" s="7">
        <f ca="1">IF(AC$6=OFFSET(Assumptions!$B$8,0,$C$1),AVERAGE(Z$284/Z$283,AA$284/AA$283,AB$284/AB$283),AB$284/AB$283)*AC$283</f>
        <v>6.8373196821322653</v>
      </c>
      <c r="AD284" s="7">
        <f ca="1">IF(AD$6=OFFSET(Assumptions!$B$8,0,$C$1),AVERAGE(AA$284/AA$283,AB$284/AB$283,AC$284/AC$283),AC$284/AC$283)*AD$283</f>
        <v>7.1123515221923874</v>
      </c>
      <c r="AE284" s="7">
        <f ca="1">IF(AE$6=OFFSET(Assumptions!$B$8,0,$C$1),AVERAGE(AB$284/AB$283,AC$284/AC$283,AD$284/AD$283),AD$284/AD$283)*AE$283</f>
        <v>7.3985782463718071</v>
      </c>
      <c r="AF284" s="7">
        <f ca="1">IF(AF$6=OFFSET(Assumptions!$B$8,0,$C$1),AVERAGE(AC$284/AC$283,AD$284/AD$283,AE$284/AE$283),AE$284/AE$283)*AF$283</f>
        <v>7.6967917294108608</v>
      </c>
      <c r="AG284" s="7">
        <f ca="1">IF(AG$6=OFFSET(Assumptions!$B$8,0,$C$1),AVERAGE(AD$284/AD$283,AE$284/AE$283,AF$284/AF$283),AF$284/AF$283)*AG$283</f>
        <v>8.0071587198193495</v>
      </c>
      <c r="AH284" s="7">
        <f ca="1">IF(AH$6=OFFSET(Assumptions!$B$8,0,$C$1),AVERAGE(AE$284/AE$283,AF$284/AF$283,AG$284/AG$283),AG$284/AG$283)*AH$283</f>
        <v>8.3301769126016083</v>
      </c>
      <c r="AI284" s="7">
        <f ca="1">IF(AI$6=OFFSET(Assumptions!$B$8,0,$C$1),AVERAGE(AF$284/AF$283,AG$284/AG$283,AH$284/AH$283),AH$284/AH$283)*AI$283</f>
        <v>8.6652818880449782</v>
      </c>
      <c r="AJ284" s="7">
        <f ca="1">IF(AJ$6=OFFSET(Assumptions!$B$8,0,$C$1),AVERAGE(AG$284/AG$283,AH$284/AH$283,AI$284/AI$283),AI$284/AI$283)*AJ$283</f>
        <v>9.0135471543463304</v>
      </c>
      <c r="AK284" s="7">
        <f ca="1">IF(AK$6=OFFSET(Assumptions!$B$8,0,$C$1),AVERAGE(AH$284/AH$283,AI$284/AI$283,AJ$284/AJ$283),AJ$284/AJ$283)*AK$283</f>
        <v>9.3746862177697832</v>
      </c>
      <c r="AL284" s="7">
        <f ca="1">IF(AL$6=OFFSET(Assumptions!$B$8,0,$C$1),AVERAGE(AI$284/AI$283,AJ$284/AJ$283,AK$284/AK$283),AK$284/AK$283)*AL$283</f>
        <v>9.7484145991119142</v>
      </c>
      <c r="AM284" s="7">
        <f ca="1">IF(AM$6=OFFSET(Assumptions!$B$8,0,$C$1),AVERAGE(AJ$284/AJ$283,AK$284/AK$283,AL$284/AL$283),AL$284/AL$283)*AM$283</f>
        <v>10.135242860008653</v>
      </c>
      <c r="AN284" s="7">
        <f ca="1">IF(AN$6=OFFSET(Assumptions!$B$8,0,$C$1),AVERAGE(AK$284/AK$283,AL$284/AL$283,AM$284/AM$283),AM$284/AM$283)*AN$283</f>
        <v>10.535709074824826</v>
      </c>
      <c r="AO284" s="7">
        <f ca="1">IF(AO$6=OFFSET(Assumptions!$B$8,0,$C$1),AVERAGE(AL$284/AL$283,AM$284/AM$283,AN$284/AN$283),AN$284/AN$283)*AO$283</f>
        <v>10.948240751222485</v>
      </c>
      <c r="AP284" s="7">
        <f ca="1">IF(AP$6=OFFSET(Assumptions!$B$8,0,$C$1),AVERAGE(AM$284/AM$283,AN$284/AN$283,AO$284/AO$283),AO$284/AO$283)*AP$283</f>
        <v>11.374589702951626</v>
      </c>
      <c r="AQ284" s="7">
        <f ca="1">IF(AQ$6=OFFSET(Assumptions!$B$8,0,$C$1),AVERAGE(AN$284/AN$283,AO$284/AO$283,AP$284/AP$283),AP$284/AP$283)*AQ$283</f>
        <v>11.813561301594941</v>
      </c>
      <c r="AR284" s="7">
        <f ca="1">IF(AR$6=OFFSET(Assumptions!$B$8,0,$C$1),AVERAGE(AO$284/AO$283,AP$284/AP$283,AQ$284/AQ$283),AQ$284/AQ$283)*AR$283</f>
        <v>12.265652541532738</v>
      </c>
      <c r="AS284" s="7">
        <f ca="1">IF(AS$6=OFFSET(Assumptions!$B$8,0,$C$1),AVERAGE(AP$284/AP$283,AQ$284/AQ$283,AR$284/AR$283),AR$284/AR$283)*AS$283</f>
        <v>12.731918138587728</v>
      </c>
      <c r="AT284" s="7">
        <f ca="1">IF(AT$6=OFFSET(Assumptions!$B$8,0,$C$1),AVERAGE(AQ$284/AQ$283,AR$284/AR$283,AS$284/AS$283),AS$284/AS$283)*AT$283</f>
        <v>13.21273048382716</v>
      </c>
      <c r="AU284" s="7">
        <f ca="1">IF(AU$6=OFFSET(Assumptions!$B$8,0,$C$1),AVERAGE(AR$284/AR$283,AS$284/AS$283,AT$284/AT$283),AT$284/AT$283)*AU$283</f>
        <v>13.708728950331441</v>
      </c>
      <c r="AV284" s="7">
        <f ca="1">IF(AV$6=OFFSET(Assumptions!$B$8,0,$C$1),AVERAGE(AS$284/AS$283,AT$284/AT$283,AU$284/AU$283),AU$284/AU$283)*AV$283</f>
        <v>14.22144711479922</v>
      </c>
      <c r="AW284" s="7">
        <f ca="1">IF(AW$6=OFFSET(Assumptions!$B$8,0,$C$1),AVERAGE(AT$284/AT$283,AU$284/AU$283,AV$284/AV$283),AV$284/AV$283)*AW$283</f>
        <v>14.750595519023179</v>
      </c>
    </row>
    <row r="285" spans="1:49" x14ac:dyDescent="0.2">
      <c r="A285" s="1" t="s">
        <v>529</v>
      </c>
      <c r="B285" s="4" t="str">
        <f t="shared" si="193"/>
        <v>From Fiscal</v>
      </c>
      <c r="D285" s="18">
        <f>Fiscal!D$198</f>
        <v>6.9189999999999996</v>
      </c>
      <c r="E285" s="19">
        <f>Fiscal!E$198</f>
        <v>6.9939999999999998</v>
      </c>
      <c r="F285" s="19">
        <f>Fiscal!F$198</f>
        <v>7.1239999999999997</v>
      </c>
      <c r="G285" s="19">
        <f>Fiscal!G$198</f>
        <v>7.3250000000000002</v>
      </c>
      <c r="H285" s="19">
        <f>Fiscal!H$198</f>
        <v>7.5839999999999996</v>
      </c>
      <c r="I285" s="19">
        <f>Fiscal!I$198</f>
        <v>7.7270000000000003</v>
      </c>
      <c r="J285" s="7">
        <f ca="1">IF(J$6=OFFSET(Assumptions!$B$8,0,$C$1),AVERAGE(G$285/G$14,H$285/H$14,I$285/I$14),I$285/I$14) *J$14</f>
        <v>8.2086911774609614</v>
      </c>
      <c r="K285" s="7">
        <f ca="1">IF(K$6=OFFSET(Assumptions!$B$8,0,$C$1),AVERAGE(H$285/H$14,I$285/I$14,J$285/J$14),J$285/J$14) *K$14</f>
        <v>8.5517340016813286</v>
      </c>
      <c r="L285" s="7">
        <f ca="1">IF(L$6=OFFSET(Assumptions!$B$8,0,$C$1),AVERAGE(I$285/I$14,J$285/J$14,K$285/K$14),K$285/K$14) *L$14</f>
        <v>8.9224113947085666</v>
      </c>
      <c r="M285" s="7">
        <f ca="1">IF(M$6=OFFSET(Assumptions!$B$8,0,$C$1),AVERAGE(J$285/J$14,K$285/K$14,L$285/L$14),L$285/L$14) *M$14</f>
        <v>9.3079171494794632</v>
      </c>
      <c r="N285" s="7">
        <f ca="1">IF(N$6=OFFSET(Assumptions!$B$8,0,$C$1),AVERAGE(K$285/K$14,L$285/L$14,M$285/M$14),M$285/M$14) *N$14</f>
        <v>9.7093441277546386</v>
      </c>
      <c r="O285" s="7">
        <f ca="1">IF(O$6=OFFSET(Assumptions!$B$8,0,$C$1),AVERAGE(L$285/L$14,M$285/M$14,N$285/N$14),N$285/N$14) *O$14</f>
        <v>10.123804308951451</v>
      </c>
      <c r="P285" s="7">
        <f ca="1">IF(P$6=OFFSET(Assumptions!$B$8,0,$C$1),AVERAGE(M$285/M$14,N$285/N$14,O$285/O$14),O$285/O$14) *P$14</f>
        <v>10.551928869364298</v>
      </c>
      <c r="Q285" s="7">
        <f ca="1">IF(Q$6=OFFSET(Assumptions!$B$8,0,$C$1),AVERAGE(N$285/N$14,O$285/O$14,P$285/P$14),P$285/P$14) *Q$14</f>
        <v>10.993255355856235</v>
      </c>
      <c r="R285" s="7">
        <f ca="1">IF(R$6=OFFSET(Assumptions!$B$8,0,$C$1),AVERAGE(O$285/O$14,P$285/P$14,Q$285/Q$14),Q$285/Q$14) *R$14</f>
        <v>11.447456208182901</v>
      </c>
      <c r="S285" s="7">
        <f ca="1">IF(S$6=OFFSET(Assumptions!$B$8,0,$C$1),AVERAGE(P$285/P$14,Q$285/Q$14,R$285/R$14),R$285/R$14) *S$14</f>
        <v>11.915974858131976</v>
      </c>
      <c r="T285" s="7">
        <f ca="1">IF(T$6=OFFSET(Assumptions!$B$8,0,$C$1),AVERAGE(Q$285/Q$14,R$285/R$14,S$285/S$14),S$285/S$14) *T$14</f>
        <v>12.39898215859259</v>
      </c>
      <c r="U285" s="7">
        <f ca="1">IF(U$6=OFFSET(Assumptions!$B$8,0,$C$1),AVERAGE(R$285/R$14,S$285/S$14,T$285/T$14),T$285/T$14) *U$14</f>
        <v>12.898211610034179</v>
      </c>
      <c r="V285" s="7">
        <f ca="1">IF(V$6=OFFSET(Assumptions!$B$8,0,$C$1),AVERAGE(S$285/S$14,T$285/T$14,U$285/U$14),U$285/U$14) *V$14</f>
        <v>13.414895563209111</v>
      </c>
      <c r="W285" s="7">
        <f ca="1">IF(W$6=OFFSET(Assumptions!$B$8,0,$C$1),AVERAGE(T$285/T$14,U$285/U$14,V$285/V$14),V$285/V$14) *W$14</f>
        <v>13.95053098185673</v>
      </c>
      <c r="X285" s="7">
        <f ca="1">IF(X$6=OFFSET(Assumptions!$B$8,0,$C$1),AVERAGE(U$285/U$14,V$285/V$14,W$285/W$14),W$285/W$14) *X$14</f>
        <v>14.50681446830988</v>
      </c>
      <c r="Y285" s="7">
        <f ca="1">IF(Y$6=OFFSET(Assumptions!$B$8,0,$C$1),AVERAGE(V$285/V$14,W$285/W$14,X$285/X$14),X$285/X$14) *Y$14</f>
        <v>15.08368915197725</v>
      </c>
      <c r="Z285" s="7">
        <f ca="1">IF(Z$6=OFFSET(Assumptions!$B$8,0,$C$1),AVERAGE(W$285/W$14,X$285/X$14,Y$285/Y$14),Y$285/Y$14) *Z$14</f>
        <v>15.684074966213355</v>
      </c>
      <c r="AA285" s="7">
        <f ca="1">IF(AA$6=OFFSET(Assumptions!$B$8,0,$C$1),AVERAGE(X$285/X$14,Y$285/Y$14,Z$285/Z$14),Z$285/Z$14) *AA$14</f>
        <v>16.308943337336057</v>
      </c>
      <c r="AB285" s="7">
        <f ca="1">IF(AB$6=OFFSET(Assumptions!$B$8,0,$C$1),AVERAGE(Y$285/Y$14,Z$285/Z$14,AA$285/AA$14),AA$285/AA$14) *AB$14</f>
        <v>16.960170802771216</v>
      </c>
      <c r="AC285" s="7">
        <f ca="1">IF(AC$6=OFFSET(Assumptions!$B$8,0,$C$1),AVERAGE(Z$285/Z$14,AA$285/AA$14,AB$285/AB$14),AB$285/AB$14) *AC$14</f>
        <v>17.640215834573976</v>
      </c>
      <c r="AD285" s="7">
        <f ca="1">IF(AD$6=OFFSET(Assumptions!$B$8,0,$C$1),AVERAGE(AA$285/AA$14,AB$285/AB$14,AC$285/AC$14),AC$285/AC$14) *AD$14</f>
        <v>18.349795208596689</v>
      </c>
      <c r="AE285" s="7">
        <f ca="1">IF(AE$6=OFFSET(Assumptions!$B$8,0,$C$1),AVERAGE(AB$285/AB$14,AC$285/AC$14,AD$285/AD$14),AD$285/AD$14) *AE$14</f>
        <v>19.088257270761584</v>
      </c>
      <c r="AF285" s="7">
        <f ca="1">IF(AF$6=OFFSET(Assumptions!$B$8,0,$C$1),AVERAGE(AC$285/AC$14,AD$285/AD$14,AE$285/AE$14),AE$285/AE$14) *AF$14</f>
        <v>19.857645049913728</v>
      </c>
      <c r="AG285" s="7">
        <f ca="1">IF(AG$6=OFFSET(Assumptions!$B$8,0,$C$1),AVERAGE(AD$285/AD$14,AE$285/AE$14,AF$285/AF$14),AF$285/AF$14) *AG$14</f>
        <v>20.658388755526961</v>
      </c>
      <c r="AH285" s="7">
        <f ca="1">IF(AH$6=OFFSET(Assumptions!$B$8,0,$C$1),AVERAGE(AE$285/AE$14,AF$285/AF$14,AG$285/AG$14),AG$285/AG$14) *AH$14</f>
        <v>21.491772435693875</v>
      </c>
      <c r="AI285" s="7">
        <f ca="1">IF(AI$6=OFFSET(Assumptions!$B$8,0,$C$1),AVERAGE(AF$285/AF$14,AG$285/AG$14,AH$285/AH$14),AH$285/AH$14) *AI$14</f>
        <v>22.356339893247242</v>
      </c>
      <c r="AJ285" s="7">
        <f ca="1">IF(AJ$6=OFFSET(Assumptions!$B$8,0,$C$1),AVERAGE(AG$285/AG$14,AH$285/AH$14,AI$285/AI$14),AI$285/AI$14) *AJ$14</f>
        <v>23.254860768510063</v>
      </c>
      <c r="AK285" s="7">
        <f ca="1">IF(AK$6=OFFSET(Assumptions!$B$8,0,$C$1),AVERAGE(AH$285/AH$14,AI$285/AI$14,AJ$285/AJ$14),AJ$285/AJ$14) *AK$14</f>
        <v>24.186595910532692</v>
      </c>
      <c r="AL285" s="7">
        <f ca="1">IF(AL$6=OFFSET(Assumptions!$B$8,0,$C$1),AVERAGE(AI$285/AI$14,AJ$285/AJ$14,AK$285/AK$14),AK$285/AK$14) *AL$14</f>
        <v>25.150811365838887</v>
      </c>
      <c r="AM285" s="7">
        <f ca="1">IF(AM$6=OFFSET(Assumptions!$B$8,0,$C$1),AVERAGE(AJ$285/AJ$14,AK$285/AK$14,AL$285/AL$14),AL$285/AL$14) *AM$14</f>
        <v>26.148824378301004</v>
      </c>
      <c r="AN285" s="7">
        <f ca="1">IF(AN$6=OFFSET(Assumptions!$B$8,0,$C$1),AVERAGE(AK$285/AK$14,AL$285/AL$14,AM$285/AM$14),AM$285/AM$14) *AN$14</f>
        <v>27.182023174354537</v>
      </c>
      <c r="AO285" s="7">
        <f ca="1">IF(AO$6=OFFSET(Assumptions!$B$8,0,$C$1),AVERAGE(AL$285/AL$14,AM$285/AM$14,AN$285/AN$14),AN$285/AN$14) *AO$14</f>
        <v>28.246350739624081</v>
      </c>
      <c r="AP285" s="7">
        <f ca="1">IF(AP$6=OFFSET(Assumptions!$B$8,0,$C$1),AVERAGE(AM$285/AM$14,AN$285/AN$14,AO$285/AO$14),AO$285/AO$14) *AP$14</f>
        <v>29.346326735919888</v>
      </c>
      <c r="AQ285" s="7">
        <f ca="1">IF(AQ$6=OFFSET(Assumptions!$B$8,0,$C$1),AVERAGE(AN$285/AN$14,AO$285/AO$14,AP$285/AP$14),AP$285/AP$14) *AQ$14</f>
        <v>30.478869033971566</v>
      </c>
      <c r="AR285" s="7">
        <f ca="1">IF(AR$6=OFFSET(Assumptions!$B$8,0,$C$1),AVERAGE(AO$285/AO$14,AP$285/AP$14,AQ$285/AQ$14),AQ$285/AQ$14) *AR$14</f>
        <v>31.645259874268778</v>
      </c>
      <c r="AS285" s="7">
        <f ca="1">IF(AS$6=OFFSET(Assumptions!$B$8,0,$C$1),AVERAGE(AP$285/AP$14,AQ$285/AQ$14,AR$285/AR$14),AR$285/AR$14) *AS$14</f>
        <v>32.8482204129987</v>
      </c>
      <c r="AT285" s="7">
        <f ca="1">IF(AT$6=OFFSET(Assumptions!$B$8,0,$C$1),AVERAGE(AQ$285/AQ$14,AR$285/AR$14,AS$285/AS$14),AS$285/AS$14) *AT$14</f>
        <v>34.088711415359761</v>
      </c>
      <c r="AU285" s="7">
        <f ca="1">IF(AU$6=OFFSET(Assumptions!$B$8,0,$C$1),AVERAGE(AR$285/AR$14,AS$285/AS$14,AT$285/AT$14),AT$285/AT$14) *AU$14</f>
        <v>35.368382457452178</v>
      </c>
      <c r="AV285" s="7">
        <f ca="1">IF(AV$6=OFFSET(Assumptions!$B$8,0,$C$1),AVERAGE(AS$285/AS$14,AT$285/AT$14,AU$285/AU$14),AU$285/AU$14) *AV$14</f>
        <v>36.691190151694379</v>
      </c>
      <c r="AW285" s="7">
        <f ca="1">IF(AW$6=OFFSET(Assumptions!$B$8,0,$C$1),AVERAGE(AT$285/AT$14,AU$285/AU$14,AV$285/AV$14),AV$285/AV$14) *AW$14</f>
        <v>38.056387698830285</v>
      </c>
    </row>
    <row r="286" spans="1:49" x14ac:dyDescent="0.2">
      <c r="A286" s="1" t="s">
        <v>530</v>
      </c>
      <c r="B286" s="4" t="str">
        <f t="shared" si="193"/>
        <v>From Fiscal</v>
      </c>
      <c r="D286" s="18">
        <f>Fiscal!D$43-SUM(D$283:D$285)</f>
        <v>-2.495000000000001</v>
      </c>
      <c r="E286" s="19">
        <f>Fiscal!E$43-SUM(E$283:E$285)</f>
        <v>-2.5099999999999998</v>
      </c>
      <c r="F286" s="19">
        <f>Fiscal!F$43-SUM(F$283:F$285)</f>
        <v>-2.6769999999999996</v>
      </c>
      <c r="G286" s="19">
        <f>Fiscal!G$43-SUM(G$283:G$285)</f>
        <v>-2.7339999999999982</v>
      </c>
      <c r="H286" s="19">
        <f>Fiscal!H$43-SUM(H$283:H$285)</f>
        <v>-2.7959999999999994</v>
      </c>
      <c r="I286" s="19">
        <f>Fiscal!I$43-SUM(I$283:I$285)</f>
        <v>-2.8770000000000007</v>
      </c>
      <c r="J286" s="7">
        <f ca="1">IF(J$6=OFFSET(Assumptions!$B$8,0,$C$1),AVERAGE(G$286/G$283,H$286/H$283,I$286/I$283),I$286/I$283)*J$283</f>
        <v>-3.0943433190420531</v>
      </c>
      <c r="K286" s="7">
        <f ca="1">IF(K$6=OFFSET(Assumptions!$B$8,0,$C$1),AVERAGE(H$286/H$283,I$286/I$283,J$286/J$283),J$286/J$283)*K$283</f>
        <v>-3.328819634421488</v>
      </c>
      <c r="L286" s="7">
        <f ca="1">IF(L$6=OFFSET(Assumptions!$B$8,0,$C$1),AVERAGE(I$286/I$283,J$286/J$283,K$286/K$283),K$286/K$283)*L$283</f>
        <v>-3.4731082878925439</v>
      </c>
      <c r="M286" s="7">
        <f ca="1">IF(M$6=OFFSET(Assumptions!$B$8,0,$C$1),AVERAGE(J$286/J$283,K$286/K$283,L$286/L$283),L$286/L$283)*M$283</f>
        <v>-3.6231689803101901</v>
      </c>
      <c r="N286" s="7">
        <f ca="1">IF(N$6=OFFSET(Assumptions!$B$8,0,$C$1),AVERAGE(K$286/K$283,L$286/L$283,M$286/M$283),M$286/M$283)*N$283</f>
        <v>-3.7794271154212886</v>
      </c>
      <c r="O286" s="7">
        <f ca="1">IF(O$6=OFFSET(Assumptions!$B$8,0,$C$1),AVERAGE(L$286/L$283,M$286/M$283,N$286/N$283),N$286/N$283)*O$283</f>
        <v>-3.9407585119056256</v>
      </c>
      <c r="P286" s="7">
        <f ca="1">IF(P$6=OFFSET(Assumptions!$B$8,0,$C$1),AVERAGE(M$286/M$283,N$286/N$283,O$286/O$283),O$286/O$283)*P$283</f>
        <v>-4.1074088593556466</v>
      </c>
      <c r="Q286" s="7">
        <f ca="1">IF(Q$6=OFFSET(Assumptions!$B$8,0,$C$1),AVERAGE(N$286/N$283,O$286/O$283,P$286/P$283),P$286/P$283)*Q$283</f>
        <v>-4.2791981447959762</v>
      </c>
      <c r="R286" s="7">
        <f ca="1">IF(R$6=OFFSET(Assumptions!$B$8,0,$C$1),AVERAGE(O$286/O$283,P$286/P$283,Q$286/Q$283),Q$286/Q$283)*R$283</f>
        <v>-4.4559988632115308</v>
      </c>
      <c r="S286" s="7">
        <f ca="1">IF(S$6=OFFSET(Assumptions!$B$8,0,$C$1),AVERAGE(P$286/P$283,Q$286/Q$283,R$286/R$283),R$286/R$283)*S$283</f>
        <v>-4.6383728800760053</v>
      </c>
      <c r="T286" s="7">
        <f ca="1">IF(T$6=OFFSET(Assumptions!$B$8,0,$C$1),AVERAGE(Q$286/Q$283,R$286/R$283,S$286/S$283),S$286/S$283)*T$283</f>
        <v>-4.8263867010187633</v>
      </c>
      <c r="U286" s="7">
        <f ca="1">IF(U$6=OFFSET(Assumptions!$B$8,0,$C$1),AVERAGE(R$286/R$283,S$286/S$283,T$286/T$283),T$286/T$283)*U$283</f>
        <v>-5.0207151026871868</v>
      </c>
      <c r="V286" s="7">
        <f ca="1">IF(V$6=OFFSET(Assumptions!$B$8,0,$C$1),AVERAGE(S$286/S$283,T$286/T$283,U$286/U$283),U$286/U$283)*V$283</f>
        <v>-5.2218377858507496</v>
      </c>
      <c r="W286" s="7">
        <f ca="1">IF(W$6=OFFSET(Assumptions!$B$8,0,$C$1),AVERAGE(T$286/T$283,U$286/U$283,V$286/V$283),V$286/V$283)*W$283</f>
        <v>-5.4303374536532338</v>
      </c>
      <c r="X286" s="7">
        <f ca="1">IF(X$6=OFFSET(Assumptions!$B$8,0,$C$1),AVERAGE(U$286/U$283,V$286/V$283,W$286/W$283),W$286/W$283)*X$283</f>
        <v>-5.6468745198956611</v>
      </c>
      <c r="Y286" s="7">
        <f ca="1">IF(Y$6=OFFSET(Assumptions!$B$8,0,$C$1),AVERAGE(V$286/V$283,W$286/W$283,X$286/X$283),X$286/X$283)*Y$283</f>
        <v>-5.8714268473201434</v>
      </c>
      <c r="Z286" s="7">
        <f ca="1">IF(Z$6=OFFSET(Assumptions!$B$8,0,$C$1),AVERAGE(W$286/W$283,X$286/X$283,Y$286/Y$283),Y$286/Y$283)*Z$283</f>
        <v>-6.1051310395067038</v>
      </c>
      <c r="AA286" s="7">
        <f ca="1">IF(AA$6=OFFSET(Assumptions!$B$8,0,$C$1),AVERAGE(X$286/X$283,Y$286/Y$283,Z$286/Z$283),Z$286/Z$283)*AA$283</f>
        <v>-6.3483652306442284</v>
      </c>
      <c r="AB286" s="7">
        <f ca="1">IF(AB$6=OFFSET(Assumptions!$B$8,0,$C$1),AVERAGE(Y$286/Y$283,Z$286/Z$283,AA$286/AA$283),AA$286/AA$283)*AB$283</f>
        <v>-6.6018598754716855</v>
      </c>
      <c r="AC286" s="7">
        <f ca="1">IF(AC$6=OFFSET(Assumptions!$B$8,0,$C$1),AVERAGE(Z$286/Z$283,AA$286/AA$283,AB$286/AB$283),AB$286/AB$283)*AC$283</f>
        <v>-6.8665719506731309</v>
      </c>
      <c r="AD286" s="7">
        <f ca="1">IF(AD$6=OFFSET(Assumptions!$B$8,0,$C$1),AVERAGE(AA$286/AA$283,AB$286/AB$283,AC$286/AC$283),AC$286/AC$283)*AD$283</f>
        <v>-7.1427804660412315</v>
      </c>
      <c r="AE286" s="7">
        <f ca="1">IF(AE$6=OFFSET(Assumptions!$B$8,0,$C$1),AVERAGE(AB$286/AB$283,AC$286/AC$283,AD$286/AD$283),AD$286/AD$283)*AE$283</f>
        <v>-7.4302317608694617</v>
      </c>
      <c r="AF286" s="7">
        <f ca="1">IF(AF$6=OFFSET(Assumptions!$B$8,0,$C$1),AVERAGE(AC$286/AC$283,AD$286/AD$283,AE$286/AE$283),AE$286/AE$283)*AF$283</f>
        <v>-7.7297210977948216</v>
      </c>
      <c r="AG286" s="7">
        <f ca="1">IF(AG$6=OFFSET(Assumptions!$B$8,0,$C$1),AVERAGE(AD$286/AD$283,AE$286/AE$283,AF$286/AF$283),AF$286/AF$283)*AG$283</f>
        <v>-8.0414159387312552</v>
      </c>
      <c r="AH286" s="7">
        <f ca="1">IF(AH$6=OFFSET(Assumptions!$B$8,0,$C$1),AVERAGE(AE$286/AE$283,AF$286/AF$283,AG$286/AG$283),AG$286/AG$283)*AH$283</f>
        <v>-8.3658161079835551</v>
      </c>
      <c r="AI286" s="7">
        <f ca="1">IF(AI$6=OFFSET(Assumptions!$B$8,0,$C$1),AVERAGE(AF$286/AF$283,AG$286/AG$283,AH$286/AH$283),AH$286/AH$283)*AI$283</f>
        <v>-8.7023547710686877</v>
      </c>
      <c r="AJ286" s="7">
        <f ca="1">IF(AJ$6=OFFSET(Assumptions!$B$8,0,$C$1),AVERAGE(AG$286/AG$283,AH$286/AH$283,AI$286/AI$283),AI$286/AI$283)*AJ$283</f>
        <v>-9.0521100289993495</v>
      </c>
      <c r="AK286" s="7">
        <f ca="1">IF(AK$6=OFFSET(Assumptions!$B$8,0,$C$1),AVERAGE(AH$286/AH$283,AI$286/AI$283,AJ$286/AJ$283),AJ$286/AJ$283)*AK$283</f>
        <v>-9.4147941623266522</v>
      </c>
      <c r="AL286" s="7">
        <f ca="1">IF(AL$6=OFFSET(Assumptions!$B$8,0,$C$1),AVERAGE(AI$286/AI$283,AJ$286/AJ$283,AK$286/AK$283),AK$286/AK$283)*AL$283</f>
        <v>-9.790121474752981</v>
      </c>
      <c r="AM286" s="7">
        <f ca="1">IF(AM$6=OFFSET(Assumptions!$B$8,0,$C$1),AVERAGE(AJ$286/AJ$283,AK$286/AK$283,AL$286/AL$283),AL$286/AL$283)*AM$283</f>
        <v>-10.178604712262342</v>
      </c>
      <c r="AN286" s="7">
        <f ca="1">IF(AN$6=OFFSET(Assumptions!$B$8,0,$C$1),AVERAGE(AK$286/AK$283,AL$286/AL$283,AM$286/AM$283),AM$286/AM$283)*AN$283</f>
        <v>-10.580784251276002</v>
      </c>
      <c r="AO286" s="7">
        <f ca="1">IF(AO$6=OFFSET(Assumptions!$B$8,0,$C$1),AVERAGE(AL$286/AL$283,AM$286/AM$283,AN$286/AN$283),AN$286/AN$283)*AO$283</f>
        <v>-10.995080871824383</v>
      </c>
      <c r="AP286" s="7">
        <f ca="1">IF(AP$6=OFFSET(Assumptions!$B$8,0,$C$1),AVERAGE(AM$286/AM$283,AN$286/AN$283,AO$286/AO$283),AO$286/AO$283)*AP$283</f>
        <v>-11.423253882484202</v>
      </c>
      <c r="AQ286" s="7">
        <f ca="1">IF(AQ$6=OFFSET(Assumptions!$B$8,0,$C$1),AVERAGE(AN$286/AN$283,AO$286/AO$283,AP$286/AP$283),AP$286/AP$283)*AQ$283</f>
        <v>-11.864103543830785</v>
      </c>
      <c r="AR286" s="7">
        <f ca="1">IF(AR$6=OFFSET(Assumptions!$B$8,0,$C$1),AVERAGE(AO$286/AO$283,AP$286/AP$283,AQ$286/AQ$283),AQ$286/AQ$283)*AR$283</f>
        <v>-12.318128976547397</v>
      </c>
      <c r="AS286" s="7">
        <f ca="1">IF(AS$6=OFFSET(Assumptions!$B$8,0,$C$1),AVERAGE(AP$286/AP$283,AQ$286/AQ$283,AR$286/AR$283),AR$286/AR$283)*AS$283</f>
        <v>-12.786389408872715</v>
      </c>
      <c r="AT286" s="7">
        <f ca="1">IF(AT$6=OFFSET(Assumptions!$B$8,0,$C$1),AVERAGE(AQ$286/AQ$283,AR$286/AR$283,AS$286/AS$283),AS$286/AS$283)*AT$283</f>
        <v>-13.269258825083606</v>
      </c>
      <c r="AU286" s="7">
        <f ca="1">IF(AU$6=OFFSET(Assumptions!$B$8,0,$C$1),AVERAGE(AR$286/AR$283,AS$286/AS$283,AT$286/AT$283),AT$286/AT$283)*AU$283</f>
        <v>-13.767379333705643</v>
      </c>
      <c r="AV286" s="7">
        <f ca="1">IF(AV$6=OFFSET(Assumptions!$B$8,0,$C$1),AVERAGE(AS$286/AS$283,AT$286/AT$283,AU$286/AU$283),AU$286/AU$283)*AV$283</f>
        <v>-14.282291072575388</v>
      </c>
      <c r="AW286" s="7">
        <f ca="1">IF(AW$6=OFFSET(Assumptions!$B$8,0,$C$1),AVERAGE(AT$286/AT$283,AU$286/AU$283,AV$286/AV$283),AV$286/AV$283)*AW$283</f>
        <v>-14.813703345089547</v>
      </c>
    </row>
    <row r="287" spans="1:49" ht="15" x14ac:dyDescent="0.25">
      <c r="A287" s="2" t="s">
        <v>571</v>
      </c>
      <c r="D287" s="40">
        <f t="shared" ref="D287:I287" si="194">SUM(D$283:D$286)</f>
        <v>9.2789999999999999</v>
      </c>
      <c r="E287" s="39">
        <f t="shared" si="194"/>
        <v>9.4350000000000005</v>
      </c>
      <c r="F287" s="39">
        <f t="shared" si="194"/>
        <v>9.641</v>
      </c>
      <c r="G287" s="39">
        <f t="shared" si="194"/>
        <v>9.8000000000000007</v>
      </c>
      <c r="H287" s="39">
        <f t="shared" si="194"/>
        <v>9.9779999999999998</v>
      </c>
      <c r="I287" s="39">
        <f t="shared" si="194"/>
        <v>10.063000000000001</v>
      </c>
      <c r="J287" s="43">
        <f t="shared" ref="J287:AW287" ca="1" si="195">SUM(J$283:J$286)</f>
        <v>10.862064718752737</v>
      </c>
      <c r="K287" s="43">
        <f t="shared" ca="1" si="195"/>
        <v>11.406169024244029</v>
      </c>
      <c r="L287" s="43">
        <f t="shared" ca="1" si="195"/>
        <v>11.900572732018798</v>
      </c>
      <c r="M287" s="43">
        <f t="shared" ca="1" si="195"/>
        <v>12.414754276705654</v>
      </c>
      <c r="N287" s="43">
        <f t="shared" ca="1" si="195"/>
        <v>12.95017130022369</v>
      </c>
      <c r="O287" s="43">
        <f t="shared" ca="1" si="195"/>
        <v>13.502971805901273</v>
      </c>
      <c r="P287" s="43">
        <f t="shared" ca="1" si="195"/>
        <v>14.07399764680547</v>
      </c>
      <c r="Q287" s="43">
        <f t="shared" ca="1" si="195"/>
        <v>14.662632010177052</v>
      </c>
      <c r="R287" s="43">
        <f t="shared" ca="1" si="195"/>
        <v>15.268438001286587</v>
      </c>
      <c r="S287" s="43">
        <f t="shared" ca="1" si="195"/>
        <v>15.893340846870782</v>
      </c>
      <c r="T287" s="43">
        <f t="shared" ca="1" si="195"/>
        <v>16.537568427840256</v>
      </c>
      <c r="U287" s="43">
        <f t="shared" ca="1" si="195"/>
        <v>17.203432860001485</v>
      </c>
      <c r="V287" s="43">
        <f t="shared" ca="1" si="195"/>
        <v>17.892577833508518</v>
      </c>
      <c r="W287" s="43">
        <f t="shared" ca="1" si="195"/>
        <v>18.606999975177711</v>
      </c>
      <c r="X287" s="43">
        <f t="shared" ca="1" si="195"/>
        <v>19.348962186658206</v>
      </c>
      <c r="Y287" s="43">
        <f t="shared" ca="1" si="195"/>
        <v>20.11838861484501</v>
      </c>
      <c r="Z287" s="43">
        <f t="shared" ca="1" si="195"/>
        <v>20.919173821165622</v>
      </c>
      <c r="AA287" s="43">
        <f t="shared" ca="1" si="195"/>
        <v>21.752613478845376</v>
      </c>
      <c r="AB287" s="43">
        <f t="shared" ca="1" si="195"/>
        <v>22.621210484145475</v>
      </c>
      <c r="AC287" s="43">
        <f t="shared" ca="1" si="195"/>
        <v>23.528243908631634</v>
      </c>
      <c r="AD287" s="43">
        <f t="shared" ca="1" si="195"/>
        <v>24.474669776722138</v>
      </c>
      <c r="AE287" s="43">
        <f t="shared" ca="1" si="195"/>
        <v>25.459618922402839</v>
      </c>
      <c r="AF287" s="43">
        <f t="shared" ca="1" si="195"/>
        <v>26.485816305585203</v>
      </c>
      <c r="AG287" s="43">
        <f t="shared" ca="1" si="195"/>
        <v>27.553835732935063</v>
      </c>
      <c r="AH287" s="43">
        <f t="shared" ca="1" si="195"/>
        <v>28.665389847710088</v>
      </c>
      <c r="AI287" s="43">
        <f t="shared" ca="1" si="195"/>
        <v>29.81853639691003</v>
      </c>
      <c r="AJ287" s="43">
        <f t="shared" ca="1" si="195"/>
        <v>31.016969483468202</v>
      </c>
      <c r="AK287" s="43">
        <f t="shared" ca="1" si="195"/>
        <v>32.259703239411586</v>
      </c>
      <c r="AL287" s="43">
        <f t="shared" ca="1" si="195"/>
        <v>33.545758729075857</v>
      </c>
      <c r="AM287" s="43">
        <f t="shared" ca="1" si="195"/>
        <v>34.876892871730405</v>
      </c>
      <c r="AN287" s="43">
        <f t="shared" ca="1" si="195"/>
        <v>36.254957262076857</v>
      </c>
      <c r="AO287" s="43">
        <f t="shared" ca="1" si="195"/>
        <v>37.67454071781107</v>
      </c>
      <c r="AP287" s="43">
        <f t="shared" ca="1" si="195"/>
        <v>39.141671493147918</v>
      </c>
      <c r="AQ287" s="43">
        <f t="shared" ca="1" si="195"/>
        <v>40.652238692284776</v>
      </c>
      <c r="AR287" s="43">
        <f t="shared" ca="1" si="195"/>
        <v>42.207952547526801</v>
      </c>
      <c r="AS287" s="43">
        <f t="shared" ca="1" si="195"/>
        <v>43.812442494425468</v>
      </c>
      <c r="AT287" s="43">
        <f t="shared" ca="1" si="195"/>
        <v>45.466989986571782</v>
      </c>
      <c r="AU287" s="43">
        <f t="shared" ca="1" si="195"/>
        <v>47.17379520276149</v>
      </c>
      <c r="AV287" s="43">
        <f t="shared" ca="1" si="195"/>
        <v>48.938135410739264</v>
      </c>
      <c r="AW287" s="43">
        <f t="shared" ca="1" si="195"/>
        <v>50.759014541340605</v>
      </c>
    </row>
    <row r="288" spans="1:49" ht="15" x14ac:dyDescent="0.25">
      <c r="A288" s="2"/>
    </row>
    <row r="289" spans="1:49" x14ac:dyDescent="0.2">
      <c r="A289" s="22" t="s">
        <v>572</v>
      </c>
    </row>
    <row r="290" spans="1:49" x14ac:dyDescent="0.2">
      <c r="A290" s="1" t="s">
        <v>520</v>
      </c>
      <c r="D290" s="18">
        <f t="shared" ref="D290:I290" si="196">D$175</f>
        <v>0.85599999999999998</v>
      </c>
      <c r="E290" s="19">
        <f t="shared" si="196"/>
        <v>0.70099999999999996</v>
      </c>
      <c r="F290" s="19">
        <f t="shared" si="196"/>
        <v>0.73799999999999999</v>
      </c>
      <c r="G290" s="19">
        <f t="shared" si="196"/>
        <v>0.76900000000000002</v>
      </c>
      <c r="H290" s="19">
        <f t="shared" si="196"/>
        <v>0.80100000000000005</v>
      </c>
      <c r="I290" s="19">
        <f t="shared" si="196"/>
        <v>0.84</v>
      </c>
      <c r="J290" s="7">
        <f t="shared" ref="J290:AW290" ca="1" si="197">J$175</f>
        <v>0.873</v>
      </c>
      <c r="K290" s="7">
        <f t="shared" ca="1" si="197"/>
        <v>0.90800000000000003</v>
      </c>
      <c r="L290" s="7">
        <f t="shared" ca="1" si="197"/>
        <v>0.94735752360896164</v>
      </c>
      <c r="M290" s="7">
        <f t="shared" ca="1" si="197"/>
        <v>0.98828948258513583</v>
      </c>
      <c r="N290" s="7">
        <f t="shared" ca="1" si="197"/>
        <v>1.0309119140361371</v>
      </c>
      <c r="O290" s="7">
        <f t="shared" ca="1" si="197"/>
        <v>1.0749181757431447</v>
      </c>
      <c r="P290" s="7">
        <f t="shared" ca="1" si="197"/>
        <v>1.1203752842989578</v>
      </c>
      <c r="Q290" s="7">
        <f t="shared" ca="1" si="197"/>
        <v>1.1672341376795579</v>
      </c>
      <c r="R290" s="7">
        <f t="shared" ca="1" si="197"/>
        <v>1.215459956423631</v>
      </c>
      <c r="S290" s="7">
        <f t="shared" ca="1" si="197"/>
        <v>1.2652060002166352</v>
      </c>
      <c r="T290" s="7">
        <f t="shared" ca="1" si="197"/>
        <v>1.3164904097565029</v>
      </c>
      <c r="U290" s="7">
        <f t="shared" ca="1" si="197"/>
        <v>1.3694972434372328</v>
      </c>
      <c r="V290" s="7">
        <f t="shared" ca="1" si="197"/>
        <v>1.4243573489305281</v>
      </c>
      <c r="W290" s="7">
        <f t="shared" ca="1" si="197"/>
        <v>1.4812296697997711</v>
      </c>
      <c r="X290" s="7">
        <f t="shared" ca="1" si="197"/>
        <v>1.5402943466945569</v>
      </c>
      <c r="Y290" s="7">
        <f t="shared" ca="1" si="197"/>
        <v>1.6015453412492273</v>
      </c>
      <c r="Z290" s="7">
        <f t="shared" ca="1" si="197"/>
        <v>1.6652926840944566</v>
      </c>
      <c r="AA290" s="7">
        <f t="shared" ca="1" si="197"/>
        <v>1.7316395186508007</v>
      </c>
      <c r="AB290" s="7">
        <f t="shared" ca="1" si="197"/>
        <v>1.8007850905896459</v>
      </c>
      <c r="AC290" s="7">
        <f t="shared" ca="1" si="197"/>
        <v>1.8729904338282812</v>
      </c>
      <c r="AD290" s="7">
        <f t="shared" ca="1" si="197"/>
        <v>1.948331653689183</v>
      </c>
      <c r="AE290" s="7">
        <f t="shared" ca="1" si="197"/>
        <v>2.0267395593038686</v>
      </c>
      <c r="AF290" s="7">
        <f t="shared" ca="1" si="197"/>
        <v>2.1084310739525702</v>
      </c>
      <c r="AG290" s="7">
        <f t="shared" ca="1" si="197"/>
        <v>2.1934518761143154</v>
      </c>
      <c r="AH290" s="7">
        <f t="shared" ca="1" si="197"/>
        <v>2.2819383025446496</v>
      </c>
      <c r="AI290" s="7">
        <f t="shared" ca="1" si="197"/>
        <v>2.37373573816462</v>
      </c>
      <c r="AJ290" s="7">
        <f t="shared" ca="1" si="197"/>
        <v>2.4691382558970747</v>
      </c>
      <c r="AK290" s="7">
        <f t="shared" ca="1" si="197"/>
        <v>2.5680673746921889</v>
      </c>
      <c r="AL290" s="7">
        <f t="shared" ca="1" si="197"/>
        <v>2.6704451653538133</v>
      </c>
      <c r="AM290" s="7">
        <f t="shared" ca="1" si="197"/>
        <v>2.7764114892756564</v>
      </c>
      <c r="AN290" s="7">
        <f t="shared" ca="1" si="197"/>
        <v>2.8861137445881071</v>
      </c>
      <c r="AO290" s="7">
        <f t="shared" ca="1" si="197"/>
        <v>2.9991211684713504</v>
      </c>
      <c r="AP290" s="7">
        <f t="shared" ca="1" si="197"/>
        <v>3.1159136463992452</v>
      </c>
      <c r="AQ290" s="7">
        <f t="shared" ca="1" si="197"/>
        <v>3.2361639262172028</v>
      </c>
      <c r="AR290" s="7">
        <f t="shared" ca="1" si="197"/>
        <v>3.3600081527543759</v>
      </c>
      <c r="AS290" s="7">
        <f t="shared" ca="1" si="197"/>
        <v>3.4877352510191271</v>
      </c>
      <c r="AT290" s="7">
        <f t="shared" ca="1" si="197"/>
        <v>3.6194472324631701</v>
      </c>
      <c r="AU290" s="7">
        <f t="shared" ca="1" si="197"/>
        <v>3.7553192446178367</v>
      </c>
      <c r="AV290" s="7">
        <f t="shared" ca="1" si="197"/>
        <v>3.8957713898945463</v>
      </c>
      <c r="AW290" s="7">
        <f t="shared" ca="1" si="197"/>
        <v>4.0407243751669704</v>
      </c>
    </row>
    <row r="291" spans="1:49" x14ac:dyDescent="0.2">
      <c r="A291" s="1" t="s">
        <v>573</v>
      </c>
      <c r="B291" s="4" t="str">
        <f t="shared" ref="B291:B293" si="198">$B$43</f>
        <v>From Fiscal</v>
      </c>
      <c r="D291" s="18">
        <f>Fiscal!D$61-D$290</f>
        <v>1.3720000000000003</v>
      </c>
      <c r="E291" s="19">
        <f ca="1">Fiscal!E$61-E$290  +IF(OR(OFFSET(Assumptions!$B$72,0,$C$1)="BU",OFFSET(Assumptions!$B$113,0,$C$1)="SND"),Allocate!C$20,0)</f>
        <v>1.4029999999999998</v>
      </c>
      <c r="F291" s="19">
        <f ca="1">Fiscal!F$61-F$290  +IF(OR(OFFSET(Assumptions!$B$72,0,$C$1)="BU",OFFSET(Assumptions!$B$113,0,$C$1)="SND"),Allocate!D$20,0)</f>
        <v>1.73</v>
      </c>
      <c r="G291" s="19">
        <f ca="1">Fiscal!G$61-G$290  +IF(OR(OFFSET(Assumptions!$B$72,0,$C$1)="BU",OFFSET(Assumptions!$B$113,0,$C$1)="SND"),Allocate!E$20,0)</f>
        <v>1.7499999999999998</v>
      </c>
      <c r="H291" s="19">
        <f ca="1">Fiscal!H$61-H$290  +IF(OR(OFFSET(Assumptions!$B$72,0,$C$1)="BU",OFFSET(Assumptions!$B$113,0,$C$1)="SND"),Allocate!F$20,0)</f>
        <v>1.8039999999999996</v>
      </c>
      <c r="I291" s="19">
        <f ca="1">Fiscal!I$61-I$290  +IF(OR(OFFSET(Assumptions!$B$72,0,$C$1)="BU",OFFSET(Assumptions!$B$113,0,$C$1)="SND"),Allocate!G$20,0)</f>
        <v>1.8850000000000002</v>
      </c>
      <c r="J291" s="7">
        <f ca="1">IF(OFFSET(Assumptions!$B$72,0,$C$1)="BU",J$14*(I$291/I$14+MIN(ABS(OFFSET(Assumptions!$B$81,0,$C$1)-I$291/I$14),OFFSET(Assumptions!$B$75,0,$C$1))*SIGN(OFFSET(Assumptions!$B$81,0,$C$1)-I$291/I$14)),I$291+IF(OFFSET(Assumptions!$B$113,0,$C$1)="SND",Allocate!$B$20*J$232*J$14,0))</f>
        <v>1.9629492529623886</v>
      </c>
      <c r="K291" s="7">
        <f ca="1">IF(OFFSET(Assumptions!$B$72,0,$C$1)="BU",K$14*(J$291/J$14+MIN(ABS(OFFSET(Assumptions!$B$81,0,$C$1)-J$291/J$14),OFFSET(Assumptions!$B$75,0,$C$1))*SIGN(OFFSET(Assumptions!$B$81,0,$C$1)-J$291/J$14)),J$291+IF(OFFSET(Assumptions!$B$113,0,$C$1)="SND",Allocate!$B$20*K$232*K$14,0))</f>
        <v>2.0441560205886868</v>
      </c>
      <c r="L291" s="7">
        <f ca="1">IF(OFFSET(Assumptions!$B$72,0,$C$1)="BU",L$14*(K$291/K$14+MIN(ABS(OFFSET(Assumptions!$B$81,0,$C$1)-K$291/K$14),OFFSET(Assumptions!$B$75,0,$C$1))*SIGN(OFFSET(Assumptions!$B$81,0,$C$1)-K$291/K$14)),K$291+IF(OFFSET(Assumptions!$B$113,0,$C$1)="SND",Allocate!$B$20*L$232*L$14,0))</f>
        <v>2.1288827191335526</v>
      </c>
      <c r="M291" s="7">
        <f ca="1">IF(OFFSET(Assumptions!$B$72,0,$C$1)="BU",M$14*(L$291/L$14+MIN(ABS(OFFSET(Assumptions!$B$81,0,$C$1)-L$291/L$14),OFFSET(Assumptions!$B$75,0,$C$1))*SIGN(OFFSET(Assumptions!$B$81,0,$C$1)-L$291/L$14)),L$291+IF(OFFSET(Assumptions!$B$113,0,$C$1)="SND",Allocate!$B$20*M$232*M$14,0))</f>
        <v>2.2172701578558054</v>
      </c>
      <c r="N291" s="7">
        <f ca="1">IF(OFFSET(Assumptions!$B$72,0,$C$1)="BU",N$14*(M$291/M$14+MIN(ABS(OFFSET(Assumptions!$B$81,0,$C$1)-M$291/M$14),OFFSET(Assumptions!$B$75,0,$C$1))*SIGN(OFFSET(Assumptions!$B$81,0,$C$1)-M$291/M$14)),M$291+IF(OFFSET(Assumptions!$B$113,0,$C$1)="SND",Allocate!$B$20*N$232*N$14,0))</f>
        <v>2.3094695237658436</v>
      </c>
      <c r="O291" s="7">
        <f ca="1">IF(OFFSET(Assumptions!$B$72,0,$C$1)="BU",O$14*(N$291/N$14+MIN(ABS(OFFSET(Assumptions!$B$81,0,$C$1)-N$291/N$14),OFFSET(Assumptions!$B$75,0,$C$1))*SIGN(OFFSET(Assumptions!$B$81,0,$C$1)-N$291/N$14)),N$291+IF(OFFSET(Assumptions!$B$113,0,$C$1)="SND",Allocate!$B$20*O$232*O$14,0))</f>
        <v>2.4056045793989469</v>
      </c>
      <c r="P291" s="7">
        <f ca="1">IF(OFFSET(Assumptions!$B$72,0,$C$1)="BU",P$14*(O$291/O$14+MIN(ABS(OFFSET(Assumptions!$B$81,0,$C$1)-O$291/O$14),OFFSET(Assumptions!$B$75,0,$C$1))*SIGN(OFFSET(Assumptions!$B$81,0,$C$1)-O$291/O$14)),O$291+IF(OFFSET(Assumptions!$B$113,0,$C$1)="SND",Allocate!$B$20*P$232*P$14,0))</f>
        <v>2.5559053316560725</v>
      </c>
      <c r="Q291" s="7">
        <f ca="1">IF(OFFSET(Assumptions!$B$72,0,$C$1)="BU",Q$14*(P$291/P$14+MIN(ABS(OFFSET(Assumptions!$B$81,0,$C$1)-P$291/P$14),OFFSET(Assumptions!$B$75,0,$C$1))*SIGN(OFFSET(Assumptions!$B$81,0,$C$1)-P$291/P$14)),P$291+IF(OFFSET(Assumptions!$B$113,0,$C$1)="SND",Allocate!$B$20*Q$232*Q$14,0))</f>
        <v>2.7124922998014904</v>
      </c>
      <c r="R291" s="7">
        <f ca="1">IF(OFFSET(Assumptions!$B$72,0,$C$1)="BU",R$14*(Q$291/Q$14+MIN(ABS(OFFSET(Assumptions!$B$81,0,$C$1)-Q$291/Q$14),OFFSET(Assumptions!$B$75,0,$C$1))*SIGN(OFFSET(Assumptions!$B$81,0,$C$1)-Q$291/Q$14)),Q$291+IF(OFFSET(Assumptions!$B$113,0,$C$1)="SND",Allocate!$B$20*R$232*R$14,0))</f>
        <v>2.8755488651765417</v>
      </c>
      <c r="S291" s="7">
        <f ca="1">IF(OFFSET(Assumptions!$B$72,0,$C$1)="BU",S$14*(R$291/R$14+MIN(ABS(OFFSET(Assumptions!$B$81,0,$C$1)-R$291/R$14),OFFSET(Assumptions!$B$75,0,$C$1))*SIGN(OFFSET(Assumptions!$B$81,0,$C$1)-R$291/R$14)),R$291+IF(OFFSET(Assumptions!$B$113,0,$C$1)="SND",Allocate!$B$20*S$232*S$14,0))</f>
        <v>3.0452789692387507</v>
      </c>
      <c r="T291" s="7">
        <f ca="1">IF(OFFSET(Assumptions!$B$72,0,$C$1)="BU",T$14*(S$291/S$14+MIN(ABS(OFFSET(Assumptions!$B$81,0,$C$1)-S$291/S$14),OFFSET(Assumptions!$B$75,0,$C$1))*SIGN(OFFSET(Assumptions!$B$81,0,$C$1)-S$291/S$14)),S$291+IF(OFFSET(Assumptions!$B$113,0,$C$1)="SND",Allocate!$B$20*T$232*T$14,0))</f>
        <v>3.2218889870592569</v>
      </c>
      <c r="U291" s="7">
        <f ca="1">IF(OFFSET(Assumptions!$B$72,0,$C$1)="BU",U$14*(T$291/T$14+MIN(ABS(OFFSET(Assumptions!$B$81,0,$C$1)-T$291/T$14),OFFSET(Assumptions!$B$75,0,$C$1))*SIGN(OFFSET(Assumptions!$B$81,0,$C$1)-T$291/T$14)),T$291+IF(OFFSET(Assumptions!$B$113,0,$C$1)="SND",Allocate!$B$20*U$232*U$14,0))</f>
        <v>3.4056099855383262</v>
      </c>
      <c r="V291" s="7">
        <f ca="1">IF(OFFSET(Assumptions!$B$72,0,$C$1)="BU",V$14*(U$291/U$14+MIN(ABS(OFFSET(Assumptions!$B$81,0,$C$1)-U$291/U$14),OFFSET(Assumptions!$B$75,0,$C$1))*SIGN(OFFSET(Assumptions!$B$81,0,$C$1)-U$291/U$14)),U$291+IF(OFFSET(Assumptions!$B$113,0,$C$1)="SND",Allocate!$B$20*V$232*V$14,0))</f>
        <v>3.5966905850725963</v>
      </c>
      <c r="W291" s="7">
        <f ca="1">IF(OFFSET(Assumptions!$B$72,0,$C$1)="BU",W$14*(V$291/V$14+MIN(ABS(OFFSET(Assumptions!$B$81,0,$C$1)-V$291/V$14),OFFSET(Assumptions!$B$75,0,$C$1))*SIGN(OFFSET(Assumptions!$B$81,0,$C$1)-V$291/V$14)),V$291+IF(OFFSET(Assumptions!$B$113,0,$C$1)="SND",Allocate!$B$20*W$232*W$14,0))</f>
        <v>3.7954007286793283</v>
      </c>
      <c r="X291" s="7">
        <f ca="1">IF(OFFSET(Assumptions!$B$72,0,$C$1)="BU",X$14*(W$291/W$14+MIN(ABS(OFFSET(Assumptions!$B$81,0,$C$1)-W$291/W$14),OFFSET(Assumptions!$B$75,0,$C$1))*SIGN(OFFSET(Assumptions!$B$81,0,$C$1)-W$291/W$14)),W$291+IF(OFFSET(Assumptions!$B$113,0,$C$1)="SND",Allocate!$B$20*X$232*X$14,0))</f>
        <v>4.0020345256310774</v>
      </c>
      <c r="Y291" s="7">
        <f ca="1">IF(OFFSET(Assumptions!$B$72,0,$C$1)="BU",Y$14*(X$291/X$14+MIN(ABS(OFFSET(Assumptions!$B$81,0,$C$1)-X$291/X$14),OFFSET(Assumptions!$B$75,0,$C$1))*SIGN(OFFSET(Assumptions!$B$81,0,$C$1)-X$291/X$14)),X$291+IF(OFFSET(Assumptions!$B$113,0,$C$1)="SND",Allocate!$B$20*Y$232*Y$14,0))</f>
        <v>4.2168852751406698</v>
      </c>
      <c r="Z291" s="7">
        <f ca="1">IF(OFFSET(Assumptions!$B$72,0,$C$1)="BU",Z$14*(Y$291/Y$14+MIN(ABS(OFFSET(Assumptions!$B$81,0,$C$1)-Y$291/Y$14),OFFSET(Assumptions!$B$75,0,$C$1))*SIGN(OFFSET(Assumptions!$B$81,0,$C$1)-Y$291/Y$14)),Y$291+IF(OFFSET(Assumptions!$B$113,0,$C$1)="SND",Allocate!$B$20*Z$232*Z$14,0))</f>
        <v>4.4402878676963411</v>
      </c>
      <c r="AA291" s="7">
        <f ca="1">IF(OFFSET(Assumptions!$B$72,0,$C$1)="BU",AA$14*(Z$291/Z$14+MIN(ABS(OFFSET(Assumptions!$B$81,0,$C$1)-Z$291/Z$14),OFFSET(Assumptions!$B$75,0,$C$1))*SIGN(OFFSET(Assumptions!$B$81,0,$C$1)-Z$291/Z$14)),Z$291+IF(OFFSET(Assumptions!$B$113,0,$C$1)="SND",Allocate!$B$20*AA$232*AA$14,0))</f>
        <v>4.595156643030692</v>
      </c>
      <c r="AB291" s="7">
        <f ca="1">IF(OFFSET(Assumptions!$B$72,0,$C$1)="BU",AB$14*(AA$291/AA$14+MIN(ABS(OFFSET(Assumptions!$B$81,0,$C$1)-AA$291/AA$14),OFFSET(Assumptions!$B$75,0,$C$1))*SIGN(OFFSET(Assumptions!$B$81,0,$C$1)-AA$291/AA$14)),AA$291+IF(OFFSET(Assumptions!$B$113,0,$C$1)="SND",Allocate!$B$20*AB$232*AB$14,0))</f>
        <v>4.756209436418815</v>
      </c>
      <c r="AC291" s="7">
        <f ca="1">IF(OFFSET(Assumptions!$B$72,0,$C$1)="BU",AC$14*(AB$291/AB$14+MIN(ABS(OFFSET(Assumptions!$B$81,0,$C$1)-AB$291/AB$14),OFFSET(Assumptions!$B$75,0,$C$1))*SIGN(OFFSET(Assumptions!$B$81,0,$C$1)-AB$291/AB$14)),AB$291+IF(OFFSET(Assumptions!$B$113,0,$C$1)="SND",Allocate!$B$20*AC$232*AC$14,0))</f>
        <v>4.9237198977912522</v>
      </c>
      <c r="AD291" s="7">
        <f ca="1">IF(OFFSET(Assumptions!$B$72,0,$C$1)="BU",AD$14*(AC$291/AC$14+MIN(ABS(OFFSET(Assumptions!$B$81,0,$C$1)-AC$291/AC$14),OFFSET(Assumptions!$B$75,0,$C$1))*SIGN(OFFSET(Assumptions!$B$81,0,$C$1)-AC$291/AC$14)),AC$291+IF(OFFSET(Assumptions!$B$113,0,$C$1)="SND",Allocate!$B$20*AD$232*AD$14,0))</f>
        <v>5.0979684835402592</v>
      </c>
      <c r="AE291" s="7">
        <f ca="1">IF(OFFSET(Assumptions!$B$72,0,$C$1)="BU",AE$14*(AD$291/AD$14+MIN(ABS(OFFSET(Assumptions!$B$81,0,$C$1)-AD$291/AD$14),OFFSET(Assumptions!$B$75,0,$C$1))*SIGN(OFFSET(Assumptions!$B$81,0,$C$1)-AD$291/AD$14)),AD$291+IF(OFFSET(Assumptions!$B$113,0,$C$1)="SND",Allocate!$B$20*AE$232*AE$14,0))</f>
        <v>5.2792294619889546</v>
      </c>
      <c r="AF291" s="7">
        <f ca="1">IF(OFFSET(Assumptions!$B$72,0,$C$1)="BU",AF$14*(AE$291/AE$14+MIN(ABS(OFFSET(Assumptions!$B$81,0,$C$1)-AE$291/AE$14),OFFSET(Assumptions!$B$75,0,$C$1))*SIGN(OFFSET(Assumptions!$B$81,0,$C$1)-AE$291/AE$14)),AE$291+IF(OFFSET(Assumptions!$B$113,0,$C$1)="SND",Allocate!$B$20*AF$232*AF$14,0))</f>
        <v>5.4677965019432859</v>
      </c>
      <c r="AG291" s="7">
        <f ca="1">IF(OFFSET(Assumptions!$B$72,0,$C$1)="BU",AG$14*(AF$291/AF$14+MIN(ABS(OFFSET(Assumptions!$B$81,0,$C$1)-AF$291/AF$14),OFFSET(Assumptions!$B$75,0,$C$1))*SIGN(OFFSET(Assumptions!$B$81,0,$C$1)-AF$291/AF$14)),AF$291+IF(OFFSET(Assumptions!$B$113,0,$C$1)="SND",Allocate!$B$20*AG$232*AG$14,0))</f>
        <v>5.6639673574532896</v>
      </c>
      <c r="AH291" s="7">
        <f ca="1">IF(OFFSET(Assumptions!$B$72,0,$C$1)="BU",AH$14*(AG$291/AG$14+MIN(ABS(OFFSET(Assumptions!$B$81,0,$C$1)-AG$291/AG$14),OFFSET(Assumptions!$B$75,0,$C$1))*SIGN(OFFSET(Assumptions!$B$81,0,$C$1)-AG$291/AG$14)),AG$291+IF(OFFSET(Assumptions!$B$113,0,$C$1)="SND",Allocate!$B$20*AH$232*AH$14,0))</f>
        <v>5.8680519758148453</v>
      </c>
      <c r="AI291" s="7">
        <f ca="1">IF(OFFSET(Assumptions!$B$72,0,$C$1)="BU",AI$14*(AH$291/AH$14+MIN(ABS(OFFSET(Assumptions!$B$81,0,$C$1)-AH$291/AH$14),OFFSET(Assumptions!$B$75,0,$C$1))*SIGN(OFFSET(Assumptions!$B$81,0,$C$1)-AH$291/AH$14)),AH$291+IF(OFFSET(Assumptions!$B$113,0,$C$1)="SND",Allocate!$B$20*AI$232*AI$14,0))</f>
        <v>6.0803464763604111</v>
      </c>
      <c r="AJ291" s="7">
        <f ca="1">IF(OFFSET(Assumptions!$B$72,0,$C$1)="BU",AJ$14*(AI$291/AI$14+MIN(ABS(OFFSET(Assumptions!$B$81,0,$C$1)-AI$291/AI$14),OFFSET(Assumptions!$B$75,0,$C$1))*SIGN(OFFSET(Assumptions!$B$81,0,$C$1)-AI$291/AI$14)),AI$291+IF(OFFSET(Assumptions!$B$113,0,$C$1)="SND",Allocate!$B$20*AJ$232*AJ$14,0))</f>
        <v>6.3011732787655177</v>
      </c>
      <c r="AK291" s="7">
        <f ca="1">IF(OFFSET(Assumptions!$B$72,0,$C$1)="BU",AK$14*(AJ$291/AJ$14+MIN(ABS(OFFSET(Assumptions!$B$81,0,$C$1)-AJ$291/AJ$14),OFFSET(Assumptions!$B$75,0,$C$1))*SIGN(OFFSET(Assumptions!$B$81,0,$C$1)-AJ$291/AJ$14)),AJ$291+IF(OFFSET(Assumptions!$B$113,0,$C$1)="SND",Allocate!$B$20*AK$232*AK$14,0))</f>
        <v>6.5308477837713612</v>
      </c>
      <c r="AL291" s="7">
        <f ca="1">IF(OFFSET(Assumptions!$B$72,0,$C$1)="BU",AL$14*(AK$291/AK$14+MIN(ABS(OFFSET(Assumptions!$B$81,0,$C$1)-AK$291/AK$14),OFFSET(Assumptions!$B$75,0,$C$1))*SIGN(OFFSET(Assumptions!$B$81,0,$C$1)-AK$291/AK$14)),AK$291+IF(OFFSET(Assumptions!$B$113,0,$C$1)="SND",Allocate!$B$20*AL$232*AL$14,0))</f>
        <v>6.7696784225397071</v>
      </c>
      <c r="AM291" s="7">
        <f ca="1">IF(OFFSET(Assumptions!$B$72,0,$C$1)="BU",AM$14*(AL$291/AL$14+MIN(ABS(OFFSET(Assumptions!$B$81,0,$C$1)-AL$291/AL$14),OFFSET(Assumptions!$B$75,0,$C$1))*SIGN(OFFSET(Assumptions!$B$81,0,$C$1)-AL$291/AL$14)),AL$291+IF(OFFSET(Assumptions!$B$113,0,$C$1)="SND",Allocate!$B$20*AM$232*AM$14,0))</f>
        <v>7.0179861347033556</v>
      </c>
      <c r="AN291" s="7">
        <f ca="1">IF(OFFSET(Assumptions!$B$72,0,$C$1)="BU",AN$14*(AM$291/AM$14+MIN(ABS(OFFSET(Assumptions!$B$81,0,$C$1)-AM$291/AM$14),OFFSET(Assumptions!$B$75,0,$C$1))*SIGN(OFFSET(Assumptions!$B$81,0,$C$1)-AM$291/AM$14)),AM$291+IF(OFFSET(Assumptions!$B$113,0,$C$1)="SND",Allocate!$B$20*AN$232*AN$14,0))</f>
        <v>7.2761050424124214</v>
      </c>
      <c r="AO291" s="7">
        <f ca="1">IF(OFFSET(Assumptions!$B$72,0,$C$1)="BU",AO$14*(AN$291/AN$14+MIN(ABS(OFFSET(Assumptions!$B$81,0,$C$1)-AN$291/AN$14),OFFSET(Assumptions!$B$75,0,$C$1))*SIGN(OFFSET(Assumptions!$B$81,0,$C$1)-AN$291/AN$14)),AN$291+IF(OFFSET(Assumptions!$B$113,0,$C$1)="SND",Allocate!$B$20*AO$232*AO$14,0))</f>
        <v>7.5443307426449815</v>
      </c>
      <c r="AP291" s="7">
        <f ca="1">IF(OFFSET(Assumptions!$B$72,0,$C$1)="BU",AP$14*(AO$291/AO$14+MIN(ABS(OFFSET(Assumptions!$B$81,0,$C$1)-AO$291/AO$14),OFFSET(Assumptions!$B$75,0,$C$1))*SIGN(OFFSET(Assumptions!$B$81,0,$C$1)-AO$291/AO$14)),AO$291+IF(OFFSET(Assumptions!$B$113,0,$C$1)="SND",Allocate!$B$20*AP$232*AP$14,0))</f>
        <v>7.8230017508242273</v>
      </c>
      <c r="AQ291" s="7">
        <f ca="1">IF(OFFSET(Assumptions!$B$72,0,$C$1)="BU",AQ$14*(AP$291/AP$14+MIN(ABS(OFFSET(Assumptions!$B$81,0,$C$1)-AP$291/AP$14),OFFSET(Assumptions!$B$75,0,$C$1))*SIGN(OFFSET(Assumptions!$B$81,0,$C$1)-AP$291/AP$14)),AP$291+IF(OFFSET(Assumptions!$B$113,0,$C$1)="SND",Allocate!$B$20*AQ$232*AQ$14,0))</f>
        <v>8.1124273146534449</v>
      </c>
      <c r="AR291" s="7">
        <f ca="1">IF(OFFSET(Assumptions!$B$72,0,$C$1)="BU",AR$14*(AQ$291/AQ$14+MIN(ABS(OFFSET(Assumptions!$B$81,0,$C$1)-AQ$291/AQ$14),OFFSET(Assumptions!$B$75,0,$C$1))*SIGN(OFFSET(Assumptions!$B$81,0,$C$1)-AQ$291/AQ$14)),AQ$291+IF(OFFSET(Assumptions!$B$113,0,$C$1)="SND",Allocate!$B$20*AR$232*AR$14,0))</f>
        <v>8.4129288579168726</v>
      </c>
      <c r="AS291" s="7">
        <f ca="1">IF(OFFSET(Assumptions!$B$72,0,$C$1)="BU",AS$14*(AR$291/AR$14+MIN(ABS(OFFSET(Assumptions!$B$81,0,$C$1)-AR$291/AR$14),OFFSET(Assumptions!$B$75,0,$C$1))*SIGN(OFFSET(Assumptions!$B$81,0,$C$1)-AR$291/AR$14)),AR$291+IF(OFFSET(Assumptions!$B$113,0,$C$1)="SND",Allocate!$B$20*AS$232*AS$14,0))</f>
        <v>8.7248536443392943</v>
      </c>
      <c r="AT291" s="7">
        <f ca="1">IF(OFFSET(Assumptions!$B$72,0,$C$1)="BU",AT$14*(AS$291/AS$14+MIN(ABS(OFFSET(Assumptions!$B$81,0,$C$1)-AS$291/AS$14),OFFSET(Assumptions!$B$75,0,$C$1))*SIGN(OFFSET(Assumptions!$B$81,0,$C$1)-AS$291/AS$14)),AS$291+IF(OFFSET(Assumptions!$B$113,0,$C$1)="SND",Allocate!$B$20*AT$232*AT$14,0))</f>
        <v>9.0485580610158198</v>
      </c>
      <c r="AU291" s="7">
        <f ca="1">IF(OFFSET(Assumptions!$B$72,0,$C$1)="BU",AU$14*(AT$291/AT$14+MIN(ABS(OFFSET(Assumptions!$B$81,0,$C$1)-AT$291/AT$14),OFFSET(Assumptions!$B$75,0,$C$1))*SIGN(OFFSET(Assumptions!$B$81,0,$C$1)-AT$291/AT$14)),AT$291+IF(OFFSET(Assumptions!$B$113,0,$C$1)="SND",Allocate!$B$20*AU$232*AU$14,0))</f>
        <v>9.3844141593200554</v>
      </c>
      <c r="AV291" s="7">
        <f ca="1">IF(OFFSET(Assumptions!$B$72,0,$C$1)="BU",AV$14*(AU$291/AU$14+MIN(ABS(OFFSET(Assumptions!$B$81,0,$C$1)-AU$291/AU$14),OFFSET(Assumptions!$B$75,0,$C$1))*SIGN(OFFSET(Assumptions!$B$81,0,$C$1)-AU$291/AU$14)),AU$291+IF(OFFSET(Assumptions!$B$113,0,$C$1)="SND",Allocate!$B$20*AV$232*AV$14,0))</f>
        <v>9.7328315623865169</v>
      </c>
      <c r="AW291" s="7">
        <f ca="1">IF(OFFSET(Assumptions!$B$72,0,$C$1)="BU",AW$14*(AV$291/AV$14+MIN(ABS(OFFSET(Assumptions!$B$81,0,$C$1)-AV$291/AV$14),OFFSET(Assumptions!$B$75,0,$C$1))*SIGN(OFFSET(Assumptions!$B$81,0,$C$1)-AV$291/AV$14)),AV$291+IF(OFFSET(Assumptions!$B$113,0,$C$1)="SND",Allocate!$B$20*AW$232*AW$14,0))</f>
        <v>10.094212801787512</v>
      </c>
    </row>
    <row r="292" spans="1:49" ht="15" x14ac:dyDescent="0.25">
      <c r="A292" s="2" t="s">
        <v>574</v>
      </c>
      <c r="D292" s="40">
        <f t="shared" ref="D292" si="199">SUM(D$290:D$291)</f>
        <v>2.2280000000000002</v>
      </c>
      <c r="E292" s="39">
        <f t="shared" ref="E292:AW292" ca="1" si="200">SUM(E$290:E$291)</f>
        <v>2.1039999999999996</v>
      </c>
      <c r="F292" s="39">
        <f t="shared" ca="1" si="200"/>
        <v>2.468</v>
      </c>
      <c r="G292" s="39">
        <f t="shared" ca="1" si="200"/>
        <v>2.5189999999999997</v>
      </c>
      <c r="H292" s="39">
        <f t="shared" ca="1" si="200"/>
        <v>2.6049999999999995</v>
      </c>
      <c r="I292" s="39">
        <f t="shared" ca="1" si="200"/>
        <v>2.7250000000000001</v>
      </c>
      <c r="J292" s="43">
        <f t="shared" ca="1" si="200"/>
        <v>2.8359492529623886</v>
      </c>
      <c r="K292" s="43">
        <f t="shared" ca="1" si="200"/>
        <v>2.9521560205886868</v>
      </c>
      <c r="L292" s="43">
        <f t="shared" ca="1" si="200"/>
        <v>3.0762402427425144</v>
      </c>
      <c r="M292" s="43">
        <f t="shared" ca="1" si="200"/>
        <v>3.2055596404409412</v>
      </c>
      <c r="N292" s="43">
        <f t="shared" ca="1" si="200"/>
        <v>3.3403814378019807</v>
      </c>
      <c r="O292" s="43">
        <f t="shared" ca="1" si="200"/>
        <v>3.4805227551420916</v>
      </c>
      <c r="P292" s="43">
        <f t="shared" ca="1" si="200"/>
        <v>3.6762806159550303</v>
      </c>
      <c r="Q292" s="43">
        <f t="shared" ca="1" si="200"/>
        <v>3.8797264374810485</v>
      </c>
      <c r="R292" s="43">
        <f t="shared" ca="1" si="200"/>
        <v>4.0910088216001732</v>
      </c>
      <c r="S292" s="43">
        <f t="shared" ca="1" si="200"/>
        <v>4.310484969455386</v>
      </c>
      <c r="T292" s="43">
        <f t="shared" ca="1" si="200"/>
        <v>4.5383793968157597</v>
      </c>
      <c r="U292" s="43">
        <f t="shared" ca="1" si="200"/>
        <v>4.7751072289755587</v>
      </c>
      <c r="V292" s="43">
        <f t="shared" ca="1" si="200"/>
        <v>5.0210479340031249</v>
      </c>
      <c r="W292" s="43">
        <f t="shared" ca="1" si="200"/>
        <v>5.2766303984790994</v>
      </c>
      <c r="X292" s="43">
        <f t="shared" ca="1" si="200"/>
        <v>5.5423288723256343</v>
      </c>
      <c r="Y292" s="43">
        <f t="shared" ca="1" si="200"/>
        <v>5.8184306163898967</v>
      </c>
      <c r="Z292" s="43">
        <f t="shared" ca="1" si="200"/>
        <v>6.1055805517907977</v>
      </c>
      <c r="AA292" s="43">
        <f t="shared" ca="1" si="200"/>
        <v>6.3267961616814929</v>
      </c>
      <c r="AB292" s="43">
        <f t="shared" ca="1" si="200"/>
        <v>6.5569945270084613</v>
      </c>
      <c r="AC292" s="43">
        <f t="shared" ca="1" si="200"/>
        <v>6.7967103316195336</v>
      </c>
      <c r="AD292" s="43">
        <f t="shared" ca="1" si="200"/>
        <v>7.0463001372294425</v>
      </c>
      <c r="AE292" s="43">
        <f t="shared" ca="1" si="200"/>
        <v>7.3059690212928228</v>
      </c>
      <c r="AF292" s="43">
        <f t="shared" ca="1" si="200"/>
        <v>7.5762275758958566</v>
      </c>
      <c r="AG292" s="43">
        <f t="shared" ca="1" si="200"/>
        <v>7.8574192335676045</v>
      </c>
      <c r="AH292" s="43">
        <f t="shared" ca="1" si="200"/>
        <v>8.1499902783594944</v>
      </c>
      <c r="AI292" s="43">
        <f t="shared" ca="1" si="200"/>
        <v>8.4540822145250303</v>
      </c>
      <c r="AJ292" s="43">
        <f t="shared" ca="1" si="200"/>
        <v>8.7703115346625928</v>
      </c>
      <c r="AK292" s="43">
        <f t="shared" ca="1" si="200"/>
        <v>9.0989151584635497</v>
      </c>
      <c r="AL292" s="43">
        <f t="shared" ca="1" si="200"/>
        <v>9.4401235878935204</v>
      </c>
      <c r="AM292" s="43">
        <f t="shared" ca="1" si="200"/>
        <v>9.7943976239790125</v>
      </c>
      <c r="AN292" s="43">
        <f t="shared" ca="1" si="200"/>
        <v>10.162218787000528</v>
      </c>
      <c r="AO292" s="43">
        <f t="shared" ca="1" si="200"/>
        <v>10.543451911116332</v>
      </c>
      <c r="AP292" s="43">
        <f t="shared" ca="1" si="200"/>
        <v>10.938915397223472</v>
      </c>
      <c r="AQ292" s="43">
        <f t="shared" ca="1" si="200"/>
        <v>11.348591240870647</v>
      </c>
      <c r="AR292" s="43">
        <f t="shared" ca="1" si="200"/>
        <v>11.772937010671249</v>
      </c>
      <c r="AS292" s="43">
        <f t="shared" ca="1" si="200"/>
        <v>12.212588895358422</v>
      </c>
      <c r="AT292" s="43">
        <f t="shared" ca="1" si="200"/>
        <v>12.66800529347899</v>
      </c>
      <c r="AU292" s="43">
        <f t="shared" ca="1" si="200"/>
        <v>13.139733403937893</v>
      </c>
      <c r="AV292" s="43">
        <f t="shared" ca="1" si="200"/>
        <v>13.628602952281064</v>
      </c>
      <c r="AW292" s="43">
        <f t="shared" ca="1" si="200"/>
        <v>14.134937176954482</v>
      </c>
    </row>
    <row r="293" spans="1:49" ht="15" x14ac:dyDescent="0.25">
      <c r="A293" s="2" t="s">
        <v>575</v>
      </c>
      <c r="B293" s="4" t="str">
        <f t="shared" si="198"/>
        <v>From Fiscal</v>
      </c>
      <c r="D293" s="47">
        <f>Fiscal!D$44</f>
        <v>8.2349999999999994</v>
      </c>
      <c r="E293" s="44">
        <f ca="1">Fiscal!E$44  +IF(OR(OFFSET(Assumptions!$B$72,0,$C$1)="BU",OFFSET(Assumptions!$B$113,0,$C$1)="SND"),Allocate!C$20,0)</f>
        <v>7.6989999999999998</v>
      </c>
      <c r="F293" s="44">
        <f ca="1">Fiscal!F$44  +IF(OR(OFFSET(Assumptions!$B$72,0,$C$1)="BU",OFFSET(Assumptions!$B$113,0,$C$1)="SND"),Allocate!D$20,0)</f>
        <v>7.5259999999999998</v>
      </c>
      <c r="G293" s="44">
        <f ca="1">Fiscal!G$44  +IF(OR(OFFSET(Assumptions!$B$72,0,$C$1)="BU",OFFSET(Assumptions!$B$113,0,$C$1)="SND"),Allocate!E$20,0)</f>
        <v>7.9269999999999996</v>
      </c>
      <c r="H293" s="44">
        <f ca="1">Fiscal!H$44  +IF(OR(OFFSET(Assumptions!$B$72,0,$C$1)="BU",OFFSET(Assumptions!$B$113,0,$C$1)="SND"),Allocate!F$20,0)</f>
        <v>8.0359999999999996</v>
      </c>
      <c r="I293" s="44">
        <f ca="1">Fiscal!I$44  +IF(OR(OFFSET(Assumptions!$B$72,0,$C$1)="BU",OFFSET(Assumptions!$B$113,0,$C$1)="SND"),Allocate!G$20,0)</f>
        <v>8.1790000000000003</v>
      </c>
      <c r="J293" s="8">
        <f ca="1">IF(J$6=OFFSET(Assumptions!$B$8,0,$C$1),AVERAGE((G$293-G$292)/G$14,(H$293-H$292)/H$14,(I$293-I$292)/I$14),(I$293-I$292)/I$14)*J$14 + J$292</f>
        <v>8.7484299004267108</v>
      </c>
      <c r="K293" s="8">
        <f ca="1">IF(K$6=OFFSET(Assumptions!$B$8,0,$C$1),AVERAGE((H$293-H$292)/H$14,(I$293-I$292)/I$14,(J$293-J$292)/J$14),(J$293-J$292)/J$14)*K$14 + K$292</f>
        <v>9.1117204010875099</v>
      </c>
      <c r="L293" s="8">
        <f ca="1">IF(L$6=OFFSET(Assumptions!$B$8,0,$C$1),AVERAGE((I$293-I$292)/I$14,(J$293-J$292)/J$14,(K$293-K$292)/K$14),(K$293-K$292)/K$14)*L$14 + L$292</f>
        <v>9.5027927295479468</v>
      </c>
      <c r="M293" s="8">
        <f ca="1">IF(M$6=OFFSET(Assumptions!$B$8,0,$C$1),AVERAGE((J$293-J$292)/J$14,(K$293-K$292)/K$14,(L$293-L$292)/L$14),(L$293-L$292)/L$14)*M$14 + M$292</f>
        <v>9.9097806696843485</v>
      </c>
      <c r="N293" s="8">
        <f ca="1">IF(N$6=OFFSET(Assumptions!$B$8,0,$C$1),AVERAGE((K$293-K$292)/K$14,(L$293-L$292)/L$14,(M$293-M$292)/M$14),(M$293-M$292)/M$14)*N$14 + N$292</f>
        <v>10.333738602040807</v>
      </c>
      <c r="O293" s="8">
        <f ca="1">IF(O$6=OFFSET(Assumptions!$B$8,0,$C$1),AVERAGE((L$293-L$292)/L$14,(M$293-M$292)/M$14,(N$293-N$292)/N$14),(N$293-N$292)/N$14)*O$14 + O$292</f>
        <v>10.772403490008005</v>
      </c>
      <c r="P293" s="8">
        <f ca="1">IF(P$6=OFFSET(Assumptions!$B$8,0,$C$1),AVERAGE((M$293-M$292)/M$14,(N$293-N$292)/N$14,(O$293-O$292)/O$14),(O$293-O$292)/O$14)*P$14 + P$292</f>
        <v>11.276526974940825</v>
      </c>
      <c r="Q293" s="8">
        <f ca="1">IF(Q$6=OFFSET(Assumptions!$B$8,0,$C$1),AVERAGE((N$293-N$292)/N$14,(O$293-O$292)/O$14,(P$293-P$292)/P$14),(P$293-P$292)/P$14)*Q$14 + Q$292</f>
        <v>11.797847382583761</v>
      </c>
      <c r="R293" s="8">
        <f ca="1">IF(R$6=OFFSET(Assumptions!$B$8,0,$C$1),AVERAGE((O$293-O$292)/O$14,(P$293-P$292)/P$14,(Q$293-Q$292)/Q$14),(Q$293-Q$292)/Q$14)*R$14 + R$292</f>
        <v>12.336277382734149</v>
      </c>
      <c r="S293" s="8">
        <f ca="1">IF(S$6=OFFSET(Assumptions!$B$8,0,$C$1),AVERAGE((P$293-P$292)/P$14,(Q$293-Q$292)/Q$14,(R$293-R$292)/R$14),(R$293-R$292)/R$14)*S$14 + S$292</f>
        <v>12.893213838318571</v>
      </c>
      <c r="T293" s="8">
        <f ca="1">IF(T$6=OFFSET(Assumptions!$B$8,0,$C$1),AVERAGE((Q$293-Q$292)/Q$14,(R$293-R$292)/R$14,(S$293-S$292)/S$14),(S$293-S$292)/S$14)*T$14 + T$292</f>
        <v>13.469004325455028</v>
      </c>
      <c r="U293" s="8">
        <f ca="1">IF(U$6=OFFSET(Assumptions!$B$8,0,$C$1),AVERAGE((R$293-R$292)/R$14,(S$293-S$292)/S$14,(T$293-T$292)/T$14),(T$293-T$292)/T$14)*U$14 + U$292</f>
        <v>14.065312559225893</v>
      </c>
      <c r="V293" s="8">
        <f ca="1">IF(V$6=OFFSET(Assumptions!$B$8,0,$C$1),AVERAGE((S$293-S$292)/S$14,(T$293-T$292)/T$14,(U$293-U$292)/U$14),(U$293-U$292)/U$14)*V$14 + V$292</f>
        <v>14.683405633974726</v>
      </c>
      <c r="W293" s="8">
        <f ca="1">IF(W$6=OFFSET(Assumptions!$B$8,0,$C$1),AVERAGE((T$293-T$292)/T$14,(U$293-U$292)/U$14,(V$293-V$292)/V$14),(V$293-V$292)/V$14)*W$14 + W$292</f>
        <v>15.32479065556798</v>
      </c>
      <c r="X293" s="8">
        <f ca="1">IF(X$6=OFFSET(Assumptions!$B$8,0,$C$1),AVERAGE((U$293-U$292)/U$14,(V$293-V$292)/V$14,(W$293-W$292)/W$14),(W$293-W$292)/W$14)*X$14 + X$292</f>
        <v>15.99116388706517</v>
      </c>
      <c r="Y293" s="8">
        <f ca="1">IF(Y$6=OFFSET(Assumptions!$B$8,0,$C$1),AVERAGE((V$293-V$292)/V$14,(W$293-W$292)/W$14,(X$293-X$292)/X$14),(X$293-X$292)/X$14)*Y$14 + Y$292</f>
        <v>16.682771627086566</v>
      </c>
      <c r="Z293" s="8">
        <f ca="1">IF(Z$6=OFFSET(Assumptions!$B$8,0,$C$1),AVERAGE((W$293-W$292)/W$14,(X$293-X$292)/X$14,(Y$293-Y$292)/Y$14),(Y$293-Y$292)/Y$14)*Z$14 + Z$292</f>
        <v>17.402361939514911</v>
      </c>
      <c r="AA293" s="8">
        <f ca="1">IF(AA$6=OFFSET(Assumptions!$B$8,0,$C$1),AVERAGE((X$293-X$292)/X$14,(Y$293-Y$292)/Y$14,(Z$293-Z$292)/Z$14),(Z$293-Z$292)/Z$14)*AA$14 + AA$292</f>
        <v>18.073651997524664</v>
      </c>
      <c r="AB293" s="8">
        <f ca="1">IF(AB$6=OFFSET(Assumptions!$B$8,0,$C$1),AVERAGE((Y$293-Y$292)/Y$14,(Z$293-Z$292)/Z$14,(AA$293-AA$292)/AA$14),(AA$293-AA$292)/AA$14)*AB$14 + AB$292</f>
        <v>18.77291049719495</v>
      </c>
      <c r="AC293" s="8">
        <f ca="1">IF(AC$6=OFFSET(Assumptions!$B$8,0,$C$1),AVERAGE((Z$293-Z$292)/Z$14,(AA$293-AA$292)/AA$14,(AB$293-AB$292)/AB$14),(AB$293-AB$292)/AB$14)*AC$14 + AC$292</f>
        <v>19.502442888033322</v>
      </c>
      <c r="AD293" s="8">
        <f ca="1">IF(AD$6=OFFSET(Assumptions!$B$8,0,$C$1),AVERAGE((AA$293-AA$292)/AA$14,(AB$293-AB$292)/AB$14,(AC$293-AC$292)/AC$14),(AC$293-AC$292)/AC$14)*AD$14 + AD$292</f>
        <v>20.263122004478632</v>
      </c>
      <c r="AE293" s="8">
        <f ca="1">IF(AE$6=OFFSET(Assumptions!$B$8,0,$C$1),AVERAGE((AB$293-AB$292)/AB$14,(AC$293-AC$292)/AC$14,(AD$293-AD$292)/AD$14),(AD$293-AD$292)/AD$14)*AE$14 + AE$292</f>
        <v>21.054683556574755</v>
      </c>
      <c r="AF293" s="8">
        <f ca="1">IF(AF$6=OFFSET(Assumptions!$B$8,0,$C$1),AVERAGE((AC$293-AC$292)/AC$14,(AD$293-AD$292)/AD$14,(AE$293-AE$292)/AE$14),(AE$293-AE$292)/AE$14)*AF$14 + AF$292</f>
        <v>21.879109670449971</v>
      </c>
      <c r="AG293" s="8">
        <f ca="1">IF(AG$6=OFFSET(Assumptions!$B$8,0,$C$1),AVERAGE((AD$293-AD$292)/AD$14,(AE$293-AE$292)/AE$14,(AF$293-AF$292)/AF$14),(AF$293-AF$292)/AF$14)*AG$14 + AG$292</f>
        <v>22.73705364595974</v>
      </c>
      <c r="AH293" s="8">
        <f ca="1">IF(AH$6=OFFSET(Assumptions!$B$8,0,$C$1),AVERAGE((AE$293-AE$292)/AE$14,(AF$293-AF$292)/AF$14,(AG$293-AG$292)/AG$14),(AG$293-AG$292)/AG$14)*AH$14 + AH$292</f>
        <v>23.629886629515852</v>
      </c>
      <c r="AI293" s="8">
        <f ca="1">IF(AI$6=OFFSET(Assumptions!$B$8,0,$C$1),AVERAGE((AF$293-AF$292)/AF$14,(AG$293-AG$292)/AG$14,(AH$293-AH$292)/AH$14),(AH$293-AH$292)/AH$14)*AI$14 + AI$292</f>
        <v>24.556701269057935</v>
      </c>
      <c r="AJ293" s="8">
        <f ca="1">IF(AJ$6=OFFSET(Assumptions!$B$8,0,$C$1),AVERAGE((AG$293-AG$292)/AG$14,(AH$293-AH$292)/AH$14,(AI$293-AI$292)/AI$14),(AI$293-AI$292)/AI$14)*AJ$14 + AJ$292</f>
        <v>25.520108948264593</v>
      </c>
      <c r="AK293" s="8">
        <f ca="1">IF(AK$6=OFFSET(Assumptions!$B$8,0,$C$1),AVERAGE((AH$293-AH$292)/AH$14,(AI$293-AI$292)/AI$14,(AJ$293-AJ$292)/AJ$14),(AJ$293-AJ$292)/AJ$14)*AK$14 + AK$292</f>
        <v>26.519814197973609</v>
      </c>
      <c r="AL293" s="8">
        <f ca="1">IF(AL$6=OFFSET(Assumptions!$B$8,0,$C$1),AVERAGE((AI$293-AI$292)/AI$14,(AJ$293-AJ$292)/AJ$14,(AK$293-AK$292)/AK$14),(AK$293-AK$292)/AK$14)*AL$14 + AL$292</f>
        <v>27.555518874885419</v>
      </c>
      <c r="AM293" s="8">
        <f ca="1">IF(AM$6=OFFSET(Assumptions!$B$8,0,$C$1),AVERAGE((AJ$293-AJ$292)/AJ$14,(AK$293-AK$292)/AK$14,(AL$293-AL$292)/AL$14),(AL$293-AL$292)/AL$14)*AM$14 + AM$292</f>
        <v>28.628632552338079</v>
      </c>
      <c r="AN293" s="8">
        <f ca="1">IF(AN$6=OFFSET(Assumptions!$B$8,0,$C$1),AVERAGE((AK$293-AK$292)/AK$14,(AL$293-AL$292)/AL$14,(AM$293-AM$292)/AM$14),(AM$293-AM$292)/AM$14)*AN$14 + AN$292</f>
        <v>29.740636649591927</v>
      </c>
      <c r="AO293" s="8">
        <f ca="1">IF(AO$6=OFFSET(Assumptions!$B$8,0,$C$1),AVERAGE((AL$293-AL$292)/AL$14,(AM$293-AM$292)/AM$14,(AN$293-AN$292)/AN$14),(AN$293-AN$292)/AN$14)*AO$14 + AO$292</f>
        <v>30.888473851772883</v>
      </c>
      <c r="AP293" s="8">
        <f ca="1">IF(AP$6=OFFSET(Assumptions!$B$8,0,$C$1),AVERAGE((AM$293-AM$292)/AM$14,(AN$293-AN$292)/AN$14,(AO$293-AO$292)/AO$14),(AO$293-AO$292)/AO$14)*AP$14 + AP$292</f>
        <v>32.076217940253215</v>
      </c>
      <c r="AQ293" s="8">
        <f ca="1">IF(AQ$6=OFFSET(Assumptions!$B$8,0,$C$1),AVERAGE((AN$293-AN$292)/AN$14,(AO$293-AO$292)/AO$14,(AP$293-AP$292)/AP$14),(AP$293-AP$292)/AP$14)*AQ$14 + AQ$292</f>
        <v>33.301630942833995</v>
      </c>
      <c r="AR293" s="8">
        <f ca="1">IF(AR$6=OFFSET(Assumptions!$B$8,0,$C$1),AVERAGE((AO$293-AO$292)/AO$14,(AP$293-AP$292)/AP$14,(AQ$293-AQ$292)/AQ$14),(AQ$293-AQ$292)/AQ$14)*AR$14 + AR$292</f>
        <v>34.566093988525346</v>
      </c>
      <c r="AS293" s="8">
        <f ca="1">IF(AS$6=OFFSET(Assumptions!$B$8,0,$C$1),AVERAGE((AP$293-AP$292)/AP$14,(AQ$293-AQ$292)/AQ$14,(AR$293-AR$292)/AR$14),(AR$293-AR$292)/AR$14)*AS$14 + AS$292</f>
        <v>35.872203235432821</v>
      </c>
      <c r="AT293" s="8">
        <f ca="1">IF(AT$6=OFFSET(Assumptions!$B$8,0,$C$1),AVERAGE((AQ$293-AQ$292)/AQ$14,(AR$293-AR$292)/AR$14,(AS$293-AS$292)/AS$14),(AS$293-AS$292)/AS$14)*AT$14 + AT$292</f>
        <v>37.221109093231419</v>
      </c>
      <c r="AU293" s="8">
        <f ca="1">IF(AU$6=OFFSET(Assumptions!$B$8,0,$C$1),AVERAGE((AR$293-AR$292)/AR$14,(AS$293-AS$292)/AS$14,(AT$293-AT$292)/AT$14),(AT$293-AT$292)/AT$14)*AU$14 + AU$292</f>
        <v>38.614546902340749</v>
      </c>
      <c r="AV293" s="8">
        <f ca="1">IF(AV$6=OFFSET(Assumptions!$B$8,0,$C$1),AVERAGE((AS$293-AS$292)/AS$14,(AT$293-AT$292)/AT$14,(AU$293-AU$292)/AU$14),(AU$293-AU$292)/AU$14)*AV$14 + AV$292</f>
        <v>40.056196220740162</v>
      </c>
      <c r="AW293" s="8">
        <f ca="1">IF(AW$6=OFFSET(Assumptions!$B$8,0,$C$1),AVERAGE((AT$293-AT$292)/AT$14,(AU$293-AU$292)/AU$14,(AV$293-AV$292)/AV$14),(AV$293-AV$292)/AV$14)*AW$14 + AW$292</f>
        <v>41.545842389170183</v>
      </c>
    </row>
    <row r="294" spans="1:49" ht="15" x14ac:dyDescent="0.25">
      <c r="A294" s="2"/>
      <c r="B294" s="4"/>
      <c r="D294" s="47"/>
      <c r="E294" s="44"/>
      <c r="F294" s="44"/>
      <c r="G294" s="44"/>
      <c r="H294" s="44"/>
      <c r="I294" s="44"/>
      <c r="J294" s="8"/>
      <c r="K294" s="8"/>
      <c r="L294" s="8"/>
      <c r="M294" s="8"/>
      <c r="N294" s="8"/>
      <c r="O294" s="8"/>
      <c r="P294" s="8"/>
      <c r="Q294" s="8"/>
      <c r="R294" s="8"/>
      <c r="S294" s="8"/>
    </row>
    <row r="295" spans="1:49" ht="15" x14ac:dyDescent="0.25">
      <c r="A295" s="22" t="s">
        <v>626</v>
      </c>
      <c r="D295" s="55"/>
      <c r="E295" s="56"/>
      <c r="F295" s="56"/>
      <c r="G295" s="56"/>
      <c r="H295" s="56"/>
      <c r="I295" s="56"/>
      <c r="J295" s="57"/>
      <c r="K295" s="57"/>
      <c r="L295" s="57"/>
      <c r="M295" s="57"/>
      <c r="N295" s="57"/>
      <c r="O295" s="57"/>
      <c r="P295" s="57"/>
      <c r="Q295" s="57"/>
      <c r="R295" s="57"/>
      <c r="S295" s="57"/>
    </row>
    <row r="296" spans="1:49" ht="15" x14ac:dyDescent="0.25">
      <c r="A296" s="2" t="s">
        <v>576</v>
      </c>
      <c r="B296" s="4" t="str">
        <f t="shared" ref="B296:B318" si="201">$B$43</f>
        <v>From Fiscal</v>
      </c>
      <c r="D296" s="47">
        <f>Fiscal!D$62</f>
        <v>0.77800000000000002</v>
      </c>
      <c r="E296" s="44">
        <f ca="1">Fiscal!E$62  +IF(OR(OFFSET(Assumptions!$B$72,0,$C$1)="BU",OFFSET(Assumptions!$B$113,0,$C$1)="SND"),Allocate!C$21,0)</f>
        <v>0.78200000000000003</v>
      </c>
      <c r="F296" s="44">
        <f ca="1">Fiscal!F$62  +IF(OR(OFFSET(Assumptions!$B$72,0,$C$1)="BU",OFFSET(Assumptions!$B$113,0,$C$1)="SND"),Allocate!D$21,0)</f>
        <v>0.84499999999999997</v>
      </c>
      <c r="G296" s="44">
        <f ca="1">Fiscal!G$62  +IF(OR(OFFSET(Assumptions!$B$72,0,$C$1)="BU",OFFSET(Assumptions!$B$113,0,$C$1)="SND"),Allocate!E$21,0)</f>
        <v>0.872</v>
      </c>
      <c r="H296" s="44">
        <f ca="1">Fiscal!H$62  +IF(OR(OFFSET(Assumptions!$B$72,0,$C$1)="BU",OFFSET(Assumptions!$B$113,0,$C$1)="SND"),Allocate!F$21,0)</f>
        <v>0.89500000000000002</v>
      </c>
      <c r="I296" s="44">
        <f ca="1">Fiscal!I$62  +IF(OR(OFFSET(Assumptions!$B$72,0,$C$1)="BU",OFFSET(Assumptions!$B$113,0,$C$1)="SND"),Allocate!G$21,0)</f>
        <v>0.97199999999999998</v>
      </c>
      <c r="J296" s="57">
        <f ca="1">IF(OFFSET(Assumptions!$B$72,0,$C$1)="BU",J$14*(I$296/I$14+MIN(ABS(OFFSET(Assumptions!$B$82,0,$C$1)-I$296/I$14),OFFSET(Assumptions!$B$75,0,$C$1))*SIGN(OFFSET(Assumptions!$B$82,0,$C$1)-I$296/I$14)),I$296+IF(OFFSET(Assumptions!$B$113,0,$C$1)="SND",Allocate!$B$21*J$232*J$14,0))</f>
        <v>1.0031797011849553</v>
      </c>
      <c r="K296" s="57">
        <f ca="1">IF(OFFSET(Assumptions!$B$72,0,$C$1)="BU",K$14*(J$296/J$14+MIN(ABS(OFFSET(Assumptions!$B$82,0,$C$1)-J$296/J$14),OFFSET(Assumptions!$B$75,0,$C$1))*SIGN(OFFSET(Assumptions!$B$82,0,$C$1)-J$296/J$14)),J$296+IF(OFFSET(Assumptions!$B$113,0,$C$1)="SND",Allocate!$B$21*K$232*K$14,0))</f>
        <v>1.0356624082354746</v>
      </c>
      <c r="L296" s="57">
        <f ca="1">IF(OFFSET(Assumptions!$B$72,0,$C$1)="BU",L$14*(K$296/K$14+MIN(ABS(OFFSET(Assumptions!$B$82,0,$C$1)-K$296/K$14),OFFSET(Assumptions!$B$75,0,$C$1))*SIGN(OFFSET(Assumptions!$B$82,0,$C$1)-K$296/K$14)),K$296+IF(OFFSET(Assumptions!$B$113,0,$C$1)="SND",Allocate!$B$21*L$232*L$14,0))</f>
        <v>1.0695530876534209</v>
      </c>
      <c r="M296" s="57">
        <f ca="1">IF(OFFSET(Assumptions!$B$72,0,$C$1)="BU",M$14*(L$296/L$14+MIN(ABS(OFFSET(Assumptions!$B$82,0,$C$1)-L$296/L$14),OFFSET(Assumptions!$B$75,0,$C$1))*SIGN(OFFSET(Assumptions!$B$82,0,$C$1)-L$296/L$14)),L$296+IF(OFFSET(Assumptions!$B$113,0,$C$1)="SND",Allocate!$B$21*M$232*M$14,0))</f>
        <v>1.104908063142322</v>
      </c>
      <c r="N296" s="57">
        <f ca="1">IF(OFFSET(Assumptions!$B$72,0,$C$1)="BU",N$14*(M$296/M$14+MIN(ABS(OFFSET(Assumptions!$B$82,0,$C$1)-M$296/M$14),OFFSET(Assumptions!$B$75,0,$C$1))*SIGN(OFFSET(Assumptions!$B$82,0,$C$1)-M$296/M$14)),M$296+IF(OFFSET(Assumptions!$B$113,0,$C$1)="SND",Allocate!$B$21*N$232*N$14,0))</f>
        <v>1.1417878095063374</v>
      </c>
      <c r="O296" s="57">
        <f ca="1">IF(OFFSET(Assumptions!$B$72,0,$C$1)="BU",O$14*(N$296/N$14+MIN(ABS(OFFSET(Assumptions!$B$82,0,$C$1)-N$296/N$14),OFFSET(Assumptions!$B$75,0,$C$1))*SIGN(OFFSET(Assumptions!$B$82,0,$C$1)-N$296/N$14)),N$296+IF(OFFSET(Assumptions!$B$113,0,$C$1)="SND",Allocate!$B$21*O$232*O$14,0))</f>
        <v>1.1802418317595789</v>
      </c>
      <c r="P296" s="57">
        <f ca="1">IF(OFFSET(Assumptions!$B$72,0,$C$1)="BU",P$14*(O$296/O$14+MIN(ABS(OFFSET(Assumptions!$B$82,0,$C$1)-O$296/O$14),OFFSET(Assumptions!$B$75,0,$C$1))*SIGN(OFFSET(Assumptions!$B$82,0,$C$1)-O$296/O$14)),O$296+IF(OFFSET(Assumptions!$B$113,0,$C$1)="SND",Allocate!$B$21*P$232*P$14,0))</f>
        <v>1.240362132662429</v>
      </c>
      <c r="Q296" s="57">
        <f ca="1">IF(OFFSET(Assumptions!$B$72,0,$C$1)="BU",Q$14*(P$296/P$14+MIN(ABS(OFFSET(Assumptions!$B$82,0,$C$1)-P$296/P$14),OFFSET(Assumptions!$B$75,0,$C$1))*SIGN(OFFSET(Assumptions!$B$82,0,$C$1)-P$296/P$14)),P$296+IF(OFFSET(Assumptions!$B$113,0,$C$1)="SND",Allocate!$B$21*Q$232*Q$14,0))</f>
        <v>1.3029969199205962</v>
      </c>
      <c r="R296" s="57">
        <f ca="1">IF(OFFSET(Assumptions!$B$72,0,$C$1)="BU",R$14*(Q$296/Q$14+MIN(ABS(OFFSET(Assumptions!$B$82,0,$C$1)-Q$296/Q$14),OFFSET(Assumptions!$B$75,0,$C$1))*SIGN(OFFSET(Assumptions!$B$82,0,$C$1)-Q$296/Q$14)),Q$296+IF(OFFSET(Assumptions!$B$113,0,$C$1)="SND",Allocate!$B$21*R$232*R$14,0))</f>
        <v>1.3682195460706166</v>
      </c>
      <c r="S296" s="57">
        <f ca="1">IF(OFFSET(Assumptions!$B$72,0,$C$1)="BU",S$14*(R$296/R$14+MIN(ABS(OFFSET(Assumptions!$B$82,0,$C$1)-R$296/R$14),OFFSET(Assumptions!$B$75,0,$C$1))*SIGN(OFFSET(Assumptions!$B$82,0,$C$1)-R$296/R$14)),R$296+IF(OFFSET(Assumptions!$B$113,0,$C$1)="SND",Allocate!$B$21*S$232*S$14,0))</f>
        <v>1.4361115876955002</v>
      </c>
      <c r="T296" s="57">
        <f ca="1">IF(OFFSET(Assumptions!$B$72,0,$C$1)="BU",T$14*(S$296/S$14+MIN(ABS(OFFSET(Assumptions!$B$82,0,$C$1)-S$296/S$14),OFFSET(Assumptions!$B$75,0,$C$1))*SIGN(OFFSET(Assumptions!$B$82,0,$C$1)-S$296/S$14)),S$296+IF(OFFSET(Assumptions!$B$113,0,$C$1)="SND",Allocate!$B$21*T$232*T$14,0))</f>
        <v>1.5067555948237026</v>
      </c>
      <c r="U296" s="57">
        <f ca="1">IF(OFFSET(Assumptions!$B$72,0,$C$1)="BU",U$14*(T$296/T$14+MIN(ABS(OFFSET(Assumptions!$B$82,0,$C$1)-T$296/T$14),OFFSET(Assumptions!$B$75,0,$C$1))*SIGN(OFFSET(Assumptions!$B$82,0,$C$1)-T$296/T$14)),T$296+IF(OFFSET(Assumptions!$B$113,0,$C$1)="SND",Allocate!$B$21*U$232*U$14,0))</f>
        <v>1.5802439942153303</v>
      </c>
      <c r="V296" s="57">
        <f ca="1">IF(OFFSET(Assumptions!$B$72,0,$C$1)="BU",V$14*(U$296/U$14+MIN(ABS(OFFSET(Assumptions!$B$82,0,$C$1)-U$296/U$14),OFFSET(Assumptions!$B$75,0,$C$1))*SIGN(OFFSET(Assumptions!$B$82,0,$C$1)-U$296/U$14)),U$296+IF(OFFSET(Assumptions!$B$113,0,$C$1)="SND",Allocate!$B$21*V$232*V$14,0))</f>
        <v>1.6566762340290384</v>
      </c>
      <c r="W296" s="57">
        <f ca="1">IF(OFFSET(Assumptions!$B$72,0,$C$1)="BU",W$14*(V$296/V$14+MIN(ABS(OFFSET(Assumptions!$B$82,0,$C$1)-V$296/V$14),OFFSET(Assumptions!$B$75,0,$C$1))*SIGN(OFFSET(Assumptions!$B$82,0,$C$1)-V$296/V$14)),V$296+IF(OFFSET(Assumptions!$B$113,0,$C$1)="SND",Allocate!$B$21*W$232*W$14,0))</f>
        <v>1.7361602914717311</v>
      </c>
      <c r="X296" s="57">
        <f ca="1">IF(OFFSET(Assumptions!$B$72,0,$C$1)="BU",X$14*(W$296/W$14+MIN(ABS(OFFSET(Assumptions!$B$82,0,$C$1)-W$296/W$14),OFFSET(Assumptions!$B$75,0,$C$1))*SIGN(OFFSET(Assumptions!$B$82,0,$C$1)-W$296/W$14)),W$296+IF(OFFSET(Assumptions!$B$113,0,$C$1)="SND",Allocate!$B$21*X$232*X$14,0))</f>
        <v>1.8188138102524309</v>
      </c>
      <c r="Y296" s="57">
        <f ca="1">IF(OFFSET(Assumptions!$B$72,0,$C$1)="BU",Y$14*(X$296/X$14+MIN(ABS(OFFSET(Assumptions!$B$82,0,$C$1)-X$296/X$14),OFFSET(Assumptions!$B$75,0,$C$1))*SIGN(OFFSET(Assumptions!$B$82,0,$C$1)-X$296/X$14)),X$296+IF(OFFSET(Assumptions!$B$113,0,$C$1)="SND",Allocate!$B$21*Y$232*Y$14,0))</f>
        <v>1.9047541100562677</v>
      </c>
      <c r="Z296" s="57">
        <f ca="1">IF(OFFSET(Assumptions!$B$72,0,$C$1)="BU",Z$14*(Y$296/Y$14+MIN(ABS(OFFSET(Assumptions!$B$82,0,$C$1)-Y$296/Y$14),OFFSET(Assumptions!$B$75,0,$C$1))*SIGN(OFFSET(Assumptions!$B$82,0,$C$1)-Y$296/Y$14)),Y$296+IF(OFFSET(Assumptions!$B$113,0,$C$1)="SND",Allocate!$B$21*Z$232*Z$14,0))</f>
        <v>1.9941151470785361</v>
      </c>
      <c r="AA296" s="57">
        <f ca="1">IF(OFFSET(Assumptions!$B$72,0,$C$1)="BU",AA$14*(Z$296/Z$14+MIN(ABS(OFFSET(Assumptions!$B$82,0,$C$1)-Z$296/Z$14),OFFSET(Assumptions!$B$75,0,$C$1))*SIGN(OFFSET(Assumptions!$B$82,0,$C$1)-Z$296/Z$14)),Z$296+IF(OFFSET(Assumptions!$B$113,0,$C$1)="SND",Allocate!$B$21*AA$232*AA$14,0))</f>
        <v>2.0560626572122764</v>
      </c>
      <c r="AB296" s="57">
        <f ca="1">IF(OFFSET(Assumptions!$B$72,0,$C$1)="BU",AB$14*(AA$296/AA$14+MIN(ABS(OFFSET(Assumptions!$B$82,0,$C$1)-AA$296/AA$14),OFFSET(Assumptions!$B$75,0,$C$1))*SIGN(OFFSET(Assumptions!$B$82,0,$C$1)-AA$296/AA$14)),AA$296+IF(OFFSET(Assumptions!$B$113,0,$C$1)="SND",Allocate!$B$21*AB$232*AB$14,0))</f>
        <v>2.1204837745675258</v>
      </c>
      <c r="AC296" s="57">
        <f ca="1">IF(OFFSET(Assumptions!$B$72,0,$C$1)="BU",AC$14*(AB$296/AB$14+MIN(ABS(OFFSET(Assumptions!$B$82,0,$C$1)-AB$296/AB$14),OFFSET(Assumptions!$B$75,0,$C$1))*SIGN(OFFSET(Assumptions!$B$82,0,$C$1)-AB$296/AB$14)),AB$296+IF(OFFSET(Assumptions!$B$113,0,$C$1)="SND",Allocate!$B$21*AC$232*AC$14,0))</f>
        <v>2.1874879591165004</v>
      </c>
      <c r="AD296" s="57">
        <f ca="1">IF(OFFSET(Assumptions!$B$72,0,$C$1)="BU",AD$14*(AC$296/AC$14+MIN(ABS(OFFSET(Assumptions!$B$82,0,$C$1)-AC$296/AC$14),OFFSET(Assumptions!$B$75,0,$C$1))*SIGN(OFFSET(Assumptions!$B$82,0,$C$1)-AC$296/AC$14)),AC$296+IF(OFFSET(Assumptions!$B$113,0,$C$1)="SND",Allocate!$B$21*AD$232*AD$14,0))</f>
        <v>2.2571873934161033</v>
      </c>
      <c r="AE296" s="57">
        <f ca="1">IF(OFFSET(Assumptions!$B$72,0,$C$1)="BU",AE$14*(AD$296/AD$14+MIN(ABS(OFFSET(Assumptions!$B$82,0,$C$1)-AD$296/AD$14),OFFSET(Assumptions!$B$75,0,$C$1))*SIGN(OFFSET(Assumptions!$B$82,0,$C$1)-AD$296/AD$14)),AD$296+IF(OFFSET(Assumptions!$B$113,0,$C$1)="SND",Allocate!$B$21*AE$232*AE$14,0))</f>
        <v>2.3296917847955814</v>
      </c>
      <c r="AF296" s="57">
        <f ca="1">IF(OFFSET(Assumptions!$B$72,0,$C$1)="BU",AF$14*(AE$296/AE$14+MIN(ABS(OFFSET(Assumptions!$B$82,0,$C$1)-AE$296/AE$14),OFFSET(Assumptions!$B$75,0,$C$1))*SIGN(OFFSET(Assumptions!$B$82,0,$C$1)-AE$296/AE$14)),AE$296+IF(OFFSET(Assumptions!$B$113,0,$C$1)="SND",Allocate!$B$21*AF$232*AF$14,0))</f>
        <v>2.405118600777314</v>
      </c>
      <c r="AG296" s="57">
        <f ca="1">IF(OFFSET(Assumptions!$B$72,0,$C$1)="BU",AG$14*(AF$296/AF$14+MIN(ABS(OFFSET(Assumptions!$B$82,0,$C$1)-AF$296/AF$14),OFFSET(Assumptions!$B$75,0,$C$1))*SIGN(OFFSET(Assumptions!$B$82,0,$C$1)-AF$296/AF$14)),AF$296+IF(OFFSET(Assumptions!$B$113,0,$C$1)="SND",Allocate!$B$21*AG$232*AG$14,0))</f>
        <v>2.4835869429813151</v>
      </c>
      <c r="AH296" s="57">
        <f ca="1">IF(OFFSET(Assumptions!$B$72,0,$C$1)="BU",AH$14*(AG$296/AG$14+MIN(ABS(OFFSET(Assumptions!$B$82,0,$C$1)-AG$296/AG$14),OFFSET(Assumptions!$B$75,0,$C$1))*SIGN(OFFSET(Assumptions!$B$82,0,$C$1)-AG$296/AG$14)),AG$296+IF(OFFSET(Assumptions!$B$113,0,$C$1)="SND",Allocate!$B$21*AH$232*AH$14,0))</f>
        <v>2.5652207903259372</v>
      </c>
      <c r="AI296" s="57">
        <f ca="1">IF(OFFSET(Assumptions!$B$72,0,$C$1)="BU",AI$14*(AH$296/AH$14+MIN(ABS(OFFSET(Assumptions!$B$82,0,$C$1)-AH$296/AH$14),OFFSET(Assumptions!$B$75,0,$C$1))*SIGN(OFFSET(Assumptions!$B$82,0,$C$1)-AH$296/AH$14)),AH$296+IF(OFFSET(Assumptions!$B$113,0,$C$1)="SND",Allocate!$B$21*AI$232*AI$14,0))</f>
        <v>2.6501385905441635</v>
      </c>
      <c r="AJ296" s="57">
        <f ca="1">IF(OFFSET(Assumptions!$B$72,0,$C$1)="BU",AJ$14*(AI$296/AI$14+MIN(ABS(OFFSET(Assumptions!$B$82,0,$C$1)-AI$296/AI$14),OFFSET(Assumptions!$B$75,0,$C$1))*SIGN(OFFSET(Assumptions!$B$82,0,$C$1)-AI$296/AI$14)),AI$296+IF(OFFSET(Assumptions!$B$113,0,$C$1)="SND",Allocate!$B$21*AJ$232*AJ$14,0))</f>
        <v>2.738469311506206</v>
      </c>
      <c r="AK296" s="57">
        <f ca="1">IF(OFFSET(Assumptions!$B$72,0,$C$1)="BU",AK$14*(AJ$296/AJ$14+MIN(ABS(OFFSET(Assumptions!$B$82,0,$C$1)-AJ$296/AJ$14),OFFSET(Assumptions!$B$75,0,$C$1))*SIGN(OFFSET(Assumptions!$B$82,0,$C$1)-AJ$296/AJ$14)),AJ$296+IF(OFFSET(Assumptions!$B$113,0,$C$1)="SND",Allocate!$B$21*AK$232*AK$14,0))</f>
        <v>2.8303391135085434</v>
      </c>
      <c r="AL296" s="57">
        <f ca="1">IF(OFFSET(Assumptions!$B$72,0,$C$1)="BU",AL$14*(AK$296/AK$14+MIN(ABS(OFFSET(Assumptions!$B$82,0,$C$1)-AK$296/AK$14),OFFSET(Assumptions!$B$75,0,$C$1))*SIGN(OFFSET(Assumptions!$B$82,0,$C$1)-AK$296/AK$14)),AK$296+IF(OFFSET(Assumptions!$B$113,0,$C$1)="SND",Allocate!$B$21*AL$232*AL$14,0))</f>
        <v>2.9258713690158817</v>
      </c>
      <c r="AM296" s="57">
        <f ca="1">IF(OFFSET(Assumptions!$B$72,0,$C$1)="BU",AM$14*(AL$296/AL$14+MIN(ABS(OFFSET(Assumptions!$B$82,0,$C$1)-AL$296/AL$14),OFFSET(Assumptions!$B$75,0,$C$1))*SIGN(OFFSET(Assumptions!$B$82,0,$C$1)-AL$296/AL$14)),AL$296+IF(OFFSET(Assumptions!$B$113,0,$C$1)="SND",Allocate!$B$21*AM$232*AM$14,0))</f>
        <v>3.0251944538813409</v>
      </c>
      <c r="AN296" s="57">
        <f ca="1">IF(OFFSET(Assumptions!$B$72,0,$C$1)="BU",AN$14*(AM$296/AM$14+MIN(ABS(OFFSET(Assumptions!$B$82,0,$C$1)-AM$296/AM$14),OFFSET(Assumptions!$B$75,0,$C$1))*SIGN(OFFSET(Assumptions!$B$82,0,$C$1)-AM$296/AM$14)),AM$296+IF(OFFSET(Assumptions!$B$113,0,$C$1)="SND",Allocate!$B$21*AN$232*AN$14,0))</f>
        <v>3.1284420169649669</v>
      </c>
      <c r="AO296" s="57">
        <f ca="1">IF(OFFSET(Assumptions!$B$72,0,$C$1)="BU",AO$14*(AN$296/AN$14+MIN(ABS(OFFSET(Assumptions!$B$82,0,$C$1)-AN$296/AN$14),OFFSET(Assumptions!$B$75,0,$C$1))*SIGN(OFFSET(Assumptions!$B$82,0,$C$1)-AN$296/AN$14)),AN$296+IF(OFFSET(Assumptions!$B$113,0,$C$1)="SND",Allocate!$B$21*AO$232*AO$14,0))</f>
        <v>3.2357322970579911</v>
      </c>
      <c r="AP296" s="57">
        <f ca="1">IF(OFFSET(Assumptions!$B$72,0,$C$1)="BU",AP$14*(AO$296/AO$14+MIN(ABS(OFFSET(Assumptions!$B$82,0,$C$1)-AO$296/AO$14),OFFSET(Assumptions!$B$75,0,$C$1))*SIGN(OFFSET(Assumptions!$B$82,0,$C$1)-AO$296/AO$14)),AO$296+IF(OFFSET(Assumptions!$B$113,0,$C$1)="SND",Allocate!$B$21*AP$232*AP$14,0))</f>
        <v>3.3472007003296893</v>
      </c>
      <c r="AQ296" s="57">
        <f ca="1">IF(OFFSET(Assumptions!$B$72,0,$C$1)="BU",AQ$14*(AP$296/AP$14+MIN(ABS(OFFSET(Assumptions!$B$82,0,$C$1)-AP$296/AP$14),OFFSET(Assumptions!$B$75,0,$C$1))*SIGN(OFFSET(Assumptions!$B$82,0,$C$1)-AP$296/AP$14)),AP$296+IF(OFFSET(Assumptions!$B$113,0,$C$1)="SND",Allocate!$B$21*AQ$232*AQ$14,0))</f>
        <v>3.4629709258613763</v>
      </c>
      <c r="AR296" s="57">
        <f ca="1">IF(OFFSET(Assumptions!$B$72,0,$C$1)="BU",AR$14*(AQ$296/AQ$14+MIN(ABS(OFFSET(Assumptions!$B$82,0,$C$1)-AQ$296/AQ$14),OFFSET(Assumptions!$B$75,0,$C$1))*SIGN(OFFSET(Assumptions!$B$82,0,$C$1)-AQ$296/AQ$14)),AQ$296+IF(OFFSET(Assumptions!$B$113,0,$C$1)="SND",Allocate!$B$21*AR$232*AR$14,0))</f>
        <v>3.5831715431667472</v>
      </c>
      <c r="AS296" s="57">
        <f ca="1">IF(OFFSET(Assumptions!$B$72,0,$C$1)="BU",AS$14*(AR$296/AR$14+MIN(ABS(OFFSET(Assumptions!$B$82,0,$C$1)-AR$296/AR$14),OFFSET(Assumptions!$B$75,0,$C$1))*SIGN(OFFSET(Assumptions!$B$82,0,$C$1)-AR$296/AR$14)),AR$296+IF(OFFSET(Assumptions!$B$113,0,$C$1)="SND",Allocate!$B$21*AS$232*AS$14,0))</f>
        <v>3.7079414577357159</v>
      </c>
      <c r="AT296" s="57">
        <f ca="1">IF(OFFSET(Assumptions!$B$72,0,$C$1)="BU",AT$14*(AS$296/AS$14+MIN(ABS(OFFSET(Assumptions!$B$82,0,$C$1)-AS$296/AS$14),OFFSET(Assumptions!$B$75,0,$C$1))*SIGN(OFFSET(Assumptions!$B$82,0,$C$1)-AS$296/AS$14)),AS$296+IF(OFFSET(Assumptions!$B$113,0,$C$1)="SND",Allocate!$B$21*AT$232*AT$14,0))</f>
        <v>3.8374232244063258</v>
      </c>
      <c r="AU296" s="57">
        <f ca="1">IF(OFFSET(Assumptions!$B$72,0,$C$1)="BU",AU$14*(AT$296/AT$14+MIN(ABS(OFFSET(Assumptions!$B$82,0,$C$1)-AT$296/AT$14),OFFSET(Assumptions!$B$75,0,$C$1))*SIGN(OFFSET(Assumptions!$B$82,0,$C$1)-AT$296/AT$14)),AT$296+IF(OFFSET(Assumptions!$B$113,0,$C$1)="SND",Allocate!$B$21*AU$232*AU$14,0))</f>
        <v>3.9717656637280201</v>
      </c>
      <c r="AV296" s="57">
        <f ca="1">IF(OFFSET(Assumptions!$B$72,0,$C$1)="BU",AV$14*(AU$296/AU$14+MIN(ABS(OFFSET(Assumptions!$B$82,0,$C$1)-AU$296/AU$14),OFFSET(Assumptions!$B$75,0,$C$1))*SIGN(OFFSET(Assumptions!$B$82,0,$C$1)-AU$296/AU$14)),AU$296+IF(OFFSET(Assumptions!$B$113,0,$C$1)="SND",Allocate!$B$21*AV$232*AV$14,0))</f>
        <v>4.111132624954605</v>
      </c>
      <c r="AW296" s="57">
        <f ca="1">IF(OFFSET(Assumptions!$B$72,0,$C$1)="BU",AW$14*(AV$296/AV$14+MIN(ABS(OFFSET(Assumptions!$B$82,0,$C$1)-AV$296/AV$14),OFFSET(Assumptions!$B$75,0,$C$1))*SIGN(OFFSET(Assumptions!$B$82,0,$C$1)-AV$296/AV$14)),AV$296+IF(OFFSET(Assumptions!$B$113,0,$C$1)="SND",Allocate!$B$21*AW$232*AW$14,0))</f>
        <v>4.255685120715003</v>
      </c>
    </row>
    <row r="297" spans="1:49" ht="15" x14ac:dyDescent="0.25">
      <c r="A297" s="2" t="s">
        <v>577</v>
      </c>
      <c r="B297" s="4" t="str">
        <f t="shared" si="201"/>
        <v>From Fiscal</v>
      </c>
      <c r="D297" s="47">
        <f>Fiscal!D$45</f>
        <v>2.198</v>
      </c>
      <c r="E297" s="44">
        <f ca="1">Fiscal!E$45  +IF(OR(OFFSET(Assumptions!$B$72,0,$C$1)="BU",OFFSET(Assumptions!$B$113,0,$C$1)="SND"),Allocate!C$21,0)</f>
        <v>2.1960000000000002</v>
      </c>
      <c r="F297" s="44">
        <f ca="1">Fiscal!F$45  +IF(OR(OFFSET(Assumptions!$B$72,0,$C$1)="BU",OFFSET(Assumptions!$B$113,0,$C$1)="SND"),Allocate!D$21,0)</f>
        <v>2.391</v>
      </c>
      <c r="G297" s="44">
        <f ca="1">Fiscal!G$45  +IF(OR(OFFSET(Assumptions!$B$72,0,$C$1)="BU",OFFSET(Assumptions!$B$113,0,$C$1)="SND"),Allocate!E$21,0)</f>
        <v>2.4510000000000001</v>
      </c>
      <c r="H297" s="44">
        <f ca="1">Fiscal!H$45  +IF(OR(OFFSET(Assumptions!$B$72,0,$C$1)="BU",OFFSET(Assumptions!$B$113,0,$C$1)="SND"),Allocate!F$21,0)</f>
        <v>2.512</v>
      </c>
      <c r="I297" s="44">
        <f ca="1">Fiscal!I$45  +IF(OR(OFFSET(Assumptions!$B$72,0,$C$1)="BU",OFFSET(Assumptions!$B$113,0,$C$1)="SND"),Allocate!G$21,0)</f>
        <v>2.5880000000000001</v>
      </c>
      <c r="J297" s="8">
        <f ca="1">IF(J$6=OFFSET(Assumptions!$B$8,0,$C$1),AVERAGE((G$297-G$296)/G$14,(H$297-H$296)/H$14,(I$297-I$296)/I$14),(I$297-I$296)/I$14)*J$14 + J$296</f>
        <v>2.7489742948150138</v>
      </c>
      <c r="K297" s="8">
        <f ca="1">IF(K$6=OFFSET(Assumptions!$B$8,0,$C$1),AVERAGE((H$297-H$296)/H$14,(I$297-I$296)/I$14,(J$297-J$296)/J$14),(J$297-J$296)/J$14)*K$14 + K$296</f>
        <v>2.8544141024508116</v>
      </c>
      <c r="L297" s="8">
        <f ca="1">IF(L$6=OFFSET(Assumptions!$B$8,0,$C$1),AVERAGE((I$297-I$296)/I$14,(J$297-J$296)/J$14,(K$297-K$296)/K$14),(K$297-K$296)/K$14)*L$14 + L$296</f>
        <v>2.9671391020713118</v>
      </c>
      <c r="M297" s="8">
        <f ca="1">IF(M$6=OFFSET(Assumptions!$B$8,0,$C$1),AVERAGE((J$297-J$296)/J$14,(K$297-K$296)/K$14,(L$297-L$296)/L$14),(L$297-L$296)/L$14)*M$14 + M$296</f>
        <v>3.0844820398239454</v>
      </c>
      <c r="N297" s="8">
        <f ca="1">IF(N$6=OFFSET(Assumptions!$B$8,0,$C$1),AVERAGE((K$297-K$296)/K$14,(L$297-L$296)/L$14,(M$297-M$296)/M$14),(M$297-M$296)/M$14)*N$14 + N$296</f>
        <v>3.2067358163785835</v>
      </c>
      <c r="O297" s="8">
        <f ca="1">IF(O$6=OFFSET(Assumptions!$B$8,0,$C$1),AVERAGE((L$297-L$296)/L$14,(M$297-M$296)/M$14,(N$297-N$296)/N$14),(N$297-N$296)/N$14)*O$14 + O$296</f>
        <v>3.3333357230323797</v>
      </c>
      <c r="P297" s="8">
        <f ca="1">IF(P$6=OFFSET(Assumptions!$B$8,0,$C$1),AVERAGE((M$297-M$296)/M$14,(N$297-N$296)/N$14,(O$297-O$296)/O$14),(O$297-O$296)/O$14)*P$14 + P$296</f>
        <v>3.484507998825114</v>
      </c>
      <c r="Q297" s="8">
        <f ca="1">IF(Q$6=OFFSET(Assumptions!$B$8,0,$C$1),AVERAGE((N$297-N$296)/N$14,(O$297-O$296)/O$14,(P$297-P$296)/P$14),(P$297-P$296)/P$14)*Q$14 + Q$296</f>
        <v>3.6410024986107645</v>
      </c>
      <c r="R297" s="8">
        <f ca="1">IF(R$6=OFFSET(Assumptions!$B$8,0,$C$1),AVERAGE((O$297-O$296)/O$14,(P$297-P$296)/P$14,(Q$297-Q$296)/Q$14),(Q$297-Q$296)/Q$14)*R$14 + R$296</f>
        <v>3.802822910604073</v>
      </c>
      <c r="S297" s="8">
        <f ca="1">IF(S$6=OFFSET(Assumptions!$B$8,0,$C$1),AVERAGE((P$297-P$296)/P$14,(Q$297-Q$296)/Q$14,(R$297-R$296)/R$14),(R$297-R$296)/R$14)*S$14 + S$296</f>
        <v>3.9703577952124767</v>
      </c>
      <c r="T297" s="8">
        <f ca="1">IF(T$6=OFFSET(Assumptions!$B$8,0,$C$1),AVERAGE((Q$297-Q$296)/Q$14,(R$297-R$296)/R$14,(S$297-S$296)/S$14),(S$297-S$296)/S$14)*T$14 + T$296</f>
        <v>4.1437260388356876</v>
      </c>
      <c r="U297" s="8">
        <f ca="1">IF(U$6=OFFSET(Assumptions!$B$8,0,$C$1),AVERAGE((R$297-R$296)/R$14,(S$297-S$296)/S$14,(T$297-T$296)/T$14),(T$297-T$296)/T$14)*U$14 + U$296</f>
        <v>4.3233887428108151</v>
      </c>
      <c r="V297" s="8">
        <f ca="1">IF(V$6=OFFSET(Assumptions!$B$8,0,$C$1),AVERAGE((S$297-S$296)/S$14,(T$297-T$296)/T$14,(U$297-U$296)/U$14),(U$297-U$296)/U$14)*V$14 + V$296</f>
        <v>4.5097074471738221</v>
      </c>
      <c r="W297" s="8">
        <f ca="1">IF(W$6=OFFSET(Assumptions!$B$8,0,$C$1),AVERAGE((T$297-T$296)/T$14,(U$297-U$296)/U$14,(V$297-V$296)/V$14),(V$297-V$296)/V$14)*W$14 + W$296</f>
        <v>4.7031084979368831</v>
      </c>
      <c r="X297" s="8">
        <f ca="1">IF(X$6=OFFSET(Assumptions!$B$8,0,$C$1),AVERAGE((U$297-U$296)/U$14,(V$297-V$296)/V$14,(W$297-W$296)/W$14),(W$297-W$296)/W$14)*X$14 + X$296</f>
        <v>4.9040703660244915</v>
      </c>
      <c r="Y297" s="8">
        <f ca="1">IF(Y$6=OFFSET(Assumptions!$B$8,0,$C$1),AVERAGE((V$297-V$296)/V$14,(W$297-W$296)/W$14,(X$297-X$296)/X$14),(X$297-X$296)/X$14)*Y$14 + Y$296</f>
        <v>5.1126982760911925</v>
      </c>
      <c r="Z297" s="8">
        <f ca="1">IF(Z$6=OFFSET(Assumptions!$B$8,0,$C$1),AVERAGE((W$297-W$296)/W$14,(X$297-X$296)/X$14,(Y$297-Y$296)/Y$14),(Y$297-Y$296)/Y$14)*Z$14 + Z$296</f>
        <v>5.3297471851415299</v>
      </c>
      <c r="AA297" s="8">
        <f ca="1">IF(AA$6=OFFSET(Assumptions!$B$8,0,$C$1),AVERAGE((X$297-X$296)/X$14,(Y$297-Y$296)/Y$14,(Z$297-Z$296)/Z$14),(Z$297-Z$296)/Z$14)*AA$14 + AA$296</f>
        <v>5.5245894284858164</v>
      </c>
      <c r="AB297" s="8">
        <f ca="1">IF(AB$6=OFFSET(Assumptions!$B$8,0,$C$1),AVERAGE((Y$297-Y$296)/Y$14,(Z$297-Z$296)/Z$14,(AA$297-AA$296)/AA$14),(AA$297-AA$296)/AA$14)*AB$14 + AB$296</f>
        <v>5.7275112353909154</v>
      </c>
      <c r="AC297" s="8">
        <f ca="1">IF(AC$6=OFFSET(Assumptions!$B$8,0,$C$1),AVERAGE((Z$297-Z$296)/Z$14,(AA$297-AA$296)/AA$14,(AB$297-AB$296)/AB$14),(AB$297-AB$296)/AB$14)*AC$14 + AC$296</f>
        <v>5.9391449247269694</v>
      </c>
      <c r="AD297" s="8">
        <f ca="1">IF(AD$6=OFFSET(Assumptions!$B$8,0,$C$1),AVERAGE((AA$297-AA$296)/AA$14,(AB$297-AB$296)/AB$14,(AC$297-AC$296)/AC$14),(AC$297-AC$296)/AC$14)*AD$14 + AD$296</f>
        <v>6.159755120333033</v>
      </c>
      <c r="AE297" s="8">
        <f ca="1">IF(AE$6=OFFSET(Assumptions!$B$8,0,$C$1),AVERAGE((AB$297-AB$296)/AB$14,(AC$297-AC$296)/AC$14,(AD$297-AD$296)/AD$14),(AD$297-AD$296)/AD$14)*AE$14 + AE$296</f>
        <v>6.3893129381184419</v>
      </c>
      <c r="AF297" s="8">
        <f ca="1">IF(AF$6=OFFSET(Assumptions!$B$8,0,$C$1),AVERAGE((AC$297-AC$296)/AC$14,(AD$297-AD$296)/AD$14,(AE$297-AE$296)/AE$14),(AE$297-AE$296)/AE$14)*AF$14 + AF$296</f>
        <v>6.6283703495520934</v>
      </c>
      <c r="AG297" s="8">
        <f ca="1">IF(AG$6=OFFSET(Assumptions!$B$8,0,$C$1),AVERAGE((AD$297-AD$296)/AD$14,(AE$297-AE$296)/AE$14,(AF$297-AF$296)/AF$14),(AF$297-AF$296)/AF$14)*AG$14 + AG$296</f>
        <v>6.877137951640699</v>
      </c>
      <c r="AH297" s="8">
        <f ca="1">IF(AH$6=OFFSET(Assumptions!$B$8,0,$C$1),AVERAGE((AE$297-AE$296)/AE$14,(AF$297-AF$296)/AF$14,(AG$297-AG$296)/AG$14),(AG$297-AG$296)/AG$14)*AH$14 + AH$296</f>
        <v>7.1360128099822715</v>
      </c>
      <c r="AI297" s="8">
        <f ca="1">IF(AI$6=OFFSET(Assumptions!$B$8,0,$C$1),AVERAGE((AF$297-AF$296)/AF$14,(AG$297-AG$296)/AG$14,(AH$297-AH$296)/AH$14),(AH$297-AH$296)/AH$14)*AI$14 + AI$296</f>
        <v>7.4048036735908553</v>
      </c>
      <c r="AJ297" s="8">
        <f ca="1">IF(AJ$6=OFFSET(Assumptions!$B$8,0,$C$1),AVERAGE((AG$297-AG$296)/AG$14,(AH$297-AH$296)/AH$14,(AI$297-AI$296)/AI$14),(AI$297-AI$296)/AI$14)*AJ$14 + AJ$296</f>
        <v>7.6842285473704219</v>
      </c>
      <c r="AK297" s="8">
        <f ca="1">IF(AK$6=OFFSET(Assumptions!$B$8,0,$C$1),AVERAGE((AH$297-AH$296)/AH$14,(AI$297-AI$296)/AI$14,(AJ$297-AJ$296)/AJ$14),(AJ$297-AJ$296)/AJ$14)*AK$14 + AK$296</f>
        <v>7.9742563916809575</v>
      </c>
      <c r="AL297" s="8">
        <f ca="1">IF(AL$6=OFFSET(Assumptions!$B$8,0,$C$1),AVERAGE((AI$297-AI$296)/AI$14,(AJ$297-AJ$296)/AJ$14,(AK$297-AK$296)/AK$14),(AK$297-AK$296)/AK$14)*AL$14 + AL$296</f>
        <v>8.2748544844304242</v>
      </c>
      <c r="AM297" s="8">
        <f ca="1">IF(AM$6=OFFSET(Assumptions!$B$8,0,$C$1),AVERAGE((AJ$297-AJ$296)/AJ$14,(AK$297-AK$296)/AK$14,(AL$297-AL$296)/AL$14),(AL$297-AL$296)/AL$14)*AM$14 + AM$296</f>
        <v>8.5864313481093451</v>
      </c>
      <c r="AN297" s="8">
        <f ca="1">IF(AN$6=OFFSET(Assumptions!$B$8,0,$C$1),AVERAGE((AK$297-AK$296)/AK$14,(AL$297-AL$296)/AL$14,(AM$297-AM$296)/AM$14),(AM$297-AM$296)/AM$14)*AN$14 + AN$296</f>
        <v>8.9094158745286123</v>
      </c>
      <c r="AO297" s="8">
        <f ca="1">IF(AO$6=OFFSET(Assumptions!$B$8,0,$C$1),AVERAGE((AL$297-AL$296)/AL$14,(AM$297-AM$296)/AM$14,(AN$297-AN$296)/AN$14),(AN$297-AN$296)/AN$14)*AO$14 + AO$296</f>
        <v>9.2430634714130022</v>
      </c>
      <c r="AP297" s="8">
        <f ca="1">IF(AP$6=OFFSET(Assumptions!$B$8,0,$C$1),AVERAGE((AM$297-AM$296)/AM$14,(AN$297-AN$296)/AN$14,(AO$297-AO$296)/AO$14),(AO$297-AO$296)/AO$14)*AP$14 + AP$296</f>
        <v>9.5884707701725489</v>
      </c>
      <c r="AQ297" s="8">
        <f ca="1">IF(AQ$6=OFFSET(Assumptions!$B$8,0,$C$1),AVERAGE((AN$297-AN$296)/AN$14,(AO$297-AO$296)/AO$14,(AP$297-AP$296)/AP$14),(AP$297-AP$296)/AP$14)*AQ$14 + AQ$296</f>
        <v>9.9451059738416578</v>
      </c>
      <c r="AR297" s="8">
        <f ca="1">IF(AR$6=OFFSET(Assumptions!$B$8,0,$C$1),AVERAGE((AO$297-AO$296)/AO$14,(AP$297-AP$296)/AP$14,(AQ$297-AQ$296)/AQ$14),(AQ$297-AQ$296)/AQ$14)*AR$14 + AR$296</f>
        <v>10.313370354179266</v>
      </c>
      <c r="AS297" s="8">
        <f ca="1">IF(AS$6=OFFSET(Assumptions!$B$8,0,$C$1),AVERAGE((AP$297-AP$296)/AP$14,(AQ$297-AQ$296)/AQ$14,(AR$297-AR$296)/AR$14),(AR$297-AR$296)/AR$14)*AS$14 + AS$296</f>
        <v>10.693981542279321</v>
      </c>
      <c r="AT297" s="8">
        <f ca="1">IF(AT$6=OFFSET(Assumptions!$B$8,0,$C$1),AVERAGE((AQ$297-AQ$296)/AQ$14,(AR$297-AR$296)/AR$14,(AS$297-AS$296)/AS$14),(AS$297-AS$296)/AS$14)*AT$14 + AT$296</f>
        <v>11.087286425029021</v>
      </c>
      <c r="AU297" s="8">
        <f ca="1">IF(AU$6=OFFSET(Assumptions!$B$8,0,$C$1),AVERAGE((AR$297-AR$296)/AR$14,(AS$297-AS$296)/AS$14,(AT$297-AT$296)/AT$14),(AT$297-AT$296)/AT$14)*AU$14 + AU$296</f>
        <v>11.493784648825105</v>
      </c>
      <c r="AV297" s="8">
        <f ca="1">IF(AV$6=OFFSET(Assumptions!$B$8,0,$C$1),AVERAGE((AS$297-AS$296)/AS$14,(AT$297-AT$296)/AT$14,(AU$297-AU$296)/AU$14),(AU$297-AU$296)/AU$14)*AV$14 + AV$296</f>
        <v>11.914481540864681</v>
      </c>
      <c r="AW297" s="8">
        <f ca="1">IF(AW$6=OFFSET(Assumptions!$B$8,0,$C$1),AVERAGE((AT$297-AT$296)/AT$14,(AU$297-AU$296)/AU$14,(AV$297-AV$296)/AV$14),(AV$297-AV$296)/AV$14)*AW$14 + AW$296</f>
        <v>12.349379287226174</v>
      </c>
    </row>
    <row r="298" spans="1:49" ht="15" x14ac:dyDescent="0.25">
      <c r="A298" s="2"/>
      <c r="B298" s="4"/>
      <c r="D298" s="47"/>
      <c r="E298" s="44"/>
      <c r="F298" s="44"/>
      <c r="G298" s="44"/>
      <c r="H298" s="44"/>
      <c r="I298" s="44"/>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row>
    <row r="299" spans="1:49" ht="15" x14ac:dyDescent="0.25">
      <c r="A299" s="22" t="s">
        <v>627</v>
      </c>
      <c r="B299" s="4"/>
      <c r="D299" s="47"/>
      <c r="E299" s="44"/>
      <c r="F299" s="44"/>
      <c r="G299" s="44"/>
      <c r="H299" s="44"/>
      <c r="I299" s="44"/>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row>
    <row r="300" spans="1:49" ht="15" x14ac:dyDescent="0.25">
      <c r="A300" s="2" t="s">
        <v>578</v>
      </c>
      <c r="B300" s="4" t="str">
        <f t="shared" si="201"/>
        <v>From Fiscal</v>
      </c>
      <c r="D300" s="47">
        <f>Fiscal!D$63</f>
        <v>0.66700000000000004</v>
      </c>
      <c r="E300" s="44">
        <f ca="1">Fiscal!E$63  +IF(OR(OFFSET(Assumptions!$B$72,0,$C$1)="BU",OFFSET(Assumptions!$B$113,0,$C$1)="SND"),Allocate!C$22,0)</f>
        <v>0.76800000000000002</v>
      </c>
      <c r="F300" s="44">
        <f ca="1">Fiscal!F$63  +IF(OR(OFFSET(Assumptions!$B$72,0,$C$1)="BU",OFFSET(Assumptions!$B$113,0,$C$1)="SND"),Allocate!D$22,0)</f>
        <v>0.70199999999999996</v>
      </c>
      <c r="G300" s="44">
        <f ca="1">Fiscal!G$63  +IF(OR(OFFSET(Assumptions!$B$72,0,$C$1)="BU",OFFSET(Assumptions!$B$113,0,$C$1)="SND"),Allocate!E$22,0)</f>
        <v>0.63300000000000001</v>
      </c>
      <c r="H300" s="44">
        <f ca="1">Fiscal!H$63  +IF(OR(OFFSET(Assumptions!$B$72,0,$C$1)="BU",OFFSET(Assumptions!$B$113,0,$C$1)="SND"),Allocate!F$22,0)</f>
        <v>0.66300000000000003</v>
      </c>
      <c r="I300" s="44">
        <f ca="1">Fiscal!I$63  +IF(OR(OFFSET(Assumptions!$B$72,0,$C$1)="BU",OFFSET(Assumptions!$B$113,0,$C$1)="SND"),Allocate!G$22,0)</f>
        <v>0.68599999999999994</v>
      </c>
      <c r="J300" s="57">
        <f ca="1">IF(OFFSET(Assumptions!$B$72,0,$C$1)="BU",J$14*(I$300/I$14+MIN(ABS(OFFSET(Assumptions!$B$83,0,$C$1)-I$300/I$14),OFFSET(Assumptions!$B$75,0,$C$1))*SIGN(OFFSET(Assumptions!$B$83,0,$C$1)-I$300/I$14)),I$300+IF(OFFSET(Assumptions!$B$113,0,$C$1)="SND",Allocate!$B$22*J$232*J$14,0))</f>
        <v>0.70938477588871651</v>
      </c>
      <c r="K300" s="57">
        <f ca="1">IF(OFFSET(Assumptions!$B$72,0,$C$1)="BU",K$14*(J$300/J$14+MIN(ABS(OFFSET(Assumptions!$B$83,0,$C$1)-J$300/J$14),OFFSET(Assumptions!$B$75,0,$C$1))*SIGN(OFFSET(Assumptions!$B$83,0,$C$1)-J$300/J$14)),J$300+IF(OFFSET(Assumptions!$B$113,0,$C$1)="SND",Allocate!$B$22*K$232*K$14,0))</f>
        <v>0.73374680617660593</v>
      </c>
      <c r="L300" s="57">
        <f ca="1">IF(OFFSET(Assumptions!$B$72,0,$C$1)="BU",L$14*(K$300/K$14+MIN(ABS(OFFSET(Assumptions!$B$83,0,$C$1)-K$300/K$14),OFFSET(Assumptions!$B$75,0,$C$1))*SIGN(OFFSET(Assumptions!$B$83,0,$C$1)-K$300/K$14)),K$300+IF(OFFSET(Assumptions!$B$113,0,$C$1)="SND",Allocate!$B$22*L$232*L$14,0))</f>
        <v>0.75916481574006567</v>
      </c>
      <c r="M300" s="57">
        <f ca="1">IF(OFFSET(Assumptions!$B$72,0,$C$1)="BU",M$14*(L$300/L$14+MIN(ABS(OFFSET(Assumptions!$B$83,0,$C$1)-L$300/L$14),OFFSET(Assumptions!$B$75,0,$C$1))*SIGN(OFFSET(Assumptions!$B$83,0,$C$1)-L$300/L$14)),L$300+IF(OFFSET(Assumptions!$B$113,0,$C$1)="SND",Allocate!$B$22*M$232*M$14,0))</f>
        <v>0.78568104735674149</v>
      </c>
      <c r="N300" s="57">
        <f ca="1">IF(OFFSET(Assumptions!$B$72,0,$C$1)="BU",N$14*(M$300/M$14+MIN(ABS(OFFSET(Assumptions!$B$83,0,$C$1)-M$300/M$14),OFFSET(Assumptions!$B$75,0,$C$1))*SIGN(OFFSET(Assumptions!$B$83,0,$C$1)-M$300/M$14)),M$300+IF(OFFSET(Assumptions!$B$113,0,$C$1)="SND",Allocate!$B$22*N$232*N$14,0))</f>
        <v>0.81334085712975301</v>
      </c>
      <c r="O300" s="57">
        <f ca="1">IF(OFFSET(Assumptions!$B$72,0,$C$1)="BU",O$14*(N$300/N$14+MIN(ABS(OFFSET(Assumptions!$B$83,0,$C$1)-N$300/N$14),OFFSET(Assumptions!$B$75,0,$C$1))*SIGN(OFFSET(Assumptions!$B$83,0,$C$1)-N$300/N$14)),N$300+IF(OFFSET(Assumptions!$B$113,0,$C$1)="SND",Allocate!$B$22*O$232*O$14,0))</f>
        <v>0.84218137381968405</v>
      </c>
      <c r="P300" s="57">
        <f ca="1">IF(OFFSET(Assumptions!$B$72,0,$C$1)="BU",P$14*(O$300/O$14+MIN(ABS(OFFSET(Assumptions!$B$83,0,$C$1)-O$300/O$14),OFFSET(Assumptions!$B$75,0,$C$1))*SIGN(OFFSET(Assumptions!$B$83,0,$C$1)-O$300/O$14)),O$300+IF(OFFSET(Assumptions!$B$113,0,$C$1)="SND",Allocate!$B$22*P$232*P$14,0))</f>
        <v>0.88727159949682166</v>
      </c>
      <c r="Q300" s="57">
        <f ca="1">IF(OFFSET(Assumptions!$B$72,0,$C$1)="BU",Q$14*(P$300/P$14+MIN(ABS(OFFSET(Assumptions!$B$83,0,$C$1)-P$300/P$14),OFFSET(Assumptions!$B$75,0,$C$1))*SIGN(OFFSET(Assumptions!$B$83,0,$C$1)-P$300/P$14)),P$300+IF(OFFSET(Assumptions!$B$113,0,$C$1)="SND",Allocate!$B$22*Q$232*Q$14,0))</f>
        <v>0.93424768994044705</v>
      </c>
      <c r="R300" s="57">
        <f ca="1">IF(OFFSET(Assumptions!$B$72,0,$C$1)="BU",R$14*(Q$300/Q$14+MIN(ABS(OFFSET(Assumptions!$B$83,0,$C$1)-Q$300/Q$14),OFFSET(Assumptions!$B$75,0,$C$1))*SIGN(OFFSET(Assumptions!$B$83,0,$C$1)-Q$300/Q$14)),Q$300+IF(OFFSET(Assumptions!$B$113,0,$C$1)="SND",Allocate!$B$22*R$232*R$14,0))</f>
        <v>0.98316465955296239</v>
      </c>
      <c r="S300" s="57">
        <f ca="1">IF(OFFSET(Assumptions!$B$72,0,$C$1)="BU",S$14*(R$300/R$14+MIN(ABS(OFFSET(Assumptions!$B$83,0,$C$1)-R$300/R$14),OFFSET(Assumptions!$B$75,0,$C$1))*SIGN(OFFSET(Assumptions!$B$83,0,$C$1)-R$300/R$14)),R$300+IF(OFFSET(Assumptions!$B$113,0,$C$1)="SND",Allocate!$B$22*S$232*S$14,0))</f>
        <v>1.0340836907716251</v>
      </c>
      <c r="T300" s="57">
        <f ca="1">IF(OFFSET(Assumptions!$B$72,0,$C$1)="BU",T$14*(S$300/S$14+MIN(ABS(OFFSET(Assumptions!$B$83,0,$C$1)-S$300/S$14),OFFSET(Assumptions!$B$75,0,$C$1))*SIGN(OFFSET(Assumptions!$B$83,0,$C$1)-S$300/S$14)),S$300+IF(OFFSET(Assumptions!$B$113,0,$C$1)="SND",Allocate!$B$22*T$232*T$14,0))</f>
        <v>1.0870666961177768</v>
      </c>
      <c r="U300" s="57">
        <f ca="1">IF(OFFSET(Assumptions!$B$72,0,$C$1)="BU",U$14*(T$300/T$14+MIN(ABS(OFFSET(Assumptions!$B$83,0,$C$1)-T$300/T$14),OFFSET(Assumptions!$B$75,0,$C$1))*SIGN(OFFSET(Assumptions!$B$83,0,$C$1)-T$300/T$14)),T$300+IF(OFFSET(Assumptions!$B$113,0,$C$1)="SND",Allocate!$B$22*U$232*U$14,0))</f>
        <v>1.1421829956614977</v>
      </c>
      <c r="V300" s="57">
        <f ca="1">IF(OFFSET(Assumptions!$B$72,0,$C$1)="BU",V$14*(U$300/U$14+MIN(ABS(OFFSET(Assumptions!$B$83,0,$C$1)-U$300/U$14),OFFSET(Assumptions!$B$75,0,$C$1))*SIGN(OFFSET(Assumptions!$B$83,0,$C$1)-U$300/U$14)),U$300+IF(OFFSET(Assumptions!$B$113,0,$C$1)="SND",Allocate!$B$22*V$232*V$14,0))</f>
        <v>1.1995071755217788</v>
      </c>
      <c r="W300" s="57">
        <f ca="1">IF(OFFSET(Assumptions!$B$72,0,$C$1)="BU",W$14*(V$300/V$14+MIN(ABS(OFFSET(Assumptions!$B$83,0,$C$1)-V$300/V$14),OFFSET(Assumptions!$B$75,0,$C$1))*SIGN(OFFSET(Assumptions!$B$83,0,$C$1)-V$300/V$14)),V$300+IF(OFFSET(Assumptions!$B$113,0,$C$1)="SND",Allocate!$B$22*W$232*W$14,0))</f>
        <v>1.2591202186037984</v>
      </c>
      <c r="X300" s="57">
        <f ca="1">IF(OFFSET(Assumptions!$B$72,0,$C$1)="BU",X$14*(W$300/W$14+MIN(ABS(OFFSET(Assumptions!$B$83,0,$C$1)-W$300/W$14),OFFSET(Assumptions!$B$75,0,$C$1))*SIGN(OFFSET(Assumptions!$B$83,0,$C$1)-W$300/W$14)),W$300+IF(OFFSET(Assumptions!$B$113,0,$C$1)="SND",Allocate!$B$22*X$232*X$14,0))</f>
        <v>1.3211103576893233</v>
      </c>
      <c r="Y300" s="57">
        <f ca="1">IF(OFFSET(Assumptions!$B$72,0,$C$1)="BU",Y$14*(X$300/X$14+MIN(ABS(OFFSET(Assumptions!$B$83,0,$C$1)-X$300/X$14),OFFSET(Assumptions!$B$75,0,$C$1))*SIGN(OFFSET(Assumptions!$B$83,0,$C$1)-X$300/X$14)),X$300+IF(OFFSET(Assumptions!$B$113,0,$C$1)="SND",Allocate!$B$22*Y$232*Y$14,0))</f>
        <v>1.3855655825422009</v>
      </c>
      <c r="Z300" s="57">
        <f ca="1">IF(OFFSET(Assumptions!$B$72,0,$C$1)="BU",Z$14*(Y$300/Y$14+MIN(ABS(OFFSET(Assumptions!$B$83,0,$C$1)-Y$300/Y$14),OFFSET(Assumptions!$B$75,0,$C$1))*SIGN(OFFSET(Assumptions!$B$83,0,$C$1)-Y$300/Y$14)),Y$300+IF(OFFSET(Assumptions!$B$113,0,$C$1)="SND",Allocate!$B$22*Z$232*Z$14,0))</f>
        <v>1.4525863603089022</v>
      </c>
      <c r="AA300" s="57">
        <f ca="1">IF(OFFSET(Assumptions!$B$72,0,$C$1)="BU",AA$14*(Z$300/Z$14+MIN(ABS(OFFSET(Assumptions!$B$83,0,$C$1)-Z$300/Z$14),OFFSET(Assumptions!$B$75,0,$C$1))*SIGN(OFFSET(Assumptions!$B$83,0,$C$1)-Z$300/Z$14)),Z$300+IF(OFFSET(Assumptions!$B$113,0,$C$1)="SND",Allocate!$B$22*AA$232*AA$14,0))</f>
        <v>1.4990469929092074</v>
      </c>
      <c r="AB300" s="57">
        <f ca="1">IF(OFFSET(Assumptions!$B$72,0,$C$1)="BU",AB$14*(AA$300/AA$14+MIN(ABS(OFFSET(Assumptions!$B$83,0,$C$1)-AA$300/AA$14),OFFSET(Assumptions!$B$75,0,$C$1))*SIGN(OFFSET(Assumptions!$B$83,0,$C$1)-AA$300/AA$14)),AA$300+IF(OFFSET(Assumptions!$B$113,0,$C$1)="SND",Allocate!$B$22*AB$232*AB$14,0))</f>
        <v>1.5473628309256442</v>
      </c>
      <c r="AC300" s="57">
        <f ca="1">IF(OFFSET(Assumptions!$B$72,0,$C$1)="BU",AC$14*(AB$300/AB$14+MIN(ABS(OFFSET(Assumptions!$B$83,0,$C$1)-AB$300/AB$14),OFFSET(Assumptions!$B$75,0,$C$1))*SIGN(OFFSET(Assumptions!$B$83,0,$C$1)-AB$300/AB$14)),AB$300+IF(OFFSET(Assumptions!$B$113,0,$C$1)="SND",Allocate!$B$22*AC$232*AC$14,0))</f>
        <v>1.5976159693373753</v>
      </c>
      <c r="AD300" s="57">
        <f ca="1">IF(OFFSET(Assumptions!$B$72,0,$C$1)="BU",AD$14*(AC$300/AC$14+MIN(ABS(OFFSET(Assumptions!$B$83,0,$C$1)-AC$300/AC$14),OFFSET(Assumptions!$B$75,0,$C$1))*SIGN(OFFSET(Assumptions!$B$83,0,$C$1)-AC$300/AC$14)),AC$300+IF(OFFSET(Assumptions!$B$113,0,$C$1)="SND",Allocate!$B$22*AD$232*AD$14,0))</f>
        <v>1.6498905450620776</v>
      </c>
      <c r="AE300" s="57">
        <f ca="1">IF(OFFSET(Assumptions!$B$72,0,$C$1)="BU",AE$14*(AD$300/AD$14+MIN(ABS(OFFSET(Assumptions!$B$83,0,$C$1)-AD$300/AD$14),OFFSET(Assumptions!$B$75,0,$C$1))*SIGN(OFFSET(Assumptions!$B$83,0,$C$1)-AD$300/AD$14)),AD$300+IF(OFFSET(Assumptions!$B$113,0,$C$1)="SND",Allocate!$B$22*AE$232*AE$14,0))</f>
        <v>1.7042688385966862</v>
      </c>
      <c r="AF300" s="57">
        <f ca="1">IF(OFFSET(Assumptions!$B$72,0,$C$1)="BU",AF$14*(AE$300/AE$14+MIN(ABS(OFFSET(Assumptions!$B$83,0,$C$1)-AE$300/AE$14),OFFSET(Assumptions!$B$75,0,$C$1))*SIGN(OFFSET(Assumptions!$B$83,0,$C$1)-AE$300/AE$14)),AE$300+IF(OFFSET(Assumptions!$B$113,0,$C$1)="SND",Allocate!$B$22*AF$232*AF$14,0))</f>
        <v>1.7608389505829856</v>
      </c>
      <c r="AG300" s="57">
        <f ca="1">IF(OFFSET(Assumptions!$B$72,0,$C$1)="BU",AG$14*(AF$300/AF$14+MIN(ABS(OFFSET(Assumptions!$B$83,0,$C$1)-AF$300/AF$14),OFFSET(Assumptions!$B$75,0,$C$1))*SIGN(OFFSET(Assumptions!$B$83,0,$C$1)-AF$300/AF$14)),AF$300+IF(OFFSET(Assumptions!$B$113,0,$C$1)="SND",Allocate!$B$22*AG$232*AG$14,0))</f>
        <v>1.8196902072359866</v>
      </c>
      <c r="AH300" s="57">
        <f ca="1">IF(OFFSET(Assumptions!$B$72,0,$C$1)="BU",AH$14*(AG$300/AG$14+MIN(ABS(OFFSET(Assumptions!$B$83,0,$C$1)-AG$300/AG$14),OFFSET(Assumptions!$B$75,0,$C$1))*SIGN(OFFSET(Assumptions!$B$83,0,$C$1)-AG$300/AG$14)),AG$300+IF(OFFSET(Assumptions!$B$113,0,$C$1)="SND",Allocate!$B$22*AH$232*AH$14,0))</f>
        <v>1.8809155927444534</v>
      </c>
      <c r="AI300" s="57">
        <f ca="1">IF(OFFSET(Assumptions!$B$72,0,$C$1)="BU",AI$14*(AH$300/AH$14+MIN(ABS(OFFSET(Assumptions!$B$83,0,$C$1)-AH$300/AH$14),OFFSET(Assumptions!$B$75,0,$C$1))*SIGN(OFFSET(Assumptions!$B$83,0,$C$1)-AH$300/AH$14)),AH$300+IF(OFFSET(Assumptions!$B$113,0,$C$1)="SND",Allocate!$B$22*AI$232*AI$14,0))</f>
        <v>1.944603942908123</v>
      </c>
      <c r="AJ300" s="57">
        <f ca="1">IF(OFFSET(Assumptions!$B$72,0,$C$1)="BU",AJ$14*(AI$300/AI$14+MIN(ABS(OFFSET(Assumptions!$B$83,0,$C$1)-AI$300/AI$14),OFFSET(Assumptions!$B$75,0,$C$1))*SIGN(OFFSET(Assumptions!$B$83,0,$C$1)-AI$300/AI$14)),AI$300+IF(OFFSET(Assumptions!$B$113,0,$C$1)="SND",Allocate!$B$22*AJ$232*AJ$14,0))</f>
        <v>2.0108519836296548</v>
      </c>
      <c r="AK300" s="57">
        <f ca="1">IF(OFFSET(Assumptions!$B$72,0,$C$1)="BU",AK$14*(AJ$300/AJ$14+MIN(ABS(OFFSET(Assumptions!$B$83,0,$C$1)-AJ$300/AJ$14),OFFSET(Assumptions!$B$75,0,$C$1))*SIGN(OFFSET(Assumptions!$B$83,0,$C$1)-AJ$300/AJ$14)),AJ$300+IF(OFFSET(Assumptions!$B$113,0,$C$1)="SND",Allocate!$B$22*AK$232*AK$14,0))</f>
        <v>2.0797543351314078</v>
      </c>
      <c r="AL300" s="57">
        <f ca="1">IF(OFFSET(Assumptions!$B$72,0,$C$1)="BU",AL$14*(AK$300/AK$14+MIN(ABS(OFFSET(Assumptions!$B$83,0,$C$1)-AK$300/AK$14),OFFSET(Assumptions!$B$75,0,$C$1))*SIGN(OFFSET(Assumptions!$B$83,0,$C$1)-AK$300/AK$14)),AK$300+IF(OFFSET(Assumptions!$B$113,0,$C$1)="SND",Allocate!$B$22*AL$232*AL$14,0))</f>
        <v>2.1514035267619116</v>
      </c>
      <c r="AM300" s="57">
        <f ca="1">IF(OFFSET(Assumptions!$B$72,0,$C$1)="BU",AM$14*(AL$300/AL$14+MIN(ABS(OFFSET(Assumptions!$B$83,0,$C$1)-AL$300/AL$14),OFFSET(Assumptions!$B$75,0,$C$1))*SIGN(OFFSET(Assumptions!$B$83,0,$C$1)-AL$300/AL$14)),AL$300+IF(OFFSET(Assumptions!$B$113,0,$C$1)="SND",Allocate!$B$22*AM$232*AM$14,0))</f>
        <v>2.2258958404110061</v>
      </c>
      <c r="AN300" s="57">
        <f ca="1">IF(OFFSET(Assumptions!$B$72,0,$C$1)="BU",AN$14*(AM$300/AM$14+MIN(ABS(OFFSET(Assumptions!$B$83,0,$C$1)-AM$300/AM$14),OFFSET(Assumptions!$B$75,0,$C$1))*SIGN(OFFSET(Assumptions!$B$83,0,$C$1)-AM$300/AM$14)),AM$300+IF(OFFSET(Assumptions!$B$113,0,$C$1)="SND",Allocate!$B$22*AN$232*AN$14,0))</f>
        <v>2.3033315127237257</v>
      </c>
      <c r="AO300" s="57">
        <f ca="1">IF(OFFSET(Assumptions!$B$72,0,$C$1)="BU",AO$14*(AN$300/AN$14+MIN(ABS(OFFSET(Assumptions!$B$83,0,$C$1)-AN$300/AN$14),OFFSET(Assumptions!$B$75,0,$C$1))*SIGN(OFFSET(Assumptions!$B$83,0,$C$1)-AN$300/AN$14)),AN$300+IF(OFFSET(Assumptions!$B$113,0,$C$1)="SND",Allocate!$B$22*AO$232*AO$14,0))</f>
        <v>2.3837992227934937</v>
      </c>
      <c r="AP300" s="57">
        <f ca="1">IF(OFFSET(Assumptions!$B$72,0,$C$1)="BU",AP$14*(AO$300/AO$14+MIN(ABS(OFFSET(Assumptions!$B$83,0,$C$1)-AO$300/AO$14),OFFSET(Assumptions!$B$75,0,$C$1))*SIGN(OFFSET(Assumptions!$B$83,0,$C$1)-AO$300/AO$14)),AO$300+IF(OFFSET(Assumptions!$B$113,0,$C$1)="SND",Allocate!$B$22*AP$232*AP$14,0))</f>
        <v>2.4674005252472675</v>
      </c>
      <c r="AQ300" s="57">
        <f ca="1">IF(OFFSET(Assumptions!$B$72,0,$C$1)="BU",AQ$14*(AP$300/AP$14+MIN(ABS(OFFSET(Assumptions!$B$83,0,$C$1)-AP$300/AP$14),OFFSET(Assumptions!$B$75,0,$C$1))*SIGN(OFFSET(Assumptions!$B$83,0,$C$1)-AP$300/AP$14)),AP$300+IF(OFFSET(Assumptions!$B$113,0,$C$1)="SND",Allocate!$B$22*AQ$232*AQ$14,0))</f>
        <v>2.5542281943960328</v>
      </c>
      <c r="AR300" s="57">
        <f ca="1">IF(OFFSET(Assumptions!$B$72,0,$C$1)="BU",AR$14*(AQ$300/AQ$14+MIN(ABS(OFFSET(Assumptions!$B$83,0,$C$1)-AQ$300/AQ$14),OFFSET(Assumptions!$B$75,0,$C$1))*SIGN(OFFSET(Assumptions!$B$83,0,$C$1)-AQ$300/AQ$14)),AQ$300+IF(OFFSET(Assumptions!$B$113,0,$C$1)="SND",Allocate!$B$22*AR$232*AR$14,0))</f>
        <v>2.6443786573750607</v>
      </c>
      <c r="AS300" s="57">
        <f ca="1">IF(OFFSET(Assumptions!$B$72,0,$C$1)="BU",AS$14*(AR$300/AR$14+MIN(ABS(OFFSET(Assumptions!$B$83,0,$C$1)-AR$300/AR$14),OFFSET(Assumptions!$B$75,0,$C$1))*SIGN(OFFSET(Assumptions!$B$83,0,$C$1)-AR$300/AR$14)),AR$300+IF(OFFSET(Assumptions!$B$113,0,$C$1)="SND",Allocate!$B$22*AS$232*AS$14,0))</f>
        <v>2.7379560933017872</v>
      </c>
      <c r="AT300" s="57">
        <f ca="1">IF(OFFSET(Assumptions!$B$72,0,$C$1)="BU",AT$14*(AS$300/AS$14+MIN(ABS(OFFSET(Assumptions!$B$83,0,$C$1)-AS$300/AS$14),OFFSET(Assumptions!$B$75,0,$C$1))*SIGN(OFFSET(Assumptions!$B$83,0,$C$1)-AS$300/AS$14)),AS$300+IF(OFFSET(Assumptions!$B$113,0,$C$1)="SND",Allocate!$B$22*AT$232*AT$14,0))</f>
        <v>2.8350674183047446</v>
      </c>
      <c r="AU300" s="57">
        <f ca="1">IF(OFFSET(Assumptions!$B$72,0,$C$1)="BU",AU$14*(AT$300/AT$14+MIN(ABS(OFFSET(Assumptions!$B$83,0,$C$1)-AT$300/AT$14),OFFSET(Assumptions!$B$75,0,$C$1))*SIGN(OFFSET(Assumptions!$B$83,0,$C$1)-AT$300/AT$14)),AT$300+IF(OFFSET(Assumptions!$B$113,0,$C$1)="SND",Allocate!$B$22*AU$232*AU$14,0))</f>
        <v>2.9358242477960155</v>
      </c>
      <c r="AV300" s="57">
        <f ca="1">IF(OFFSET(Assumptions!$B$72,0,$C$1)="BU",AV$14*(AU$300/AU$14+MIN(ABS(OFFSET(Assumptions!$B$83,0,$C$1)-AU$300/AU$14),OFFSET(Assumptions!$B$75,0,$C$1))*SIGN(OFFSET(Assumptions!$B$83,0,$C$1)-AU$300/AU$14)),AU$300+IF(OFFSET(Assumptions!$B$113,0,$C$1)="SND",Allocate!$B$22*AV$232*AV$14,0))</f>
        <v>3.040349468715954</v>
      </c>
      <c r="AW300" s="57">
        <f ca="1">IF(OFFSET(Assumptions!$B$72,0,$C$1)="BU",AW$14*(AV$300/AV$14+MIN(ABS(OFFSET(Assumptions!$B$83,0,$C$1)-AV$300/AV$14),OFFSET(Assumptions!$B$75,0,$C$1))*SIGN(OFFSET(Assumptions!$B$83,0,$C$1)-AV$300/AV$14)),AV$300+IF(OFFSET(Assumptions!$B$113,0,$C$1)="SND",Allocate!$B$22*AW$232*AW$14,0))</f>
        <v>3.1487638405362524</v>
      </c>
    </row>
    <row r="301" spans="1:49" ht="15" x14ac:dyDescent="0.25">
      <c r="A301" s="2" t="s">
        <v>579</v>
      </c>
      <c r="B301" s="4" t="str">
        <f t="shared" si="201"/>
        <v>From Fiscal</v>
      </c>
      <c r="D301" s="47">
        <f>Fiscal!D$46</f>
        <v>1.74</v>
      </c>
      <c r="E301" s="44">
        <f ca="1">Fiscal!E$46  +IF(OR(OFFSET(Assumptions!$B$72,0,$C$1)="BU",OFFSET(Assumptions!$B$113,0,$C$1)="SND"),Allocate!C$22,0)</f>
        <v>1.899</v>
      </c>
      <c r="F301" s="44">
        <f ca="1">Fiscal!F$46  +IF(OR(OFFSET(Assumptions!$B$72,0,$C$1)="BU",OFFSET(Assumptions!$B$113,0,$C$1)="SND"),Allocate!D$22,0)</f>
        <v>1.9540000000000002</v>
      </c>
      <c r="G301" s="44">
        <f ca="1">Fiscal!G$46  +IF(OR(OFFSET(Assumptions!$B$72,0,$C$1)="BU",OFFSET(Assumptions!$B$113,0,$C$1)="SND"),Allocate!E$22,0)</f>
        <v>1.9029999999999998</v>
      </c>
      <c r="H301" s="44">
        <f ca="1">Fiscal!H$46  +IF(OR(OFFSET(Assumptions!$B$72,0,$C$1)="BU",OFFSET(Assumptions!$B$113,0,$C$1)="SND"),Allocate!F$22,0)</f>
        <v>1.9689999999999999</v>
      </c>
      <c r="I301" s="44">
        <f ca="1">Fiscal!I$46  +IF(OR(OFFSET(Assumptions!$B$72,0,$C$1)="BU",OFFSET(Assumptions!$B$113,0,$C$1)="SND"),Allocate!G$22,0)</f>
        <v>1.994</v>
      </c>
      <c r="J301" s="8">
        <f ca="1">IF(J$6=OFFSET(Assumptions!$B$8,0,$C$1),AVERAGE((G$301-G$300)/G$14,(H$301-H$300)/H$14,(I$301-I$300)/I$14),(I$301-I$300)/I$14)*J$14 + J$300</f>
        <v>2.1183669982519748</v>
      </c>
      <c r="K301" s="8">
        <f ca="1">IF(K$6=OFFSET(Assumptions!$B$8,0,$C$1),AVERAGE((H$301-H$300)/H$14,(I$301-I$300)/I$14,(J$301-J$300)/J$14),(J$301-J$300)/J$14)*K$14 + K$300</f>
        <v>2.2016106736628918</v>
      </c>
      <c r="L301" s="8">
        <f ca="1">IF(L$6=OFFSET(Assumptions!$B$8,0,$C$1),AVERAGE((I$301-I$300)/I$14,(J$301-J$300)/J$14,(K$301-K$300)/K$14),(K$301-K$300)/K$14)*L$14 + L$300</f>
        <v>2.290653668710199</v>
      </c>
      <c r="M301" s="8">
        <f ca="1">IF(M$6=OFFSET(Assumptions!$B$8,0,$C$1),AVERAGE((J$301-J$300)/J$14,(K$301-K$300)/K$14,(L$301-L$300)/L$14),(L$301-L$300)/L$14)*M$14 + M$300</f>
        <v>2.3833401025367396</v>
      </c>
      <c r="N301" s="8">
        <f ca="1">IF(N$6=OFFSET(Assumptions!$B$8,0,$C$1),AVERAGE((K$301-K$300)/K$14,(L$301-L$300)/L$14,(M$301-M$300)/M$14),(M$301-M$300)/M$14)*N$14 + N$300</f>
        <v>2.4799029156922794</v>
      </c>
      <c r="O301" s="8">
        <f ca="1">IF(O$6=OFFSET(Assumptions!$B$8,0,$C$1),AVERAGE((L$301-L$300)/L$14,(M$301-M$300)/M$14,(N$301-N$300)/N$14),(N$301-N$300)/N$14)*O$14 + O$300</f>
        <v>2.5798835221430716</v>
      </c>
      <c r="P301" s="8">
        <f ca="1">IF(P$6=OFFSET(Assumptions!$B$8,0,$C$1),AVERAGE((M$301-M$300)/M$14,(N$301-N$300)/N$14,(O$301-O$300)/O$14),(O$301-O$300)/O$14)*P$14 + P$300</f>
        <v>2.6984592623240413</v>
      </c>
      <c r="Q301" s="8">
        <f ca="1">IF(Q$6=OFFSET(Assumptions!$B$8,0,$C$1),AVERAGE((N$301-N$300)/N$14,(O$301-O$300)/O$14,(P$301-P$300)/P$14),(P$301-P$300)/P$14)*Q$14 + Q$300</f>
        <v>2.8211869141654864</v>
      </c>
      <c r="R301" s="8">
        <f ca="1">IF(R$6=OFFSET(Assumptions!$B$8,0,$C$1),AVERAGE((O$301-O$300)/O$14,(P$301-P$300)/P$14,(Q$301-Q$300)/Q$14),(Q$301-Q$300)/Q$14)*R$14 + R$300</f>
        <v>2.948065267934795</v>
      </c>
      <c r="S301" s="8">
        <f ca="1">IF(S$6=OFFSET(Assumptions!$B$8,0,$C$1),AVERAGE((P$301-P$300)/P$14,(Q$301-Q$300)/Q$14,(R$301-R$300)/R$14),(R$301-R$300)/R$14)*S$14 + S$300</f>
        <v>3.0794032641690317</v>
      </c>
      <c r="T301" s="8">
        <f ca="1">IF(T$6=OFFSET(Assumptions!$B$8,0,$C$1),AVERAGE((Q$301-Q$300)/Q$14,(R$301-R$300)/R$14,(S$301-S$300)/S$14),(S$301-S$300)/S$14)*T$14 + T$300</f>
        <v>3.215292141463356</v>
      </c>
      <c r="U301" s="8">
        <f ca="1">IF(U$6=OFFSET(Assumptions!$B$8,0,$C$1),AVERAGE((R$301-R$300)/R$14,(S$301-S$300)/S$14,(T$301-T$300)/T$14),(T$301-T$300)/T$14)*U$14 + U$300</f>
        <v>3.3560987668768991</v>
      </c>
      <c r="V301" s="8">
        <f ca="1">IF(V$6=OFFSET(Assumptions!$B$8,0,$C$1),AVERAGE((S$301-S$300)/S$14,(T$301-T$300)/T$14,(U$301-U$300)/U$14),(U$301-U$300)/U$14)*V$14 + V$300</f>
        <v>3.5021092535875038</v>
      </c>
      <c r="W301" s="8">
        <f ca="1">IF(W$6=OFFSET(Assumptions!$B$8,0,$C$1),AVERAGE((T$301-T$300)/T$14,(U$301-U$300)/U$14,(V$301-V$300)/V$14),(V$301-V$300)/V$14)*W$14 + W$300</f>
        <v>3.6536615311012945</v>
      </c>
      <c r="X301" s="8">
        <f ca="1">IF(X$6=OFFSET(Assumptions!$B$8,0,$C$1),AVERAGE((U$301-U$300)/U$14,(V$301-V$300)/V$14,(W$301-W$300)/W$14),(W$301-W$300)/W$14)*X$14 + X$300</f>
        <v>3.8111350458020263</v>
      </c>
      <c r="Y301" s="8">
        <f ca="1">IF(Y$6=OFFSET(Assumptions!$B$8,0,$C$1),AVERAGE((V$301-V$300)/V$14,(W$301-W$300)/W$14,(X$301-X$300)/X$14),(X$301-X$300)/X$14)*Y$14 + Y$300</f>
        <v>3.9746080258910266</v>
      </c>
      <c r="Z301" s="8">
        <f ca="1">IF(Z$6=OFFSET(Assumptions!$B$8,0,$C$1),AVERAGE((W$301-W$300)/W$14,(X$301-X$300)/X$14,(Y$301-Y$300)/Y$14),(Y$301-Y$300)/Y$14)*Z$14 + Z$300</f>
        <v>4.1446821309823667</v>
      </c>
      <c r="AA301" s="8">
        <f ca="1">IF(AA$6=OFFSET(Assumptions!$B$8,0,$C$1),AVERAGE((X$301-X$300)/X$14,(Y$301-Y$300)/Y$14,(Z$301-Z$300)/Z$14),(Z$301-Z$300)/Z$14)*AA$14 + AA$300</f>
        <v>4.2983984036348177</v>
      </c>
      <c r="AB301" s="8">
        <f ca="1">IF(AB$6=OFFSET(Assumptions!$B$8,0,$C$1),AVERAGE((Y$301-Y$300)/Y$14,(Z$301-Z$300)/Z$14,(AA$301-AA$300)/AA$14),(AA$301-AA$300)/AA$14)*AB$14 + AB$300</f>
        <v>4.4584942930231763</v>
      </c>
      <c r="AC301" s="8">
        <f ca="1">IF(AC$6=OFFSET(Assumptions!$B$8,0,$C$1),AVERAGE((Z$301-Z$300)/Z$14,(AA$301-AA$300)/AA$14,(AB$301-AB$300)/AB$14),(AB$301-AB$300)/AB$14)*AC$14 + AC$300</f>
        <v>4.6254738789893537</v>
      </c>
      <c r="AD301" s="8">
        <f ca="1">IF(AD$6=OFFSET(Assumptions!$B$8,0,$C$1),AVERAGE((AA$301-AA$300)/AA$14,(AB$301-AB$300)/AB$14,(AC$301-AC$300)/AC$14),(AC$301-AC$300)/AC$14)*AD$14 + AD$300</f>
        <v>4.7995443295666531</v>
      </c>
      <c r="AE301" s="8">
        <f ca="1">IF(AE$6=OFFSET(Assumptions!$B$8,0,$C$1),AVERAGE((AB$301-AB$300)/AB$14,(AC$301-AC$300)/AC$14,(AD$301-AD$300)/AD$14),(AD$301-AD$300)/AD$14)*AE$14 + AE$300</f>
        <v>4.9806760719746892</v>
      </c>
      <c r="AF301" s="8">
        <f ca="1">IF(AF$6=OFFSET(Assumptions!$B$8,0,$C$1),AVERAGE((AC$301-AC$300)/AC$14,(AD$301-AD$300)/AD$14,(AE$301-AE$300)/AE$14),(AE$301-AE$300)/AE$14)*AF$14 + AF$300</f>
        <v>5.1693078828960717</v>
      </c>
      <c r="AG301" s="8">
        <f ca="1">IF(AG$6=OFFSET(Assumptions!$B$8,0,$C$1),AVERAGE((AD$301-AD$300)/AD$14,(AE$301-AE$300)/AE$14,(AF$301-AF$300)/AF$14),(AF$301-AF$300)/AF$14)*AG$14 + AG$300</f>
        <v>5.3656029319256433</v>
      </c>
      <c r="AH301" s="8">
        <f ca="1">IF(AH$6=OFFSET(Assumptions!$B$8,0,$C$1),AVERAGE((AE$301-AE$300)/AE$14,(AF$301-AF$300)/AF$14,(AG$301-AG$300)/AG$14),(AG$301-AG$300)/AG$14)*AH$14 + AH$300</f>
        <v>5.5698746039099589</v>
      </c>
      <c r="AI301" s="8">
        <f ca="1">IF(AI$6=OFFSET(Assumptions!$B$8,0,$C$1),AVERAGE((AF$301-AF$300)/AF$14,(AG$301-AG$300)/AG$14,(AH$301-AH$300)/AH$14),(AH$301-AH$300)/AH$14)*AI$14 + AI$300</f>
        <v>5.7819617854331584</v>
      </c>
      <c r="AJ301" s="8">
        <f ca="1">IF(AJ$6=OFFSET(Assumptions!$B$8,0,$C$1),AVERAGE((AG$301-AG$300)/AG$14,(AH$301-AH$300)/AH$14,(AI$301-AI$300)/AI$14),(AI$301-AI$300)/AI$14)*AJ$14 + AJ$300</f>
        <v>6.0024365977920144</v>
      </c>
      <c r="AK301" s="8">
        <f ca="1">IF(AK$6=OFFSET(Assumptions!$B$8,0,$C$1),AVERAGE((AH$301-AH$300)/AH$14,(AI$301-AI$300)/AI$14,(AJ$301-AJ$300)/AJ$14),(AJ$301-AJ$300)/AJ$14)*AK$14 + AK$300</f>
        <v>6.2312667895158</v>
      </c>
      <c r="AL301" s="8">
        <f ca="1">IF(AL$6=OFFSET(Assumptions!$B$8,0,$C$1),AVERAGE((AI$301-AI$300)/AI$14,(AJ$301-AJ$300)/AJ$14,(AK$301-AK$300)/AK$14),(AK$301-AK$300)/AK$14)*AL$14 + AL$300</f>
        <v>6.4684189103811853</v>
      </c>
      <c r="AM301" s="8">
        <f ca="1">IF(AM$6=OFFSET(Assumptions!$B$8,0,$C$1),AVERAGE((AJ$301-AJ$300)/AJ$14,(AK$301-AK$300)/AK$14,(AL$301-AL$300)/AL$14),(AL$301-AL$300)/AL$14)*AM$14 + AM$300</f>
        <v>6.7142153408311849</v>
      </c>
      <c r="AN301" s="8">
        <f ca="1">IF(AN$6=OFFSET(Assumptions!$B$8,0,$C$1),AVERAGE((AK$301-AK$300)/AK$14,(AL$301-AL$300)/AL$14,(AM$301-AM$300)/AM$14),(AM$301-AM$300)/AM$14)*AN$14 + AN$300</f>
        <v>6.9689945998783767</v>
      </c>
      <c r="AO301" s="8">
        <f ca="1">IF(AO$6=OFFSET(Assumptions!$B$8,0,$C$1),AVERAGE((AL$301-AL$300)/AL$14,(AM$301-AM$300)/AM$14,(AN$301-AN$300)/AN$14),(AN$301-AN$300)/AN$14)*AO$14 + AO$300</f>
        <v>7.2321489996793336</v>
      </c>
      <c r="AP301" s="8">
        <f ca="1">IF(AP$6=OFFSET(Assumptions!$B$8,0,$C$1),AVERAGE((AM$301-AM$300)/AM$14,(AN$301-AN$300)/AN$14,(AO$301-AO$300)/AO$14),(AO$301-AO$300)/AO$14)*AP$14 + AP$300</f>
        <v>7.5045558729971455</v>
      </c>
      <c r="AQ301" s="8">
        <f ca="1">IF(AQ$6=OFFSET(Assumptions!$B$8,0,$C$1),AVERAGE((AN$301-AN$300)/AN$14,(AO$301-AO$300)/AO$14,(AP$301-AP$300)/AP$14),(AP$301-AP$300)/AP$14)*AQ$14 + AQ$300</f>
        <v>7.785778961529056</v>
      </c>
      <c r="AR301" s="8">
        <f ca="1">IF(AR$6=OFFSET(Assumptions!$B$8,0,$C$1),AVERAGE((AO$301-AO$300)/AO$14,(AP$301-AP$300)/AP$14,(AQ$301-AQ$300)/AQ$14),(AQ$301-AQ$300)/AQ$14)*AR$14 + AR$300</f>
        <v>8.0761347828018089</v>
      </c>
      <c r="AS301" s="8">
        <f ca="1">IF(AS$6=OFFSET(Assumptions!$B$8,0,$C$1),AVERAGE((AP$301-AP$300)/AP$14,(AQ$301-AQ$300)/AQ$14,(AR$301-AR$300)/AR$14),(AR$301-AR$300)/AR$14)*AS$14 + AS$300</f>
        <v>8.3761945892590397</v>
      </c>
      <c r="AT301" s="8">
        <f ca="1">IF(AT$6=OFFSET(Assumptions!$B$8,0,$C$1),AVERAGE((AQ$301-AQ$300)/AQ$14,(AR$301-AR$300)/AR$14,(AS$301-AS$300)/AS$14),(AS$301-AS$300)/AS$14)*AT$14 + AT$300</f>
        <v>8.6862302077385785</v>
      </c>
      <c r="AU301" s="8">
        <f ca="1">IF(AU$6=OFFSET(Assumptions!$B$8,0,$C$1),AVERAGE((AR$301-AR$300)/AR$14,(AS$301-AS$300)/AS$14,(AT$301-AT$300)/AT$14),(AT$301-AT$300)/AT$14)*AU$14 + AU$300</f>
        <v>9.0066363954286288</v>
      </c>
      <c r="AV301" s="8">
        <f ca="1">IF(AV$6=OFFSET(Assumptions!$B$8,0,$C$1),AVERAGE((AS$301-AS$300)/AS$14,(AT$301-AT$300)/AT$14,(AU$301-AU$300)/AU$14),(AU$301-AU$300)/AU$14)*AV$14 + AV$300</f>
        <v>9.3382151726950617</v>
      </c>
      <c r="AW301" s="8">
        <f ca="1">IF(AW$6=OFFSET(Assumptions!$B$8,0,$C$1),AVERAGE((AT$301-AT$300)/AT$14,(AU$301-AU$300)/AU$14,(AV$301-AV$300)/AV$14),(AV$301-AV$300)/AV$14)*AW$14 + AW$300</f>
        <v>9.6809591145215972</v>
      </c>
    </row>
    <row r="302" spans="1:49" ht="15" x14ac:dyDescent="0.25">
      <c r="A302" s="2"/>
      <c r="B302" s="4"/>
      <c r="D302" s="47"/>
      <c r="E302" s="44"/>
      <c r="F302" s="44"/>
      <c r="G302" s="44"/>
      <c r="H302" s="44"/>
      <c r="I302" s="44"/>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row>
    <row r="303" spans="1:49" ht="15" x14ac:dyDescent="0.25">
      <c r="A303" s="22" t="s">
        <v>628</v>
      </c>
      <c r="B303" s="4"/>
      <c r="D303" s="47"/>
      <c r="E303" s="44"/>
      <c r="F303" s="44"/>
      <c r="G303" s="44"/>
      <c r="H303" s="44"/>
      <c r="I303" s="44"/>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row>
    <row r="304" spans="1:49" ht="15" x14ac:dyDescent="0.25">
      <c r="A304" s="2" t="s">
        <v>580</v>
      </c>
      <c r="B304" s="4" t="str">
        <f t="shared" si="201"/>
        <v>From Fiscal</v>
      </c>
      <c r="D304" s="47">
        <f>Fiscal!D$64</f>
        <v>0.32</v>
      </c>
      <c r="E304" s="44">
        <f ca="1">Fiscal!E$64  +IF(OR(OFFSET(Assumptions!$B$72,0,$C$1)="BU",OFFSET(Assumptions!$B$113,0,$C$1)="SND"),Allocate!C$23,0)</f>
        <v>0.57699999999999996</v>
      </c>
      <c r="F304" s="44">
        <f ca="1">Fiscal!F$64  +IF(OR(OFFSET(Assumptions!$B$72,0,$C$1)="BU",OFFSET(Assumptions!$B$113,0,$C$1)="SND"),Allocate!D$23,0)</f>
        <v>0.56299999999999994</v>
      </c>
      <c r="G304" s="44">
        <f ca="1">Fiscal!G$64  +IF(OR(OFFSET(Assumptions!$B$72,0,$C$1)="BU",OFFSET(Assumptions!$B$113,0,$C$1)="SND"),Allocate!E$23,0)</f>
        <v>0.53800000000000003</v>
      </c>
      <c r="H304" s="44">
        <f ca="1">Fiscal!H$64  +IF(OR(OFFSET(Assumptions!$B$72,0,$C$1)="BU",OFFSET(Assumptions!$B$113,0,$C$1)="SND"),Allocate!F$23,0)</f>
        <v>0.54900000000000004</v>
      </c>
      <c r="I304" s="44">
        <f ca="1">Fiscal!I$64  +IF(OR(OFFSET(Assumptions!$B$72,0,$C$1)="BU",OFFSET(Assumptions!$B$113,0,$C$1)="SND"),Allocate!G$23,0)</f>
        <v>0.55200000000000005</v>
      </c>
      <c r="J304" s="57">
        <f ca="1">IF(OFFSET(Assumptions!$B$72,0,$C$1)="BU",J$14*(I$304/I$14+MIN(ABS(OFFSET(Assumptions!$B$84,0,$C$1)-I$304/I$14),OFFSET(Assumptions!$B$75,0,$C$1))*SIGN(OFFSET(Assumptions!$B$84,0,$C$1)-I$304/I$14)),I$304+IF(OFFSET(Assumptions!$B$113,0,$C$1)="SND",Allocate!$B$23*J$232*J$14,0))</f>
        <v>0.56758985059247768</v>
      </c>
      <c r="K304" s="57">
        <f ca="1">IF(OFFSET(Assumptions!$B$72,0,$C$1)="BU",K$14*(J$304/J$14+MIN(ABS(OFFSET(Assumptions!$B$84,0,$C$1)-J$304/J$14),OFFSET(Assumptions!$B$75,0,$C$1))*SIGN(OFFSET(Assumptions!$B$84,0,$C$1)-J$304/J$14)),J$304+IF(OFFSET(Assumptions!$B$113,0,$C$1)="SND",Allocate!$B$23*K$232*K$14,0))</f>
        <v>0.58383120411773737</v>
      </c>
      <c r="L304" s="57">
        <f ca="1">IF(OFFSET(Assumptions!$B$72,0,$C$1)="BU",L$14*(K$304/K$14+MIN(ABS(OFFSET(Assumptions!$B$84,0,$C$1)-K$304/K$14),OFFSET(Assumptions!$B$75,0,$C$1))*SIGN(OFFSET(Assumptions!$B$84,0,$C$1)-K$304/K$14)),K$304+IF(OFFSET(Assumptions!$B$113,0,$C$1)="SND",Allocate!$B$23*L$232*L$14,0))</f>
        <v>0.60077654382671053</v>
      </c>
      <c r="M304" s="57">
        <f ca="1">IF(OFFSET(Assumptions!$B$72,0,$C$1)="BU",M$14*(L$304/L$14+MIN(ABS(OFFSET(Assumptions!$B$84,0,$C$1)-L$304/L$14),OFFSET(Assumptions!$B$75,0,$C$1))*SIGN(OFFSET(Assumptions!$B$84,0,$C$1)-L$304/L$14)),L$304+IF(OFFSET(Assumptions!$B$113,0,$C$1)="SND",Allocate!$B$23*M$232*M$14,0))</f>
        <v>0.61845403157116108</v>
      </c>
      <c r="N304" s="57">
        <f ca="1">IF(OFFSET(Assumptions!$B$72,0,$C$1)="BU",N$14*(M$304/M$14+MIN(ABS(OFFSET(Assumptions!$B$84,0,$C$1)-M$304/M$14),OFFSET(Assumptions!$B$75,0,$C$1))*SIGN(OFFSET(Assumptions!$B$84,0,$C$1)-M$304/M$14)),M$304+IF(OFFSET(Assumptions!$B$113,0,$C$1)="SND",Allocate!$B$23*N$232*N$14,0))</f>
        <v>0.63689390475316876</v>
      </c>
      <c r="O304" s="57">
        <f ca="1">IF(OFFSET(Assumptions!$B$72,0,$C$1)="BU",O$14*(N$304/N$14+MIN(ABS(OFFSET(Assumptions!$B$84,0,$C$1)-N$304/N$14),OFFSET(Assumptions!$B$75,0,$C$1))*SIGN(OFFSET(Assumptions!$B$84,0,$C$1)-N$304/N$14)),N$304+IF(OFFSET(Assumptions!$B$113,0,$C$1)="SND",Allocate!$B$23*O$232*O$14,0))</f>
        <v>0.65612091587978949</v>
      </c>
      <c r="P304" s="57">
        <f ca="1">IF(OFFSET(Assumptions!$B$72,0,$C$1)="BU",P$14*(O$304/O$14+MIN(ABS(OFFSET(Assumptions!$B$84,0,$C$1)-O$304/O$14),OFFSET(Assumptions!$B$75,0,$C$1))*SIGN(OFFSET(Assumptions!$B$84,0,$C$1)-O$304/O$14)),O$304+IF(OFFSET(Assumptions!$B$113,0,$C$1)="SND",Allocate!$B$23*P$232*P$14,0))</f>
        <v>0.68618106633121456</v>
      </c>
      <c r="Q304" s="57">
        <f ca="1">IF(OFFSET(Assumptions!$B$72,0,$C$1)="BU",Q$14*(P$304/P$14+MIN(ABS(OFFSET(Assumptions!$B$84,0,$C$1)-P$304/P$14),OFFSET(Assumptions!$B$75,0,$C$1))*SIGN(OFFSET(Assumptions!$B$84,0,$C$1)-P$304/P$14)),P$304+IF(OFFSET(Assumptions!$B$113,0,$C$1)="SND",Allocate!$B$23*Q$232*Q$14,0))</f>
        <v>0.71749845996029815</v>
      </c>
      <c r="R304" s="57">
        <f ca="1">IF(OFFSET(Assumptions!$B$72,0,$C$1)="BU",R$14*(Q$304/Q$14+MIN(ABS(OFFSET(Assumptions!$B$84,0,$C$1)-Q$304/Q$14),OFFSET(Assumptions!$B$75,0,$C$1))*SIGN(OFFSET(Assumptions!$B$84,0,$C$1)-Q$304/Q$14)),Q$304+IF(OFFSET(Assumptions!$B$113,0,$C$1)="SND",Allocate!$B$23*R$232*R$14,0))</f>
        <v>0.75010977303530835</v>
      </c>
      <c r="S304" s="57">
        <f ca="1">IF(OFFSET(Assumptions!$B$72,0,$C$1)="BU",S$14*(R$304/R$14+MIN(ABS(OFFSET(Assumptions!$B$84,0,$C$1)-R$304/R$14),OFFSET(Assumptions!$B$75,0,$C$1))*SIGN(OFFSET(Assumptions!$B$84,0,$C$1)-R$304/R$14)),R$304+IF(OFFSET(Assumptions!$B$113,0,$C$1)="SND",Allocate!$B$23*S$232*S$14,0))</f>
        <v>0.78405579384775015</v>
      </c>
      <c r="T304" s="57">
        <f ca="1">IF(OFFSET(Assumptions!$B$72,0,$C$1)="BU",T$14*(S$304/S$14+MIN(ABS(OFFSET(Assumptions!$B$84,0,$C$1)-S$304/S$14),OFFSET(Assumptions!$B$75,0,$C$1))*SIGN(OFFSET(Assumptions!$B$84,0,$C$1)-S$304/S$14)),S$304+IF(OFFSET(Assumptions!$B$113,0,$C$1)="SND",Allocate!$B$23*T$232*T$14,0))</f>
        <v>0.81937779741185135</v>
      </c>
      <c r="U304" s="57">
        <f ca="1">IF(OFFSET(Assumptions!$B$72,0,$C$1)="BU",U$14*(T$304/T$14+MIN(ABS(OFFSET(Assumptions!$B$84,0,$C$1)-T$304/T$14),OFFSET(Assumptions!$B$75,0,$C$1))*SIGN(OFFSET(Assumptions!$B$84,0,$C$1)-T$304/T$14)),T$304+IF(OFFSET(Assumptions!$B$113,0,$C$1)="SND",Allocate!$B$23*U$232*U$14,0))</f>
        <v>0.85612199710766523</v>
      </c>
      <c r="V304" s="57">
        <f ca="1">IF(OFFSET(Assumptions!$B$72,0,$C$1)="BU",V$14*(U$304/U$14+MIN(ABS(OFFSET(Assumptions!$B$84,0,$C$1)-U$304/U$14),OFFSET(Assumptions!$B$75,0,$C$1))*SIGN(OFFSET(Assumptions!$B$84,0,$C$1)-U$304/U$14)),U$304+IF(OFFSET(Assumptions!$B$113,0,$C$1)="SND",Allocate!$B$23*V$232*V$14,0))</f>
        <v>0.89433811701451926</v>
      </c>
      <c r="W304" s="57">
        <f ca="1">IF(OFFSET(Assumptions!$B$72,0,$C$1)="BU",W$14*(V$304/V$14+MIN(ABS(OFFSET(Assumptions!$B$84,0,$C$1)-V$304/V$14),OFFSET(Assumptions!$B$75,0,$C$1))*SIGN(OFFSET(Assumptions!$B$84,0,$C$1)-V$304/V$14)),V$304+IF(OFFSET(Assumptions!$B$113,0,$C$1)="SND",Allocate!$B$23*W$232*W$14,0))</f>
        <v>0.93408014573586562</v>
      </c>
      <c r="X304" s="57">
        <f ca="1">IF(OFFSET(Assumptions!$B$72,0,$C$1)="BU",X$14*(W$304/W$14+MIN(ABS(OFFSET(Assumptions!$B$84,0,$C$1)-W$304/W$14),OFFSET(Assumptions!$B$75,0,$C$1))*SIGN(OFFSET(Assumptions!$B$84,0,$C$1)-W$304/W$14)),W$304+IF(OFFSET(Assumptions!$B$113,0,$C$1)="SND",Allocate!$B$23*X$232*X$14,0))</f>
        <v>0.97540690512621553</v>
      </c>
      <c r="Y304" s="57">
        <f ca="1">IF(OFFSET(Assumptions!$B$72,0,$C$1)="BU",Y$14*(X$304/X$14+MIN(ABS(OFFSET(Assumptions!$B$84,0,$C$1)-X$304/X$14),OFFSET(Assumptions!$B$75,0,$C$1))*SIGN(OFFSET(Assumptions!$B$84,0,$C$1)-X$304/X$14)),X$304+IF(OFFSET(Assumptions!$B$113,0,$C$1)="SND",Allocate!$B$23*Y$232*Y$14,0))</f>
        <v>1.0183770550281339</v>
      </c>
      <c r="Z304" s="57">
        <f ca="1">IF(OFFSET(Assumptions!$B$72,0,$C$1)="BU",Z$14*(Y$304/Y$14+MIN(ABS(OFFSET(Assumptions!$B$84,0,$C$1)-Y$304/Y$14),OFFSET(Assumptions!$B$75,0,$C$1))*SIGN(OFFSET(Assumptions!$B$84,0,$C$1)-Y$304/Y$14)),Y$304+IF(OFFSET(Assumptions!$B$113,0,$C$1)="SND",Allocate!$B$23*Z$232*Z$14,0))</f>
        <v>1.0630575735392682</v>
      </c>
      <c r="AA304" s="57">
        <f ca="1">IF(OFFSET(Assumptions!$B$72,0,$C$1)="BU",AA$14*(Z$304/Z$14+MIN(ABS(OFFSET(Assumptions!$B$84,0,$C$1)-Z$304/Z$14),OFFSET(Assumptions!$B$75,0,$C$1))*SIGN(OFFSET(Assumptions!$B$84,0,$C$1)-Z$304/Z$14)),Z$304+IF(OFFSET(Assumptions!$B$113,0,$C$1)="SND",Allocate!$B$23*AA$232*AA$14,0))</f>
        <v>1.0940313286061383</v>
      </c>
      <c r="AB304" s="57">
        <f ca="1">IF(OFFSET(Assumptions!$B$72,0,$C$1)="BU",AB$14*(AA$304/AA$14+MIN(ABS(OFFSET(Assumptions!$B$84,0,$C$1)-AA$304/AA$14),OFFSET(Assumptions!$B$75,0,$C$1))*SIGN(OFFSET(Assumptions!$B$84,0,$C$1)-AA$304/AA$14)),AA$304+IF(OFFSET(Assumptions!$B$113,0,$C$1)="SND",Allocate!$B$23*AB$232*AB$14,0))</f>
        <v>1.126241887283763</v>
      </c>
      <c r="AC304" s="57">
        <f ca="1">IF(OFFSET(Assumptions!$B$72,0,$C$1)="BU",AC$14*(AB$304/AB$14+MIN(ABS(OFFSET(Assumptions!$B$84,0,$C$1)-AB$304/AB$14),OFFSET(Assumptions!$B$75,0,$C$1))*SIGN(OFFSET(Assumptions!$B$84,0,$C$1)-AB$304/AB$14)),AB$304+IF(OFFSET(Assumptions!$B$113,0,$C$1)="SND",Allocate!$B$23*AC$232*AC$14,0))</f>
        <v>1.1597439795582503</v>
      </c>
      <c r="AD304" s="57">
        <f ca="1">IF(OFFSET(Assumptions!$B$72,0,$C$1)="BU",AD$14*(AC$304/AC$14+MIN(ABS(OFFSET(Assumptions!$B$84,0,$C$1)-AC$304/AC$14),OFFSET(Assumptions!$B$75,0,$C$1))*SIGN(OFFSET(Assumptions!$B$84,0,$C$1)-AC$304/AC$14)),AC$304+IF(OFFSET(Assumptions!$B$113,0,$C$1)="SND",Allocate!$B$23*AD$232*AD$14,0))</f>
        <v>1.1945936967080517</v>
      </c>
      <c r="AE304" s="57">
        <f ca="1">IF(OFFSET(Assumptions!$B$72,0,$C$1)="BU",AE$14*(AD$304/AD$14+MIN(ABS(OFFSET(Assumptions!$B$84,0,$C$1)-AD$304/AD$14),OFFSET(Assumptions!$B$75,0,$C$1))*SIGN(OFFSET(Assumptions!$B$84,0,$C$1)-AD$304/AD$14)),AD$304+IF(OFFSET(Assumptions!$B$113,0,$C$1)="SND",Allocate!$B$23*AE$232*AE$14,0))</f>
        <v>1.2308458923977907</v>
      </c>
      <c r="AF304" s="57">
        <f ca="1">IF(OFFSET(Assumptions!$B$72,0,$C$1)="BU",AF$14*(AE$304/AE$14+MIN(ABS(OFFSET(Assumptions!$B$84,0,$C$1)-AE$304/AE$14),OFFSET(Assumptions!$B$75,0,$C$1))*SIGN(OFFSET(Assumptions!$B$84,0,$C$1)-AE$304/AE$14)),AE$304+IF(OFFSET(Assumptions!$B$113,0,$C$1)="SND",Allocate!$B$23*AF$232*AF$14,0))</f>
        <v>1.2685593003886571</v>
      </c>
      <c r="AG304" s="57">
        <f ca="1">IF(OFFSET(Assumptions!$B$72,0,$C$1)="BU",AG$14*(AF$304/AF$14+MIN(ABS(OFFSET(Assumptions!$B$84,0,$C$1)-AF$304/AF$14),OFFSET(Assumptions!$B$75,0,$C$1))*SIGN(OFFSET(Assumptions!$B$84,0,$C$1)-AF$304/AF$14)),AF$304+IF(OFFSET(Assumptions!$B$113,0,$C$1)="SND",Allocate!$B$23*AG$232*AG$14,0))</f>
        <v>1.3077934714906576</v>
      </c>
      <c r="AH304" s="57">
        <f ca="1">IF(OFFSET(Assumptions!$B$72,0,$C$1)="BU",AH$14*(AG$304/AG$14+MIN(ABS(OFFSET(Assumptions!$B$84,0,$C$1)-AG$304/AG$14),OFFSET(Assumptions!$B$75,0,$C$1))*SIGN(OFFSET(Assumptions!$B$84,0,$C$1)-AG$304/AG$14)),AG$304+IF(OFFSET(Assumptions!$B$113,0,$C$1)="SND",Allocate!$B$23*AH$232*AH$14,0))</f>
        <v>1.3486103951629687</v>
      </c>
      <c r="AI304" s="57">
        <f ca="1">IF(OFFSET(Assumptions!$B$72,0,$C$1)="BU",AI$14*(AH$304/AH$14+MIN(ABS(OFFSET(Assumptions!$B$84,0,$C$1)-AH$304/AH$14),OFFSET(Assumptions!$B$75,0,$C$1))*SIGN(OFFSET(Assumptions!$B$84,0,$C$1)-AH$304/AH$14)),AH$304+IF(OFFSET(Assumptions!$B$113,0,$C$1)="SND",Allocate!$B$23*AI$232*AI$14,0))</f>
        <v>1.3910692952720818</v>
      </c>
      <c r="AJ304" s="57">
        <f ca="1">IF(OFFSET(Assumptions!$B$72,0,$C$1)="BU",AJ$14*(AI$304/AI$14+MIN(ABS(OFFSET(Assumptions!$B$84,0,$C$1)-AI$304/AI$14),OFFSET(Assumptions!$B$75,0,$C$1))*SIGN(OFFSET(Assumptions!$B$84,0,$C$1)-AI$304/AI$14)),AI$304+IF(OFFSET(Assumptions!$B$113,0,$C$1)="SND",Allocate!$B$23*AJ$232*AJ$14,0))</f>
        <v>1.4352346557531031</v>
      </c>
      <c r="AK304" s="57">
        <f ca="1">IF(OFFSET(Assumptions!$B$72,0,$C$1)="BU",AK$14*(AJ$304/AJ$14+MIN(ABS(OFFSET(Assumptions!$B$84,0,$C$1)-AJ$304/AJ$14),OFFSET(Assumptions!$B$75,0,$C$1))*SIGN(OFFSET(Assumptions!$B$84,0,$C$1)-AJ$304/AJ$14)),AJ$304+IF(OFFSET(Assumptions!$B$113,0,$C$1)="SND",Allocate!$B$23*AK$232*AK$14,0))</f>
        <v>1.4811695567542718</v>
      </c>
      <c r="AL304" s="57">
        <f ca="1">IF(OFFSET(Assumptions!$B$72,0,$C$1)="BU",AL$14*(AK$304/AK$14+MIN(ABS(OFFSET(Assumptions!$B$84,0,$C$1)-AK$304/AK$14),OFFSET(Assumptions!$B$75,0,$C$1))*SIGN(OFFSET(Assumptions!$B$84,0,$C$1)-AK$304/AK$14)),AK$304+IF(OFFSET(Assumptions!$B$113,0,$C$1)="SND",Allocate!$B$23*AL$232*AL$14,0))</f>
        <v>1.5289356845079409</v>
      </c>
      <c r="AM304" s="57">
        <f ca="1">IF(OFFSET(Assumptions!$B$72,0,$C$1)="BU",AM$14*(AL$304/AL$14+MIN(ABS(OFFSET(Assumptions!$B$84,0,$C$1)-AL$304/AL$14),OFFSET(Assumptions!$B$75,0,$C$1))*SIGN(OFFSET(Assumptions!$B$84,0,$C$1)-AL$304/AL$14)),AL$304+IF(OFFSET(Assumptions!$B$113,0,$C$1)="SND",Allocate!$B$23*AM$232*AM$14,0))</f>
        <v>1.5785972269406705</v>
      </c>
      <c r="AN304" s="57">
        <f ca="1">IF(OFFSET(Assumptions!$B$72,0,$C$1)="BU",AN$14*(AM$304/AM$14+MIN(ABS(OFFSET(Assumptions!$B$84,0,$C$1)-AM$304/AM$14),OFFSET(Assumptions!$B$75,0,$C$1))*SIGN(OFFSET(Assumptions!$B$84,0,$C$1)-AM$304/AM$14)),AM$304+IF(OFFSET(Assumptions!$B$113,0,$C$1)="SND",Allocate!$B$23*AN$232*AN$14,0))</f>
        <v>1.6302210084824837</v>
      </c>
      <c r="AO304" s="57">
        <f ca="1">IF(OFFSET(Assumptions!$B$72,0,$C$1)="BU",AO$14*(AN$304/AN$14+MIN(ABS(OFFSET(Assumptions!$B$84,0,$C$1)-AN$304/AN$14),OFFSET(Assumptions!$B$75,0,$C$1))*SIGN(OFFSET(Assumptions!$B$84,0,$C$1)-AN$304/AN$14)),AN$304+IF(OFFSET(Assumptions!$B$113,0,$C$1)="SND",Allocate!$B$23*AO$232*AO$14,0))</f>
        <v>1.6838661485289959</v>
      </c>
      <c r="AP304" s="57">
        <f ca="1">IF(OFFSET(Assumptions!$B$72,0,$C$1)="BU",AP$14*(AO$304/AO$14+MIN(ABS(OFFSET(Assumptions!$B$84,0,$C$1)-AO$304/AO$14),OFFSET(Assumptions!$B$75,0,$C$1))*SIGN(OFFSET(Assumptions!$B$84,0,$C$1)-AO$304/AO$14)),AO$304+IF(OFFSET(Assumptions!$B$113,0,$C$1)="SND",Allocate!$B$23*AP$232*AP$14,0))</f>
        <v>1.7396003501648449</v>
      </c>
      <c r="AQ304" s="57">
        <f ca="1">IF(OFFSET(Assumptions!$B$72,0,$C$1)="BU",AQ$14*(AP$304/AP$14+MIN(ABS(OFFSET(Assumptions!$B$84,0,$C$1)-AP$304/AP$14),OFFSET(Assumptions!$B$75,0,$C$1))*SIGN(OFFSET(Assumptions!$B$84,0,$C$1)-AP$304/AP$14)),AP$304+IF(OFFSET(Assumptions!$B$113,0,$C$1)="SND",Allocate!$B$23*AQ$232*AQ$14,0))</f>
        <v>1.7974854629306884</v>
      </c>
      <c r="AR304" s="57">
        <f ca="1">IF(OFFSET(Assumptions!$B$72,0,$C$1)="BU",AR$14*(AQ$304/AQ$14+MIN(ABS(OFFSET(Assumptions!$B$84,0,$C$1)-AQ$304/AQ$14),OFFSET(Assumptions!$B$75,0,$C$1))*SIGN(OFFSET(Assumptions!$B$84,0,$C$1)-AQ$304/AQ$14)),AQ$304+IF(OFFSET(Assumptions!$B$113,0,$C$1)="SND",Allocate!$B$23*AR$232*AR$14,0))</f>
        <v>1.8575857715833739</v>
      </c>
      <c r="AS304" s="57">
        <f ca="1">IF(OFFSET(Assumptions!$B$72,0,$C$1)="BU",AS$14*(AR$304/AR$14+MIN(ABS(OFFSET(Assumptions!$B$84,0,$C$1)-AR$304/AR$14),OFFSET(Assumptions!$B$75,0,$C$1))*SIGN(OFFSET(Assumptions!$B$84,0,$C$1)-AR$304/AR$14)),AR$304+IF(OFFSET(Assumptions!$B$113,0,$C$1)="SND",Allocate!$B$23*AS$232*AS$14,0))</f>
        <v>1.9199707288678582</v>
      </c>
      <c r="AT304" s="57">
        <f ca="1">IF(OFFSET(Assumptions!$B$72,0,$C$1)="BU",AT$14*(AS$304/AS$14+MIN(ABS(OFFSET(Assumptions!$B$84,0,$C$1)-AS$304/AS$14),OFFSET(Assumptions!$B$75,0,$C$1))*SIGN(OFFSET(Assumptions!$B$84,0,$C$1)-AS$304/AS$14)),AS$304+IF(OFFSET(Assumptions!$B$113,0,$C$1)="SND",Allocate!$B$23*AT$232*AT$14,0))</f>
        <v>1.9847116122031632</v>
      </c>
      <c r="AU304" s="57">
        <f ca="1">IF(OFFSET(Assumptions!$B$72,0,$C$1)="BU",AU$14*(AT$304/AT$14+MIN(ABS(OFFSET(Assumptions!$B$84,0,$C$1)-AT$304/AT$14),OFFSET(Assumptions!$B$75,0,$C$1))*SIGN(OFFSET(Assumptions!$B$84,0,$C$1)-AT$304/AT$14)),AT$304+IF(OFFSET(Assumptions!$B$113,0,$C$1)="SND",Allocate!$B$23*AU$232*AU$14,0))</f>
        <v>2.0518828318640105</v>
      </c>
      <c r="AV304" s="57">
        <f ca="1">IF(OFFSET(Assumptions!$B$72,0,$C$1)="BU",AV$14*(AU$304/AU$14+MIN(ABS(OFFSET(Assumptions!$B$84,0,$C$1)-AU$304/AU$14),OFFSET(Assumptions!$B$75,0,$C$1))*SIGN(OFFSET(Assumptions!$B$84,0,$C$1)-AU$304/AU$14)),AU$304+IF(OFFSET(Assumptions!$B$113,0,$C$1)="SND",Allocate!$B$23*AV$232*AV$14,0))</f>
        <v>2.1215663124773028</v>
      </c>
      <c r="AW304" s="57">
        <f ca="1">IF(OFFSET(Assumptions!$B$72,0,$C$1)="BU",AW$14*(AV$304/AV$14+MIN(ABS(OFFSET(Assumptions!$B$84,0,$C$1)-AV$304/AV$14),OFFSET(Assumptions!$B$75,0,$C$1))*SIGN(OFFSET(Assumptions!$B$84,0,$C$1)-AV$304/AV$14)),AV$304+IF(OFFSET(Assumptions!$B$113,0,$C$1)="SND",Allocate!$B$23*AW$232*AW$14,0))</f>
        <v>2.1938425603575018</v>
      </c>
    </row>
    <row r="305" spans="1:49" ht="15" x14ac:dyDescent="0.25">
      <c r="A305" s="2" t="s">
        <v>581</v>
      </c>
      <c r="B305" s="4" t="str">
        <f t="shared" si="201"/>
        <v>From Fiscal</v>
      </c>
      <c r="D305" s="47">
        <f>Fiscal!D$47</f>
        <v>1.1140000000000001</v>
      </c>
      <c r="E305" s="44">
        <f ca="1">Fiscal!E$47  +IF(OR(OFFSET(Assumptions!$B$72,0,$C$1)="BU",OFFSET(Assumptions!$B$113,0,$C$1)="SND"),Allocate!C$23,0)</f>
        <v>1.587</v>
      </c>
      <c r="F305" s="44">
        <f ca="1">Fiscal!F$47  +IF(OR(OFFSET(Assumptions!$B$72,0,$C$1)="BU",OFFSET(Assumptions!$B$113,0,$C$1)="SND"),Allocate!D$23,0)</f>
        <v>1.6890000000000001</v>
      </c>
      <c r="G305" s="44">
        <f ca="1">Fiscal!G$47  +IF(OR(OFFSET(Assumptions!$B$72,0,$C$1)="BU",OFFSET(Assumptions!$B$113,0,$C$1)="SND"),Allocate!E$23,0)</f>
        <v>1.6559999999999999</v>
      </c>
      <c r="H305" s="44">
        <f ca="1">Fiscal!H$47  +IF(OR(OFFSET(Assumptions!$B$72,0,$C$1)="BU",OFFSET(Assumptions!$B$113,0,$C$1)="SND"),Allocate!F$23,0)</f>
        <v>1.6819999999999999</v>
      </c>
      <c r="I305" s="44">
        <f ca="1">Fiscal!I$47  +IF(OR(OFFSET(Assumptions!$B$72,0,$C$1)="BU",OFFSET(Assumptions!$B$113,0,$C$1)="SND"),Allocate!G$23,0)</f>
        <v>1.7110000000000001</v>
      </c>
      <c r="J305" s="8">
        <f ca="1">IF(J$6=OFFSET(Assumptions!$B$8,0,$C$1),AVERAGE((G$305-G$304)/G$14,(H$305-H$304)/H$14,(I$305-I$304)/I$14),(I$305-I$304)/I$14)*J$14 + J$304</f>
        <v>1.8045249556059033</v>
      </c>
      <c r="K305" s="8">
        <f ca="1">IF(K$6=OFFSET(Assumptions!$B$8,0,$C$1),AVERAGE((H$305-H$304)/H$14,(I$305-I$304)/I$14,(J$305-J$304)/J$14),(J$305-J$304)/J$14)*K$14 + K$304</f>
        <v>1.8724580712681291</v>
      </c>
      <c r="L305" s="8">
        <f ca="1">IF(L$6=OFFSET(Assumptions!$B$8,0,$C$1),AVERAGE((I$305-I$304)/I$14,(J$305-J$304)/J$14,(K$305-K$304)/K$14),(K$305-K$304)/K$14)*L$14 + L$304</f>
        <v>1.9452593166456196</v>
      </c>
      <c r="M305" s="8">
        <f ca="1">IF(M$6=OFFSET(Assumptions!$B$8,0,$C$1),AVERAGE((J$305-J$304)/J$14,(K$305-K$304)/K$14,(L$305-L$304)/L$14),(L$305-L$304)/L$14)*M$14 + M$304</f>
        <v>2.0210271370572457</v>
      </c>
      <c r="N305" s="8">
        <f ca="1">IF(N$6=OFFSET(Assumptions!$B$8,0,$C$1),AVERAGE((K$305-K$304)/K$14,(L$305-L$304)/L$14,(M$305-M$304)/M$14),(M$305-M$304)/M$14)*N$14 + N$304</f>
        <v>2.0999564489077951</v>
      </c>
      <c r="O305" s="8">
        <f ca="1">IF(O$6=OFFSET(Assumptions!$B$8,0,$C$1),AVERAGE((L$305-L$304)/L$14,(M$305-M$304)/M$14,(N$305-N$304)/N$14),(N$305-N$304)/N$14)*O$14 + O$304</f>
        <v>2.1816368203411356</v>
      </c>
      <c r="P305" s="8">
        <f ca="1">IF(P$6=OFFSET(Assumptions!$B$8,0,$C$1),AVERAGE((M$305-M$304)/M$14,(N$305-N$304)/N$14,(O$305-O$304)/O$14),(O$305-O$304)/O$14)*P$14 + P$304</f>
        <v>2.2762093621890283</v>
      </c>
      <c r="Q305" s="8">
        <f ca="1">IF(Q$6=OFFSET(Assumptions!$B$8,0,$C$1),AVERAGE((N$305-N$304)/N$14,(O$305-O$304)/O$14,(P$305-P$304)/P$14),(P$305-P$304)/P$14)*Q$14 + Q$304</f>
        <v>2.3740284930759334</v>
      </c>
      <c r="R305" s="8">
        <f ca="1">IF(R$6=OFFSET(Assumptions!$B$8,0,$C$1),AVERAGE((O$305-O$304)/O$14,(P$305-P$304)/P$14,(Q$305-Q$304)/Q$14),(Q$305-Q$304)/Q$14)*R$14 + R$304</f>
        <v>2.4750815305165137</v>
      </c>
      <c r="S305" s="8">
        <f ca="1">IF(S$6=OFFSET(Assumptions!$B$8,0,$C$1),AVERAGE((P$305-P$304)/P$14,(Q$305-Q$304)/Q$14,(R$305-R$304)/R$14),(R$305-R$304)/R$14)*S$14 + S$304</f>
        <v>2.5796267678114497</v>
      </c>
      <c r="T305" s="8">
        <f ca="1">IF(T$6=OFFSET(Assumptions!$B$8,0,$C$1),AVERAGE((Q$305-Q$304)/Q$14,(R$305-R$304)/R$14,(S$305-S$304)/S$14),(S$305-S$304)/S$14)*T$14 + T$304</f>
        <v>2.687731225118962</v>
      </c>
      <c r="U305" s="8">
        <f ca="1">IF(U$6=OFFSET(Assumptions!$B$8,0,$C$1),AVERAGE((R$305-R$304)/R$14,(S$305-S$304)/S$14,(T$305-T$304)/T$14),(T$305-T$304)/T$14)*U$14 + U$304</f>
        <v>2.7997023301270669</v>
      </c>
      <c r="V305" s="8">
        <f ca="1">IF(V$6=OFFSET(Assumptions!$B$8,0,$C$1),AVERAGE((S$305-S$304)/S$14,(T$305-T$304)/T$14,(U$305-U$304)/U$14),(U$305-U$304)/U$14)*V$14 + V$304</f>
        <v>2.9157755049605347</v>
      </c>
      <c r="W305" s="8">
        <f ca="1">IF(W$6=OFFSET(Assumptions!$B$8,0,$C$1),AVERAGE((T$305-T$304)/T$14,(U$305-U$304)/U$14,(V$305-V$304)/V$14),(V$305-V$304)/V$14)*W$14 + W$304</f>
        <v>3.0362303097493974</v>
      </c>
      <c r="X305" s="8">
        <f ca="1">IF(X$6=OFFSET(Assumptions!$B$8,0,$C$1),AVERAGE((U$305-U$304)/U$14,(V$305-V$304)/V$14,(W$305-W$304)/W$14),(W$305-W$304)/W$14)*X$14 + X$304</f>
        <v>3.1613812206223217</v>
      </c>
      <c r="Y305" s="8">
        <f ca="1">IF(Y$6=OFFSET(Assumptions!$B$8,0,$C$1),AVERAGE((V$305-V$304)/V$14,(W$305-W$304)/W$14,(X$305-X$304)/X$14),(X$305-X$304)/X$14)*Y$14 + Y$304</f>
        <v>3.291278327818107</v>
      </c>
      <c r="Z305" s="8">
        <f ca="1">IF(Z$6=OFFSET(Assumptions!$B$8,0,$C$1),AVERAGE((W$305-W$304)/W$14,(X$305-X$304)/X$14,(Y$305-Y$304)/Y$14),(Y$305-Y$304)/Y$14)*Z$14 + Z$304</f>
        <v>3.4264286026065642</v>
      </c>
      <c r="AA305" s="8">
        <f ca="1">IF(AA$6=OFFSET(Assumptions!$B$8,0,$C$1),AVERAGE((X$305-X$304)/X$14,(Y$305-Y$304)/Y$14,(Z$305-Z$304)/Z$14),(Z$305-Z$304)/Z$14)*AA$14 + AA$304</f>
        <v>3.5515612933118561</v>
      </c>
      <c r="AB305" s="8">
        <f ca="1">IF(AB$6=OFFSET(Assumptions!$B$8,0,$C$1),AVERAGE((Y$305-Y$304)/Y$14,(Z$305-Z$304)/Z$14,(AA$305-AA$304)/AA$14),(AA$305-AA$304)/AA$14)*AB$14 + AB$304</f>
        <v>3.6819027349684195</v>
      </c>
      <c r="AC305" s="8">
        <f ca="1">IF(AC$6=OFFSET(Assumptions!$B$8,0,$C$1),AVERAGE((Z$305-Z$304)/Z$14,(AA$305-AA$304)/AA$14,(AB$305-AB$304)/AB$14),(AB$305-AB$304)/AB$14)*AC$14 + AC$304</f>
        <v>3.8178781149622028</v>
      </c>
      <c r="AD305" s="8">
        <f ca="1">IF(AD$6=OFFSET(Assumptions!$B$8,0,$C$1),AVERAGE((AA$305-AA$304)/AA$14,(AB$305-AB$304)/AB$14,(AC$305-AC$304)/AC$14),(AC$305-AC$304)/AC$14)*AD$14 + AD$304</f>
        <v>3.9596515326809945</v>
      </c>
      <c r="AE305" s="8">
        <f ca="1">IF(AE$6=OFFSET(Assumptions!$B$8,0,$C$1),AVERAGE((AB$305-AB$304)/AB$14,(AC$305-AC$304)/AC$14,(AD$305-AD$304)/AD$14),(AD$305-AD$304)/AD$14)*AE$14 + AE$304</f>
        <v>4.1071796466219181</v>
      </c>
      <c r="AF305" s="8">
        <f ca="1">IF(AF$6=OFFSET(Assumptions!$B$8,0,$C$1),AVERAGE((AC$305-AC$304)/AC$14,(AD$305-AD$304)/AD$14,(AE$305-AE$304)/AE$14),(AE$305-AE$304)/AE$14)*AF$14 + AF$304</f>
        <v>4.2608290464569762</v>
      </c>
      <c r="AG305" s="8">
        <f ca="1">IF(AG$6=OFFSET(Assumptions!$B$8,0,$C$1),AVERAGE((AD$305-AD$304)/AD$14,(AE$305-AE$304)/AE$14,(AF$305-AF$304)/AF$14),(AF$305-AF$304)/AF$14)*AG$14 + AG$304</f>
        <v>4.4207241095549055</v>
      </c>
      <c r="AH305" s="8">
        <f ca="1">IF(AH$6=OFFSET(Assumptions!$B$8,0,$C$1),AVERAGE((AE$305-AE$304)/AE$14,(AF$305-AF$304)/AF$14,(AG$305-AG$304)/AG$14),(AG$305-AG$304)/AG$14)*AH$14 + AH$304</f>
        <v>4.5871203134874099</v>
      </c>
      <c r="AI305" s="8">
        <f ca="1">IF(AI$6=OFFSET(Assumptions!$B$8,0,$C$1),AVERAGE((AF$305-AF$304)/AF$14,(AG$305-AG$304)/AG$14,(AH$305-AH$304)/AH$14),(AH$305-AH$304)/AH$14)*AI$14 + AI$304</f>
        <v>4.7598574535474061</v>
      </c>
      <c r="AJ305" s="8">
        <f ca="1">IF(AJ$6=OFFSET(Assumptions!$B$8,0,$C$1),AVERAGE((AG$305-AG$304)/AG$14,(AH$305-AH$304)/AH$14,(AI$305-AI$304)/AI$14),(AI$305-AI$304)/AI$14)*AJ$14 + AJ$304</f>
        <v>4.9394173597815474</v>
      </c>
      <c r="AK305" s="8">
        <f ca="1">IF(AK$6=OFFSET(Assumptions!$B$8,0,$C$1),AVERAGE((AH$305-AH$304)/AH$14,(AI$305-AI$304)/AI$14,(AJ$305-AJ$304)/AJ$14),(AJ$305-AJ$304)/AJ$14)*AK$14 + AK$304</f>
        <v>5.1257517326141002</v>
      </c>
      <c r="AL305" s="8">
        <f ca="1">IF(AL$6=OFFSET(Assumptions!$B$8,0,$C$1),AVERAGE((AI$305-AI$304)/AI$14,(AJ$305-AJ$304)/AJ$14,(AK$305-AK$304)/AK$14),(AK$305-AK$304)/AK$14)*AL$14 + AL$304</f>
        <v>5.3188116617400905</v>
      </c>
      <c r="AM305" s="8">
        <f ca="1">IF(AM$6=OFFSET(Assumptions!$B$8,0,$C$1),AVERAGE((AJ$305-AJ$304)/AJ$14,(AK$305-AK$304)/AK$14,(AL$305-AL$304)/AL$14),(AL$305-AL$304)/AL$14)*AM$14 + AM$304</f>
        <v>5.5188598253389527</v>
      </c>
      <c r="AN305" s="8">
        <f ca="1">IF(AN$6=OFFSET(Assumptions!$B$8,0,$C$1),AVERAGE((AK$305-AK$304)/AK$14,(AL$305-AL$304)/AL$14,(AM$305-AM$304)/AM$14),(AM$305-AM$304)/AM$14)*AN$14 + AN$304</f>
        <v>5.7261722341743946</v>
      </c>
      <c r="AO305" s="8">
        <f ca="1">IF(AO$6=OFFSET(Assumptions!$B$8,0,$C$1),AVERAGE((AL$305-AL$304)/AL$14,(AM$305-AM$304)/AM$14,(AN$305-AN$304)/AN$14),(AN$305-AN$304)/AN$14)*AO$14 + AO$304</f>
        <v>5.9401966722422728</v>
      </c>
      <c r="AP305" s="8">
        <f ca="1">IF(AP$6=OFFSET(Assumptions!$B$8,0,$C$1),AVERAGE((AM$305-AM$304)/AM$14,(AN$305-AN$304)/AN$14,(AO$305-AO$304)/AO$14),(AO$305-AO$304)/AO$14)*AP$14 + AP$304</f>
        <v>6.161681892533359</v>
      </c>
      <c r="AQ305" s="8">
        <f ca="1">IF(AQ$6=OFFSET(Assumptions!$B$8,0,$C$1),AVERAGE((AN$305-AN$304)/AN$14,(AO$305-AO$304)/AO$14,(AP$305-AP$304)/AP$14),(AP$305-AP$304)/AP$14)*AQ$14 + AQ$304</f>
        <v>6.3902253107571019</v>
      </c>
      <c r="AR305" s="8">
        <f ca="1">IF(AR$6=OFFSET(Assumptions!$B$8,0,$C$1),AVERAGE((AO$305-AO$304)/AO$14,(AP$305-AP$304)/AP$14,(AQ$305-AQ$304)/AQ$14),(AQ$305-AQ$304)/AQ$14)*AR$14 + AR$304</f>
        <v>6.6260844274023647</v>
      </c>
      <c r="AS305" s="8">
        <f ca="1">IF(AS$6=OFFSET(Assumptions!$B$8,0,$C$1),AVERAGE((AP$305-AP$304)/AP$14,(AQ$305-AQ$304)/AQ$14,(AR$305-AR$304)/AR$14),(AR$305-AR$304)/AR$14)*AS$14 + AS$304</f>
        <v>6.8697387354435868</v>
      </c>
      <c r="AT305" s="8">
        <f ca="1">IF(AT$6=OFFSET(Assumptions!$B$8,0,$C$1),AVERAGE((AQ$305-AQ$304)/AQ$14,(AR$305-AR$304)/AR$14,(AS$305-AS$304)/AS$14),(AS$305-AS$304)/AS$14)*AT$14 + AT$304</f>
        <v>7.1214042861956415</v>
      </c>
      <c r="AU305" s="8">
        <f ca="1">IF(AU$6=OFFSET(Assumptions!$B$8,0,$C$1),AVERAGE((AR$305-AR$304)/AR$14,(AS$305-AS$304)/AS$14,(AT$305-AT$304)/AT$14),(AT$305-AT$304)/AT$14)*AU$14 + AU$304</f>
        <v>7.3814040580109905</v>
      </c>
      <c r="AV305" s="8">
        <f ca="1">IF(AV$6=OFFSET(Assumptions!$B$8,0,$C$1),AVERAGE((AS$305-AS$304)/AS$14,(AT$305-AT$304)/AT$14,(AU$305-AU$304)/AU$14),(AU$305-AU$304)/AU$14)*AV$14 + AV$304</f>
        <v>7.6504161817437506</v>
      </c>
      <c r="AW305" s="8">
        <f ca="1">IF(AW$6=OFFSET(Assumptions!$B$8,0,$C$1),AVERAGE((AT$305-AT$304)/AT$14,(AU$305-AU$304)/AU$14,(AV$305-AV$304)/AV$14),(AV$305-AV$304)/AV$14)*AW$14 + AW$304</f>
        <v>7.9284086314914628</v>
      </c>
    </row>
    <row r="306" spans="1:49" ht="15" x14ac:dyDescent="0.25">
      <c r="A306" s="2"/>
      <c r="B306" s="4"/>
      <c r="D306" s="47"/>
      <c r="E306" s="44"/>
      <c r="F306" s="44"/>
      <c r="G306" s="44"/>
      <c r="H306" s="44"/>
      <c r="I306" s="44"/>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row>
    <row r="307" spans="1:49" ht="15" x14ac:dyDescent="0.25">
      <c r="A307" s="22" t="s">
        <v>629</v>
      </c>
      <c r="B307" s="4"/>
      <c r="D307" s="47"/>
      <c r="E307" s="44"/>
      <c r="F307" s="44"/>
      <c r="G307" s="44"/>
      <c r="H307" s="44"/>
      <c r="I307" s="44"/>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row>
    <row r="308" spans="1:49" ht="15" x14ac:dyDescent="0.25">
      <c r="A308" s="2" t="s">
        <v>582</v>
      </c>
      <c r="B308" s="4" t="str">
        <f t="shared" si="201"/>
        <v>From Fiscal</v>
      </c>
      <c r="D308" s="47">
        <f>Fiscal!D$65</f>
        <v>0.72299999999999998</v>
      </c>
      <c r="E308" s="44">
        <f ca="1">Fiscal!E$65  +IF(OR(OFFSET(Assumptions!$B$72,0,$C$1)="BU",OFFSET(Assumptions!$B$113,0,$C$1)="SND"),Allocate!C$24,0)</f>
        <v>0.67600000000000005</v>
      </c>
      <c r="F308" s="44">
        <f ca="1">Fiscal!F$65  +IF(OR(OFFSET(Assumptions!$B$72,0,$C$1)="BU",OFFSET(Assumptions!$B$113,0,$C$1)="SND"),Allocate!D$24,0)</f>
        <v>0.70899999999999996</v>
      </c>
      <c r="G308" s="44">
        <f ca="1">Fiscal!G$65  +IF(OR(OFFSET(Assumptions!$B$72,0,$C$1)="BU",OFFSET(Assumptions!$B$113,0,$C$1)="SND"),Allocate!E$24,0)</f>
        <v>0.78700000000000003</v>
      </c>
      <c r="H308" s="44">
        <f ca="1">Fiscal!H$65  +IF(OR(OFFSET(Assumptions!$B$72,0,$C$1)="BU",OFFSET(Assumptions!$B$113,0,$C$1)="SND"),Allocate!F$24,0)</f>
        <v>0.81300000000000006</v>
      </c>
      <c r="I308" s="44">
        <f ca="1">Fiscal!I$65  +IF(OR(OFFSET(Assumptions!$B$72,0,$C$1)="BU",OFFSET(Assumptions!$B$113,0,$C$1)="SND"),Allocate!G$24,0)</f>
        <v>0.85499999999999998</v>
      </c>
      <c r="J308" s="57">
        <f ca="1">IF(OFFSET(Assumptions!$B$72,0,$C$1)="BU",J$14*(I$308/I$14+MIN(ABS(OFFSET(Assumptions!$B$85,0,$C$1)-I$308/I$14),OFFSET(Assumptions!$B$75,0,$C$1))*SIGN(OFFSET(Assumptions!$B$85,0,$C$1)-I$308/I$14)),I$308+IF(OFFSET(Assumptions!$B$113,0,$C$1)="SND",Allocate!$B$24*J$232*J$14,0))</f>
        <v>0.87838477588871655</v>
      </c>
      <c r="K308" s="57">
        <f ca="1">IF(OFFSET(Assumptions!$B$72,0,$C$1)="BU",K$14*(J$308/J$14+MIN(ABS(OFFSET(Assumptions!$B$85,0,$C$1)-J$308/J$14),OFFSET(Assumptions!$B$75,0,$C$1))*SIGN(OFFSET(Assumptions!$B$85,0,$C$1)-J$308/J$14)),J$308+IF(OFFSET(Assumptions!$B$113,0,$C$1)="SND",Allocate!$B$24*K$232*K$14,0))</f>
        <v>0.90274680617660596</v>
      </c>
      <c r="L308" s="57">
        <f ca="1">IF(OFFSET(Assumptions!$B$72,0,$C$1)="BU",L$14*(K$308/K$14+MIN(ABS(OFFSET(Assumptions!$B$85,0,$C$1)-K$308/K$14),OFFSET(Assumptions!$B$75,0,$C$1))*SIGN(OFFSET(Assumptions!$B$85,0,$C$1)-K$308/K$14)),K$308+IF(OFFSET(Assumptions!$B$113,0,$C$1)="SND",Allocate!$B$24*L$232*L$14,0))</f>
        <v>0.92816481574006571</v>
      </c>
      <c r="M308" s="57">
        <f ca="1">IF(OFFSET(Assumptions!$B$72,0,$C$1)="BU",M$14*(L$308/L$14+MIN(ABS(OFFSET(Assumptions!$B$85,0,$C$1)-L$308/L$14),OFFSET(Assumptions!$B$75,0,$C$1))*SIGN(OFFSET(Assumptions!$B$85,0,$C$1)-L$308/L$14)),L$308+IF(OFFSET(Assumptions!$B$113,0,$C$1)="SND",Allocate!$B$24*M$232*M$14,0))</f>
        <v>0.95468104735674153</v>
      </c>
      <c r="N308" s="57">
        <f ca="1">IF(OFFSET(Assumptions!$B$72,0,$C$1)="BU",N$14*(M$308/M$14+MIN(ABS(OFFSET(Assumptions!$B$85,0,$C$1)-M$308/M$14),OFFSET(Assumptions!$B$75,0,$C$1))*SIGN(OFFSET(Assumptions!$B$85,0,$C$1)-M$308/M$14)),M$308+IF(OFFSET(Assumptions!$B$113,0,$C$1)="SND",Allocate!$B$24*N$232*N$14,0))</f>
        <v>0.98234085712975305</v>
      </c>
      <c r="O308" s="57">
        <f ca="1">IF(OFFSET(Assumptions!$B$72,0,$C$1)="BU",O$14*(N$308/N$14+MIN(ABS(OFFSET(Assumptions!$B$85,0,$C$1)-N$308/N$14),OFFSET(Assumptions!$B$75,0,$C$1))*SIGN(OFFSET(Assumptions!$B$85,0,$C$1)-N$308/N$14)),N$308+IF(OFFSET(Assumptions!$B$113,0,$C$1)="SND",Allocate!$B$24*O$232*O$14,0))</f>
        <v>1.011181373819684</v>
      </c>
      <c r="P308" s="57">
        <f ca="1">IF(OFFSET(Assumptions!$B$72,0,$C$1)="BU",P$14*(O$308/O$14+MIN(ABS(OFFSET(Assumptions!$B$85,0,$C$1)-O$308/O$14),OFFSET(Assumptions!$B$75,0,$C$1))*SIGN(OFFSET(Assumptions!$B$85,0,$C$1)-O$308/O$14)),O$308+IF(OFFSET(Assumptions!$B$113,0,$C$1)="SND",Allocate!$B$24*P$232*P$14,0))</f>
        <v>1.0562715994968217</v>
      </c>
      <c r="Q308" s="57">
        <f ca="1">IF(OFFSET(Assumptions!$B$72,0,$C$1)="BU",Q$14*(P$308/P$14+MIN(ABS(OFFSET(Assumptions!$B$85,0,$C$1)-P$308/P$14),OFFSET(Assumptions!$B$75,0,$C$1))*SIGN(OFFSET(Assumptions!$B$85,0,$C$1)-P$308/P$14)),P$308+IF(OFFSET(Assumptions!$B$113,0,$C$1)="SND",Allocate!$B$24*Q$232*Q$14,0))</f>
        <v>1.1032476899404471</v>
      </c>
      <c r="R308" s="57">
        <f ca="1">IF(OFFSET(Assumptions!$B$72,0,$C$1)="BU",R$14*(Q$308/Q$14+MIN(ABS(OFFSET(Assumptions!$B$85,0,$C$1)-Q$308/Q$14),OFFSET(Assumptions!$B$75,0,$C$1))*SIGN(OFFSET(Assumptions!$B$85,0,$C$1)-Q$308/Q$14)),Q$308+IF(OFFSET(Assumptions!$B$113,0,$C$1)="SND",Allocate!$B$24*R$232*R$14,0))</f>
        <v>1.1521646595529624</v>
      </c>
      <c r="S308" s="57">
        <f ca="1">IF(OFFSET(Assumptions!$B$72,0,$C$1)="BU",S$14*(R$308/R$14+MIN(ABS(OFFSET(Assumptions!$B$85,0,$C$1)-R$308/R$14),OFFSET(Assumptions!$B$75,0,$C$1))*SIGN(OFFSET(Assumptions!$B$85,0,$C$1)-R$308/R$14)),R$308+IF(OFFSET(Assumptions!$B$113,0,$C$1)="SND",Allocate!$B$24*S$232*S$14,0))</f>
        <v>1.2030836907716251</v>
      </c>
      <c r="T308" s="57">
        <f ca="1">IF(OFFSET(Assumptions!$B$72,0,$C$1)="BU",T$14*(S$308/S$14+MIN(ABS(OFFSET(Assumptions!$B$85,0,$C$1)-S$308/S$14),OFFSET(Assumptions!$B$75,0,$C$1))*SIGN(OFFSET(Assumptions!$B$85,0,$C$1)-S$308/S$14)),S$308+IF(OFFSET(Assumptions!$B$113,0,$C$1)="SND",Allocate!$B$24*T$232*T$14,0))</f>
        <v>1.2560666961177769</v>
      </c>
      <c r="U308" s="57">
        <f ca="1">IF(OFFSET(Assumptions!$B$72,0,$C$1)="BU",U$14*(T$308/T$14+MIN(ABS(OFFSET(Assumptions!$B$85,0,$C$1)-T$308/T$14),OFFSET(Assumptions!$B$75,0,$C$1))*SIGN(OFFSET(Assumptions!$B$85,0,$C$1)-T$308/T$14)),T$308+IF(OFFSET(Assumptions!$B$113,0,$C$1)="SND",Allocate!$B$24*U$232*U$14,0))</f>
        <v>1.3111829956614978</v>
      </c>
      <c r="V308" s="57">
        <f ca="1">IF(OFFSET(Assumptions!$B$72,0,$C$1)="BU",V$14*(U$308/U$14+MIN(ABS(OFFSET(Assumptions!$B$85,0,$C$1)-U$308/U$14),OFFSET(Assumptions!$B$75,0,$C$1))*SIGN(OFFSET(Assumptions!$B$85,0,$C$1)-U$308/U$14)),U$308+IF(OFFSET(Assumptions!$B$113,0,$C$1)="SND",Allocate!$B$24*V$232*V$14,0))</f>
        <v>1.3685071755217788</v>
      </c>
      <c r="W308" s="57">
        <f ca="1">IF(OFFSET(Assumptions!$B$72,0,$C$1)="BU",W$14*(V$308/V$14+MIN(ABS(OFFSET(Assumptions!$B$85,0,$C$1)-V$308/V$14),OFFSET(Assumptions!$B$75,0,$C$1))*SIGN(OFFSET(Assumptions!$B$85,0,$C$1)-V$308/V$14)),V$308+IF(OFFSET(Assumptions!$B$113,0,$C$1)="SND",Allocate!$B$24*W$232*W$14,0))</f>
        <v>1.4281202186037985</v>
      </c>
      <c r="X308" s="57">
        <f ca="1">IF(OFFSET(Assumptions!$B$72,0,$C$1)="BU",X$14*(W$308/W$14+MIN(ABS(OFFSET(Assumptions!$B$85,0,$C$1)-W$308/W$14),OFFSET(Assumptions!$B$75,0,$C$1))*SIGN(OFFSET(Assumptions!$B$85,0,$C$1)-W$308/W$14)),W$308+IF(OFFSET(Assumptions!$B$113,0,$C$1)="SND",Allocate!$B$24*X$232*X$14,0))</f>
        <v>1.4901103576893233</v>
      </c>
      <c r="Y308" s="57">
        <f ca="1">IF(OFFSET(Assumptions!$B$72,0,$C$1)="BU",Y$14*(X$308/X$14+MIN(ABS(OFFSET(Assumptions!$B$85,0,$C$1)-X$308/X$14),OFFSET(Assumptions!$B$75,0,$C$1))*SIGN(OFFSET(Assumptions!$B$85,0,$C$1)-X$308/X$14)),X$308+IF(OFFSET(Assumptions!$B$113,0,$C$1)="SND",Allocate!$B$24*Y$232*Y$14,0))</f>
        <v>1.5545655825422009</v>
      </c>
      <c r="Z308" s="57">
        <f ca="1">IF(OFFSET(Assumptions!$B$72,0,$C$1)="BU",Z$14*(Y$308/Y$14+MIN(ABS(OFFSET(Assumptions!$B$85,0,$C$1)-Y$308/Y$14),OFFSET(Assumptions!$B$75,0,$C$1))*SIGN(OFFSET(Assumptions!$B$85,0,$C$1)-Y$308/Y$14)),Y$308+IF(OFFSET(Assumptions!$B$113,0,$C$1)="SND",Allocate!$B$24*Z$232*Z$14,0))</f>
        <v>1.6215863603089022</v>
      </c>
      <c r="AA308" s="57">
        <f ca="1">IF(OFFSET(Assumptions!$B$72,0,$C$1)="BU",AA$14*(Z$308/Z$14+MIN(ABS(OFFSET(Assumptions!$B$85,0,$C$1)-Z$308/Z$14),OFFSET(Assumptions!$B$75,0,$C$1))*SIGN(OFFSET(Assumptions!$B$85,0,$C$1)-Z$308/Z$14)),Z$308+IF(OFFSET(Assumptions!$B$113,0,$C$1)="SND",Allocate!$B$24*AA$232*AA$14,0))</f>
        <v>1.6680469929092074</v>
      </c>
      <c r="AB308" s="57">
        <f ca="1">IF(OFFSET(Assumptions!$B$72,0,$C$1)="BU",AB$14*(AA$308/AA$14+MIN(ABS(OFFSET(Assumptions!$B$85,0,$C$1)-AA$308/AA$14),OFFSET(Assumptions!$B$75,0,$C$1))*SIGN(OFFSET(Assumptions!$B$85,0,$C$1)-AA$308/AA$14)),AA$308+IF(OFFSET(Assumptions!$B$113,0,$C$1)="SND",Allocate!$B$24*AB$232*AB$14,0))</f>
        <v>1.7163628309256442</v>
      </c>
      <c r="AC308" s="57">
        <f ca="1">IF(OFFSET(Assumptions!$B$72,0,$C$1)="BU",AC$14*(AB$308/AB$14+MIN(ABS(OFFSET(Assumptions!$B$85,0,$C$1)-AB$308/AB$14),OFFSET(Assumptions!$B$75,0,$C$1))*SIGN(OFFSET(Assumptions!$B$85,0,$C$1)-AB$308/AB$14)),AB$308+IF(OFFSET(Assumptions!$B$113,0,$C$1)="SND",Allocate!$B$24*AC$232*AC$14,0))</f>
        <v>1.7666159693373753</v>
      </c>
      <c r="AD308" s="57">
        <f ca="1">IF(OFFSET(Assumptions!$B$72,0,$C$1)="BU",AD$14*(AC$308/AC$14+MIN(ABS(OFFSET(Assumptions!$B$85,0,$C$1)-AC$308/AC$14),OFFSET(Assumptions!$B$75,0,$C$1))*SIGN(OFFSET(Assumptions!$B$85,0,$C$1)-AC$308/AC$14)),AC$308+IF(OFFSET(Assumptions!$B$113,0,$C$1)="SND",Allocate!$B$24*AD$232*AD$14,0))</f>
        <v>1.8188905450620776</v>
      </c>
      <c r="AE308" s="57">
        <f ca="1">IF(OFFSET(Assumptions!$B$72,0,$C$1)="BU",AE$14*(AD$308/AD$14+MIN(ABS(OFFSET(Assumptions!$B$85,0,$C$1)-AD$308/AD$14),OFFSET(Assumptions!$B$75,0,$C$1))*SIGN(OFFSET(Assumptions!$B$85,0,$C$1)-AD$308/AD$14)),AD$308+IF(OFFSET(Assumptions!$B$113,0,$C$1)="SND",Allocate!$B$24*AE$232*AE$14,0))</f>
        <v>1.8732688385966862</v>
      </c>
      <c r="AF308" s="57">
        <f ca="1">IF(OFFSET(Assumptions!$B$72,0,$C$1)="BU",AF$14*(AE$308/AE$14+MIN(ABS(OFFSET(Assumptions!$B$85,0,$C$1)-AE$308/AE$14),OFFSET(Assumptions!$B$75,0,$C$1))*SIGN(OFFSET(Assumptions!$B$85,0,$C$1)-AE$308/AE$14)),AE$308+IF(OFFSET(Assumptions!$B$113,0,$C$1)="SND",Allocate!$B$24*AF$232*AF$14,0))</f>
        <v>1.9298389505829856</v>
      </c>
      <c r="AG308" s="57">
        <f ca="1">IF(OFFSET(Assumptions!$B$72,0,$C$1)="BU",AG$14*(AF$308/AF$14+MIN(ABS(OFFSET(Assumptions!$B$85,0,$C$1)-AF$308/AF$14),OFFSET(Assumptions!$B$75,0,$C$1))*SIGN(OFFSET(Assumptions!$B$85,0,$C$1)-AF$308/AF$14)),AF$308+IF(OFFSET(Assumptions!$B$113,0,$C$1)="SND",Allocate!$B$24*AG$232*AG$14,0))</f>
        <v>1.9886902072359867</v>
      </c>
      <c r="AH308" s="57">
        <f ca="1">IF(OFFSET(Assumptions!$B$72,0,$C$1)="BU",AH$14*(AG$308/AG$14+MIN(ABS(OFFSET(Assumptions!$B$85,0,$C$1)-AG$308/AG$14),OFFSET(Assumptions!$B$75,0,$C$1))*SIGN(OFFSET(Assumptions!$B$85,0,$C$1)-AG$308/AG$14)),AG$308+IF(OFFSET(Assumptions!$B$113,0,$C$1)="SND",Allocate!$B$24*AH$232*AH$14,0))</f>
        <v>2.0499155927444535</v>
      </c>
      <c r="AI308" s="57">
        <f ca="1">IF(OFFSET(Assumptions!$B$72,0,$C$1)="BU",AI$14*(AH$308/AH$14+MIN(ABS(OFFSET(Assumptions!$B$85,0,$C$1)-AH$308/AH$14),OFFSET(Assumptions!$B$75,0,$C$1))*SIGN(OFFSET(Assumptions!$B$85,0,$C$1)-AH$308/AH$14)),AH$308+IF(OFFSET(Assumptions!$B$113,0,$C$1)="SND",Allocate!$B$24*AI$232*AI$14,0))</f>
        <v>2.113603942908123</v>
      </c>
      <c r="AJ308" s="57">
        <f ca="1">IF(OFFSET(Assumptions!$B$72,0,$C$1)="BU",AJ$14*(AI$308/AI$14+MIN(ABS(OFFSET(Assumptions!$B$85,0,$C$1)-AI$308/AI$14),OFFSET(Assumptions!$B$75,0,$C$1))*SIGN(OFFSET(Assumptions!$B$85,0,$C$1)-AI$308/AI$14)),AI$308+IF(OFFSET(Assumptions!$B$113,0,$C$1)="SND",Allocate!$B$24*AJ$232*AJ$14,0))</f>
        <v>2.1798519836296548</v>
      </c>
      <c r="AK308" s="57">
        <f ca="1">IF(OFFSET(Assumptions!$B$72,0,$C$1)="BU",AK$14*(AJ$308/AJ$14+MIN(ABS(OFFSET(Assumptions!$B$85,0,$C$1)-AJ$308/AJ$14),OFFSET(Assumptions!$B$75,0,$C$1))*SIGN(OFFSET(Assumptions!$B$85,0,$C$1)-AJ$308/AJ$14)),AJ$308+IF(OFFSET(Assumptions!$B$113,0,$C$1)="SND",Allocate!$B$24*AK$232*AK$14,0))</f>
        <v>2.2487543351314079</v>
      </c>
      <c r="AL308" s="57">
        <f ca="1">IF(OFFSET(Assumptions!$B$72,0,$C$1)="BU",AL$14*(AK$308/AK$14+MIN(ABS(OFFSET(Assumptions!$B$85,0,$C$1)-AK$308/AK$14),OFFSET(Assumptions!$B$75,0,$C$1))*SIGN(OFFSET(Assumptions!$B$85,0,$C$1)-AK$308/AK$14)),AK$308+IF(OFFSET(Assumptions!$B$113,0,$C$1)="SND",Allocate!$B$24*AL$232*AL$14,0))</f>
        <v>2.3204035267619116</v>
      </c>
      <c r="AM308" s="57">
        <f ca="1">IF(OFFSET(Assumptions!$B$72,0,$C$1)="BU",AM$14*(AL$308/AL$14+MIN(ABS(OFFSET(Assumptions!$B$85,0,$C$1)-AL$308/AL$14),OFFSET(Assumptions!$B$75,0,$C$1))*SIGN(OFFSET(Assumptions!$B$85,0,$C$1)-AL$308/AL$14)),AL$308+IF(OFFSET(Assumptions!$B$113,0,$C$1)="SND",Allocate!$B$24*AM$232*AM$14,0))</f>
        <v>2.3948958404110061</v>
      </c>
      <c r="AN308" s="57">
        <f ca="1">IF(OFFSET(Assumptions!$B$72,0,$C$1)="BU",AN$14*(AM$308/AM$14+MIN(ABS(OFFSET(Assumptions!$B$85,0,$C$1)-AM$308/AM$14),OFFSET(Assumptions!$B$75,0,$C$1))*SIGN(OFFSET(Assumptions!$B$85,0,$C$1)-AM$308/AM$14)),AM$308+IF(OFFSET(Assumptions!$B$113,0,$C$1)="SND",Allocate!$B$24*AN$232*AN$14,0))</f>
        <v>2.4723315127237258</v>
      </c>
      <c r="AO308" s="57">
        <f ca="1">IF(OFFSET(Assumptions!$B$72,0,$C$1)="BU",AO$14*(AN$308/AN$14+MIN(ABS(OFFSET(Assumptions!$B$85,0,$C$1)-AN$308/AN$14),OFFSET(Assumptions!$B$75,0,$C$1))*SIGN(OFFSET(Assumptions!$B$85,0,$C$1)-AN$308/AN$14)),AN$308+IF(OFFSET(Assumptions!$B$113,0,$C$1)="SND",Allocate!$B$24*AO$232*AO$14,0))</f>
        <v>2.5527992227934937</v>
      </c>
      <c r="AP308" s="57">
        <f ca="1">IF(OFFSET(Assumptions!$B$72,0,$C$1)="BU",AP$14*(AO$308/AO$14+MIN(ABS(OFFSET(Assumptions!$B$85,0,$C$1)-AO$308/AO$14),OFFSET(Assumptions!$B$75,0,$C$1))*SIGN(OFFSET(Assumptions!$B$85,0,$C$1)-AO$308/AO$14)),AO$308+IF(OFFSET(Assumptions!$B$113,0,$C$1)="SND",Allocate!$B$24*AP$232*AP$14,0))</f>
        <v>2.6364005252472671</v>
      </c>
      <c r="AQ308" s="57">
        <f ca="1">IF(OFFSET(Assumptions!$B$72,0,$C$1)="BU",AQ$14*(AP$308/AP$14+MIN(ABS(OFFSET(Assumptions!$B$85,0,$C$1)-AP$308/AP$14),OFFSET(Assumptions!$B$75,0,$C$1))*SIGN(OFFSET(Assumptions!$B$85,0,$C$1)-AP$308/AP$14)),AP$308+IF(OFFSET(Assumptions!$B$113,0,$C$1)="SND",Allocate!$B$24*AQ$232*AQ$14,0))</f>
        <v>2.7232281943960324</v>
      </c>
      <c r="AR308" s="57">
        <f ca="1">IF(OFFSET(Assumptions!$B$72,0,$C$1)="BU",AR$14*(AQ$308/AQ$14+MIN(ABS(OFFSET(Assumptions!$B$85,0,$C$1)-AQ$308/AQ$14),OFFSET(Assumptions!$B$75,0,$C$1))*SIGN(OFFSET(Assumptions!$B$85,0,$C$1)-AQ$308/AQ$14)),AQ$308+IF(OFFSET(Assumptions!$B$113,0,$C$1)="SND",Allocate!$B$24*AR$232*AR$14,0))</f>
        <v>2.8133786573750603</v>
      </c>
      <c r="AS308" s="57">
        <f ca="1">IF(OFFSET(Assumptions!$B$72,0,$C$1)="BU",AS$14*(AR$308/AR$14+MIN(ABS(OFFSET(Assumptions!$B$85,0,$C$1)-AR$308/AR$14),OFFSET(Assumptions!$B$75,0,$C$1))*SIGN(OFFSET(Assumptions!$B$85,0,$C$1)-AR$308/AR$14)),AR$308+IF(OFFSET(Assumptions!$B$113,0,$C$1)="SND",Allocate!$B$24*AS$232*AS$14,0))</f>
        <v>2.9069560933017868</v>
      </c>
      <c r="AT308" s="57">
        <f ca="1">IF(OFFSET(Assumptions!$B$72,0,$C$1)="BU",AT$14*(AS$308/AS$14+MIN(ABS(OFFSET(Assumptions!$B$85,0,$C$1)-AS$308/AS$14),OFFSET(Assumptions!$B$75,0,$C$1))*SIGN(OFFSET(Assumptions!$B$85,0,$C$1)-AS$308/AS$14)),AS$308+IF(OFFSET(Assumptions!$B$113,0,$C$1)="SND",Allocate!$B$24*AT$232*AT$14,0))</f>
        <v>3.0040674183047442</v>
      </c>
      <c r="AU308" s="57">
        <f ca="1">IF(OFFSET(Assumptions!$B$72,0,$C$1)="BU",AU$14*(AT$308/AT$14+MIN(ABS(OFFSET(Assumptions!$B$85,0,$C$1)-AT$308/AT$14),OFFSET(Assumptions!$B$75,0,$C$1))*SIGN(OFFSET(Assumptions!$B$85,0,$C$1)-AT$308/AT$14)),AT$308+IF(OFFSET(Assumptions!$B$113,0,$C$1)="SND",Allocate!$B$24*AU$232*AU$14,0))</f>
        <v>3.1048242477960151</v>
      </c>
      <c r="AV308" s="57">
        <f ca="1">IF(OFFSET(Assumptions!$B$72,0,$C$1)="BU",AV$14*(AU$308/AU$14+MIN(ABS(OFFSET(Assumptions!$B$85,0,$C$1)-AU$308/AU$14),OFFSET(Assumptions!$B$75,0,$C$1))*SIGN(OFFSET(Assumptions!$B$85,0,$C$1)-AU$308/AU$14)),AU$308+IF(OFFSET(Assumptions!$B$113,0,$C$1)="SND",Allocate!$B$24*AV$232*AV$14,0))</f>
        <v>3.2093494687159536</v>
      </c>
      <c r="AW308" s="57">
        <f ca="1">IF(OFFSET(Assumptions!$B$72,0,$C$1)="BU",AW$14*(AV$308/AV$14+MIN(ABS(OFFSET(Assumptions!$B$85,0,$C$1)-AV$308/AV$14),OFFSET(Assumptions!$B$75,0,$C$1))*SIGN(OFFSET(Assumptions!$B$85,0,$C$1)-AV$308/AV$14)),AV$308+IF(OFFSET(Assumptions!$B$113,0,$C$1)="SND",Allocate!$B$24*AW$232*AW$14,0))</f>
        <v>3.317763840536252</v>
      </c>
    </row>
    <row r="309" spans="1:49" ht="15" x14ac:dyDescent="0.25">
      <c r="A309" s="2" t="s">
        <v>583</v>
      </c>
      <c r="B309" s="4" t="str">
        <f t="shared" si="201"/>
        <v>From Fiscal</v>
      </c>
      <c r="D309" s="47">
        <f>Fiscal!D$48</f>
        <v>0.61599999999999999</v>
      </c>
      <c r="E309" s="44">
        <f ca="1">Fiscal!E$48  +IF(OR(OFFSET(Assumptions!$B$72,0,$C$1)="BU",OFFSET(Assumptions!$B$113,0,$C$1)="SND"),Allocate!C$24,0)</f>
        <v>0.67800000000000005</v>
      </c>
      <c r="F309" s="44">
        <f ca="1">Fiscal!F$48  +IF(OR(OFFSET(Assumptions!$B$72,0,$C$1)="BU",OFFSET(Assumptions!$B$113,0,$C$1)="SND"),Allocate!D$24,0)</f>
        <v>0.71199999999999997</v>
      </c>
      <c r="G309" s="44">
        <f ca="1">Fiscal!G$48  +IF(OR(OFFSET(Assumptions!$B$72,0,$C$1)="BU",OFFSET(Assumptions!$B$113,0,$C$1)="SND"),Allocate!E$24,0)</f>
        <v>0.78900000000000003</v>
      </c>
      <c r="H309" s="44">
        <f ca="1">Fiscal!H$48  +IF(OR(OFFSET(Assumptions!$B$72,0,$C$1)="BU",OFFSET(Assumptions!$B$113,0,$C$1)="SND"),Allocate!F$24,0)</f>
        <v>0.81500000000000006</v>
      </c>
      <c r="I309" s="44">
        <f ca="1">Fiscal!I$48  +IF(OR(OFFSET(Assumptions!$B$72,0,$C$1)="BU",OFFSET(Assumptions!$B$113,0,$C$1)="SND"),Allocate!G$24,0)</f>
        <v>0.8580000000000001</v>
      </c>
      <c r="J309" s="8">
        <f ca="1">IF(J$6=OFFSET(Assumptions!$B$8,0,$C$1),AVERAGE((G$309-G$308)/G$14,(H$309-H$308)/H$14,(I$309-I$308)/I$14),(I$309-I$308)/I$14)*J$14 + J$308</f>
        <v>0.88090973820161866</v>
      </c>
      <c r="K309" s="8">
        <f ca="1">IF(K$6=OFFSET(Assumptions!$B$8,0,$C$1),AVERAGE((H$309-H$308)/H$14,(I$309-I$308)/I$14,(J$309-J$308)/J$14),(J$309-J$308)/J$14)*K$14 + K$308</f>
        <v>0.90537728716284371</v>
      </c>
      <c r="L309" s="8">
        <f ca="1">IF(L$6=OFFSET(Assumptions!$B$8,0,$C$1),AVERAGE((I$309-I$308)/I$14,(J$309-J$308)/J$14,(K$309-K$308)/K$14),(K$309-K$308)/K$14)*L$14 + L$308</f>
        <v>0.93090931568832858</v>
      </c>
      <c r="M309" s="8">
        <f ca="1">IF(M$6=OFFSET(Assumptions!$B$8,0,$C$1),AVERAGE((J$309-J$308)/J$14,(K$309-K$308)/K$14,(L$309-L$308)/L$14),(L$309-L$308)/L$14)*M$14 + M$308</f>
        <v>0.95754412741493422</v>
      </c>
      <c r="N309" s="8">
        <f ca="1">IF(N$6=OFFSET(Assumptions!$B$8,0,$C$1),AVERAGE((K$309-K$308)/K$14,(L$309-L$308)/L$14,(M$309-M$308)/M$14),(M$309-M$308)/M$14)*N$14 + N$308</f>
        <v>0.98532741460591833</v>
      </c>
      <c r="O309" s="8">
        <f ca="1">IF(O$6=OFFSET(Assumptions!$B$8,0,$C$1),AVERAGE((L$309-L$308)/L$14,(M$309-M$308)/M$14,(N$309-N$308)/N$14),(N$309-N$308)/N$14)*O$14 + O$308</f>
        <v>1.0142954176776726</v>
      </c>
      <c r="P309" s="8">
        <f ca="1">IF(P$6=OFFSET(Assumptions!$B$8,0,$C$1),AVERAGE((M$309-M$308)/M$14,(N$309-N$308)/N$14,(O$309-O$308)/O$14),(O$309-O$308)/O$14)*P$14 + P$308</f>
        <v>1.0595173328479219</v>
      </c>
      <c r="Q309" s="8">
        <f ca="1">IF(Q$6=OFFSET(Assumptions!$B$8,0,$C$1),AVERAGE((N$309-N$308)/N$14,(O$309-O$308)/O$14,(P$309-P$308)/P$14),(P$309-P$308)/P$14)*Q$14 + Q$308</f>
        <v>1.1066291736471141</v>
      </c>
      <c r="R309" s="8">
        <f ca="1">IF(R$6=OFFSET(Assumptions!$B$8,0,$C$1),AVERAGE((O$309-O$308)/O$14,(P$309-P$308)/P$14,(Q$309-Q$308)/Q$14),(Q$309-Q$308)/Q$14)*R$14 + R$308</f>
        <v>1.1556858537213608</v>
      </c>
      <c r="S309" s="8">
        <f ca="1">IF(S$6=OFFSET(Assumptions!$B$8,0,$C$1),AVERAGE((P$309-P$308)/P$14,(Q$309-Q$308)/Q$14,(R$309-R$308)/R$14),(R$309-R$308)/R$14)*S$14 + S$308</f>
        <v>1.2067489995020697</v>
      </c>
      <c r="T309" s="8">
        <f ca="1">IF(T$6=OFFSET(Assumptions!$B$8,0,$C$1),AVERAGE((Q$309-Q$308)/Q$14,(R$309-R$308)/R$14,(S$309-S$308)/S$14),(S$309-S$308)/S$14)*T$14 + T$308</f>
        <v>1.2598805760642844</v>
      </c>
      <c r="U309" s="8">
        <f ca="1">IF(U$6=OFFSET(Assumptions!$B$8,0,$C$1),AVERAGE((R$309-R$308)/R$14,(S$309-S$308)/S$14,(T$309-T$308)/T$14),(T$309-T$308)/T$14)*U$14 + U$308</f>
        <v>1.3151504366962627</v>
      </c>
      <c r="V309" s="8">
        <f ca="1">IF(V$6=OFFSET(Assumptions!$B$8,0,$C$1),AVERAGE((S$309-S$308)/S$14,(T$309-T$308)/T$14,(U$309-U$308)/U$14),(U$309-U$308)/U$14)*V$14 + V$308</f>
        <v>1.3726335465834194</v>
      </c>
      <c r="W309" s="8">
        <f ca="1">IF(W$6=OFFSET(Assumptions!$B$8,0,$C$1),AVERAGE((T$309-T$308)/T$14,(U$309-U$308)/U$14,(V$309-V$308)/V$14),(V$309-V$308)/V$14)*W$14 + W$308</f>
        <v>1.4324113490913088</v>
      </c>
      <c r="X309" s="8">
        <f ca="1">IF(X$6=OFFSET(Assumptions!$B$8,0,$C$1),AVERAGE((U$309-U$308)/U$14,(V$309-V$308)/V$14,(W$309-W$308)/W$14),(W$309-W$308)/W$14)*X$14 + X$308</f>
        <v>1.4945725988701486</v>
      </c>
      <c r="Y309" s="8">
        <f ca="1">IF(Y$6=OFFSET(Assumptions!$B$8,0,$C$1),AVERAGE((V$309-V$308)/V$14,(W$309-W$308)/W$14,(X$309-X$308)/X$14),(X$309-X$308)/X$14)*Y$14 + Y$308</f>
        <v>1.5592052681906079</v>
      </c>
      <c r="Z309" s="8">
        <f ca="1">IF(Z$6=OFFSET(Assumptions!$B$8,0,$C$1),AVERAGE((W$309-W$308)/W$14,(X$309-X$308)/X$14,(Y$309-Y$308)/Y$14),(Y$309-Y$308)/Y$14)*Z$14 + Z$308</f>
        <v>1.6264107223595974</v>
      </c>
      <c r="AA309" s="8">
        <f ca="1">IF(AA$6=OFFSET(Assumptions!$B$8,0,$C$1),AVERAGE((X$309-X$308)/X$14,(Y$309-Y$308)/Y$14,(Z$309-Z$308)/Z$14),(Z$309-Z$308)/Z$14)*AA$14 + AA$308</f>
        <v>1.6730635621039527</v>
      </c>
      <c r="AB309" s="8">
        <f ca="1">IF(AB$6=OFFSET(Assumptions!$B$8,0,$C$1),AVERAGE((Y$309-Y$308)/Y$14,(Z$309-Z$308)/Z$14,(AA$309-AA$308)/AA$14),(AA$309-AA$308)/AA$14)*AB$14 + AB$308</f>
        <v>1.7215797152220058</v>
      </c>
      <c r="AC309" s="8">
        <f ca="1">IF(AC$6=OFFSET(Assumptions!$B$8,0,$C$1),AVERAGE((Z$309-Z$308)/Z$14,(AA$309-AA$308)/AA$14,(AB$309-AB$308)/AB$14),(AB$309-AB$308)/AB$14)*AC$14 + AC$308</f>
        <v>1.7720420329096114</v>
      </c>
      <c r="AD309" s="8">
        <f ca="1">IF(AD$6=OFFSET(Assumptions!$B$8,0,$C$1),AVERAGE((AA$309-AA$308)/AA$14,(AB$309-AB$308)/AB$14,(AC$309-AC$308)/AC$14),(AC$309-AC$308)/AC$14)*AD$14 + AD$308</f>
        <v>1.8245348725619834</v>
      </c>
      <c r="AE309" s="8">
        <f ca="1">IF(AE$6=OFFSET(Assumptions!$B$8,0,$C$1),AVERAGE((AB$309-AB$308)/AB$14,(AC$309-AC$308)/AC$14,(AD$309-AD$308)/AD$14),(AD$309-AD$308)/AD$14)*AE$14 + AE$308</f>
        <v>1.8791403142297309</v>
      </c>
      <c r="AF309" s="8">
        <f ca="1">IF(AF$6=OFFSET(Assumptions!$B$8,0,$C$1),AVERAGE((AC$309-AC$308)/AC$14,(AD$309-AD$308)/AD$14,(AE$309-AE$308)/AE$14),(AE$309-AE$308)/AE$14)*AF$14 + AF$308</f>
        <v>1.9359470869825726</v>
      </c>
      <c r="AG309" s="8">
        <f ca="1">IF(AG$6=OFFSET(Assumptions!$B$8,0,$C$1),AVERAGE((AD$309-AD$308)/AD$14,(AE$309-AE$308)/AE$14,(AF$309-AF$308)/AF$14),(AF$309-AF$308)/AF$14)*AG$14 + AG$308</f>
        <v>1.9950446493663239</v>
      </c>
      <c r="AH309" s="8">
        <f ca="1">IF(AH$6=OFFSET(Assumptions!$B$8,0,$C$1),AVERAGE((AE$309-AE$308)/AE$14,(AF$309-AF$308)/AF$14,(AG$309-AG$308)/AG$14),(AG$309-AG$308)/AG$14)*AH$14 + AH$308</f>
        <v>2.0565263805380782</v>
      </c>
      <c r="AI309" s="8">
        <f ca="1">IF(AI$6=OFFSET(Assumptions!$B$8,0,$C$1),AVERAGE((AF$309-AF$308)/AF$14,(AG$309-AG$308)/AG$14,(AH$309-AH$308)/AH$14),(AH$309-AH$308)/AH$14)*AI$14 + AI$308</f>
        <v>2.1204806683768398</v>
      </c>
      <c r="AJ309" s="8">
        <f ca="1">IF(AJ$6=OFFSET(Assumptions!$B$8,0,$C$1),AVERAGE((AG$309-AG$308)/AG$14,(AH$309-AH$308)/AH$14,(AI$309-AI$308)/AI$14),(AI$309-AI$308)/AI$14)*AJ$14 + AJ$308</f>
        <v>2.1870050907161409</v>
      </c>
      <c r="AK309" s="8">
        <f ca="1">IF(AK$6=OFFSET(Assumptions!$B$8,0,$C$1),AVERAGE((AH$309-AH$308)/AH$14,(AI$309-AI$308)/AI$14,(AJ$309-AJ$308)/AJ$14),(AJ$309-AJ$308)/AJ$14)*AK$14 + AK$308</f>
        <v>2.2561940404183076</v>
      </c>
      <c r="AL309" s="8">
        <f ca="1">IF(AL$6=OFFSET(Assumptions!$B$8,0,$C$1),AVERAGE((AI$309-AI$308)/AI$14,(AJ$309-AJ$308)/AJ$14,(AK$309-AK$308)/AK$14),(AK$309-AK$308)/AK$14)*AL$14 + AL$308</f>
        <v>2.3281398210705606</v>
      </c>
      <c r="AM309" s="8">
        <f ca="1">IF(AM$6=OFFSET(Assumptions!$B$8,0,$C$1),AVERAGE((AJ$309-AJ$308)/AJ$14,(AK$309-AK$308)/AK$14,(AL$309-AL$308)/AL$14),(AL$309-AL$308)/AL$14)*AM$14 + AM$308</f>
        <v>2.4029391197419656</v>
      </c>
      <c r="AN309" s="8">
        <f ca="1">IF(AN$6=OFFSET(Assumptions!$B$8,0,$C$1),AVERAGE((AK$309-AK$308)/AK$14,(AL$309-AL$308)/AL$14,(AM$309-AM$308)/AM$14),(AM$309-AM$308)/AM$14)*AN$14 + AN$308</f>
        <v>2.4806926000907499</v>
      </c>
      <c r="AO309" s="8">
        <f ca="1">IF(AO$6=OFFSET(Assumptions!$B$8,0,$C$1),AVERAGE((AL$309-AL$308)/AL$14,(AM$309-AM$308)/AM$14,(AN$309-AN$308)/AN$14),(AN$309-AN$308)/AN$14)*AO$14 + AO$308</f>
        <v>2.5614876932880821</v>
      </c>
      <c r="AP309" s="8">
        <f ca="1">IF(AP$6=OFFSET(Assumptions!$B$8,0,$C$1),AVERAGE((AM$309-AM$308)/AM$14,(AN$309-AN$308)/AN$14,(AO$309-AO$308)/AO$14),(AO$309-AO$308)/AO$14)*AP$14 + AP$308</f>
        <v>2.6454273441917726</v>
      </c>
      <c r="AQ309" s="8">
        <f ca="1">IF(AQ$6=OFFSET(Assumptions!$B$8,0,$C$1),AVERAGE((AN$309-AN$308)/AN$14,(AO$309-AO$308)/AO$14,(AP$309-AP$308)/AP$14),(AP$309-AP$308)/AP$14)*AQ$14 + AQ$308</f>
        <v>2.7326033790615192</v>
      </c>
      <c r="AR309" s="8">
        <f ca="1">IF(AR$6=OFFSET(Assumptions!$B$8,0,$C$1),AVERAGE((AO$309-AO$308)/AO$14,(AP$309-AP$308)/AP$14,(AQ$309-AQ$308)/AQ$14),(AQ$309-AQ$308)/AQ$14)*AR$14 + AR$308</f>
        <v>2.8231126194449097</v>
      </c>
      <c r="AS309" s="8">
        <f ca="1">IF(AS$6=OFFSET(Assumptions!$B$8,0,$C$1),AVERAGE((AP$309-AP$308)/AP$14,(AQ$309-AQ$308)/AQ$14,(AR$309-AR$308)/AR$14),(AR$309-AR$308)/AR$14)*AS$14 + AS$308</f>
        <v>2.9170600814767162</v>
      </c>
      <c r="AT309" s="8">
        <f ca="1">IF(AT$6=OFFSET(Assumptions!$B$8,0,$C$1),AVERAGE((AQ$309-AQ$308)/AQ$14,(AR$309-AR$308)/AR$14,(AS$309-AS$308)/AS$14),(AS$309-AS$308)/AS$14)*AT$14 + AT$308</f>
        <v>3.0145529768132069</v>
      </c>
      <c r="AU309" s="8">
        <f ca="1">IF(AU$6=OFFSET(Assumptions!$B$8,0,$C$1),AVERAGE((AR$309-AR$308)/AR$14,(AS$309-AS$308)/AS$14,(AT$309-AT$308)/AT$14),(AT$309-AT$308)/AT$14)*AU$14 + AU$308</f>
        <v>3.1157034282698244</v>
      </c>
      <c r="AV309" s="8">
        <f ca="1">IF(AV$6=OFFSET(Assumptions!$B$8,0,$C$1),AVERAGE((AS$309-AS$308)/AS$14,(AT$309-AT$308)/AT$14,(AU$309-AU$308)/AU$14),(AU$309-AU$308)/AU$14)*AV$14 + AV$308</f>
        <v>3.2206355398259157</v>
      </c>
      <c r="AW309" s="8">
        <f ca="1">IF(AW$6=OFFSET(Assumptions!$B$8,0,$C$1),AVERAGE((AT$309-AT$308)/AT$14,(AU$309-AU$308)/AU$14,(AV$309-AV$308)/AV$14),(AV$309-AV$308)/AV$14)*AW$14 + AW$308</f>
        <v>3.3294698412405506</v>
      </c>
    </row>
    <row r="310" spans="1:49" ht="15" x14ac:dyDescent="0.25">
      <c r="A310" s="2"/>
      <c r="B310" s="4"/>
      <c r="D310" s="47"/>
      <c r="E310" s="44"/>
      <c r="F310" s="44"/>
      <c r="G310" s="44"/>
      <c r="H310" s="44"/>
      <c r="I310" s="44"/>
      <c r="J310" s="8"/>
      <c r="K310" s="8"/>
      <c r="L310" s="8"/>
      <c r="M310" s="8"/>
      <c r="N310" s="8"/>
      <c r="O310" s="8"/>
      <c r="P310" s="8"/>
      <c r="Q310" s="8"/>
      <c r="R310" s="8"/>
      <c r="S310" s="8"/>
    </row>
    <row r="311" spans="1:49" ht="15" x14ac:dyDescent="0.25">
      <c r="A311" s="22" t="s">
        <v>630</v>
      </c>
      <c r="B311" s="4"/>
      <c r="D311" s="47"/>
      <c r="E311" s="44"/>
      <c r="F311" s="44"/>
      <c r="G311" s="44"/>
      <c r="H311" s="44"/>
      <c r="I311" s="44"/>
      <c r="J311" s="8"/>
      <c r="K311" s="8"/>
      <c r="L311" s="8"/>
      <c r="M311" s="8"/>
      <c r="N311" s="8"/>
      <c r="O311" s="8"/>
      <c r="P311" s="8"/>
      <c r="Q311" s="8"/>
      <c r="R311" s="8"/>
      <c r="S311" s="8"/>
    </row>
    <row r="312" spans="1:49" ht="15" x14ac:dyDescent="0.25">
      <c r="A312" s="2" t="s">
        <v>584</v>
      </c>
      <c r="B312" s="4" t="str">
        <f t="shared" si="201"/>
        <v>From Fiscal</v>
      </c>
      <c r="D312" s="47">
        <f>Fiscal!D$66</f>
        <v>0.14499999999999999</v>
      </c>
      <c r="E312" s="44">
        <f>Fiscal!E$66</f>
        <v>0.51200000000000001</v>
      </c>
      <c r="F312" s="44">
        <f>Fiscal!F$66</f>
        <v>0.439</v>
      </c>
      <c r="G312" s="44">
        <f>Fiscal!G$66</f>
        <v>0.46600000000000003</v>
      </c>
      <c r="H312" s="44">
        <f>Fiscal!H$66</f>
        <v>0.46200000000000002</v>
      </c>
      <c r="I312" s="44">
        <f>Fiscal!I$66</f>
        <v>0.46200000000000002</v>
      </c>
      <c r="J312" s="8">
        <f ca="1">IF(J$6&lt;OFFSET(Assumptions!$B$55,0,$C$1),I$312,0)</f>
        <v>0</v>
      </c>
      <c r="K312" s="8">
        <f ca="1">IF(K$6&lt;OFFSET(Assumptions!$B$55,0,$C$1),J$312,0)</f>
        <v>0</v>
      </c>
      <c r="L312" s="8">
        <f ca="1">IF(L$6&lt;OFFSET(Assumptions!$B$55,0,$C$1),K$312,0)</f>
        <v>0</v>
      </c>
      <c r="M312" s="8">
        <f ca="1">IF(M$6&lt;OFFSET(Assumptions!$B$55,0,$C$1),L$312,0)</f>
        <v>0</v>
      </c>
      <c r="N312" s="8">
        <f ca="1">IF(N$6&lt;OFFSET(Assumptions!$B$55,0,$C$1),M$312,0)</f>
        <v>0</v>
      </c>
      <c r="O312" s="8">
        <f ca="1">IF(O$6&lt;OFFSET(Assumptions!$B$55,0,$C$1),N$312,0)</f>
        <v>0</v>
      </c>
      <c r="P312" s="8">
        <f ca="1">IF(P$6&lt;OFFSET(Assumptions!$B$55,0,$C$1),O$312,0)</f>
        <v>0</v>
      </c>
      <c r="Q312" s="8">
        <f ca="1">IF(Q$6&lt;OFFSET(Assumptions!$B$55,0,$C$1),P$312,0)</f>
        <v>0</v>
      </c>
      <c r="R312" s="8">
        <f ca="1">IF(R$6&lt;OFFSET(Assumptions!$B$55,0,$C$1),Q$312,0)</f>
        <v>0</v>
      </c>
      <c r="S312" s="8">
        <f ca="1">IF(S$6&lt;OFFSET(Assumptions!$B$55,0,$C$1),R$312,0)</f>
        <v>0</v>
      </c>
      <c r="T312" s="8">
        <f ca="1">IF(T$6&lt;OFFSET(Assumptions!$B$55,0,$C$1),S$312,0)</f>
        <v>0</v>
      </c>
      <c r="U312" s="8">
        <f ca="1">IF(U$6&lt;OFFSET(Assumptions!$B$55,0,$C$1),T$312,0)</f>
        <v>0</v>
      </c>
      <c r="V312" s="8">
        <f ca="1">IF(V$6&lt;OFFSET(Assumptions!$B$55,0,$C$1),U$312,0)</f>
        <v>0</v>
      </c>
      <c r="W312" s="8">
        <f ca="1">IF(W$6&lt;OFFSET(Assumptions!$B$55,0,$C$1),V$312,0)</f>
        <v>0</v>
      </c>
      <c r="X312" s="8">
        <f ca="1">IF(X$6&lt;OFFSET(Assumptions!$B$55,0,$C$1),W$312,0)</f>
        <v>0</v>
      </c>
      <c r="Y312" s="8">
        <f ca="1">IF(Y$6&lt;OFFSET(Assumptions!$B$55,0,$C$1),X$312,0)</f>
        <v>0</v>
      </c>
      <c r="Z312" s="8">
        <f ca="1">IF(Z$6&lt;OFFSET(Assumptions!$B$55,0,$C$1),Y$312,0)</f>
        <v>0</v>
      </c>
      <c r="AA312" s="8">
        <f ca="1">IF(AA$6&lt;OFFSET(Assumptions!$B$55,0,$C$1),Z$312,0)</f>
        <v>0</v>
      </c>
      <c r="AB312" s="8">
        <f ca="1">IF(AB$6&lt;OFFSET(Assumptions!$B$55,0,$C$1),AA$312,0)</f>
        <v>0</v>
      </c>
      <c r="AC312" s="8">
        <f ca="1">IF(AC$6&lt;OFFSET(Assumptions!$B$55,0,$C$1),AB$312,0)</f>
        <v>0</v>
      </c>
      <c r="AD312" s="8">
        <f ca="1">IF(AD$6&lt;OFFSET(Assumptions!$B$55,0,$C$1),AC$312,0)</f>
        <v>0</v>
      </c>
      <c r="AE312" s="8">
        <f ca="1">IF(AE$6&lt;OFFSET(Assumptions!$B$55,0,$C$1),AD$312,0)</f>
        <v>0</v>
      </c>
      <c r="AF312" s="8">
        <f ca="1">IF(AF$6&lt;OFFSET(Assumptions!$B$55,0,$C$1),AE$312,0)</f>
        <v>0</v>
      </c>
      <c r="AG312" s="8">
        <f ca="1">IF(AG$6&lt;OFFSET(Assumptions!$B$55,0,$C$1),AF$312,0)</f>
        <v>0</v>
      </c>
      <c r="AH312" s="8">
        <f ca="1">IF(AH$6&lt;OFFSET(Assumptions!$B$55,0,$C$1),AG$312,0)</f>
        <v>0</v>
      </c>
      <c r="AI312" s="8">
        <f ca="1">IF(AI$6&lt;OFFSET(Assumptions!$B$55,0,$C$1),AH$312,0)</f>
        <v>0</v>
      </c>
      <c r="AJ312" s="8">
        <f ca="1">IF(AJ$6&lt;OFFSET(Assumptions!$B$55,0,$C$1),AI$312,0)</f>
        <v>0</v>
      </c>
      <c r="AK312" s="8">
        <f ca="1">IF(AK$6&lt;OFFSET(Assumptions!$B$55,0,$C$1),AJ$312,0)</f>
        <v>0</v>
      </c>
      <c r="AL312" s="8">
        <f ca="1">IF(AL$6&lt;OFFSET(Assumptions!$B$55,0,$C$1),AK$312,0)</f>
        <v>0</v>
      </c>
      <c r="AM312" s="8">
        <f ca="1">IF(AM$6&lt;OFFSET(Assumptions!$B$55,0,$C$1),AL$312,0)</f>
        <v>0</v>
      </c>
      <c r="AN312" s="8">
        <f ca="1">IF(AN$6&lt;OFFSET(Assumptions!$B$55,0,$C$1),AM$312,0)</f>
        <v>0</v>
      </c>
      <c r="AO312" s="8">
        <f ca="1">IF(AO$6&lt;OFFSET(Assumptions!$B$55,0,$C$1),AN$312,0)</f>
        <v>0</v>
      </c>
      <c r="AP312" s="8">
        <f ca="1">IF(AP$6&lt;OFFSET(Assumptions!$B$55,0,$C$1),AO$312,0)</f>
        <v>0</v>
      </c>
      <c r="AQ312" s="8">
        <f ca="1">IF(AQ$6&lt;OFFSET(Assumptions!$B$55,0,$C$1),AP$312,0)</f>
        <v>0</v>
      </c>
      <c r="AR312" s="8">
        <f ca="1">IF(AR$6&lt;OFFSET(Assumptions!$B$55,0,$C$1),AQ$312,0)</f>
        <v>0</v>
      </c>
      <c r="AS312" s="8">
        <f ca="1">IF(AS$6&lt;OFFSET(Assumptions!$B$55,0,$C$1),AR$312,0)</f>
        <v>0</v>
      </c>
      <c r="AT312" s="8">
        <f ca="1">IF(AT$6&lt;OFFSET(Assumptions!$B$55,0,$C$1),AS$312,0)</f>
        <v>0</v>
      </c>
      <c r="AU312" s="8">
        <f ca="1">IF(AU$6&lt;OFFSET(Assumptions!$B$55,0,$C$1),AT$312,0)</f>
        <v>0</v>
      </c>
      <c r="AV312" s="8">
        <f ca="1">IF(AV$6&lt;OFFSET(Assumptions!$B$55,0,$C$1),AU$312,0)</f>
        <v>0</v>
      </c>
      <c r="AW312" s="8">
        <f ca="1">IF(AW$6&lt;OFFSET(Assumptions!$B$55,0,$C$1),AV$312,0)</f>
        <v>0</v>
      </c>
    </row>
    <row r="313" spans="1:49" ht="15" x14ac:dyDescent="0.25">
      <c r="A313" s="2" t="s">
        <v>585</v>
      </c>
      <c r="B313" s="4" t="str">
        <f t="shared" si="201"/>
        <v>From Fiscal</v>
      </c>
      <c r="D313" s="47">
        <f>Fiscal!D$49</f>
        <v>0.14499999999999999</v>
      </c>
      <c r="E313" s="44">
        <f>Fiscal!E$49</f>
        <v>0.51200000000000001</v>
      </c>
      <c r="F313" s="44">
        <f>Fiscal!F$49</f>
        <v>0.439</v>
      </c>
      <c r="G313" s="44">
        <f>Fiscal!G$49</f>
        <v>0.46600000000000003</v>
      </c>
      <c r="H313" s="44">
        <f>Fiscal!H$49</f>
        <v>0.46200000000000002</v>
      </c>
      <c r="I313" s="44">
        <f>Fiscal!I$49</f>
        <v>0.46200000000000002</v>
      </c>
      <c r="J313" s="8">
        <f ca="1">IF(J$6&lt;OFFSET(Assumptions!$B$55,0,$C$1),I$313,0)</f>
        <v>0</v>
      </c>
      <c r="K313" s="8">
        <f ca="1">IF(K$6&lt;OFFSET(Assumptions!$B$55,0,$C$1),J$313,0)</f>
        <v>0</v>
      </c>
      <c r="L313" s="8">
        <f ca="1">IF(L$6&lt;OFFSET(Assumptions!$B$55,0,$C$1),K$313,0)</f>
        <v>0</v>
      </c>
      <c r="M313" s="8">
        <f ca="1">IF(M$6&lt;OFFSET(Assumptions!$B$55,0,$C$1),L$313,0)</f>
        <v>0</v>
      </c>
      <c r="N313" s="8">
        <f ca="1">IF(N$6&lt;OFFSET(Assumptions!$B$55,0,$C$1),M$313,0)</f>
        <v>0</v>
      </c>
      <c r="O313" s="8">
        <f ca="1">IF(O$6&lt;OFFSET(Assumptions!$B$55,0,$C$1),N$313,0)</f>
        <v>0</v>
      </c>
      <c r="P313" s="8">
        <f ca="1">IF(P$6&lt;OFFSET(Assumptions!$B$55,0,$C$1),O$313,0)</f>
        <v>0</v>
      </c>
      <c r="Q313" s="8">
        <f ca="1">IF(Q$6&lt;OFFSET(Assumptions!$B$55,0,$C$1),P$313,0)</f>
        <v>0</v>
      </c>
      <c r="R313" s="8">
        <f ca="1">IF(R$6&lt;OFFSET(Assumptions!$B$55,0,$C$1),Q$313,0)</f>
        <v>0</v>
      </c>
      <c r="S313" s="8">
        <f ca="1">IF(S$6&lt;OFFSET(Assumptions!$B$55,0,$C$1),R$313,0)</f>
        <v>0</v>
      </c>
      <c r="T313" s="8">
        <f ca="1">IF(T$6&lt;OFFSET(Assumptions!$B$55,0,$C$1),S$313,0)</f>
        <v>0</v>
      </c>
      <c r="U313" s="8">
        <f ca="1">IF(U$6&lt;OFFSET(Assumptions!$B$55,0,$C$1),T$313,0)</f>
        <v>0</v>
      </c>
      <c r="V313" s="8">
        <f ca="1">IF(V$6&lt;OFFSET(Assumptions!$B$55,0,$C$1),U$313,0)</f>
        <v>0</v>
      </c>
      <c r="W313" s="8">
        <f ca="1">IF(W$6&lt;OFFSET(Assumptions!$B$55,0,$C$1),V$313,0)</f>
        <v>0</v>
      </c>
      <c r="X313" s="8">
        <f ca="1">IF(X$6&lt;OFFSET(Assumptions!$B$55,0,$C$1),W$313,0)</f>
        <v>0</v>
      </c>
      <c r="Y313" s="8">
        <f ca="1">IF(Y$6&lt;OFFSET(Assumptions!$B$55,0,$C$1),X$313,0)</f>
        <v>0</v>
      </c>
      <c r="Z313" s="8">
        <f ca="1">IF(Z$6&lt;OFFSET(Assumptions!$B$55,0,$C$1),Y$313,0)</f>
        <v>0</v>
      </c>
      <c r="AA313" s="8">
        <f ca="1">IF(AA$6&lt;OFFSET(Assumptions!$B$55,0,$C$1),Z$313,0)</f>
        <v>0</v>
      </c>
      <c r="AB313" s="8">
        <f ca="1">IF(AB$6&lt;OFFSET(Assumptions!$B$55,0,$C$1),AA$313,0)</f>
        <v>0</v>
      </c>
      <c r="AC313" s="8">
        <f ca="1">IF(AC$6&lt;OFFSET(Assumptions!$B$55,0,$C$1),AB$313,0)</f>
        <v>0</v>
      </c>
      <c r="AD313" s="8">
        <f ca="1">IF(AD$6&lt;OFFSET(Assumptions!$B$55,0,$C$1),AC$313,0)</f>
        <v>0</v>
      </c>
      <c r="AE313" s="8">
        <f ca="1">IF(AE$6&lt;OFFSET(Assumptions!$B$55,0,$C$1),AD$313,0)</f>
        <v>0</v>
      </c>
      <c r="AF313" s="8">
        <f ca="1">IF(AF$6&lt;OFFSET(Assumptions!$B$55,0,$C$1),AE$313,0)</f>
        <v>0</v>
      </c>
      <c r="AG313" s="8">
        <f ca="1">IF(AG$6&lt;OFFSET(Assumptions!$B$55,0,$C$1),AF$313,0)</f>
        <v>0</v>
      </c>
      <c r="AH313" s="8">
        <f ca="1">IF(AH$6&lt;OFFSET(Assumptions!$B$55,0,$C$1),AG$313,0)</f>
        <v>0</v>
      </c>
      <c r="AI313" s="8">
        <f ca="1">IF(AI$6&lt;OFFSET(Assumptions!$B$55,0,$C$1),AH$313,0)</f>
        <v>0</v>
      </c>
      <c r="AJ313" s="8">
        <f ca="1">IF(AJ$6&lt;OFFSET(Assumptions!$B$55,0,$C$1),AI$313,0)</f>
        <v>0</v>
      </c>
      <c r="AK313" s="8">
        <f ca="1">IF(AK$6&lt;OFFSET(Assumptions!$B$55,0,$C$1),AJ$313,0)</f>
        <v>0</v>
      </c>
      <c r="AL313" s="8">
        <f ca="1">IF(AL$6&lt;OFFSET(Assumptions!$B$55,0,$C$1),AK$313,0)</f>
        <v>0</v>
      </c>
      <c r="AM313" s="8">
        <f ca="1">IF(AM$6&lt;OFFSET(Assumptions!$B$55,0,$C$1),AL$313,0)</f>
        <v>0</v>
      </c>
      <c r="AN313" s="8">
        <f ca="1">IF(AN$6&lt;OFFSET(Assumptions!$B$55,0,$C$1),AM$313,0)</f>
        <v>0</v>
      </c>
      <c r="AO313" s="8">
        <f ca="1">IF(AO$6&lt;OFFSET(Assumptions!$B$55,0,$C$1),AN$313,0)</f>
        <v>0</v>
      </c>
      <c r="AP313" s="8">
        <f ca="1">IF(AP$6&lt;OFFSET(Assumptions!$B$55,0,$C$1),AO$313,0)</f>
        <v>0</v>
      </c>
      <c r="AQ313" s="8">
        <f ca="1">IF(AQ$6&lt;OFFSET(Assumptions!$B$55,0,$C$1),AP$313,0)</f>
        <v>0</v>
      </c>
      <c r="AR313" s="8">
        <f ca="1">IF(AR$6&lt;OFFSET(Assumptions!$B$55,0,$C$1),AQ$313,0)</f>
        <v>0</v>
      </c>
      <c r="AS313" s="8">
        <f ca="1">IF(AS$6&lt;OFFSET(Assumptions!$B$55,0,$C$1),AR$313,0)</f>
        <v>0</v>
      </c>
      <c r="AT313" s="8">
        <f ca="1">IF(AT$6&lt;OFFSET(Assumptions!$B$55,0,$C$1),AS$313,0)</f>
        <v>0</v>
      </c>
      <c r="AU313" s="8">
        <f ca="1">IF(AU$6&lt;OFFSET(Assumptions!$B$55,0,$C$1),AT$313,0)</f>
        <v>0</v>
      </c>
      <c r="AV313" s="8">
        <f ca="1">IF(AV$6&lt;OFFSET(Assumptions!$B$55,0,$C$1),AU$313,0)</f>
        <v>0</v>
      </c>
      <c r="AW313" s="8">
        <f ca="1">IF(AW$6&lt;OFFSET(Assumptions!$B$55,0,$C$1),AV$313,0)</f>
        <v>0</v>
      </c>
    </row>
    <row r="314" spans="1:49" ht="15" x14ac:dyDescent="0.25">
      <c r="A314" s="2"/>
      <c r="B314" s="4"/>
      <c r="D314" s="47"/>
      <c r="E314" s="44"/>
      <c r="F314" s="44"/>
      <c r="G314" s="44"/>
      <c r="H314" s="44"/>
      <c r="I314" s="44"/>
      <c r="J314" s="8"/>
      <c r="K314" s="8"/>
      <c r="L314" s="8"/>
      <c r="M314" s="8"/>
      <c r="N314" s="8"/>
      <c r="O314" s="8"/>
      <c r="P314" s="8"/>
      <c r="Q314" s="8"/>
      <c r="R314" s="8"/>
      <c r="S314" s="8"/>
    </row>
    <row r="315" spans="1:49" ht="15" x14ac:dyDescent="0.25">
      <c r="A315" s="22" t="s">
        <v>587</v>
      </c>
      <c r="B315" s="4"/>
      <c r="D315" s="47"/>
      <c r="E315" s="44"/>
      <c r="F315" s="44"/>
      <c r="G315" s="44"/>
      <c r="H315" s="44"/>
      <c r="I315" s="44"/>
      <c r="J315" s="8"/>
      <c r="K315" s="8"/>
      <c r="L315" s="8"/>
      <c r="M315" s="8"/>
      <c r="N315" s="8"/>
      <c r="O315" s="8"/>
      <c r="P315" s="8"/>
      <c r="Q315" s="8"/>
      <c r="R315" s="8"/>
      <c r="S315" s="8"/>
    </row>
    <row r="316" spans="1:49" ht="15" x14ac:dyDescent="0.25">
      <c r="A316" s="2" t="s">
        <v>744</v>
      </c>
      <c r="B316" s="4" t="str">
        <f t="shared" si="201"/>
        <v>From Fiscal</v>
      </c>
      <c r="D316" s="47">
        <f>Fiscal!D$199</f>
        <v>4.8250000000000002</v>
      </c>
      <c r="E316" s="44">
        <f>Fiscal!E$199</f>
        <v>5.4420000000000002</v>
      </c>
      <c r="F316" s="44">
        <f>Fiscal!F$199</f>
        <v>5.3979999999999997</v>
      </c>
      <c r="G316" s="44">
        <f>Fiscal!G$199</f>
        <v>5.5609999999999999</v>
      </c>
      <c r="H316" s="44">
        <f>Fiscal!H$199</f>
        <v>5.66</v>
      </c>
      <c r="I316" s="44">
        <f>Fiscal!I$199</f>
        <v>5.7380000000000004</v>
      </c>
      <c r="J316" s="8">
        <f ca="1">IF(J$6=OFFSET(Assumptions!$B$8,0,$C$1),AVERAGE(G$316/(SUM(G$236,G$272,G$276,G$280,G$297,G$301,G$305,G$309)-SUM(G$235,G$271,G$275,G$279,G$296,G$300,G$304,G$308)),H$316/(SUM(H$236,H$272,H$276,H$280,H$297,H$301,H$305,H$309)-SUM(H$235,H$271,H$275,H$279,H$296,H$300,H$304,H$308)),I$316/(SUM(I$236,I$272,I$276,I$280,I$297,I$301,I$305,I$309)-SUM(I$235,I$271,I$275,I$279,I$296,I$300,I$304,I$308))),I$316/(SUM(I$236,I$272,I$276,I$280,I$297,I$301,I$305,I$309)-SUM(I$235,I$271,I$275,I$279,I$296,I$300,I$304,I$308)))*(SUM(J$236,J$272,J$276,J$280,J$297,J$301,J$305,J$309)-SUM(J$235,J$271,J$275,J$279,J$296,J$300,J$304,J$308))</f>
        <v>6.1499258137779131</v>
      </c>
      <c r="K316" s="8">
        <f ca="1">IF(K$6=OFFSET(Assumptions!$B$8,0,$C$1),AVERAGE(H$316/(SUM(H$236,H$272,H$276,H$280,H$297,H$301,H$305,H$309)-SUM(H$235,H$271,H$275,H$279,H$296,H$300,H$304,H$308)),I$316/(SUM(I$236,I$272,I$276,I$280,I$297,I$301,I$305,I$309)-SUM(I$235,I$271,I$275,I$279,I$296,I$300,I$304,I$308)),J$316/(SUM(J$236,J$272,J$276,J$280,J$297,J$301,J$305,J$309)-SUM(J$235,J$271,J$275,J$279,J$296,J$300,J$304,J$308))),J$316/(SUM(J$236,J$272,J$276,J$280,J$297,J$301,J$305,J$309)-SUM(J$235,J$271,J$275,J$279,J$296,J$300,J$304,J$308)))*(SUM(K$236,K$272,K$276,K$280,K$297,K$301,K$305,K$309)-SUM(K$235,K$271,K$275,K$279,K$296,K$300,K$304,K$308))</f>
        <v>6.4049343964868566</v>
      </c>
      <c r="L316" s="8">
        <f ca="1">IF(L$6=OFFSET(Assumptions!$B$8,0,$C$1),AVERAGE(I$316/(SUM(I$236,I$272,I$276,I$280,I$297,I$301,I$305,I$309)-SUM(I$235,I$271,I$275,I$279,I$296,I$300,I$304,I$308)),J$316/(SUM(J$236,J$272,J$276,J$280,J$297,J$301,J$305,J$309)-SUM(J$235,J$271,J$275,J$279,J$296,J$300,J$304,J$308)),K$316/(SUM(K$236,K$272,K$276,K$280,K$297,K$301,K$305,K$309)-SUM(K$235,K$271,K$275,K$279,K$296,K$300,K$304,K$308))),K$316/(SUM(K$236,K$272,K$276,K$280,K$297,K$301,K$305,K$309)-SUM(K$235,K$271,K$275,K$279,K$296,K$300,K$304,K$308)))*(SUM(L$236,L$272,L$276,L$280,L$297,L$301,L$305,L$309)-SUM(L$235,L$271,L$275,L$279,L$296,L$300,L$304,L$308))</f>
        <v>6.6810452181561368</v>
      </c>
      <c r="M316" s="8">
        <f ca="1">IF(M$6=OFFSET(Assumptions!$B$8,0,$C$1),AVERAGE(J$316/(SUM(J$236,J$272,J$276,J$280,J$297,J$301,J$305,J$309)-SUM(J$235,J$271,J$275,J$279,J$296,J$300,J$304,J$308)),K$316/(SUM(K$236,K$272,K$276,K$280,K$297,K$301,K$305,K$309)-SUM(K$235,K$271,K$275,K$279,K$296,K$300,K$304,K$308)),L$316/(SUM(L$236,L$272,L$276,L$280,L$297,L$301,L$305,L$309)-SUM(L$235,L$271,L$275,L$279,L$296,L$300,L$304,L$308))),L$316/(SUM(L$236,L$272,L$276,L$280,L$297,L$301,L$305,L$309)-SUM(L$235,L$271,L$275,L$279,L$296,L$300,L$304,L$308)))*(SUM(M$236,M$272,M$276,M$280,M$297,M$301,M$305,M$309)-SUM(M$235,M$271,M$275,M$279,M$296,M$300,M$304,M$308))</f>
        <v>6.9688259877506455</v>
      </c>
      <c r="N316" s="8">
        <f ca="1">IF(N$6=OFFSET(Assumptions!$B$8,0,$C$1),AVERAGE(K$316/(SUM(K$236,K$272,K$276,K$280,K$297,K$301,K$305,K$309)-SUM(K$235,K$271,K$275,K$279,K$296,K$300,K$304,K$308)),L$316/(SUM(L$236,L$272,L$276,L$280,L$297,L$301,L$305,L$309)-SUM(L$235,L$271,L$275,L$279,L$296,L$300,L$304,L$308)),M$316/(SUM(M$236,M$272,M$276,M$280,M$297,M$301,M$305,M$309)-SUM(M$235,M$271,M$275,M$279,M$296,M$300,M$304,M$308))),M$316/(SUM(M$236,M$272,M$276,M$280,M$297,M$301,M$305,M$309)-SUM(M$235,M$271,M$275,M$279,M$296,M$300,M$304,M$308)))*(SUM(N$236,N$272,N$276,N$280,N$297,N$301,N$305,N$309)-SUM(N$235,N$271,N$275,N$279,N$296,N$300,N$304,N$308))</f>
        <v>7.2684236971085703</v>
      </c>
      <c r="O316" s="8">
        <f ca="1">IF(O$6=OFFSET(Assumptions!$B$8,0,$C$1),AVERAGE(L$316/(SUM(L$236,L$272,L$276,L$280,L$297,L$301,L$305,L$309)-SUM(L$235,L$271,L$275,L$279,L$296,L$300,L$304,L$308)),M$316/(SUM(M$236,M$272,M$276,M$280,M$297,M$301,M$305,M$309)-SUM(M$235,M$271,M$275,M$279,M$296,M$300,M$304,M$308)),N$316/(SUM(N$236,N$272,N$276,N$280,N$297,N$301,N$305,N$309)-SUM(N$235,N$271,N$275,N$279,N$296,N$300,N$304,N$308))),N$316/(SUM(N$236,N$272,N$276,N$280,N$297,N$301,N$305,N$309)-SUM(N$235,N$271,N$275,N$279,N$296,N$300,N$304,N$308)))*(SUM(O$236,O$272,O$276,O$280,O$297,O$301,O$305,O$309)-SUM(O$235,O$271,O$275,O$279,O$296,O$300,O$304,O$308))</f>
        <v>7.5777445547958706</v>
      </c>
      <c r="P316" s="8">
        <f ca="1">IF(P$6=OFFSET(Assumptions!$B$8,0,$C$1),AVERAGE(M$316/(SUM(M$236,M$272,M$276,M$280,M$297,M$301,M$305,M$309)-SUM(M$235,M$271,M$275,M$279,M$296,M$300,M$304,M$308)),N$316/(SUM(N$236,N$272,N$276,N$280,N$297,N$301,N$305,N$309)-SUM(N$235,N$271,N$275,N$279,N$296,N$300,N$304,N$308)),O$316/(SUM(O$236,O$272,O$276,O$280,O$297,O$301,O$305,O$309)-SUM(O$235,O$271,O$275,O$279,O$296,O$300,O$304,O$308))),O$316/(SUM(O$236,O$272,O$276,O$280,O$297,O$301,O$305,O$309)-SUM(O$235,O$271,O$275,O$279,O$296,O$300,O$304,O$308)))*(SUM(P$236,P$272,P$276,P$280,P$297,P$301,P$305,P$309)-SUM(P$235,P$271,P$275,P$279,P$296,P$300,P$304,P$308))</f>
        <v>7.8971986807881809</v>
      </c>
      <c r="Q316" s="8">
        <f ca="1">IF(Q$6=OFFSET(Assumptions!$B$8,0,$C$1),AVERAGE(N$316/(SUM(N$236,N$272,N$276,N$280,N$297,N$301,N$305,N$309)-SUM(N$235,N$271,N$275,N$279,N$296,N$300,N$304,N$308)),O$316/(SUM(O$236,O$272,O$276,O$280,O$297,O$301,O$305,O$309)-SUM(O$235,O$271,O$275,O$279,O$296,O$300,O$304,O$308)),P$316/(SUM(P$236,P$272,P$276,P$280,P$297,P$301,P$305,P$309)-SUM(P$235,P$271,P$275,P$279,P$296,P$300,P$304,P$308))),P$316/(SUM(P$236,P$272,P$276,P$280,P$297,P$301,P$305,P$309)-SUM(P$235,P$271,P$275,P$279,P$296,P$300,P$304,P$308)))*(SUM(Q$236,Q$272,Q$276,Q$280,Q$297,Q$301,Q$305,Q$309)-SUM(Q$235,Q$271,Q$275,Q$279,Q$296,Q$300,Q$304,Q$308))</f>
        <v>8.226137292139617</v>
      </c>
      <c r="R316" s="8">
        <f ca="1">IF(R$6=OFFSET(Assumptions!$B$8,0,$C$1),AVERAGE(O$316/(SUM(O$236,O$272,O$276,O$280,O$297,O$301,O$305,O$309)-SUM(O$235,O$271,O$275,O$279,O$296,O$300,O$304,O$308)),P$316/(SUM(P$236,P$272,P$276,P$280,P$297,P$301,P$305,P$309)-SUM(P$235,P$271,P$275,P$279,P$296,P$300,P$304,P$308)),Q$316/(SUM(Q$236,Q$272,Q$276,Q$280,Q$297,Q$301,Q$305,Q$309)-SUM(Q$235,Q$271,Q$275,Q$279,Q$296,Q$300,Q$304,Q$308))),Q$316/(SUM(Q$236,Q$272,Q$276,Q$280,Q$297,Q$301,Q$305,Q$309)-SUM(Q$235,Q$271,Q$275,Q$279,Q$296,Q$300,Q$304,Q$308)))*(SUM(R$236,R$272,R$276,R$280,R$297,R$301,R$305,R$309)-SUM(R$235,R$271,R$275,R$279,R$296,R$300,R$304,R$308))</f>
        <v>8.5640122399243168</v>
      </c>
      <c r="S316" s="8">
        <f ca="1">IF(S$6=OFFSET(Assumptions!$B$8,0,$C$1),AVERAGE(P$316/(SUM(P$236,P$272,P$276,P$280,P$297,P$301,P$305,P$309)-SUM(P$235,P$271,P$275,P$279,P$296,P$300,P$304,P$308)),Q$316/(SUM(Q$236,Q$272,Q$276,Q$280,Q$297,Q$301,Q$305,Q$309)-SUM(Q$235,Q$271,Q$275,Q$279,Q$296,Q$300,Q$304,Q$308)),R$316/(SUM(R$236,R$272,R$276,R$280,R$297,R$301,R$305,R$309)-SUM(R$235,R$271,R$275,R$279,R$296,R$300,R$304,R$308))),R$316/(SUM(R$236,R$272,R$276,R$280,R$297,R$301,R$305,R$309)-SUM(R$235,R$271,R$275,R$279,R$296,R$300,R$304,R$308)))*(SUM(S$236,S$272,S$276,S$280,S$297,S$301,S$305,S$309)-SUM(S$235,S$271,S$275,S$279,S$296,S$300,S$304,S$308))</f>
        <v>8.9126294369276025</v>
      </c>
      <c r="T316" s="8">
        <f ca="1">IF(T$6=OFFSET(Assumptions!$B$8,0,$C$1),AVERAGE(Q$316/(SUM(Q$236,Q$272,Q$276,Q$280,Q$297,Q$301,Q$305,Q$309)-SUM(Q$235,Q$271,Q$275,Q$279,Q$296,Q$300,Q$304,Q$308)),R$316/(SUM(R$236,R$272,R$276,R$280,R$297,R$301,R$305,R$309)-SUM(R$235,R$271,R$275,R$279,R$296,R$300,R$304,R$308)),S$316/(SUM(S$236,S$272,S$276,S$280,S$297,S$301,S$305,S$309)-SUM(S$235,S$271,S$275,S$279,S$296,S$300,S$304,S$308))),S$316/(SUM(S$236,S$272,S$276,S$280,S$297,S$301,S$305,S$309)-SUM(S$235,S$271,S$275,S$279,S$296,S$300,S$304,S$308)))*(SUM(T$236,T$272,T$276,T$280,T$297,T$301,T$305,T$309)-SUM(T$235,T$271,T$275,T$279,T$296,T$300,T$304,T$308))</f>
        <v>9.271934076696704</v>
      </c>
      <c r="U316" s="8">
        <f ca="1">IF(U$6=OFFSET(Assumptions!$B$8,0,$C$1),AVERAGE(R$316/(SUM(R$236,R$272,R$276,R$280,R$297,R$301,R$305,R$309)-SUM(R$235,R$271,R$275,R$279,R$296,R$300,R$304,R$308)),S$316/(SUM(S$236,S$272,S$276,S$280,S$297,S$301,S$305,S$309)-SUM(S$235,S$271,S$275,S$279,S$296,S$300,S$304,S$308)),T$316/(SUM(T$236,T$272,T$276,T$280,T$297,T$301,T$305,T$309)-SUM(T$235,T$271,T$275,T$279,T$296,T$300,T$304,T$308))),T$316/(SUM(T$236,T$272,T$276,T$280,T$297,T$301,T$305,T$309)-SUM(T$235,T$271,T$275,T$279,T$296,T$300,T$304,T$308)))*(SUM(U$236,U$272,U$276,U$280,U$297,U$301,U$305,U$309)-SUM(U$235,U$271,U$275,U$279,U$296,U$300,U$304,U$308))</f>
        <v>9.6433409127684442</v>
      </c>
      <c r="V316" s="8">
        <f ca="1">IF(V$6=OFFSET(Assumptions!$B$8,0,$C$1),AVERAGE(S$316/(SUM(S$236,S$272,S$276,S$280,S$297,S$301,S$305,S$309)-SUM(S$235,S$271,S$275,S$279,S$296,S$300,S$304,S$308)),T$316/(SUM(T$236,T$272,T$276,T$280,T$297,T$301,T$305,T$309)-SUM(T$235,T$271,T$275,T$279,T$296,T$300,T$304,T$308)),U$316/(SUM(U$236,U$272,U$276,U$280,U$297,U$301,U$305,U$309)-SUM(U$235,U$271,U$275,U$279,U$296,U$300,U$304,U$308))),U$316/(SUM(U$236,U$272,U$276,U$280,U$297,U$301,U$305,U$309)-SUM(U$235,U$271,U$275,U$279,U$296,U$300,U$304,U$308)))*(SUM(V$236,V$272,V$276,V$280,V$297,V$301,V$305,V$309)-SUM(V$235,V$271,V$275,V$279,V$296,V$300,V$304,V$308))</f>
        <v>10.027769314635561</v>
      </c>
      <c r="W316" s="8">
        <f ca="1">IF(W$6=OFFSET(Assumptions!$B$8,0,$C$1),AVERAGE(T$316/(SUM(T$236,T$272,T$276,T$280,T$297,T$301,T$305,T$309)-SUM(T$235,T$271,T$275,T$279,T$296,T$300,T$304,T$308)),U$316/(SUM(U$236,U$272,U$276,U$280,U$297,U$301,U$305,U$309)-SUM(U$235,U$271,U$275,U$279,U$296,U$300,U$304,U$308)),V$316/(SUM(V$236,V$272,V$276,V$280,V$297,V$301,V$305,V$309)-SUM(V$235,V$271,V$275,V$279,V$296,V$300,V$304,V$308))),V$316/(SUM(V$236,V$272,V$276,V$280,V$297,V$301,V$305,V$309)-SUM(V$235,V$271,V$275,V$279,V$296,V$300,V$304,V$308)))*(SUM(W$236,W$272,W$276,W$280,W$297,W$301,W$305,W$309)-SUM(W$235,W$271,W$275,W$279,W$296,W$300,W$304,W$308))</f>
        <v>10.426336060772913</v>
      </c>
      <c r="X316" s="8">
        <f ca="1">IF(X$6=OFFSET(Assumptions!$B$8,0,$C$1),AVERAGE(U$316/(SUM(U$236,U$272,U$276,U$280,U$297,U$301,U$305,U$309)-SUM(U$235,U$271,U$275,U$279,U$296,U$300,U$304,U$308)),V$316/(SUM(V$236,V$272,V$276,V$280,V$297,V$301,V$305,V$309)-SUM(V$235,V$271,V$275,V$279,V$296,V$300,V$304,V$308)),W$316/(SUM(W$236,W$272,W$276,W$280,W$297,W$301,W$305,W$309)-SUM(W$235,W$271,W$275,W$279,W$296,W$300,W$304,W$308))),W$316/(SUM(W$236,W$272,W$276,W$280,W$297,W$301,W$305,W$309)-SUM(W$235,W$271,W$275,W$279,W$296,W$300,W$304,W$308)))*(SUM(X$236,X$272,X$276,X$280,X$297,X$301,X$305,X$309)-SUM(X$235,X$271,X$275,X$279,X$296,X$300,X$304,X$308))</f>
        <v>10.840246109958846</v>
      </c>
      <c r="Y316" s="8">
        <f ca="1">IF(Y$6=OFFSET(Assumptions!$B$8,0,$C$1),AVERAGE(V$316/(SUM(V$236,V$272,V$276,V$280,V$297,V$301,V$305,V$309)-SUM(V$235,V$271,V$275,V$279,V$296,V$300,V$304,V$308)),W$316/(SUM(W$236,W$272,W$276,W$280,W$297,W$301,W$305,W$309)-SUM(W$235,W$271,W$275,W$279,W$296,W$300,W$304,W$308)),X$316/(SUM(X$236,X$272,X$276,X$280,X$297,X$301,X$305,X$309)-SUM(X$235,X$271,X$275,X$279,X$296,X$300,X$304,X$308))),X$316/(SUM(X$236,X$272,X$276,X$280,X$297,X$301,X$305,X$309)-SUM(X$235,X$271,X$275,X$279,X$296,X$300,X$304,X$308)))*(SUM(Y$236,Y$272,Y$276,Y$280,Y$297,Y$301,Y$305,Y$309)-SUM(Y$235,Y$271,Y$275,Y$279,Y$296,Y$300,Y$304,Y$308))</f>
        <v>11.269639302754426</v>
      </c>
      <c r="Z316" s="8">
        <f ca="1">IF(Z$6=OFFSET(Assumptions!$B$8,0,$C$1),AVERAGE(W$316/(SUM(W$236,W$272,W$276,W$280,W$297,W$301,W$305,W$309)-SUM(W$235,W$271,W$275,W$279,W$296,W$300,W$304,W$308)),X$316/(SUM(X$236,X$272,X$276,X$280,X$297,X$301,X$305,X$309)-SUM(X$235,X$271,X$275,X$279,X$296,X$300,X$304,X$308)),Y$316/(SUM(Y$236,Y$272,Y$276,Y$280,Y$297,Y$301,Y$305,Y$309)-SUM(Y$235,Y$271,Y$275,Y$279,Y$296,Y$300,Y$304,Y$308))),Y$316/(SUM(Y$236,Y$272,Y$276,Y$280,Y$297,Y$301,Y$305,Y$309)-SUM(Y$235,Y$271,Y$275,Y$279,Y$296,Y$300,Y$304,Y$308)))*(SUM(Z$236,Z$272,Z$276,Z$280,Z$297,Z$301,Z$305,Z$309)-SUM(Z$235,Z$271,Z$275,Z$279,Z$296,Z$300,Z$304,Z$308))</f>
        <v>11.71657248255744</v>
      </c>
      <c r="AA316" s="8">
        <f ca="1">IF(AA$6=OFFSET(Assumptions!$B$8,0,$C$1),AVERAGE(X$316/(SUM(X$236,X$272,X$276,X$280,X$297,X$301,X$305,X$309)-SUM(X$235,X$271,X$275,X$279,X$296,X$300,X$304,X$308)),Y$316/(SUM(Y$236,Y$272,Y$276,Y$280,Y$297,Y$301,Y$305,Y$309)-SUM(Y$235,Y$271,Y$275,Y$279,Y$296,Y$300,Y$304,Y$308)),Z$316/(SUM(Z$236,Z$272,Z$276,Z$280,Z$297,Z$301,Z$305,Z$309)-SUM(Z$235,Z$271,Z$275,Z$279,Z$296,Z$300,Z$304,Z$308))),Z$316/(SUM(Z$236,Z$272,Z$276,Z$280,Z$297,Z$301,Z$305,Z$309)-SUM(Z$235,Z$271,Z$275,Z$279,Z$296,Z$300,Z$304,Z$308)))*(SUM(AA$236,AA$272,AA$276,AA$280,AA$297,AA$301,AA$305,AA$309)-SUM(AA$235,AA$271,AA$275,AA$279,AA$296,AA$300,AA$304,AA$308))</f>
        <v>12.181709605754103</v>
      </c>
      <c r="AB316" s="8">
        <f ca="1">IF(AB$6=OFFSET(Assumptions!$B$8,0,$C$1),AVERAGE(Y$316/(SUM(Y$236,Y$272,Y$276,Y$280,Y$297,Y$301,Y$305,Y$309)-SUM(Y$235,Y$271,Y$275,Y$279,Y$296,Y$300,Y$304,Y$308)),Z$316/(SUM(Z$236,Z$272,Z$276,Z$280,Z$297,Z$301,Z$305,Z$309)-SUM(Z$235,Z$271,Z$275,Z$279,Z$296,Z$300,Z$304,Z$308)),AA$316/(SUM(AA$236,AA$272,AA$276,AA$280,AA$297,AA$301,AA$305,AA$309)-SUM(AA$235,AA$271,AA$275,AA$279,AA$296,AA$300,AA$304,AA$308))),AA$316/(SUM(AA$236,AA$272,AA$276,AA$280,AA$297,AA$301,AA$305,AA$309)-SUM(AA$235,AA$271,AA$275,AA$279,AA$296,AA$300,AA$304,AA$308)))*(SUM(AB$236,AB$272,AB$276,AB$280,AB$297,AB$301,AB$305,AB$309)-SUM(AB$235,AB$271,AB$275,AB$279,AB$296,AB$300,AB$304,AB$308))</f>
        <v>12.666511379717644</v>
      </c>
      <c r="AC316" s="8">
        <f ca="1">IF(AC$6=OFFSET(Assumptions!$B$8,0,$C$1),AVERAGE(Z$316/(SUM(Z$236,Z$272,Z$276,Z$280,Z$297,Z$301,Z$305,Z$309)-SUM(Z$235,Z$271,Z$275,Z$279,Z$296,Z$300,Z$304,Z$308)),AA$316/(SUM(AA$236,AA$272,AA$276,AA$280,AA$297,AA$301,AA$305,AA$309)-SUM(AA$235,AA$271,AA$275,AA$279,AA$296,AA$300,AA$304,AA$308)),AB$316/(SUM(AB$236,AB$272,AB$276,AB$280,AB$297,AB$301,AB$305,AB$309)-SUM(AB$235,AB$271,AB$275,AB$279,AB$296,AB$300,AB$304,AB$308))),AB$316/(SUM(AB$236,AB$272,AB$276,AB$280,AB$297,AB$301,AB$305,AB$309)-SUM(AB$235,AB$271,AB$275,AB$279,AB$296,AB$300,AB$304,AB$308)))*(SUM(AC$236,AC$272,AC$276,AC$280,AC$297,AC$301,AC$305,AC$309)-SUM(AC$235,AC$271,AC$275,AC$279,AC$296,AC$300,AC$304,AC$308))</f>
        <v>13.172933407866894</v>
      </c>
      <c r="AD316" s="8">
        <f ca="1">IF(AD$6=OFFSET(Assumptions!$B$8,0,$C$1),AVERAGE(AA$316/(SUM(AA$236,AA$272,AA$276,AA$280,AA$297,AA$301,AA$305,AA$309)-SUM(AA$235,AA$271,AA$275,AA$279,AA$296,AA$300,AA$304,AA$308)),AB$316/(SUM(AB$236,AB$272,AB$276,AB$280,AB$297,AB$301,AB$305,AB$309)-SUM(AB$235,AB$271,AB$275,AB$279,AB$296,AB$300,AB$304,AB$308)),AC$316/(SUM(AC$236,AC$272,AC$276,AC$280,AC$297,AC$301,AC$305,AC$309)-SUM(AC$235,AC$271,AC$275,AC$279,AC$296,AC$300,AC$304,AC$308))),AC$316/(SUM(AC$236,AC$272,AC$276,AC$280,AC$297,AC$301,AC$305,AC$309)-SUM(AC$235,AC$271,AC$275,AC$279,AC$296,AC$300,AC$304,AC$308)))*(SUM(AD$236,AD$272,AD$276,AD$280,AD$297,AD$301,AD$305,AD$309)-SUM(AD$235,AD$271,AD$275,AD$279,AD$296,AD$300,AD$304,AD$308))</f>
        <v>13.701388914044664</v>
      </c>
      <c r="AE316" s="8">
        <f ca="1">IF(AE$6=OFFSET(Assumptions!$B$8,0,$C$1),AVERAGE(AB$316/(SUM(AB$236,AB$272,AB$276,AB$280,AB$297,AB$301,AB$305,AB$309)-SUM(AB$235,AB$271,AB$275,AB$279,AB$296,AB$300,AB$304,AB$308)),AC$316/(SUM(AC$236,AC$272,AC$276,AC$280,AC$297,AC$301,AC$305,AC$309)-SUM(AC$235,AC$271,AC$275,AC$279,AC$296,AC$300,AC$304,AC$308)),AD$316/(SUM(AD$236,AD$272,AD$276,AD$280,AD$297,AD$301,AD$305,AD$309)-SUM(AD$235,AD$271,AD$275,AD$279,AD$296,AD$300,AD$304,AD$308))),AD$316/(SUM(AD$236,AD$272,AD$276,AD$280,AD$297,AD$301,AD$305,AD$309)-SUM(AD$235,AD$271,AD$275,AD$279,AD$296,AD$300,AD$304,AD$308)))*(SUM(AE$236,AE$272,AE$276,AE$280,AE$297,AE$301,AE$305,AE$309)-SUM(AE$235,AE$271,AE$275,AE$279,AE$296,AE$300,AE$304,AE$308))</f>
        <v>14.251391745361648</v>
      </c>
      <c r="AF316" s="8">
        <f ca="1">IF(AF$6=OFFSET(Assumptions!$B$8,0,$C$1),AVERAGE(AC$316/(SUM(AC$236,AC$272,AC$276,AC$280,AC$297,AC$301,AC$305,AC$309)-SUM(AC$235,AC$271,AC$275,AC$279,AC$296,AC$300,AC$304,AC$308)),AD$316/(SUM(AD$236,AD$272,AD$276,AD$280,AD$297,AD$301,AD$305,AD$309)-SUM(AD$235,AD$271,AD$275,AD$279,AD$296,AD$300,AD$304,AD$308)),AE$316/(SUM(AE$236,AE$272,AE$276,AE$280,AE$297,AE$301,AE$305,AE$309)-SUM(AE$235,AE$271,AE$275,AE$279,AE$296,AE$300,AE$304,AE$308))),AE$316/(SUM(AE$236,AE$272,AE$276,AE$280,AE$297,AE$301,AE$305,AE$309)-SUM(AE$235,AE$271,AE$275,AE$279,AE$296,AE$300,AE$304,AE$308)))*(SUM(AF$236,AF$272,AF$276,AF$280,AF$297,AF$301,AF$305,AF$309)-SUM(AF$235,AF$271,AF$275,AF$279,AF$296,AF$300,AF$304,AF$308))</f>
        <v>14.824526816630682</v>
      </c>
      <c r="AG316" s="8">
        <f ca="1">IF(AG$6=OFFSET(Assumptions!$B$8,0,$C$1),AVERAGE(AD$316/(SUM(AD$236,AD$272,AD$276,AD$280,AD$297,AD$301,AD$305,AD$309)-SUM(AD$235,AD$271,AD$275,AD$279,AD$296,AD$300,AD$304,AD$308)),AE$316/(SUM(AE$236,AE$272,AE$276,AE$280,AE$297,AE$301,AE$305,AE$309)-SUM(AE$235,AE$271,AE$275,AE$279,AE$296,AE$300,AE$304,AE$308)),AF$316/(SUM(AF$236,AF$272,AF$276,AF$280,AF$297,AF$301,AF$305,AF$309)-SUM(AF$235,AF$271,AF$275,AF$279,AF$296,AF$300,AF$304,AF$308))),AF$316/(SUM(AF$236,AF$272,AF$276,AF$280,AF$297,AF$301,AF$305,AF$309)-SUM(AF$235,AF$271,AF$275,AF$279,AF$296,AF$300,AF$304,AF$308)))*(SUM(AG$236,AG$272,AG$276,AG$280,AG$297,AG$301,AG$305,AG$309)-SUM(AG$235,AG$271,AG$275,AG$279,AG$296,AG$300,AG$304,AG$308))</f>
        <v>15.420993564844126</v>
      </c>
      <c r="AH316" s="8">
        <f ca="1">IF(AH$6=OFFSET(Assumptions!$B$8,0,$C$1),AVERAGE(AE$316/(SUM(AE$236,AE$272,AE$276,AE$280,AE$297,AE$301,AE$305,AE$309)-SUM(AE$235,AE$271,AE$275,AE$279,AE$296,AE$300,AE$304,AE$308)),AF$316/(SUM(AF$236,AF$272,AF$276,AF$280,AF$297,AF$301,AF$305,AF$309)-SUM(AF$235,AF$271,AF$275,AF$279,AF$296,AF$300,AF$304,AF$308)),AG$316/(SUM(AG$236,AG$272,AG$276,AG$280,AG$297,AG$301,AG$305,AG$309)-SUM(AG$235,AG$271,AG$275,AG$279,AG$296,AG$300,AG$304,AG$308))),AG$316/(SUM(AG$236,AG$272,AG$276,AG$280,AG$297,AG$301,AG$305,AG$309)-SUM(AG$235,AG$271,AG$275,AG$279,AG$296,AG$300,AG$304,AG$308)))*(SUM(AH$236,AH$272,AH$276,AH$280,AH$297,AH$301,AH$305,AH$309)-SUM(AH$235,AH$271,AH$275,AH$279,AH$296,AH$300,AH$304,AH$308))</f>
        <v>16.041992950781289</v>
      </c>
      <c r="AI316" s="8">
        <f ca="1">IF(AI$6=OFFSET(Assumptions!$B$8,0,$C$1),AVERAGE(AF$316/(SUM(AF$236,AF$272,AF$276,AF$280,AF$297,AF$301,AF$305,AF$309)-SUM(AF$235,AF$271,AF$275,AF$279,AF$296,AF$300,AF$304,AF$308)),AG$316/(SUM(AG$236,AG$272,AG$276,AG$280,AG$297,AG$301,AG$305,AG$309)-SUM(AG$235,AG$271,AG$275,AG$279,AG$296,AG$300,AG$304,AG$308)),AH$316/(SUM(AH$236,AH$272,AH$276,AH$280,AH$297,AH$301,AH$305,AH$309)-SUM(AH$235,AH$271,AH$275,AH$279,AH$296,AH$300,AH$304,AH$308))),AH$316/(SUM(AH$236,AH$272,AH$276,AH$280,AH$297,AH$301,AH$305,AH$309)-SUM(AH$235,AH$271,AH$275,AH$279,AH$296,AH$300,AH$304,AH$308)))*(SUM(AI$236,AI$272,AI$276,AI$280,AI$297,AI$301,AI$305,AI$309)-SUM(AI$235,AI$271,AI$275,AI$279,AI$296,AI$300,AI$304,AI$308))</f>
        <v>16.686195585447788</v>
      </c>
      <c r="AJ316" s="8">
        <f ca="1">IF(AJ$6=OFFSET(Assumptions!$B$8,0,$C$1),AVERAGE(AG$316/(SUM(AG$236,AG$272,AG$276,AG$280,AG$297,AG$301,AG$305,AG$309)-SUM(AG$235,AG$271,AG$275,AG$279,AG$296,AG$300,AG$304,AG$308)),AH$316/(SUM(AH$236,AH$272,AH$276,AH$280,AH$297,AH$301,AH$305,AH$309)-SUM(AH$235,AH$271,AH$275,AH$279,AH$296,AH$300,AH$304,AH$308)),AI$316/(SUM(AI$236,AI$272,AI$276,AI$280,AI$297,AI$301,AI$305,AI$309)-SUM(AI$235,AI$271,AI$275,AI$279,AI$296,AI$300,AI$304,AI$308))),AI$316/(SUM(AI$236,AI$272,AI$276,AI$280,AI$297,AI$301,AI$305,AI$309)-SUM(AI$235,AI$271,AI$275,AI$279,AI$296,AI$300,AI$304,AI$308)))*(SUM(AJ$236,AJ$272,AJ$276,AJ$280,AJ$297,AJ$301,AJ$305,AJ$309)-SUM(AJ$235,AJ$271,AJ$275,AJ$279,AJ$296,AJ$300,AJ$304,AJ$308))</f>
        <v>17.355789212837724</v>
      </c>
      <c r="AK316" s="8">
        <f ca="1">IF(AK$6=OFFSET(Assumptions!$B$8,0,$C$1),AVERAGE(AH$316/(SUM(AH$236,AH$272,AH$276,AH$280,AH$297,AH$301,AH$305,AH$309)-SUM(AH$235,AH$271,AH$275,AH$279,AH$296,AH$300,AH$304,AH$308)),AI$316/(SUM(AI$236,AI$272,AI$276,AI$280,AI$297,AI$301,AI$305,AI$309)-SUM(AI$235,AI$271,AI$275,AI$279,AI$296,AI$300,AI$304,AI$308)),AJ$316/(SUM(AJ$236,AJ$272,AJ$276,AJ$280,AJ$297,AJ$301,AJ$305,AJ$309)-SUM(AJ$235,AJ$271,AJ$275,AJ$279,AJ$296,AJ$300,AJ$304,AJ$308))),AJ$316/(SUM(AJ$236,AJ$272,AJ$276,AJ$280,AJ$297,AJ$301,AJ$305,AJ$309)-SUM(AJ$235,AJ$271,AJ$275,AJ$279,AJ$296,AJ$300,AJ$304,AJ$308)))*(SUM(AK$236,AK$272,AK$276,AK$280,AK$297,AK$301,AK$305,AK$309)-SUM(AK$235,AK$271,AK$275,AK$279,AK$296,AK$300,AK$304,AK$308))</f>
        <v>18.050222404851322</v>
      </c>
      <c r="AL316" s="8">
        <f ca="1">IF(AL$6=OFFSET(Assumptions!$B$8,0,$C$1),AVERAGE(AI$316/(SUM(AI$236,AI$272,AI$276,AI$280,AI$297,AI$301,AI$305,AI$309)-SUM(AI$235,AI$271,AI$275,AI$279,AI$296,AI$300,AI$304,AI$308)),AJ$316/(SUM(AJ$236,AJ$272,AJ$276,AJ$280,AJ$297,AJ$301,AJ$305,AJ$309)-SUM(AJ$235,AJ$271,AJ$275,AJ$279,AJ$296,AJ$300,AJ$304,AJ$308)),AK$316/(SUM(AK$236,AK$272,AK$276,AK$280,AK$297,AK$301,AK$305,AK$309)-SUM(AK$235,AK$271,AK$275,AK$279,AK$296,AK$300,AK$304,AK$308))),AK$316/(SUM(AK$236,AK$272,AK$276,AK$280,AK$297,AK$301,AK$305,AK$309)-SUM(AK$235,AK$271,AK$275,AK$279,AK$296,AK$300,AK$304,AK$308)))*(SUM(AL$236,AL$272,AL$276,AL$280,AL$297,AL$301,AL$305,AL$309)-SUM(AL$235,AL$271,AL$275,AL$279,AL$296,AL$300,AL$304,AL$308))</f>
        <v>18.768947610855054</v>
      </c>
      <c r="AM316" s="8">
        <f ca="1">IF(AM$6=OFFSET(Assumptions!$B$8,0,$C$1),AVERAGE(AJ$316/(SUM(AJ$236,AJ$272,AJ$276,AJ$280,AJ$297,AJ$301,AJ$305,AJ$309)-SUM(AJ$235,AJ$271,AJ$275,AJ$279,AJ$296,AJ$300,AJ$304,AJ$308)),AK$316/(SUM(AK$236,AK$272,AK$276,AK$280,AK$297,AK$301,AK$305,AK$309)-SUM(AK$235,AK$271,AK$275,AK$279,AK$296,AK$300,AK$304,AK$308)),AL$316/(SUM(AL$236,AL$272,AL$276,AL$280,AL$297,AL$301,AL$305,AL$309)-SUM(AL$235,AL$271,AL$275,AL$279,AL$296,AL$300,AL$304,AL$308))),AL$316/(SUM(AL$236,AL$272,AL$276,AL$280,AL$297,AL$301,AL$305,AL$309)-SUM(AL$235,AL$271,AL$275,AL$279,AL$296,AL$300,AL$304,AL$308)))*(SUM(AM$236,AM$272,AM$276,AM$280,AM$297,AM$301,AM$305,AM$309)-SUM(AM$235,AM$271,AM$275,AM$279,AM$296,AM$300,AM$304,AM$308))</f>
        <v>19.512886777185592</v>
      </c>
      <c r="AN316" s="8">
        <f ca="1">IF(AN$6=OFFSET(Assumptions!$B$8,0,$C$1),AVERAGE(AK$316/(SUM(AK$236,AK$272,AK$276,AK$280,AK$297,AK$301,AK$305,AK$309)-SUM(AK$235,AK$271,AK$275,AK$279,AK$296,AK$300,AK$304,AK$308)),AL$316/(SUM(AL$236,AL$272,AL$276,AL$280,AL$297,AL$301,AL$305,AL$309)-SUM(AL$235,AL$271,AL$275,AL$279,AL$296,AL$300,AL$304,AL$308)),AM$316/(SUM(AM$236,AM$272,AM$276,AM$280,AM$297,AM$301,AM$305,AM$309)-SUM(AM$235,AM$271,AM$275,AM$279,AM$296,AM$300,AM$304,AM$308))),AM$316/(SUM(AM$236,AM$272,AM$276,AM$280,AM$297,AM$301,AM$305,AM$309)-SUM(AM$235,AM$271,AM$275,AM$279,AM$296,AM$300,AM$304,AM$308)))*(SUM(AN$236,AN$272,AN$276,AN$280,AN$297,AN$301,AN$305,AN$309)-SUM(AN$235,AN$271,AN$275,AN$279,AN$296,AN$300,AN$304,AN$308))</f>
        <v>20.283136317019466</v>
      </c>
      <c r="AO316" s="8">
        <f ca="1">IF(AO$6=OFFSET(Assumptions!$B$8,0,$C$1),AVERAGE(AL$316/(SUM(AL$236,AL$272,AL$276,AL$280,AL$297,AL$301,AL$305,AL$309)-SUM(AL$235,AL$271,AL$275,AL$279,AL$296,AL$300,AL$304,AL$308)),AM$316/(SUM(AM$236,AM$272,AM$276,AM$280,AM$297,AM$301,AM$305,AM$309)-SUM(AM$235,AM$271,AM$275,AM$279,AM$296,AM$300,AM$304,AM$308)),AN$316/(SUM(AN$236,AN$272,AN$276,AN$280,AN$297,AN$301,AN$305,AN$309)-SUM(AN$235,AN$271,AN$275,AN$279,AN$296,AN$300,AN$304,AN$308))),AN$316/(SUM(AN$236,AN$272,AN$276,AN$280,AN$297,AN$301,AN$305,AN$309)-SUM(AN$235,AN$271,AN$275,AN$279,AN$296,AN$300,AN$304,AN$308)))*(SUM(AO$236,AO$272,AO$276,AO$280,AO$297,AO$301,AO$305,AO$309)-SUM(AO$235,AO$271,AO$275,AO$279,AO$296,AO$300,AO$304,AO$308))</f>
        <v>21.076669579671933</v>
      </c>
      <c r="AP316" s="8">
        <f ca="1">IF(AP$6=OFFSET(Assumptions!$B$8,0,$C$1),AVERAGE(AM$316/(SUM(AM$236,AM$272,AM$276,AM$280,AM$297,AM$301,AM$305,AM$309)-SUM(AM$235,AM$271,AM$275,AM$279,AM$296,AM$300,AM$304,AM$308)),AN$316/(SUM(AN$236,AN$272,AN$276,AN$280,AN$297,AN$301,AN$305,AN$309)-SUM(AN$235,AN$271,AN$275,AN$279,AN$296,AN$300,AN$304,AN$308)),AO$316/(SUM(AO$236,AO$272,AO$276,AO$280,AO$297,AO$301,AO$305,AO$309)-SUM(AO$235,AO$271,AO$275,AO$279,AO$296,AO$300,AO$304,AO$308))),AO$316/(SUM(AO$236,AO$272,AO$276,AO$280,AO$297,AO$301,AO$305,AO$309)-SUM(AO$235,AO$271,AO$275,AO$279,AO$296,AO$300,AO$304,AO$308)))*(SUM(AP$236,AP$272,AP$276,AP$280,AP$297,AP$301,AP$305,AP$309)-SUM(AP$235,AP$271,AP$275,AP$279,AP$296,AP$300,AP$304,AP$308))</f>
        <v>21.896858364265917</v>
      </c>
      <c r="AQ316" s="8">
        <f ca="1">IF(AQ$6=OFFSET(Assumptions!$B$8,0,$C$1),AVERAGE(AN$316/(SUM(AN$236,AN$272,AN$276,AN$280,AN$297,AN$301,AN$305,AN$309)-SUM(AN$235,AN$271,AN$275,AN$279,AN$296,AN$300,AN$304,AN$308)),AO$316/(SUM(AO$236,AO$272,AO$276,AO$280,AO$297,AO$301,AO$305,AO$309)-SUM(AO$235,AO$271,AO$275,AO$279,AO$296,AO$300,AO$304,AO$308)),AP$316/(SUM(AP$236,AP$272,AP$276,AP$280,AP$297,AP$301,AP$305,AP$309)-SUM(AP$235,AP$271,AP$275,AP$279,AP$296,AP$300,AP$304,AP$308))),AP$316/(SUM(AP$236,AP$272,AP$276,AP$280,AP$297,AP$301,AP$305,AP$309)-SUM(AP$235,AP$271,AP$275,AP$279,AP$296,AP$300,AP$304,AP$308)))*(SUM(AQ$236,AQ$272,AQ$276,AQ$280,AQ$297,AQ$301,AQ$305,AQ$309)-SUM(AQ$235,AQ$271,AQ$275,AQ$279,AQ$296,AQ$300,AQ$304,AQ$308))</f>
        <v>22.741342556858655</v>
      </c>
      <c r="AR316" s="8">
        <f ca="1">IF(AR$6=OFFSET(Assumptions!$B$8,0,$C$1),AVERAGE(AO$316/(SUM(AO$236,AO$272,AO$276,AO$280,AO$297,AO$301,AO$305,AO$309)-SUM(AO$235,AO$271,AO$275,AO$279,AO$296,AO$300,AO$304,AO$308)),AP$316/(SUM(AP$236,AP$272,AP$276,AP$280,AP$297,AP$301,AP$305,AP$309)-SUM(AP$235,AP$271,AP$275,AP$279,AP$296,AP$300,AP$304,AP$308)),AQ$316/(SUM(AQ$236,AQ$272,AQ$276,AQ$280,AQ$297,AQ$301,AQ$305,AQ$309)-SUM(AQ$235,AQ$271,AQ$275,AQ$279,AQ$296,AQ$300,AQ$304,AQ$308))),AQ$316/(SUM(AQ$236,AQ$272,AQ$276,AQ$280,AQ$297,AQ$301,AQ$305,AQ$309)-SUM(AQ$235,AQ$271,AQ$275,AQ$279,AQ$296,AQ$300,AQ$304,AQ$308)))*(SUM(AR$236,AR$272,AR$276,AR$280,AR$297,AR$301,AR$305,AR$309)-SUM(AR$235,AR$271,AR$275,AR$279,AR$296,AR$300,AR$304,AR$308))</f>
        <v>23.611078746137494</v>
      </c>
      <c r="AS316" s="8">
        <f ca="1">IF(AS$6=OFFSET(Assumptions!$B$8,0,$C$1),AVERAGE(AP$316/(SUM(AP$236,AP$272,AP$276,AP$280,AP$297,AP$301,AP$305,AP$309)-SUM(AP$235,AP$271,AP$275,AP$279,AP$296,AP$300,AP$304,AP$308)),AQ$316/(SUM(AQ$236,AQ$272,AQ$276,AQ$280,AQ$297,AQ$301,AQ$305,AQ$309)-SUM(AQ$235,AQ$271,AQ$275,AQ$279,AQ$296,AQ$300,AQ$304,AQ$308)),AR$316/(SUM(AR$236,AR$272,AR$276,AR$280,AR$297,AR$301,AR$305,AR$309)-SUM(AR$235,AR$271,AR$275,AR$279,AR$296,AR$300,AR$304,AR$308))),AR$316/(SUM(AR$236,AR$272,AR$276,AR$280,AR$297,AR$301,AR$305,AR$309)-SUM(AR$235,AR$271,AR$275,AR$279,AR$296,AR$300,AR$304,AR$308)))*(SUM(AS$236,AS$272,AS$276,AS$280,AS$297,AS$301,AS$305,AS$309)-SUM(AS$235,AS$271,AS$275,AS$279,AS$296,AS$300,AS$304,AS$308))</f>
        <v>24.508157749629607</v>
      </c>
      <c r="AT316" s="8">
        <f ca="1">IF(AT$6=OFFSET(Assumptions!$B$8,0,$C$1),AVERAGE(AQ$316/(SUM(AQ$236,AQ$272,AQ$276,AQ$280,AQ$297,AQ$301,AQ$305,AQ$309)-SUM(AQ$235,AQ$271,AQ$275,AQ$279,AQ$296,AQ$300,AQ$304,AQ$308)),AR$316/(SUM(AR$236,AR$272,AR$276,AR$280,AR$297,AR$301,AR$305,AR$309)-SUM(AR$235,AR$271,AR$275,AR$279,AR$296,AR$300,AR$304,AR$308)),AS$316/(SUM(AS$236,AS$272,AS$276,AS$280,AS$297,AS$301,AS$305,AS$309)-SUM(AS$235,AS$271,AS$275,AS$279,AS$296,AS$300,AS$304,AS$308))),AS$316/(SUM(AS$236,AS$272,AS$276,AS$280,AS$297,AS$301,AS$305,AS$309)-SUM(AS$235,AS$271,AS$275,AS$279,AS$296,AS$300,AS$304,AS$308)))*(SUM(AT$236,AT$272,AT$276,AT$280,AT$297,AT$301,AT$305,AT$309)-SUM(AT$235,AT$271,AT$275,AT$279,AT$296,AT$300,AT$304,AT$308))</f>
        <v>25.433296326107893</v>
      </c>
      <c r="AU316" s="8">
        <f ca="1">IF(AU$6=OFFSET(Assumptions!$B$8,0,$C$1),AVERAGE(AR$316/(SUM(AR$236,AR$272,AR$276,AR$280,AR$297,AR$301,AR$305,AR$309)-SUM(AR$235,AR$271,AR$275,AR$279,AR$296,AR$300,AR$304,AR$308)),AS$316/(SUM(AS$236,AS$272,AS$276,AS$280,AS$297,AS$301,AS$305,AS$309)-SUM(AS$235,AS$271,AS$275,AS$279,AS$296,AS$300,AS$304,AS$308)),AT$316/(SUM(AT$236,AT$272,AT$276,AT$280,AT$297,AT$301,AT$305,AT$309)-SUM(AT$235,AT$271,AT$275,AT$279,AT$296,AT$300,AT$304,AT$308))),AT$316/(SUM(AT$236,AT$272,AT$276,AT$280,AT$297,AT$301,AT$305,AT$309)-SUM(AT$235,AT$271,AT$275,AT$279,AT$296,AT$300,AT$304,AT$308)))*(SUM(AU$236,AU$272,AU$276,AU$280,AU$297,AU$301,AU$305,AU$309)-SUM(AU$235,AU$271,AU$275,AU$279,AU$296,AU$300,AU$304,AU$308))</f>
        <v>26.387725107305769</v>
      </c>
      <c r="AV316" s="8">
        <f ca="1">IF(AV$6=OFFSET(Assumptions!$B$8,0,$C$1),AVERAGE(AS$316/(SUM(AS$236,AS$272,AS$276,AS$280,AS$297,AS$301,AS$305,AS$309)-SUM(AS$235,AS$271,AS$275,AS$279,AS$296,AS$300,AS$304,AS$308)),AT$316/(SUM(AT$236,AT$272,AT$276,AT$280,AT$297,AT$301,AT$305,AT$309)-SUM(AT$235,AT$271,AT$275,AT$279,AT$296,AT$300,AT$304,AT$308)),AU$316/(SUM(AU$236,AU$272,AU$276,AU$280,AU$297,AU$301,AU$305,AU$309)-SUM(AU$235,AU$271,AU$275,AU$279,AU$296,AU$300,AU$304,AU$308))),AU$316/(SUM(AU$236,AU$272,AU$276,AU$280,AU$297,AU$301,AU$305,AU$309)-SUM(AU$235,AU$271,AU$275,AU$279,AU$296,AU$300,AU$304,AU$308)))*(SUM(AV$236,AV$272,AV$276,AV$280,AV$297,AV$301,AV$305,AV$309)-SUM(AV$235,AV$271,AV$275,AV$279,AV$296,AV$300,AV$304,AV$308))</f>
        <v>27.374274329345006</v>
      </c>
      <c r="AW316" s="8">
        <f ca="1">IF(AW$6=OFFSET(Assumptions!$B$8,0,$C$1),AVERAGE(AT$316/(SUM(AT$236,AT$272,AT$276,AT$280,AT$297,AT$301,AT$305,AT$309)-SUM(AT$235,AT$271,AT$275,AT$279,AT$296,AT$300,AT$304,AT$308)),AU$316/(SUM(AU$236,AU$272,AU$276,AU$280,AU$297,AU$301,AU$305,AU$309)-SUM(AU$235,AU$271,AU$275,AU$279,AU$296,AU$300,AU$304,AU$308)),AV$316/(SUM(AV$236,AV$272,AV$276,AV$280,AV$297,AV$301,AV$305,AV$309)-SUM(AV$235,AV$271,AV$275,AV$279,AV$296,AV$300,AV$304,AV$308))),AV$316/(SUM(AV$236,AV$272,AV$276,AV$280,AV$297,AV$301,AV$305,AV$309)-SUM(AV$235,AV$271,AV$275,AV$279,AV$296,AV$300,AV$304,AV$308)))*(SUM(AW$236,AW$272,AW$276,AW$280,AW$297,AW$301,AW$305,AW$309)-SUM(AW$235,AW$271,AW$275,AW$279,AW$296,AW$300,AW$304,AW$308))</f>
        <v>28.39256912594249</v>
      </c>
    </row>
    <row r="317" spans="1:49" ht="15" x14ac:dyDescent="0.25">
      <c r="A317" s="2" t="s">
        <v>588</v>
      </c>
      <c r="B317" s="4" t="str">
        <f t="shared" si="201"/>
        <v>From Fiscal</v>
      </c>
      <c r="D317" s="47">
        <f>Fiscal!D$200</f>
        <v>7.01</v>
      </c>
      <c r="E317" s="44">
        <f>Fiscal!E$200</f>
        <v>6.5750000000000002</v>
      </c>
      <c r="F317" s="44">
        <f>Fiscal!F$200</f>
        <v>6.7560000000000002</v>
      </c>
      <c r="G317" s="44">
        <f>Fiscal!G$200</f>
        <v>7.0490000000000004</v>
      </c>
      <c r="H317" s="44">
        <f>Fiscal!H$200</f>
        <v>7.0519999999999996</v>
      </c>
      <c r="I317" s="44">
        <f>Fiscal!I$200</f>
        <v>7.0650000000000004</v>
      </c>
      <c r="J317" s="8">
        <f ca="1">IF(J$6=OFFSET(Assumptions!$B$8,0,$C$1),AVERAGE(G$317/(G$293-G$292),H$317/(H$293-H$292),I$317/(I$293-I$292)),I$317/(I$293-I$292))*(J$293-J$292)</f>
        <v>7.6808851294551221</v>
      </c>
      <c r="K317" s="8">
        <f ca="1">IF(K$6=OFFSET(Assumptions!$B$8,0,$C$1),AVERAGE(H$317/(H$293-H$292),I$317/(I$293-I$292),J$317/(J$293-J$292)),J$317/(J$293-J$292))*(K$293-K$292)</f>
        <v>8.0018708347713616</v>
      </c>
      <c r="L317" s="8">
        <f ca="1">IF(L$6=OFFSET(Assumptions!$B$8,0,$C$1),AVERAGE(I$317/(I$293-I$292),J$317/(J$293-J$292),K$317/(K$293-K$292)),K$317/(K$293-K$292))*(L$293-L$292)</f>
        <v>8.3487142491935806</v>
      </c>
      <c r="M317" s="8">
        <f ca="1">IF(M$6=OFFSET(Assumptions!$B$8,0,$C$1),AVERAGE(J$317/(J$293-J$292),K$317/(K$293-K$292),L$317/(L$293-L$292)),L$317/(L$293-L$292))*(M$293-M$292)</f>
        <v>8.7094325848119798</v>
      </c>
      <c r="N317" s="8">
        <f ca="1">IF(N$6=OFFSET(Assumptions!$B$8,0,$C$1),AVERAGE(K$317/(K$293-K$292),L$317/(L$293-L$292),M$317/(M$293-M$292)),M$317/(M$293-M$292))*(N$293-N$292)</f>
        <v>9.0850484340793898</v>
      </c>
      <c r="O317" s="8">
        <f ca="1">IF(O$6=OFFSET(Assumptions!$B$8,0,$C$1),AVERAGE(L$317/(L$293-L$292),M$317/(M$293-M$292),N$317/(N$293-N$292)),N$317/(N$293-N$292))*(O$293-O$292)</f>
        <v>9.4728594716351413</v>
      </c>
      <c r="P317" s="8">
        <f ca="1">IF(P$6=OFFSET(Assumptions!$B$8,0,$C$1),AVERAGE(M$317/(M$293-M$292),N$317/(N$293-N$292),O$317/(O$293-O$292)),O$317/(O$293-O$292))*(P$293-P$292)</f>
        <v>9.8734562901216982</v>
      </c>
      <c r="Q317" s="8">
        <f ca="1">IF(Q$6=OFFSET(Assumptions!$B$8,0,$C$1),AVERAGE(N$317/(N$293-N$292),O$317/(O$293-O$292),P$317/(P$293-P$292)),P$317/(P$293-P$292))*(Q$293-Q$292)</f>
        <v>10.28640617141801</v>
      </c>
      <c r="R317" s="8">
        <f ca="1">IF(R$6=OFFSET(Assumptions!$B$8,0,$C$1),AVERAGE(O$317/(O$293-O$292),P$317/(P$293-P$292),Q$317/(Q$293-Q$292)),Q$317/(Q$293-Q$292))*(R$293-R$292)</f>
        <v>10.711402616892869</v>
      </c>
      <c r="S317" s="8">
        <f ca="1">IF(S$6=OFFSET(Assumptions!$B$8,0,$C$1),AVERAGE(P$317/(P$293-P$292),Q$317/(Q$293-Q$292),R$317/(R$293-R$292)),R$317/(R$293-R$292))*(S$293-S$292)</f>
        <v>11.149796247919848</v>
      </c>
      <c r="T317" s="8">
        <f ca="1">IF(T$6=OFFSET(Assumptions!$B$8,0,$C$1),AVERAGE(Q$317/(Q$293-Q$292),R$317/(R$293-R$292),S$317/(S$293-S$292)),S$317/(S$293-S$292))*(T$293-T$292)</f>
        <v>11.601746931813613</v>
      </c>
      <c r="U317" s="8">
        <f ca="1">IF(U$6=OFFSET(Assumptions!$B$8,0,$C$1),AVERAGE(R$317/(R$293-R$292),S$317/(S$293-S$292),T$317/(T$293-T$292)),T$317/(T$293-T$292))*(U$293-U$292)</f>
        <v>12.068876707665382</v>
      </c>
      <c r="V317" s="8">
        <f ca="1">IF(V$6=OFFSET(Assumptions!$B$8,0,$C$1),AVERAGE(S$317/(S$293-S$292),T$317/(T$293-T$292),U$317/(U$293-U$292)),U$317/(U$293-U$292))*(V$293-V$292)</f>
        <v>12.552338687994986</v>
      </c>
      <c r="W317" s="8">
        <f ca="1">IF(W$6=OFFSET(Assumptions!$B$8,0,$C$1),AVERAGE(T$317/(T$293-T$292),U$317/(U$293-U$292),V$317/(V$293-V$292)),V$317/(V$293-V$292))*(W$293-W$292)</f>
        <v>13.053533584106612</v>
      </c>
      <c r="X317" s="8">
        <f ca="1">IF(X$6=OFFSET(Assumptions!$B$8,0,$C$1),AVERAGE(U$317/(U$293-U$292),V$317/(V$293-V$292),W$317/(W$293-W$292)),W$317/(W$293-W$292))*(X$293-X$292)</f>
        <v>13.57404890944756</v>
      </c>
      <c r="Y317" s="8">
        <f ca="1">IF(Y$6=OFFSET(Assumptions!$B$8,0,$C$1),AVERAGE(V$317/(V$293-V$292),W$317/(W$293-W$292),X$317/(X$293-X$292)),X$317/(X$293-X$292))*(Y$293-Y$292)</f>
        <v>14.1138314501169</v>
      </c>
      <c r="Z317" s="8">
        <f ca="1">IF(Z$6=OFFSET(Assumptions!$B$8,0,$C$1),AVERAGE(W$317/(W$293-W$292),X$317/(X$293-X$292),Y$317/(Y$293-Y$292)),Y$317/(Y$293-Y$292))*(Z$293-Z$292)</f>
        <v>14.675613392305674</v>
      </c>
      <c r="AA317" s="8">
        <f ca="1">IF(AA$6=OFFSET(Assumptions!$B$8,0,$C$1),AVERAGE(X$317/(X$293-X$292),Y$317/(Y$293-Y$292),Z$317/(Z$293-Z$292)),Z$317/(Z$293-Z$292))*(AA$293-AA$292)</f>
        <v>15.260303701133658</v>
      </c>
      <c r="AB317" s="8">
        <f ca="1">IF(AB$6=OFFSET(Assumptions!$B$8,0,$C$1),AVERAGE(Y$317/(Y$293-Y$292),Z$317/(Z$293-Z$292),AA$317/(AA$293-AA$292)),AA$317/(AA$293-AA$292))*(AB$293-AB$292)</f>
        <v>15.869658255595148</v>
      </c>
      <c r="AC317" s="8">
        <f ca="1">IF(AC$6=OFFSET(Assumptions!$B$8,0,$C$1),AVERAGE(Z$317/(Z$293-Z$292),AA$317/(AA$293-AA$292),AB$317/(AB$293-AB$292)),AB$317/(AB$293-AB$292))*(AC$293-AC$292)</f>
        <v>16.505977451824105</v>
      </c>
      <c r="AD317" s="8">
        <f ca="1">IF(AD$6=OFFSET(Assumptions!$B$8,0,$C$1),AVERAGE(AA$317/(AA$293-AA$292),AB$317/(AB$293-AB$292),AC$317/(AC$293-AC$292)),AC$317/(AC$293-AC$292))*(AD$293-AD$292)</f>
        <v>17.169931978102795</v>
      </c>
      <c r="AE317" s="8">
        <f ca="1">IF(AE$6=OFFSET(Assumptions!$B$8,0,$C$1),AVERAGE(AB$317/(AB$293-AB$292),AC$317/(AC$293-AC$292),AD$317/(AD$293-AD$292)),AD$317/(AD$293-AD$292))*(AE$293-AE$292)</f>
        <v>17.860912080694931</v>
      </c>
      <c r="AF317" s="8">
        <f ca="1">IF(AF$6=OFFSET(Assumptions!$B$8,0,$C$1),AVERAGE(AC$317/(AC$293-AC$292),AD$317/(AD$293-AD$292),AE$317/(AE$293-AE$292)),AE$317/(AE$293-AE$292))*(AF$293-AF$292)</f>
        <v>18.580829424875265</v>
      </c>
      <c r="AG317" s="8">
        <f ca="1">IF(AG$6=OFFSET(Assumptions!$B$8,0,$C$1),AVERAGE(AD$317/(AD$293-AD$292),AE$317/(AE$293-AE$292),AF$317/(AF$293-AF$292)),AF$317/(AF$293-AF$292))*(AG$293-AG$292)</f>
        <v>19.330086558319028</v>
      </c>
      <c r="AH317" s="8">
        <f ca="1">IF(AH$6=OFFSET(Assumptions!$B$8,0,$C$1),AVERAGE(AE$317/(AE$293-AE$292),AF$317/(AF$293-AF$292),AG$317/(AG$293-AG$292)),AG$317/(AG$293-AG$292))*(AH$293-AH$292)</f>
        <v>20.10988496682787</v>
      </c>
      <c r="AI317" s="8">
        <f ca="1">IF(AI$6=OFFSET(Assumptions!$B$8,0,$C$1),AVERAGE(AF$317/(AF$293-AF$292),AG$317/(AG$293-AG$292),AH$317/(AH$293-AH$292)),AH$317/(AH$293-AH$292))*(AI$293-AI$292)</f>
        <v>20.918862084442676</v>
      </c>
      <c r="AJ317" s="8">
        <f ca="1">IF(AJ$6=OFFSET(Assumptions!$B$8,0,$C$1),AVERAGE(AG$317/(AG$293-AG$292),AH$317/(AH$293-AH$292),AI$317/(AI$293-AI$292)),AI$317/(AI$293-AI$292))*(AJ$293-AJ$292)</f>
        <v>21.759609467930662</v>
      </c>
      <c r="AK317" s="8">
        <f ca="1">IF(AK$6=OFFSET(Assumptions!$B$8,0,$C$1),AVERAGE(AH$317/(AH$293-AH$292),AI$317/(AI$293-AI$292),AJ$317/(AJ$293-AJ$292)),AJ$317/(AJ$293-AJ$292))*(AK$293-AK$292)</f>
        <v>22.63143549259614</v>
      </c>
      <c r="AL317" s="8">
        <f ca="1">IF(AL$6=OFFSET(Assumptions!$B$8,0,$C$1),AVERAGE(AI$317/(AI$293-AI$292),AJ$317/(AJ$293-AJ$292),AK$317/(AK$293-AK$292)),AK$317/(AK$293-AK$292))*(AL$293-AL$292)</f>
        <v>23.533653397027397</v>
      </c>
      <c r="AM317" s="8">
        <f ca="1">IF(AM$6=OFFSET(Assumptions!$B$8,0,$C$1),AVERAGE(AJ$317/(AJ$293-AJ$292),AK$317/(AK$293-AK$292),AL$317/(AL$293-AL$292)),AL$317/(AL$293-AL$292))*(AM$293-AM$292)</f>
        <v>24.467495728368956</v>
      </c>
      <c r="AN317" s="8">
        <f ca="1">IF(AN$6=OFFSET(Assumptions!$B$8,0,$C$1),AVERAGE(AK$317/(AK$293-AK$292),AL$317/(AL$293-AL$292),AM$317/(AM$293-AM$292)),AM$317/(AM$293-AM$292))*(AN$293-AN$292)</f>
        <v>25.434261452260301</v>
      </c>
      <c r="AO317" s="8">
        <f ca="1">IF(AO$6=OFFSET(Assumptions!$B$8,0,$C$1),AVERAGE(AL$317/(AL$293-AL$292),AM$317/(AM$293-AM$292),AN$317/(AN$293-AN$292)),AN$317/(AN$293-AN$292))*(AO$293-AO$292)</f>
        <v>26.430154414026788</v>
      </c>
      <c r="AP317" s="8">
        <f ca="1">IF(AP$6=OFFSET(Assumptions!$B$8,0,$C$1),AVERAGE(AM$317/(AM$293-AM$292),AN$317/(AN$293-AN$292),AO$317/(AO$293-AO$292)),AO$317/(AO$293-AO$292))*(AP$293-AP$292)</f>
        <v>27.459403668268973</v>
      </c>
      <c r="AQ317" s="8">
        <f ca="1">IF(AQ$6=OFFSET(Assumptions!$B$8,0,$C$1),AVERAGE(AN$317/(AN$293-AN$292),AO$317/(AO$293-AO$292),AP$317/(AP$293-AP$292)),AP$317/(AP$293-AP$292))*(AQ$293-AQ$292)</f>
        <v>28.519125261824495</v>
      </c>
      <c r="AR317" s="8">
        <f ca="1">IF(AR$6=OFFSET(Assumptions!$B$8,0,$C$1),AVERAGE(AO$317/(AO$293-AO$292),AP$317/(AP$293-AP$292),AQ$317/(AQ$293-AQ$292)),AQ$317/(AQ$293-AQ$292))*(AR$293-AR$292)</f>
        <v>29.610518989118134</v>
      </c>
      <c r="AS317" s="8">
        <f ca="1">IF(AS$6=OFFSET(Assumptions!$B$8,0,$C$1),AVERAGE(AP$317/(AP$293-AP$292),AQ$317/(AQ$293-AQ$292),AR$317/(AR$293-AR$292)),AR$317/(AR$293-AR$292))*(AS$293-AS$292)</f>
        <v>30.736131040235634</v>
      </c>
      <c r="AT317" s="8">
        <f ca="1">IF(AT$6=OFFSET(Assumptions!$B$8,0,$C$1),AVERAGE(AQ$317/(AQ$293-AQ$292),AR$317/(AR$293-AR$292),AS$317/(AS$293-AS$292)),AS$317/(AS$293-AS$292))*(AT$293-AT$292)</f>
        <v>31.896860404670697</v>
      </c>
      <c r="AU317" s="8">
        <f ca="1">IF(AU$6=OFFSET(Assumptions!$B$8,0,$C$1),AVERAGE(AR$317/(AR$293-AR$292),AS$317/(AS$293-AS$292),AT$317/(AT$293-AT$292)),AT$317/(AT$293-AT$292))*(AU$293-AU$292)</f>
        <v>33.094250593351454</v>
      </c>
      <c r="AV317" s="8">
        <f ca="1">IF(AV$6=OFFSET(Assumptions!$B$8,0,$C$1),AVERAGE(AS$317/(AS$293-AS$292),AT$317/(AT$293-AT$292),AU$317/(AU$293-AU$292)),AU$317/(AU$293-AU$292))*(AV$293-AV$292)</f>
        <v>34.332003814684903</v>
      </c>
      <c r="AW317" s="8">
        <f ca="1">IF(AW$6=OFFSET(Assumptions!$B$8,0,$C$1),AVERAGE(AT$317/(AT$293-AT$292),AU$317/(AU$293-AU$292),AV$317/(AV$293-AV$292)),AV$317/(AV$293-AV$292))*(AW$293-AW$292)</f>
        <v>35.609421287443112</v>
      </c>
    </row>
    <row r="318" spans="1:49" ht="15" x14ac:dyDescent="0.25">
      <c r="A318" s="2" t="s">
        <v>589</v>
      </c>
      <c r="B318" s="4" t="str">
        <f t="shared" si="201"/>
        <v>From Fiscal</v>
      </c>
      <c r="D318" s="47">
        <f>Fiscal!D$201</f>
        <v>-2.698</v>
      </c>
      <c r="E318" s="44">
        <f>Fiscal!E$201</f>
        <v>-2.8359999999999999</v>
      </c>
      <c r="F318" s="44">
        <f>Fiscal!F$201</f>
        <v>-2.996</v>
      </c>
      <c r="G318" s="44">
        <f>Fiscal!G$201</f>
        <v>-3.0489999999999999</v>
      </c>
      <c r="H318" s="44">
        <f>Fiscal!H$201</f>
        <v>-3.0329999999999999</v>
      </c>
      <c r="I318" s="44">
        <f>Fiscal!I$201</f>
        <v>-3.0619999999999998</v>
      </c>
      <c r="J318" s="8">
        <f t="shared" ref="J318:AW318" ca="1" si="202">SUM(J$236,J$272,J$276,J$280,J$293,J$297,J$301,J$305,J$309)-SUM(J$235,J$271,J$275,J$279,J$292,J$296,J$300,J$304,J$308)-SUM(J$316,J$317)</f>
        <v>-3.3172607753273944</v>
      </c>
      <c r="K318" s="8">
        <f t="shared" ca="1" si="202"/>
        <v>-3.4553865545530726</v>
      </c>
      <c r="L318" s="8">
        <f t="shared" ca="1" si="202"/>
        <v>-3.6047802598380727</v>
      </c>
      <c r="M318" s="8">
        <f t="shared" ca="1" si="202"/>
        <v>-3.760307521785542</v>
      </c>
      <c r="N318" s="8">
        <f t="shared" ca="1" si="202"/>
        <v>-3.9222407962563679</v>
      </c>
      <c r="O318" s="8">
        <f t="shared" ca="1" si="202"/>
        <v>-4.0894305943019198</v>
      </c>
      <c r="P318" s="8">
        <f t="shared" ca="1" si="202"/>
        <v>-4.2621161792511657</v>
      </c>
      <c r="Q318" s="8">
        <f t="shared" ca="1" si="202"/>
        <v>-4.4400345287600373</v>
      </c>
      <c r="R318" s="8">
        <f t="shared" ca="1" si="202"/>
        <v>-4.622977025197919</v>
      </c>
      <c r="S318" s="8">
        <f t="shared" ca="1" si="202"/>
        <v>-4.8117094465489032</v>
      </c>
      <c r="T318" s="8">
        <f t="shared" ca="1" si="202"/>
        <v>-5.006254796796096</v>
      </c>
      <c r="U318" s="8">
        <f t="shared" ca="1" si="202"/>
        <v>-5.2073428303404903</v>
      </c>
      <c r="V318" s="8">
        <f t="shared" ca="1" si="202"/>
        <v>-5.4154705762562863</v>
      </c>
      <c r="W318" s="8">
        <f t="shared" ca="1" si="202"/>
        <v>-5.631241786762633</v>
      </c>
      <c r="X318" s="8">
        <f t="shared" ca="1" si="202"/>
        <v>-5.855325430543477</v>
      </c>
      <c r="Y318" s="8">
        <f t="shared" ca="1" si="202"/>
        <v>-6.0877444747127285</v>
      </c>
      <c r="Z318" s="8">
        <f t="shared" ca="1" si="202"/>
        <v>-6.3296459778635494</v>
      </c>
      <c r="AA318" s="8">
        <f t="shared" ca="1" si="202"/>
        <v>-6.5814064322379053</v>
      </c>
      <c r="AB318" s="8">
        <f t="shared" ca="1" si="202"/>
        <v>-6.843797980250212</v>
      </c>
      <c r="AC318" s="8">
        <f t="shared" ca="1" si="202"/>
        <v>-7.117842770293457</v>
      </c>
      <c r="AD318" s="8">
        <f t="shared" ca="1" si="202"/>
        <v>-7.4037992881810908</v>
      </c>
      <c r="AE318" s="8">
        <f t="shared" ca="1" si="202"/>
        <v>-7.7014047101818548</v>
      </c>
      <c r="AF318" s="8">
        <f t="shared" ca="1" si="202"/>
        <v>-8.0114983276738414</v>
      </c>
      <c r="AG318" s="8">
        <f t="shared" ca="1" si="202"/>
        <v>-8.3342230491305926</v>
      </c>
      <c r="AH318" s="8">
        <f t="shared" ca="1" si="202"/>
        <v>-8.6701579594730021</v>
      </c>
      <c r="AI318" s="8">
        <f t="shared" ca="1" si="202"/>
        <v>-9.0186545429829366</v>
      </c>
      <c r="AJ318" s="8">
        <f t="shared" ca="1" si="202"/>
        <v>-9.3808604477748432</v>
      </c>
      <c r="AK318" s="8">
        <f t="shared" ca="1" si="202"/>
        <v>-9.7564775610658927</v>
      </c>
      <c r="AL318" s="8">
        <f t="shared" ca="1" si="202"/>
        <v>-10.145209866307141</v>
      </c>
      <c r="AM318" s="8">
        <f t="shared" ca="1" si="202"/>
        <v>-10.547573330138192</v>
      </c>
      <c r="AN318" s="8">
        <f t="shared" ca="1" si="202"/>
        <v>-10.96414315042751</v>
      </c>
      <c r="AO318" s="8">
        <f t="shared" ca="1" si="202"/>
        <v>-11.393283060799348</v>
      </c>
      <c r="AP318" s="8">
        <f t="shared" ca="1" si="202"/>
        <v>-11.836815921605051</v>
      </c>
      <c r="AQ318" s="8">
        <f t="shared" ca="1" si="202"/>
        <v>-12.293483353701561</v>
      </c>
      <c r="AR318" s="8">
        <f t="shared" ca="1" si="202"/>
        <v>-12.763802507585368</v>
      </c>
      <c r="AS318" s="8">
        <f t="shared" ca="1" si="202"/>
        <v>-13.248886175506385</v>
      </c>
      <c r="AT318" s="8">
        <f t="shared" ca="1" si="202"/>
        <v>-13.749121851232992</v>
      </c>
      <c r="AU318" s="8">
        <f t="shared" ca="1" si="202"/>
        <v>-14.26517483827589</v>
      </c>
      <c r="AV318" s="8">
        <f t="shared" ca="1" si="202"/>
        <v>-14.798610306414915</v>
      </c>
      <c r="AW318" s="8">
        <f t="shared" ca="1" si="202"/>
        <v>-15.349172962207945</v>
      </c>
    </row>
    <row r="319" spans="1:49" ht="15" x14ac:dyDescent="0.25">
      <c r="A319" s="2"/>
      <c r="B319" s="4"/>
      <c r="D319" s="47"/>
      <c r="E319" s="44"/>
      <c r="F319" s="44"/>
      <c r="G319" s="44"/>
      <c r="H319" s="44"/>
      <c r="I319" s="44"/>
      <c r="J319" s="8"/>
      <c r="K319" s="8"/>
      <c r="L319" s="8"/>
      <c r="M319" s="8"/>
      <c r="N319" s="8"/>
      <c r="O319" s="8"/>
      <c r="P319" s="8"/>
      <c r="Q319" s="8"/>
      <c r="R319" s="8"/>
      <c r="S319" s="8"/>
    </row>
    <row r="320" spans="1:49" ht="15" x14ac:dyDescent="0.25">
      <c r="A320" s="22" t="s">
        <v>590</v>
      </c>
      <c r="B320" s="4"/>
      <c r="D320" s="47"/>
      <c r="E320" s="44"/>
      <c r="F320" s="44"/>
      <c r="G320" s="44"/>
      <c r="H320" s="44"/>
      <c r="I320" s="44"/>
      <c r="J320" s="8"/>
      <c r="K320" s="8"/>
      <c r="L320" s="8"/>
      <c r="M320" s="8"/>
      <c r="N320" s="8"/>
      <c r="O320" s="8"/>
      <c r="P320" s="8"/>
      <c r="Q320" s="8"/>
      <c r="R320" s="8"/>
      <c r="S320" s="8"/>
    </row>
    <row r="321" spans="1:49" x14ac:dyDescent="0.2">
      <c r="A321" s="1" t="s">
        <v>324</v>
      </c>
      <c r="B321" s="4" t="str">
        <f t="shared" ref="B321:B332" si="203">$B$43</f>
        <v>From Fiscal</v>
      </c>
      <c r="D321" s="18">
        <f>Fiscal!D$163</f>
        <v>3.6700000000000004</v>
      </c>
      <c r="E321" s="19">
        <f>Fiscal!E$163</f>
        <v>-1.484</v>
      </c>
      <c r="F321" s="19">
        <f>Fiscal!F$163</f>
        <v>1.9680000000000002</v>
      </c>
      <c r="G321" s="19">
        <f>Fiscal!G$163</f>
        <v>2.0750000000000002</v>
      </c>
      <c r="H321" s="19">
        <f>Fiscal!H$163</f>
        <v>2.2360000000000002</v>
      </c>
      <c r="I321" s="19">
        <f>Fiscal!I$163</f>
        <v>2.4220000000000002</v>
      </c>
      <c r="J321" s="7">
        <f ca="1">IF(J$6=OFFSET(Assumptions!$B$8,0,$C$1),AVERAGE((G$321-G$366)/G$14,(H$321-H$366)/H$14,(I$321-I$366)/I$14),(I$321-I$366)/I$14) *J$14 +J$366</f>
        <v>2.0904373223453399</v>
      </c>
      <c r="K321" s="7">
        <f ca="1">IF(K$6=OFFSET(Assumptions!$B$8,0,$C$1),AVERAGE((H$321-H$366)/H$14,(I$321-I$366)/I$14,(J$321-J$366)/J$14),(J$321-J$366)/J$14) *K$14 +K$366</f>
        <v>2.4201475434406792</v>
      </c>
      <c r="L321" s="7">
        <f ca="1">IF(L$6=OFFSET(Assumptions!$B$8,0,$C$1),AVERAGE((I$321-I$366)/I$14,(J$321-J$366)/J$14,(K$321-K$366)/K$14),(K$321-K$366)/K$14) *L$14 +L$366</f>
        <v>2.7767130085828033</v>
      </c>
      <c r="M321" s="7">
        <f ca="1">IF(M$6=OFFSET(Assumptions!$B$8,0,$C$1),AVERAGE((J$321-J$366)/J$14,(K$321-K$366)/K$14,(L$321-L$366)/L$14),(L$321-L$366)/L$14) *M$14 +M$366</f>
        <v>3.1596662611684017</v>
      </c>
      <c r="N321" s="7">
        <f ca="1">IF(N$6=OFFSET(Assumptions!$B$8,0,$C$1),AVERAGE((K$321-K$366)/K$14,(L$321-L$366)/L$14,(M$321-M$366)/M$14),(M$321-M$366)/M$14) *N$14 +N$366</f>
        <v>3.5468212286714413</v>
      </c>
      <c r="O321" s="7">
        <f ca="1">IF(O$6=OFFSET(Assumptions!$B$8,0,$C$1),AVERAGE((L$321-L$366)/L$14,(M$321-M$366)/M$14,(N$321-N$366)/N$14),(N$321-N$366)/N$14) *O$14 +O$366</f>
        <v>3.8810707713486252</v>
      </c>
      <c r="P321" s="7">
        <f ca="1">IF(P$6=OFFSET(Assumptions!$B$8,0,$C$1),AVERAGE((M$321-M$366)/M$14,(N$321-N$366)/N$14,(O$321-O$366)/O$14),(O$321-O$366)/O$14) *P$14 +P$366</f>
        <v>4.2182665312896939</v>
      </c>
      <c r="Q321" s="7">
        <f ca="1">IF(Q$6=OFFSET(Assumptions!$B$8,0,$C$1),AVERAGE((N$321-N$366)/N$14,(O$321-O$366)/O$14,(P$321-P$366)/P$14),(P$321-P$366)/P$14) *Q$14 +Q$366</f>
        <v>4.5570316084027835</v>
      </c>
      <c r="R321" s="7">
        <f ca="1">IF(R$6=OFFSET(Assumptions!$B$8,0,$C$1),AVERAGE((O$321-O$366)/O$14,(P$321-P$366)/P$14,(Q$321-Q$366)/Q$14),(Q$321-Q$366)/Q$14) *R$14 +R$366</f>
        <v>4.89722964108479</v>
      </c>
      <c r="S321" s="7">
        <f ca="1">IF(S$6=OFFSET(Assumptions!$B$8,0,$C$1),AVERAGE((P$321-P$366)/P$14,(Q$321-Q$366)/Q$14,(R$321-R$366)/R$14),(R$321-R$366)/R$14) *S$14 +S$366</f>
        <v>5.2400609429935363</v>
      </c>
      <c r="T321" s="7">
        <f ca="1">IF(T$6=OFFSET(Assumptions!$B$8,0,$C$1),AVERAGE((Q$321-Q$366)/Q$14,(R$321-R$366)/R$14,(S$321-S$366)/S$14),(S$321-S$366)/S$14) *T$14 +T$366</f>
        <v>5.5869879562717797</v>
      </c>
      <c r="U321" s="7">
        <f ca="1">IF(U$6=OFFSET(Assumptions!$B$8,0,$C$1),AVERAGE((R$321-R$366)/R$14,(S$321-S$366)/S$14,(T$321-T$366)/T$14),(T$321-T$366)/T$14) *U$14 +U$366</f>
        <v>5.9381428079556695</v>
      </c>
      <c r="V321" s="7">
        <f ca="1">IF(V$6=OFFSET(Assumptions!$B$8,0,$C$1),AVERAGE((S$321-S$366)/S$14,(T$321-T$366)/T$14,(U$321-U$366)/U$14),(U$321-U$366)/U$14) *V$14 +V$366</f>
        <v>6.2929435677973213</v>
      </c>
      <c r="W321" s="7">
        <f ca="1">IF(W$6=OFFSET(Assumptions!$B$8,0,$C$1),AVERAGE((T$321-T$366)/T$14,(U$321-U$366)/U$14,(V$321-V$366)/V$14),(V$321-V$366)/V$14) *W$14 +W$366</f>
        <v>6.6507390943624758</v>
      </c>
      <c r="X321" s="7">
        <f ca="1">IF(X$6=OFFSET(Assumptions!$B$8,0,$C$1),AVERAGE((U$321-U$366)/U$14,(V$321-V$366)/V$14,(W$321-W$366)/W$14),(W$321-W$366)/W$14) *X$14 +X$366</f>
        <v>7.0115886931069147</v>
      </c>
      <c r="Y321" s="7">
        <f ca="1">IF(Y$6=OFFSET(Assumptions!$B$8,0,$C$1),AVERAGE((V$321-V$366)/V$14,(W$321-W$366)/W$14,(X$321-X$366)/X$14),(X$321-X$366)/X$14) *Y$14 +Y$366</f>
        <v>7.3749811785947923</v>
      </c>
      <c r="Z321" s="7">
        <f ca="1">IF(Z$6=OFFSET(Assumptions!$B$8,0,$C$1),AVERAGE((W$321-W$366)/W$14,(X$321-X$366)/X$14,(Y$321-Y$366)/Y$14),(Y$321-Y$366)/Y$14) *Z$14 +Z$366</f>
        <v>7.7409467585640277</v>
      </c>
      <c r="AA321" s="7">
        <f ca="1">IF(AA$6=OFFSET(Assumptions!$B$8,0,$C$1),AVERAGE((X$321-X$366)/X$14,(Y$321-Y$366)/Y$14,(Z$321-Z$366)/Z$14),(Z$321-Z$366)/Z$14) *AA$14 +AA$366</f>
        <v>8.1125415060043817</v>
      </c>
      <c r="AB321" s="7">
        <f ca="1">IF(AB$6=OFFSET(Assumptions!$B$8,0,$C$1),AVERAGE((Y$321-Y$366)/Y$14,(Z$321-Z$366)/Z$14,(AA$321-AA$366)/AA$14),(AA$321-AA$366)/AA$14) *AB$14 +AB$366</f>
        <v>8.4944110091981706</v>
      </c>
      <c r="AC321" s="7">
        <f ca="1">IF(AC$6=OFFSET(Assumptions!$B$8,0,$C$1),AVERAGE((Z$321-Z$366)/Z$14,(AA$321-AA$366)/AA$14,(AB$321-AB$366)/AB$14),(AB$321-AB$366)/AB$14) *AC$14 +AC$366</f>
        <v>8.8923539255007267</v>
      </c>
      <c r="AD321" s="7">
        <f ca="1">IF(AD$6=OFFSET(Assumptions!$B$8,0,$C$1),AVERAGE((AA$321-AA$366)/AA$14,(AB$321-AB$366)/AB$14,(AC$321-AC$366)/AC$14),(AC$321-AC$366)/AC$14) *AD$14 +AD$366</f>
        <v>9.3131127483595577</v>
      </c>
      <c r="AE321" s="7">
        <f ca="1">IF(AE$6=OFFSET(Assumptions!$B$8,0,$C$1),AVERAGE((AB$321-AB$366)/AB$14,(AC$321-AC$366)/AC$14,(AD$321-AD$366)/AD$14),(AD$321-AD$366)/AD$14) *AE$14 +AE$366</f>
        <v>9.7621130007783492</v>
      </c>
      <c r="AF321" s="7">
        <f ca="1">IF(AF$6=OFFSET(Assumptions!$B$8,0,$C$1),AVERAGE((AC$321-AC$366)/AC$14,(AD$321-AD$366)/AD$14,(AE$321-AE$366)/AE$14),(AE$321-AE$366)/AE$14) *AF$14 +AF$366</f>
        <v>10.244037134140504</v>
      </c>
      <c r="AG321" s="7">
        <f ca="1">IF(AG$6=OFFSET(Assumptions!$B$8,0,$C$1),AVERAGE((AD$321-AD$366)/AD$14,(AE$321-AE$366)/AE$14,(AF$321-AF$366)/AF$14),(AF$321-AF$366)/AF$14) *AG$14 +AG$366</f>
        <v>10.762790427028341</v>
      </c>
      <c r="AH321" s="7">
        <f ca="1">IF(AH$6=OFFSET(Assumptions!$B$8,0,$C$1),AVERAGE((AE$321-AE$366)/AE$14,(AF$321-AF$366)/AF$14,(AG$321-AG$366)/AG$14),(AG$321-AG$366)/AG$14) *AH$14 +AH$366</f>
        <v>11.321103957180275</v>
      </c>
      <c r="AI321" s="7">
        <f ca="1">IF(AI$6=OFFSET(Assumptions!$B$8,0,$C$1),AVERAGE((AF$321-AF$366)/AF$14,(AG$321-AG$366)/AG$14,(AH$321-AH$366)/AH$14),(AH$321-AH$366)/AH$14) *AI$14 +AI$366</f>
        <v>11.922457949954575</v>
      </c>
      <c r="AJ321" s="7">
        <f ca="1">IF(AJ$6=OFFSET(Assumptions!$B$8,0,$C$1),AVERAGE((AG$321-AG$366)/AG$14,(AH$321-AH$366)/AH$14,(AI$321-AI$366)/AI$14),(AI$321-AI$366)/AI$14) *AJ$14 +AJ$366</f>
        <v>12.569927144329167</v>
      </c>
      <c r="AK321" s="7">
        <f ca="1">IF(AK$6=OFFSET(Assumptions!$B$8,0,$C$1),AVERAGE((AH$321-AH$366)/AH$14,(AI$321-AI$366)/AI$14,(AJ$321-AJ$366)/AJ$14),(AJ$321-AJ$366)/AJ$14) *AK$14 +AK$366</f>
        <v>13.265619662641802</v>
      </c>
      <c r="AL321" s="7">
        <f ca="1">IF(AL$6=OFFSET(Assumptions!$B$8,0,$C$1),AVERAGE((AI$321-AI$366)/AI$14,(AJ$321-AJ$366)/AJ$14,(AK$321-AK$366)/AK$14),(AK$321-AK$366)/AK$14) *AL$14 +AL$366</f>
        <v>14.011600179966434</v>
      </c>
      <c r="AM321" s="7">
        <f ca="1">IF(AM$6=OFFSET(Assumptions!$B$8,0,$C$1),AVERAGE((AJ$321-AJ$366)/AJ$14,(AK$321-AK$366)/AK$14,(AL$321-AL$366)/AL$14),(AL$321-AL$366)/AL$14) *AM$14 +AM$366</f>
        <v>14.810918352617955</v>
      </c>
      <c r="AN321" s="7">
        <f ca="1">IF(AN$6=OFFSET(Assumptions!$B$8,0,$C$1),AVERAGE((AK$321-AK$366)/AK$14,(AL$321-AL$366)/AL$14,(AM$321-AM$366)/AM$14),(AM$321-AM$366)/AM$14) *AN$14 +AN$366</f>
        <v>15.665450573855619</v>
      </c>
      <c r="AO321" s="7">
        <f ca="1">IF(AO$6=OFFSET(Assumptions!$B$8,0,$C$1),AVERAGE((AL$321-AL$366)/AL$14,(AM$321-AM$366)/AM$14,(AN$321-AN$366)/AN$14),(AN$321-AN$366)/AN$14) *AO$14 +AO$366</f>
        <v>16.575155103709438</v>
      </c>
      <c r="AP321" s="7">
        <f ca="1">IF(AP$6=OFFSET(Assumptions!$B$8,0,$C$1),AVERAGE((AM$321-AM$366)/AM$14,(AN$321-AN$366)/AN$14,(AO$321-AO$366)/AO$14),(AO$321-AO$366)/AO$14) *AP$14 +AP$366</f>
        <v>17.537387330642765</v>
      </c>
      <c r="AQ321" s="7">
        <f ca="1">IF(AQ$6=OFFSET(Assumptions!$B$8,0,$C$1),AVERAGE((AN$321-AN$366)/AN$14,(AO$321-AO$366)/AO$14,(AP$321-AP$366)/AP$14),(AP$321-AP$366)/AP$14) *AQ$14 +AQ$366</f>
        <v>18.54767724618781</v>
      </c>
      <c r="AR321" s="7">
        <f ca="1">IF(AR$6=OFFSET(Assumptions!$B$8,0,$C$1),AVERAGE((AO$321-AO$366)/AO$14,(AP$321-AP$366)/AP$14,(AQ$321-AQ$366)/AQ$14),(AQ$321-AQ$366)/AQ$14) *AR$14 +AR$366</f>
        <v>19.59998696531412</v>
      </c>
      <c r="AS321" s="7">
        <f ca="1">IF(AS$6=OFFSET(Assumptions!$B$8,0,$C$1),AVERAGE((AP$321-AP$366)/AP$14,(AQ$321-AQ$366)/AQ$14,(AR$321-AR$366)/AR$14),(AR$321-AR$366)/AR$14) *AS$14 +AS$366</f>
        <v>20.686590479834525</v>
      </c>
      <c r="AT321" s="7">
        <f ca="1">IF(AT$6=OFFSET(Assumptions!$B$8,0,$C$1),AVERAGE((AQ$321-AQ$366)/AQ$14,(AR$321-AR$366)/AR$14,(AS$321-AS$366)/AS$14),(AS$321-AS$366)/AS$14) *AT$14 +AT$366</f>
        <v>21.804611816437795</v>
      </c>
      <c r="AU321" s="7">
        <f ca="1">IF(AU$6=OFFSET(Assumptions!$B$8,0,$C$1),AVERAGE((AR$321-AR$366)/AR$14,(AS$321-AS$366)/AS$14,(AT$321-AT$366)/AT$14),(AT$321-AT$366)/AT$14) *AU$14 +AU$366</f>
        <v>22.954778068978204</v>
      </c>
      <c r="AV321" s="7">
        <f ca="1">IF(AV$6=OFFSET(Assumptions!$B$8,0,$C$1),AVERAGE((AS$321-AS$366)/AS$14,(AT$321-AT$366)/AT$14,(AU$321-AU$366)/AU$14),(AU$321-AU$366)/AU$14) *AV$14 +AV$366</f>
        <v>24.137347992890295</v>
      </c>
      <c r="AW321" s="7">
        <f ca="1">IF(AW$6=OFFSET(Assumptions!$B$8,0,$C$1),AVERAGE((AT$321-AT$366)/AT$14,(AU$321-AU$366)/AU$14,(AV$321-AV$366)/AV$14),(AV$321-AV$366)/AV$14) *AW$14 +AW$366</f>
        <v>25.352120242949923</v>
      </c>
    </row>
    <row r="322" spans="1:49" x14ac:dyDescent="0.2">
      <c r="A322" s="1" t="s">
        <v>295</v>
      </c>
      <c r="B322" s="4" t="str">
        <f t="shared" si="203"/>
        <v>From Fiscal</v>
      </c>
      <c r="D322" s="18">
        <f>SUM(Fiscal!D$281,Fiscal!D$287)</f>
        <v>1.4169999999999998</v>
      </c>
      <c r="E322" s="19">
        <f>SUM(Fiscal!E$281,Fiscal!E$287)</f>
        <v>-1.9710000000000001</v>
      </c>
      <c r="F322" s="19">
        <f>SUM(Fiscal!F$281,Fiscal!F$287)</f>
        <v>0.24299999999999999</v>
      </c>
      <c r="G322" s="19">
        <f>SUM(Fiscal!G$281,Fiscal!G$287)</f>
        <v>0.29400000000000004</v>
      </c>
      <c r="H322" s="19">
        <f>SUM(Fiscal!H$281,Fiscal!H$287)</f>
        <v>0.30199999999999999</v>
      </c>
      <c r="I322" s="19">
        <f>SUM(Fiscal!I$281,Fiscal!I$287)</f>
        <v>0.42</v>
      </c>
      <c r="J322" s="7">
        <f>I$322*Exogenous!Q$27/Exogenous!P$27</f>
        <v>0.43911476537167304</v>
      </c>
      <c r="K322" s="7">
        <f>J$322*Exogenous!R$27/Exogenous!Q$27</f>
        <v>0.46080199612958211</v>
      </c>
      <c r="L322" s="7">
        <f>K$322*Exogenous!S$27/Exogenous!R$27</f>
        <v>0.48271948258850306</v>
      </c>
      <c r="M322" s="7">
        <f>L$322*Exogenous!T$27/Exogenous!S$27</f>
        <v>0.50530465054769014</v>
      </c>
      <c r="N322" s="7">
        <f>M$322*Exogenous!U$27/Exogenous!T$27</f>
        <v>0.52810177251065227</v>
      </c>
      <c r="O322" s="7">
        <f>N$322*Exogenous!V$27/Exogenous!U$27</f>
        <v>0.55156175908687399</v>
      </c>
      <c r="P322" s="7">
        <f>O$322*Exogenous!W$27/Exogenous!V$27</f>
        <v>0.57628292550221605</v>
      </c>
      <c r="Q322" s="7">
        <f>P$322*Exogenous!X$27/Exogenous!W$27</f>
        <v>0.60177393038161775</v>
      </c>
      <c r="R322" s="7">
        <f>Q$322*Exogenous!Y$27/Exogenous!X$27</f>
        <v>0.62784723332099557</v>
      </c>
      <c r="S322" s="7">
        <f>R$322*Exogenous!Z$27/Exogenous!Y$27</f>
        <v>0.6547223707951777</v>
      </c>
      <c r="T322" s="7">
        <f>S$322*Exogenous!AA$27/Exogenous!Z$27</f>
        <v>0.6825023473040428</v>
      </c>
      <c r="U322" s="7">
        <f>T$322*Exogenous!AB$27/Exogenous!AA$27</f>
        <v>0.71127330163583669</v>
      </c>
      <c r="V322" s="7">
        <f>U$322*Exogenous!AC$27/Exogenous!AB$27</f>
        <v>0.74110653933398474</v>
      </c>
      <c r="W322" s="7">
        <f>V$322*Exogenous!AD$27/Exogenous!AC$27</f>
        <v>0.77209678047089125</v>
      </c>
      <c r="X322" s="7">
        <f>W$322*Exogenous!AE$27/Exogenous!AD$27</f>
        <v>0.80431056500069498</v>
      </c>
      <c r="Y322" s="7">
        <f>X$322*Exogenous!AF$27/Exogenous!AE$27</f>
        <v>0.83773731041085409</v>
      </c>
      <c r="Z322" s="7">
        <f>Y$322*Exogenous!AG$27/Exogenous!AF$27</f>
        <v>0.87251802317304372</v>
      </c>
      <c r="AA322" s="7">
        <f>Z$322*Exogenous!AH$27/Exogenous!AG$27</f>
        <v>0.90887834627609732</v>
      </c>
      <c r="AB322" s="7">
        <f>AA$322*Exogenous!AI$27/Exogenous!AH$27</f>
        <v>0.94689575229628342</v>
      </c>
      <c r="AC322" s="7">
        <f>AB$322*Exogenous!AJ$27/Exogenous!AI$27</f>
        <v>0.98664731423040974</v>
      </c>
      <c r="AD322" s="7">
        <f>AC$322*Exogenous!AK$27/Exogenous!AJ$27</f>
        <v>1.0283839093450442</v>
      </c>
      <c r="AE322" s="7">
        <f>AD$322*Exogenous!AL$27/Exogenous!AK$27</f>
        <v>1.0723787479559419</v>
      </c>
      <c r="AF322" s="7">
        <f>AE$322*Exogenous!AM$27/Exogenous!AL$27</f>
        <v>1.1186867366556854</v>
      </c>
      <c r="AG322" s="7">
        <f>AF$322*Exogenous!AN$27/Exogenous!AM$27</f>
        <v>1.1674833274914975</v>
      </c>
      <c r="AH322" s="7">
        <f>AG$322*Exogenous!AO$27/Exogenous!AN$27</f>
        <v>1.219004256932942</v>
      </c>
      <c r="AI322" s="7">
        <f>AH$322*Exogenous!AP$27/Exogenous!AO$27</f>
        <v>1.2733011772266589</v>
      </c>
      <c r="AJ322" s="7">
        <f>AI$322*Exogenous!AQ$27/Exogenous!AP$27</f>
        <v>1.33058049658232</v>
      </c>
      <c r="AK322" s="7">
        <f>AJ$322*Exogenous!AR$27/Exogenous!AQ$27</f>
        <v>1.3911639005124361</v>
      </c>
      <c r="AL322" s="7">
        <f>AK$322*Exogenous!AS$27/Exogenous!AR$27</f>
        <v>1.4552732132404622</v>
      </c>
      <c r="AM322" s="7">
        <f>AL$322*Exogenous!AT$27/Exogenous!AS$27</f>
        <v>1.5231311586090663</v>
      </c>
      <c r="AN322" s="7">
        <f>AM$322*Exogenous!AU$27/Exogenous!AT$27</f>
        <v>1.5949744753843318</v>
      </c>
      <c r="AO322" s="7">
        <f>AN$322*Exogenous!AV$27/Exogenous!AU$27</f>
        <v>1.6710540640334606</v>
      </c>
      <c r="AP322" s="7">
        <f>AO$322*Exogenous!AW$27/Exogenous!AV$27</f>
        <v>1.7516349373140609</v>
      </c>
      <c r="AQ322" s="7">
        <f>AP$322*Exogenous!AX$27/Exogenous!AW$27</f>
        <v>1.8369977436854847</v>
      </c>
      <c r="AR322" s="7">
        <f>AQ$322*Exogenous!AY$27/Exogenous!AX$27</f>
        <v>1.9274998335633595</v>
      </c>
      <c r="AS322" s="7">
        <f>AR$322*Exogenous!AZ$27/Exogenous!AY$27</f>
        <v>2.0236475942581231</v>
      </c>
      <c r="AT322" s="7">
        <f>AS$322*Exogenous!BA$27/Exogenous!AZ$27</f>
        <v>2.1228585448109949</v>
      </c>
      <c r="AU322" s="7">
        <f>AT$322*Exogenous!BB$27/Exogenous!BA$27</f>
        <v>2.2269333919916847</v>
      </c>
      <c r="AV322" s="7">
        <f>AU$322*Exogenous!BC$27/Exogenous!BB$27</f>
        <v>2.3361105922435015</v>
      </c>
      <c r="AW322" s="7">
        <f>AV$322*Exogenous!BD$27/Exogenous!BC$27</f>
        <v>2.4506402925286328</v>
      </c>
    </row>
    <row r="323" spans="1:49" x14ac:dyDescent="0.2">
      <c r="A323" s="1" t="s">
        <v>529</v>
      </c>
      <c r="B323" s="4" t="str">
        <f t="shared" si="203"/>
        <v>From Fiscal</v>
      </c>
      <c r="D323" s="18">
        <f>SUM(Fiscal!D$282,Fiscal!D$288)</f>
        <v>0.34200000000000003</v>
      </c>
      <c r="E323" s="19">
        <f>SUM(Fiscal!E$282,Fiscal!E$288)</f>
        <v>0.21299999999999999</v>
      </c>
      <c r="F323" s="19">
        <f>SUM(Fiscal!F$282,Fiscal!F$288)</f>
        <v>0.03</v>
      </c>
      <c r="G323" s="19">
        <f>SUM(Fiscal!G$282,Fiscal!G$288)</f>
        <v>4.3999999999999997E-2</v>
      </c>
      <c r="H323" s="19">
        <f>SUM(Fiscal!H$282,Fiscal!H$288)</f>
        <v>1.4999999999999999E-2</v>
      </c>
      <c r="I323" s="19">
        <f>SUM(Fiscal!I$282,Fiscal!I$288)</f>
        <v>1.4E-2</v>
      </c>
      <c r="J323" s="7">
        <f ca="1">IF(J$6=OFFSET(Assumptions!$B$8,0,$C$1),AVERAGE(G$323/G$14,H$323/H$14,I$323/I$14),I$323/I$14) *J$14</f>
        <v>2.699999069820028E-2</v>
      </c>
      <c r="K323" s="7">
        <f ca="1">IF(K$6=OFFSET(Assumptions!$B$8,0,$C$1),AVERAGE(H$323/H$14,I$323/I$14,J$323/J$14),J$323/J$14) *K$14</f>
        <v>2.8128325637692936E-2</v>
      </c>
      <c r="L323" s="7">
        <f ca="1">IF(L$6=OFFSET(Assumptions!$B$8,0,$C$1),AVERAGE(I$323/I$14,J$323/J$14,K$323/K$14),K$323/K$14) *L$14</f>
        <v>2.9347556078624722E-2</v>
      </c>
      <c r="M323" s="7">
        <f ca="1">IF(M$6=OFFSET(Assumptions!$B$8,0,$C$1),AVERAGE(J$323/J$14,K$323/K$14,L$323/L$14),L$323/L$14) *M$14</f>
        <v>3.0615559901389606E-2</v>
      </c>
      <c r="N323" s="7">
        <f ca="1">IF(N$6=OFFSET(Assumptions!$B$8,0,$C$1),AVERAGE(K$323/K$14,L$323/L$14,M$323/M$14),M$323/M$14) *N$14</f>
        <v>3.1935931742054814E-2</v>
      </c>
      <c r="O323" s="7">
        <f ca="1">IF(O$6=OFFSET(Assumptions!$B$8,0,$C$1),AVERAGE(L$323/L$14,M$323/M$14,N$323/N$14),N$323/N$14) *O$14</f>
        <v>3.3299172336099143E-2</v>
      </c>
      <c r="P323" s="7">
        <f ca="1">IF(P$6=OFFSET(Assumptions!$B$8,0,$C$1),AVERAGE(M$323/M$14,N$323/N$14,O$323/O$14),O$323/O$14) *P$14</f>
        <v>3.4707357745797238E-2</v>
      </c>
      <c r="Q323" s="7">
        <f ca="1">IF(Q$6=OFFSET(Assumptions!$B$8,0,$C$1),AVERAGE(N$323/N$14,O$323/O$14,P$323/P$14),P$323/P$14) *Q$14</f>
        <v>3.6158966872337356E-2</v>
      </c>
      <c r="R323" s="7">
        <f ca="1">IF(R$6=OFFSET(Assumptions!$B$8,0,$C$1),AVERAGE(O$323/O$14,P$323/P$14,Q$323/Q$14),Q$323/Q$14) *R$14</f>
        <v>3.7652922306013178E-2</v>
      </c>
      <c r="S323" s="7">
        <f ca="1">IF(S$6=OFFSET(Assumptions!$B$8,0,$C$1),AVERAGE(P$323/P$14,Q$323/Q$14,R$323/R$14),R$323/R$14) *S$14</f>
        <v>3.9193971776273699E-2</v>
      </c>
      <c r="T323" s="7">
        <f ca="1">IF(T$6=OFFSET(Assumptions!$B$8,0,$C$1),AVERAGE(Q$323/Q$14,R$323/R$14,S$323/S$14),S$323/S$14) *T$14</f>
        <v>4.0782677251685821E-2</v>
      </c>
      <c r="U323" s="7">
        <f ca="1">IF(U$6=OFFSET(Assumptions!$B$8,0,$C$1),AVERAGE(R$323/R$14,S$323/S$14,T$323/T$14),T$323/T$14) *U$14</f>
        <v>4.2424740554323041E-2</v>
      </c>
      <c r="V323" s="7">
        <f ca="1">IF(V$6=OFFSET(Assumptions!$B$8,0,$C$1),AVERAGE(S$323/S$14,T$323/T$14,U$323/U$14),U$323/U$14) *V$14</f>
        <v>4.4124215126827009E-2</v>
      </c>
      <c r="W323" s="7">
        <f ca="1">IF(W$6=OFFSET(Assumptions!$B$8,0,$C$1),AVERAGE(T$323/T$14,U$323/U$14,V$323/V$14),V$323/V$14) *W$14</f>
        <v>4.5886024775705234E-2</v>
      </c>
      <c r="X323" s="7">
        <f ca="1">IF(X$6=OFFSET(Assumptions!$B$8,0,$C$1),AVERAGE(U$323/U$14,V$323/V$14,W$323/W$14),W$323/W$14) *X$14</f>
        <v>4.7715749957843619E-2</v>
      </c>
      <c r="Y323" s="7">
        <f ca="1">IF(Y$6=OFFSET(Assumptions!$B$8,0,$C$1),AVERAGE(V$323/V$14,W$323/W$14,X$323/X$14),X$323/X$14) *Y$14</f>
        <v>4.9613203614744854E-2</v>
      </c>
      <c r="Z323" s="7">
        <f ca="1">IF(Z$6=OFFSET(Assumptions!$B$8,0,$C$1),AVERAGE(W$323/W$14,X$323/X$14,Y$323/Y$14),Y$323/Y$14) *Z$14</f>
        <v>5.1587989978278181E-2</v>
      </c>
      <c r="AA323" s="7">
        <f ca="1">IF(AA$6=OFFSET(Assumptions!$B$8,0,$C$1),AVERAGE(X$323/X$14,Y$323/Y$14,Z$323/Z$14),Z$323/Z$14) *AA$14</f>
        <v>5.3643304259589839E-2</v>
      </c>
      <c r="AB323" s="7">
        <f ca="1">IF(AB$6=OFFSET(Assumptions!$B$8,0,$C$1),AVERAGE(Y$323/Y$14,Z$323/Z$14,AA$323/AA$14),AA$323/AA$14) *AB$14</f>
        <v>5.5785318757277463E-2</v>
      </c>
      <c r="AC323" s="7">
        <f ca="1">IF(AC$6=OFFSET(Assumptions!$B$8,0,$C$1),AVERAGE(Z$323/Z$14,AA$323/AA$14,AB$323/AB$14),AB$323/AB$14) *AC$14</f>
        <v>5.8022119866746318E-2</v>
      </c>
      <c r="AD323" s="7">
        <f ca="1">IF(AD$6=OFFSET(Assumptions!$B$8,0,$C$1),AVERAGE(AA$323/AA$14,AB$323/AB$14,AC$323/AC$14),AC$323/AC$14) *AD$14</f>
        <v>6.0356065203958281E-2</v>
      </c>
      <c r="AE323" s="7">
        <f ca="1">IF(AE$6=OFFSET(Assumptions!$B$8,0,$C$1),AVERAGE(AB$323/AB$14,AC$323/AC$14,AD$323/AD$14),AD$323/AD$14) *AE$14</f>
        <v>6.2785011351204276E-2</v>
      </c>
      <c r="AF323" s="7">
        <f ca="1">IF(AF$6=OFFSET(Assumptions!$B$8,0,$C$1),AVERAGE(AC$323/AC$14,AD$323/AD$14,AE$323/AE$14),AE$323/AE$14) *AF$14</f>
        <v>6.5315678229921278E-2</v>
      </c>
      <c r="AG323" s="7">
        <f ca="1">IF(AG$6=OFFSET(Assumptions!$B$8,0,$C$1),AVERAGE(AD$323/AD$14,AE$323/AE$14,AF$323/AF$14),AF$323/AF$14) *AG$14</f>
        <v>6.7949480883207E-2</v>
      </c>
      <c r="AH323" s="7">
        <f ca="1">IF(AH$6=OFFSET(Assumptions!$B$8,0,$C$1),AVERAGE(AE$323/AE$14,AF$323/AF$14,AG$323/AG$14),AG$323/AG$14) *AH$14</f>
        <v>7.0690642796365805E-2</v>
      </c>
      <c r="AI323" s="7">
        <f ca="1">IF(AI$6=OFFSET(Assumptions!$B$8,0,$C$1),AVERAGE(AF$323/AF$14,AG$323/AG$14,AH$323/AH$14),AH$323/AH$14) *AI$14</f>
        <v>7.353437425211877E-2</v>
      </c>
      <c r="AJ323" s="7">
        <f ca="1">IF(AJ$6=OFFSET(Assumptions!$B$8,0,$C$1),AVERAGE(AG$323/AG$14,AH$323/AH$14,AI$323/AI$14),AI$323/AI$14) *AJ$14</f>
        <v>7.648978513916091E-2</v>
      </c>
      <c r="AK323" s="7">
        <f ca="1">IF(AK$6=OFFSET(Assumptions!$B$8,0,$C$1),AVERAGE(AH$323/AH$14,AI$323/AI$14,AJ$323/AJ$14),AJ$323/AJ$14) *AK$14</f>
        <v>7.9554444245459349E-2</v>
      </c>
      <c r="AL323" s="7">
        <f ca="1">IF(AL$6=OFFSET(Assumptions!$B$8,0,$C$1),AVERAGE(AI$323/AI$14,AJ$323/AJ$14,AK$323/AK$14),AK$323/AK$14) *AL$14</f>
        <v>8.2725937454487683E-2</v>
      </c>
      <c r="AM323" s="7">
        <f ca="1">IF(AM$6=OFFSET(Assumptions!$B$8,0,$C$1),AVERAGE(AJ$323/AJ$14,AK$323/AK$14,AL$323/AL$14),AL$323/AL$14) *AM$14</f>
        <v>8.6008597438962206E-2</v>
      </c>
      <c r="AN323" s="7">
        <f ca="1">IF(AN$6=OFFSET(Assumptions!$B$8,0,$C$1),AVERAGE(AK$323/AK$14,AL$323/AL$14,AM$323/AM$14),AM$323/AM$14) *AN$14</f>
        <v>8.9406990347131732E-2</v>
      </c>
      <c r="AO323" s="7">
        <f ca="1">IF(AO$6=OFFSET(Assumptions!$B$8,0,$C$1),AVERAGE(AL$323/AL$14,AM$323/AM$14,AN$323/AN$14),AN$323/AN$14) *AO$14</f>
        <v>9.2907771865264624E-2</v>
      </c>
      <c r="AP323" s="7">
        <f ca="1">IF(AP$6=OFFSET(Assumptions!$B$8,0,$C$1),AVERAGE(AM$323/AM$14,AN$323/AN$14,AO$323/AO$14),AO$323/AO$14) *AP$14</f>
        <v>9.652580804498806E-2</v>
      </c>
      <c r="AQ323" s="7">
        <f ca="1">IF(AQ$6=OFFSET(Assumptions!$B$8,0,$C$1),AVERAGE(AN$323/AN$14,AO$323/AO$14,AP$323/AP$14),AP$323/AP$14) *AQ$14</f>
        <v>0.10025096116034403</v>
      </c>
      <c r="AR323" s="7">
        <f ca="1">IF(AR$6=OFFSET(Assumptions!$B$8,0,$C$1),AVERAGE(AO$323/AO$14,AP$323/AP$14,AQ$323/AQ$14),AQ$323/AQ$14) *AR$14</f>
        <v>0.10408744875107731</v>
      </c>
      <c r="AS323" s="7">
        <f ca="1">IF(AS$6=OFFSET(Assumptions!$B$8,0,$C$1),AVERAGE(AP$323/AP$14,AQ$323/AQ$14,AR$323/AR$14),AR$323/AR$14) *AS$14</f>
        <v>0.10804422123207789</v>
      </c>
      <c r="AT323" s="7">
        <f ca="1">IF(AT$6=OFFSET(Assumptions!$B$8,0,$C$1),AVERAGE(AQ$323/AQ$14,AR$323/AR$14,AS$323/AS$14),AS$323/AS$14) *AT$14</f>
        <v>0.11212443874798518</v>
      </c>
      <c r="AU323" s="7">
        <f ca="1">IF(AU$6=OFFSET(Assumptions!$B$8,0,$C$1),AVERAGE(AR$323/AR$14,AS$323/AS$14,AT$323/AT$14),AT$323/AT$14) *AU$14</f>
        <v>0.11633352707720879</v>
      </c>
      <c r="AV323" s="7">
        <f ca="1">IF(AV$6=OFFSET(Assumptions!$B$8,0,$C$1),AVERAGE(AS$323/AS$14,AT$323/AT$14,AU$323/AU$14),AU$323/AU$14) *AV$14</f>
        <v>0.12068450029180773</v>
      </c>
      <c r="AW323" s="7">
        <f ca="1">IF(AW$6=OFFSET(Assumptions!$B$8,0,$C$1),AVERAGE(AT$323/AT$14,AU$323/AU$14,AV$323/AV$14),AV$323/AV$14) *AW$14</f>
        <v>0.12517490202297343</v>
      </c>
    </row>
    <row r="324" spans="1:49" x14ac:dyDescent="0.2">
      <c r="A324" s="1" t="s">
        <v>530</v>
      </c>
      <c r="B324" s="4" t="str">
        <f t="shared" si="203"/>
        <v>From Fiscal</v>
      </c>
      <c r="D324" s="18">
        <f>SUM(Fiscal!D$26:D$27)-SUM(D$321:D$323)</f>
        <v>-0.88199999999999967</v>
      </c>
      <c r="E324" s="19">
        <f>SUM(Fiscal!E$26:E$27)-SUM(E$321:E$323)</f>
        <v>-0.21300000000000052</v>
      </c>
      <c r="F324" s="19">
        <f>SUM(Fiscal!F$26:F$27)-SUM(F$321:F$323)</f>
        <v>-0.18399999999999972</v>
      </c>
      <c r="G324" s="19">
        <f>SUM(Fiscal!G$26:G$27)-SUM(G$321:G$323)</f>
        <v>-0.18500000000000005</v>
      </c>
      <c r="H324" s="19">
        <f>SUM(Fiscal!H$26:H$27)-SUM(H$321:H$323)</f>
        <v>-0.2020000000000004</v>
      </c>
      <c r="I324" s="19">
        <f>SUM(Fiscal!I$26:I$27)-SUM(I$321:I$323)</f>
        <v>-0.22299999999999986</v>
      </c>
      <c r="J324" s="7">
        <f ca="1">IF(J$6=OFFSET(Assumptions!$B$8,0,$C$1),AVERAGE(G$324/G$321,H$324/H$321,I$324/I$321),I$324/I$321)*J$321</f>
        <v>-0.1892327876086142</v>
      </c>
      <c r="K324" s="7">
        <f ca="1">IF(K$6=OFFSET(Assumptions!$B$8,0,$C$1),AVERAGE(H$324/H$321,I$324/I$321,J$324/J$321),J$324/J$321)*K$321</f>
        <v>-0.21907916643757791</v>
      </c>
      <c r="L324" s="7">
        <f ca="1">IF(L$6=OFFSET(Assumptions!$B$8,0,$C$1),AVERAGE(I$324/I$321,J$324/J$321,K$324/K$321),K$324/K$321)*L$321</f>
        <v>-0.25135656419189317</v>
      </c>
      <c r="M324" s="7">
        <f ca="1">IF(M$6=OFFSET(Assumptions!$B$8,0,$C$1),AVERAGE(J$324/J$321,K$324/K$321,L$324/L$321),L$324/L$321)*M$321</f>
        <v>-0.28602266526841563</v>
      </c>
      <c r="N324" s="7">
        <f ca="1">IF(N$6=OFFSET(Assumptions!$B$8,0,$C$1),AVERAGE(K$324/K$321,L$324/L$321,M$324/M$321),M$324/M$321)*N$321</f>
        <v>-0.32106911844546032</v>
      </c>
      <c r="O324" s="7">
        <f ca="1">IF(O$6=OFFSET(Assumptions!$B$8,0,$C$1),AVERAGE(L$324/L$321,M$324/M$321,N$324/N$321),N$324/N$321)*O$321</f>
        <v>-0.35132641056400343</v>
      </c>
      <c r="P324" s="7">
        <f ca="1">IF(P$6=OFFSET(Assumptions!$B$8,0,$C$1),AVERAGE(M$324/M$321,N$324/N$321,O$324/O$321),O$324/O$321)*P$321</f>
        <v>-0.38185040329097231</v>
      </c>
      <c r="Q324" s="7">
        <f ca="1">IF(Q$6=OFFSET(Assumptions!$B$8,0,$C$1),AVERAGE(N$324/N$321,O$324/O$321,P$324/P$321),P$324/P$321)*Q$321</f>
        <v>-0.41251645541380505</v>
      </c>
      <c r="R324" s="7">
        <f ca="1">IF(R$6=OFFSET(Assumptions!$B$8,0,$C$1),AVERAGE(O$324/O$321,P$324/P$321,Q$324/Q$321),Q$324/Q$321)*R$321</f>
        <v>-0.44331222306263174</v>
      </c>
      <c r="S324" s="7">
        <f ca="1">IF(S$6=OFFSET(Assumptions!$B$8,0,$C$1),AVERAGE(P$324/P$321,Q$324/Q$321,R$324/R$321),R$324/R$321)*S$321</f>
        <v>-0.47434636230527449</v>
      </c>
      <c r="T324" s="7">
        <f ca="1">IF(T$6=OFFSET(Assumptions!$B$8,0,$C$1),AVERAGE(Q$324/Q$321,R$324/R$321,S$324/S$321),S$324/S$321)*T$321</f>
        <v>-0.50575125788268294</v>
      </c>
      <c r="U324" s="7">
        <f ca="1">IF(U$6=OFFSET(Assumptions!$B$8,0,$C$1),AVERAGE(R$324/R$321,S$324/S$321,T$324/T$321),T$324/T$321)*U$321</f>
        <v>-0.53753887033875947</v>
      </c>
      <c r="V324" s="7">
        <f ca="1">IF(V$6=OFFSET(Assumptions!$B$8,0,$C$1),AVERAGE(S$324/S$321,T$324/T$321,U$324/U$321),U$324/U$321)*V$321</f>
        <v>-0.56965652156551971</v>
      </c>
      <c r="W324" s="7">
        <f ca="1">IF(W$6=OFFSET(Assumptions!$B$8,0,$C$1),AVERAGE(T$324/T$321,U$324/U$321,V$324/V$321),V$324/V$321)*W$321</f>
        <v>-0.6020452682464551</v>
      </c>
      <c r="X324" s="7">
        <f ca="1">IF(X$6=OFFSET(Assumptions!$B$8,0,$C$1),AVERAGE(U$324/U$321,V$324/V$321,W$324/W$321),W$324/W$321)*X$321</f>
        <v>-0.63471047889302401</v>
      </c>
      <c r="Y324" s="7">
        <f ca="1">IF(Y$6=OFFSET(Assumptions!$B$8,0,$C$1),AVERAGE(V$324/V$321,W$324/W$321,X$324/X$321),X$324/X$321)*Y$321</f>
        <v>-0.66760587943425775</v>
      </c>
      <c r="Z324" s="7">
        <f ca="1">IF(Z$6=OFFSET(Assumptions!$B$8,0,$C$1),AVERAGE(W$324/W$321,X$324/X$321,Y$324/Y$321),Y$324/Y$321)*Z$321</f>
        <v>-0.70073420436709255</v>
      </c>
      <c r="AA324" s="7">
        <f ca="1">IF(AA$6=OFFSET(Assumptions!$B$8,0,$C$1),AVERAGE(X$324/X$321,Y$324/Y$321,Z$324/Z$321),Z$324/Z$321)*AA$321</f>
        <v>-0.73437209877665321</v>
      </c>
      <c r="AB324" s="7">
        <f ca="1">IF(AB$6=OFFSET(Assumptions!$B$8,0,$C$1),AVERAGE(Y$324/Y$321,Z$324/Z$321,AA$324/AA$321),AA$324/AA$321)*AB$321</f>
        <v>-0.76894009553964793</v>
      </c>
      <c r="AC324" s="7">
        <f ca="1">IF(AC$6=OFFSET(Assumptions!$B$8,0,$C$1),AVERAGE(Z$324/Z$321,AA$324/AA$321,AB$324/AB$321),AB$324/AB$321)*AC$321</f>
        <v>-0.80496310687612183</v>
      </c>
      <c r="AD324" s="7">
        <f ca="1">IF(AD$6=OFFSET(Assumptions!$B$8,0,$C$1),AVERAGE(AA$324/AA$321,AB$324/AB$321,AC$324/AC$321),AC$324/AC$321)*AD$321</f>
        <v>-0.84305148393933149</v>
      </c>
      <c r="AE324" s="7">
        <f ca="1">IF(AE$6=OFFSET(Assumptions!$B$8,0,$C$1),AVERAGE(AB$324/AB$321,AC$324/AC$321,AD$324/AD$321),AD$324/AD$321)*AE$321</f>
        <v>-0.88369636168522503</v>
      </c>
      <c r="AF324" s="7">
        <f ca="1">IF(AF$6=OFFSET(Assumptions!$B$8,0,$C$1),AVERAGE(AC$324/AC$321,AD$324/AD$321,AE$324/AE$321),AE$324/AE$321)*AF$321</f>
        <v>-0.92732160995130075</v>
      </c>
      <c r="AG324" s="7">
        <f ca="1">IF(AG$6=OFFSET(Assumptions!$B$8,0,$C$1),AVERAGE(AD$324/AD$321,AE$324/AE$321,AF$324/AF$321),AF$324/AF$321)*AG$321</f>
        <v>-0.97428074651329921</v>
      </c>
      <c r="AH324" s="7">
        <f ca="1">IF(AH$6=OFFSET(Assumptions!$B$8,0,$C$1),AVERAGE(AE$324/AE$321,AF$324/AF$321,AG$324/AG$321),AG$324/AG$321)*AH$321</f>
        <v>-1.0248209968910156</v>
      </c>
      <c r="AI324" s="7">
        <f ca="1">IF(AI$6=OFFSET(Assumptions!$B$8,0,$C$1),AVERAGE(AF$324/AF$321,AG$324/AG$321,AH$324/AH$321),AH$324/AH$321)*AI$321</f>
        <v>-1.0792574017407812</v>
      </c>
      <c r="AJ324" s="7">
        <f ca="1">IF(AJ$6=OFFSET(Assumptions!$B$8,0,$C$1),AVERAGE(AG$324/AG$321,AH$324/AH$321,AI$324/AI$321),AI$324/AI$321)*AJ$321</f>
        <v>-1.1378682958501274</v>
      </c>
      <c r="AK324" s="7">
        <f ca="1">IF(AK$6=OFFSET(Assumptions!$B$8,0,$C$1),AVERAGE(AH$324/AH$321,AI$324/AI$321,AJ$324/AJ$321),AJ$324/AJ$321)*AK$321</f>
        <v>-1.2008445129084107</v>
      </c>
      <c r="AL324" s="7">
        <f ca="1">IF(AL$6=OFFSET(Assumptions!$B$8,0,$C$1),AVERAGE(AI$324/AI$321,AJ$324/AJ$321,AK$324/AK$321),AK$324/AK$321)*AL$321</f>
        <v>-1.2683729536256283</v>
      </c>
      <c r="AM324" s="7">
        <f ca="1">IF(AM$6=OFFSET(Assumptions!$B$8,0,$C$1),AVERAGE(AJ$324/AJ$321,AK$324/AK$321,AL$324/AL$321),AL$324/AL$321)*AM$321</f>
        <v>-1.3407296822298467</v>
      </c>
      <c r="AN324" s="7">
        <f ca="1">IF(AN$6=OFFSET(Assumptions!$B$8,0,$C$1),AVERAGE(AK$324/AK$321,AL$324/AL$321,AM$324/AM$321),AM$324/AM$321)*AN$321</f>
        <v>-1.4180845555846529</v>
      </c>
      <c r="AO324" s="7">
        <f ca="1">IF(AO$6=OFFSET(Assumptions!$B$8,0,$C$1),AVERAGE(AL$324/AL$321,AM$324/AM$321,AN$324/AN$321),AN$324/AN$321)*AO$321</f>
        <v>-1.5004337952601505</v>
      </c>
      <c r="AP324" s="7">
        <f ca="1">IF(AP$6=OFFSET(Assumptions!$B$8,0,$C$1),AVERAGE(AM$324/AM$321,AN$324/AN$321,AO$324/AO$321),AO$324/AO$321)*AP$321</f>
        <v>-1.5875380029218993</v>
      </c>
      <c r="AQ324" s="7">
        <f ca="1">IF(AQ$6=OFFSET(Assumptions!$B$8,0,$C$1),AVERAGE(AN$324/AN$321,AO$324/AO$321,AP$324/AP$321),AP$324/AP$321)*AQ$321</f>
        <v>-1.6789925397156491</v>
      </c>
      <c r="AR324" s="7">
        <f ca="1">IF(AR$6=OFFSET(Assumptions!$B$8,0,$C$1),AVERAGE(AO$324/AO$321,AP$324/AP$321,AQ$324/AQ$321),AQ$324/AQ$321)*AR$321</f>
        <v>-1.774250837799658</v>
      </c>
      <c r="AS324" s="7">
        <f ca="1">IF(AS$6=OFFSET(Assumptions!$B$8,0,$C$1),AVERAGE(AP$324/AP$321,AQ$324/AQ$321,AR$324/AR$321),AR$324/AR$321)*AS$321</f>
        <v>-1.8726135152547847</v>
      </c>
      <c r="AT324" s="7">
        <f ca="1">IF(AT$6=OFFSET(Assumptions!$B$8,0,$C$1),AVERAGE(AQ$324/AQ$321,AR$324/AR$321,AS$324/AS$321),AS$324/AS$321)*AT$321</f>
        <v>-1.9738202301702941</v>
      </c>
      <c r="AU324" s="7">
        <f ca="1">IF(AU$6=OFFSET(Assumptions!$B$8,0,$C$1),AVERAGE(AR$324/AR$321,AS$324/AS$321,AT$324/AT$321),AT$324/AT$321)*AU$321</f>
        <v>-2.0779368013083306</v>
      </c>
      <c r="AV324" s="7">
        <f ca="1">IF(AV$6=OFFSET(Assumptions!$B$8,0,$C$1),AVERAGE(AS$324/AS$321,AT$324/AT$321,AU$324/AU$321),AU$324/AU$321)*AV$321</f>
        <v>-2.1849866520031718</v>
      </c>
      <c r="AW324" s="7">
        <f ca="1">IF(AW$6=OFFSET(Assumptions!$B$8,0,$C$1),AVERAGE(AT$324/AT$321,AU$324/AU$321,AV$324/AV$321),AV$324/AV$321)*AW$321</f>
        <v>-2.2949515558685825</v>
      </c>
    </row>
    <row r="325" spans="1:49" ht="15" x14ac:dyDescent="0.25">
      <c r="A325" s="2" t="s">
        <v>591</v>
      </c>
      <c r="B325" s="4"/>
      <c r="D325" s="40">
        <f t="shared" ref="D325:I325" si="204">SUM(D$321:D$324)</f>
        <v>4.5469999999999997</v>
      </c>
      <c r="E325" s="39">
        <f t="shared" si="204"/>
        <v>-3.4550000000000005</v>
      </c>
      <c r="F325" s="39">
        <f t="shared" si="204"/>
        <v>2.0570000000000004</v>
      </c>
      <c r="G325" s="39">
        <f t="shared" si="204"/>
        <v>2.2280000000000002</v>
      </c>
      <c r="H325" s="39">
        <f t="shared" si="204"/>
        <v>2.351</v>
      </c>
      <c r="I325" s="39">
        <f t="shared" si="204"/>
        <v>2.633</v>
      </c>
      <c r="J325" s="43">
        <f t="shared" ref="J325:AW325" ca="1" si="205">SUM(J$321:J$324)</f>
        <v>2.367319290806599</v>
      </c>
      <c r="K325" s="43">
        <f t="shared" ca="1" si="205"/>
        <v>2.6899986987703763</v>
      </c>
      <c r="L325" s="43">
        <f t="shared" ca="1" si="205"/>
        <v>3.0374234830580384</v>
      </c>
      <c r="M325" s="43">
        <f t="shared" ca="1" si="205"/>
        <v>3.4095638063490661</v>
      </c>
      <c r="N325" s="43">
        <f t="shared" ca="1" si="205"/>
        <v>3.7857898144786883</v>
      </c>
      <c r="O325" s="43">
        <f t="shared" ca="1" si="205"/>
        <v>4.1146052922075951</v>
      </c>
      <c r="P325" s="43">
        <f t="shared" ca="1" si="205"/>
        <v>4.4474064112467353</v>
      </c>
      <c r="Q325" s="43">
        <f t="shared" ca="1" si="205"/>
        <v>4.782448050242933</v>
      </c>
      <c r="R325" s="43">
        <f t="shared" ca="1" si="205"/>
        <v>5.1194175736491667</v>
      </c>
      <c r="S325" s="43">
        <f t="shared" ca="1" si="205"/>
        <v>5.4596309232597138</v>
      </c>
      <c r="T325" s="43">
        <f t="shared" ca="1" si="205"/>
        <v>5.8045217229448252</v>
      </c>
      <c r="U325" s="43">
        <f t="shared" ca="1" si="205"/>
        <v>6.1543019798070695</v>
      </c>
      <c r="V325" s="43">
        <f t="shared" ca="1" si="205"/>
        <v>6.508517800692613</v>
      </c>
      <c r="W325" s="43">
        <f t="shared" ca="1" si="205"/>
        <v>6.8666766313626173</v>
      </c>
      <c r="X325" s="43">
        <f t="shared" ca="1" si="205"/>
        <v>7.2289045291724294</v>
      </c>
      <c r="Y325" s="43">
        <f t="shared" ca="1" si="205"/>
        <v>7.594725813186133</v>
      </c>
      <c r="Z325" s="43">
        <f t="shared" ca="1" si="205"/>
        <v>7.9643185673482577</v>
      </c>
      <c r="AA325" s="43">
        <f t="shared" ca="1" si="205"/>
        <v>8.340691057763415</v>
      </c>
      <c r="AB325" s="43">
        <f t="shared" ca="1" si="205"/>
        <v>8.728151984712083</v>
      </c>
      <c r="AC325" s="43">
        <f t="shared" ca="1" si="205"/>
        <v>9.1320602527217627</v>
      </c>
      <c r="AD325" s="43">
        <f t="shared" ca="1" si="205"/>
        <v>9.5588012389692274</v>
      </c>
      <c r="AE325" s="43">
        <f t="shared" ca="1" si="205"/>
        <v>10.01358039840027</v>
      </c>
      <c r="AF325" s="43">
        <f t="shared" ca="1" si="205"/>
        <v>10.500717939074811</v>
      </c>
      <c r="AG325" s="43">
        <f t="shared" ca="1" si="205"/>
        <v>11.023942488889746</v>
      </c>
      <c r="AH325" s="43">
        <f t="shared" ca="1" si="205"/>
        <v>11.585977860018568</v>
      </c>
      <c r="AI325" s="43">
        <f t="shared" ca="1" si="205"/>
        <v>12.190036099692572</v>
      </c>
      <c r="AJ325" s="43">
        <f t="shared" ca="1" si="205"/>
        <v>12.83912913020052</v>
      </c>
      <c r="AK325" s="43">
        <f t="shared" ca="1" si="205"/>
        <v>13.535493494491288</v>
      </c>
      <c r="AL325" s="43">
        <f t="shared" ca="1" si="205"/>
        <v>14.281226377035756</v>
      </c>
      <c r="AM325" s="43">
        <f t="shared" ca="1" si="205"/>
        <v>15.079328426436136</v>
      </c>
      <c r="AN325" s="43">
        <f t="shared" ca="1" si="205"/>
        <v>15.931747484002432</v>
      </c>
      <c r="AO325" s="43">
        <f t="shared" ca="1" si="205"/>
        <v>16.838683144348011</v>
      </c>
      <c r="AP325" s="43">
        <f t="shared" ca="1" si="205"/>
        <v>17.798010073079915</v>
      </c>
      <c r="AQ325" s="43">
        <f t="shared" ca="1" si="205"/>
        <v>18.805933411317987</v>
      </c>
      <c r="AR325" s="43">
        <f t="shared" ca="1" si="205"/>
        <v>19.857323409828897</v>
      </c>
      <c r="AS325" s="43">
        <f t="shared" ca="1" si="205"/>
        <v>20.945668780069941</v>
      </c>
      <c r="AT325" s="43">
        <f t="shared" ca="1" si="205"/>
        <v>22.065774569826484</v>
      </c>
      <c r="AU325" s="43">
        <f t="shared" ca="1" si="205"/>
        <v>23.22010818673877</v>
      </c>
      <c r="AV325" s="43">
        <f t="shared" ca="1" si="205"/>
        <v>24.409156433422432</v>
      </c>
      <c r="AW325" s="43">
        <f t="shared" ca="1" si="205"/>
        <v>25.632983881632946</v>
      </c>
    </row>
    <row r="326" spans="1:49" ht="15" x14ac:dyDescent="0.25">
      <c r="A326" s="2"/>
      <c r="B326" s="4"/>
      <c r="D326" s="55"/>
      <c r="E326" s="56"/>
      <c r="F326" s="56"/>
      <c r="G326" s="56"/>
      <c r="H326" s="56"/>
      <c r="I326" s="56"/>
      <c r="J326" s="57"/>
      <c r="K326" s="57"/>
      <c r="L326" s="57"/>
      <c r="M326" s="57"/>
      <c r="N326" s="57"/>
      <c r="O326" s="57"/>
      <c r="P326" s="57"/>
      <c r="Q326" s="57"/>
      <c r="R326" s="57"/>
      <c r="S326" s="57"/>
    </row>
    <row r="327" spans="1:49" ht="15" x14ac:dyDescent="0.25">
      <c r="A327" s="22" t="s">
        <v>283</v>
      </c>
      <c r="B327" s="4"/>
      <c r="D327" s="47"/>
      <c r="E327" s="44"/>
      <c r="F327" s="44"/>
      <c r="G327" s="44"/>
      <c r="H327" s="44"/>
      <c r="I327" s="44"/>
      <c r="J327" s="8"/>
      <c r="K327" s="8"/>
      <c r="L327" s="8"/>
      <c r="M327" s="8"/>
      <c r="N327" s="8"/>
      <c r="O327" s="8"/>
      <c r="P327" s="8"/>
      <c r="Q327" s="8"/>
      <c r="R327" s="8"/>
      <c r="S327" s="8"/>
    </row>
    <row r="328" spans="1:49" ht="15" x14ac:dyDescent="0.25">
      <c r="A328" s="2" t="s">
        <v>592</v>
      </c>
      <c r="B328" s="4" t="str">
        <f t="shared" si="203"/>
        <v>From Fiscal</v>
      </c>
      <c r="D328" s="47">
        <f>Fiscal!D$164</f>
        <v>0.35899999999999999</v>
      </c>
      <c r="E328" s="44">
        <f>Fiscal!E$164</f>
        <v>0.1</v>
      </c>
      <c r="F328" s="44">
        <f>Fiscal!F$164</f>
        <v>9.2999999999999999E-2</v>
      </c>
      <c r="G328" s="44">
        <f>Fiscal!G$164</f>
        <v>9.4E-2</v>
      </c>
      <c r="H328" s="44">
        <f>Fiscal!H$164</f>
        <v>9.9000000000000005E-2</v>
      </c>
      <c r="I328" s="44">
        <f>Fiscal!I$164</f>
        <v>9.1999999999999998E-2</v>
      </c>
      <c r="J328" s="8">
        <f ca="1">IF(J$6=OFFSET(Assumptions!$B$8,0,$C$1),AVERAGE(G$328/G$14,H$328/H$14,I$328/I$14),I$328/I$14) *J$14</f>
        <v>0.10345949497309953</v>
      </c>
      <c r="K328" s="8">
        <f ca="1">IF(K$6=OFFSET(Assumptions!$B$8,0,$C$1),AVERAGE(H$328/H$14,I$328/I$14,J$328/J$14),J$328/J$14) *K$14</f>
        <v>0.10778308768486272</v>
      </c>
      <c r="L328" s="8">
        <f ca="1">IF(L$6=OFFSET(Assumptions!$B$8,0,$C$1),AVERAGE(I$328/I$14,J$328/J$14,K$328/K$14),K$328/K$14) *L$14</f>
        <v>0.11245497691195938</v>
      </c>
      <c r="M328" s="8">
        <f ca="1">IF(M$6=OFFSET(Assumptions!$B$8,0,$C$1),AVERAGE(J$328/J$14,K$328/K$14,L$328/L$14),L$328/L$14) *M$14</f>
        <v>0.11731375766464901</v>
      </c>
      <c r="N328" s="8">
        <f ca="1">IF(N$6=OFFSET(Assumptions!$B$8,0,$C$1),AVERAGE(K$328/K$14,L$328/L$14,M$328/M$14),M$328/M$14) *N$14</f>
        <v>0.12237320399331125</v>
      </c>
      <c r="O328" s="8">
        <f ca="1">IF(O$6=OFFSET(Assumptions!$B$8,0,$C$1),AVERAGE(L$328/L$14,M$328/M$14,N$328/N$14),N$328/N$14) *O$14</f>
        <v>0.12759691628874015</v>
      </c>
      <c r="P328" s="8">
        <f ca="1">IF(P$6=OFFSET(Assumptions!$B$8,0,$C$1),AVERAGE(M$328/M$14,N$328/N$14,O$328/O$14),O$328/O$14) *P$14</f>
        <v>0.13299284967791583</v>
      </c>
      <c r="Q328" s="8">
        <f ca="1">IF(Q$6=OFFSET(Assumptions!$B$8,0,$C$1),AVERAGE(N$328/N$14,O$328/O$14,P$328/P$14),P$328/P$14) *Q$14</f>
        <v>0.13855517556198341</v>
      </c>
      <c r="R328" s="8">
        <f ca="1">IF(R$6=OFFSET(Assumptions!$B$8,0,$C$1),AVERAGE(O$328/O$14,P$328/P$14,Q$328/Q$14),Q$328/Q$14) *R$14</f>
        <v>0.14427976548529481</v>
      </c>
      <c r="S328" s="8">
        <f ca="1">IF(S$6=OFFSET(Assumptions!$B$8,0,$C$1),AVERAGE(P$328/P$14,Q$328/Q$14,R$328/R$14),R$328/R$14) *S$14</f>
        <v>0.1501848119611939</v>
      </c>
      <c r="T328" s="8">
        <f ca="1">IF(T$6=OFFSET(Assumptions!$B$8,0,$C$1),AVERAGE(Q$328/Q$14,R$328/R$14,S$328/S$14),S$328/S$14) *T$14</f>
        <v>0.15627246836020489</v>
      </c>
      <c r="U328" s="8">
        <f ca="1">IF(U$6=OFFSET(Assumptions!$B$8,0,$C$1),AVERAGE(R$328/R$14,S$328/S$14,T$328/T$14),T$328/T$14) *U$14</f>
        <v>0.1625645831206752</v>
      </c>
      <c r="V328" s="8">
        <f ca="1">IF(V$6=OFFSET(Assumptions!$B$8,0,$C$1),AVERAGE(S$328/S$14,T$328/T$14,U$328/U$14),U$328/U$14) *V$14</f>
        <v>0.16907668836383014</v>
      </c>
      <c r="W328" s="8">
        <f ca="1">IF(W$6=OFFSET(Assumptions!$B$8,0,$C$1),AVERAGE(T$328/T$14,U$328/U$14,V$328/V$14),V$328/V$14) *W$14</f>
        <v>0.17582765130115532</v>
      </c>
      <c r="X328" s="8">
        <f ca="1">IF(X$6=OFFSET(Assumptions!$B$8,0,$C$1),AVERAGE(U$328/U$14,V$328/V$14,W$328/W$14),W$328/W$14) *X$14</f>
        <v>0.18283885531968924</v>
      </c>
      <c r="Y328" s="8">
        <f ca="1">IF(Y$6=OFFSET(Assumptions!$B$8,0,$C$1),AVERAGE(V$328/V$14,W$328/W$14,X$328/X$14),X$328/X$14) *Y$14</f>
        <v>0.19010958364223449</v>
      </c>
      <c r="Z328" s="8">
        <f ca="1">IF(Z$6=OFFSET(Assumptions!$B$8,0,$C$1),AVERAGE(W$328/W$14,X$328/X$14,Y$328/Y$14),Y$328/Y$14) *Z$14</f>
        <v>0.19767663809549918</v>
      </c>
      <c r="AA328" s="8">
        <f ca="1">IF(AA$6=OFFSET(Assumptions!$B$8,0,$C$1),AVERAGE(X$328/X$14,Y$328/Y$14,Z$328/Z$14),Z$328/Z$14) *AA$14</f>
        <v>0.20555226219968364</v>
      </c>
      <c r="AB328" s="8">
        <f ca="1">IF(AB$6=OFFSET(Assumptions!$B$8,0,$C$1),AVERAGE(Y$328/Y$14,Z$328/Z$14,AA$328/AA$14),AA$328/AA$14) *AB$14</f>
        <v>0.21376010718129659</v>
      </c>
      <c r="AC328" s="8">
        <f ca="1">IF(AC$6=OFFSET(Assumptions!$B$8,0,$C$1),AVERAGE(Z$328/Z$14,AA$328/AA$14,AB$328/AB$14),AB$328/AB$14) *AC$14</f>
        <v>0.22233115876896775</v>
      </c>
      <c r="AD328" s="8">
        <f ca="1">IF(AD$6=OFFSET(Assumptions!$B$8,0,$C$1),AVERAGE(AA$328/AA$14,AB$328/AB$14,AC$328/AC$14),AC$328/AC$14) *AD$14</f>
        <v>0.23127445095680049</v>
      </c>
      <c r="AE328" s="8">
        <f ca="1">IF(AE$6=OFFSET(Assumptions!$B$8,0,$C$1),AVERAGE(AB$328/AB$14,AC$328/AC$14,AD$328/AD$14),AD$328/AD$14) *AE$14</f>
        <v>0.24058177052293933</v>
      </c>
      <c r="AF328" s="8">
        <f ca="1">IF(AF$6=OFFSET(Assumptions!$B$8,0,$C$1),AVERAGE(AC$328/AC$14,AD$328/AD$14,AE$328/AE$14),AE$328/AE$14) *AF$14</f>
        <v>0.25027886709396385</v>
      </c>
      <c r="AG328" s="8">
        <f ca="1">IF(AG$6=OFFSET(Assumptions!$B$8,0,$C$1),AVERAGE(AD$328/AD$14,AE$328/AE$14,AF$328/AF$14),AF$328/AF$14) *AG$14</f>
        <v>0.26037116288078843</v>
      </c>
      <c r="AH328" s="8">
        <f ca="1">IF(AH$6=OFFSET(Assumptions!$B$8,0,$C$1),AVERAGE(AE$328/AE$14,AF$328/AF$14,AG$328/AG$14),AG$328/AG$14) *AH$14</f>
        <v>0.27087484157997438</v>
      </c>
      <c r="AI328" s="8">
        <f ca="1">IF(AI$6=OFFSET(Assumptions!$B$8,0,$C$1),AVERAGE(AF$328/AF$14,AG$328/AG$14,AH$328/AH$14),AH$328/AH$14) *AI$14</f>
        <v>0.28177154978776381</v>
      </c>
      <c r="AJ328" s="8">
        <f ca="1">IF(AJ$6=OFFSET(Assumptions!$B$8,0,$C$1),AVERAGE(AG$328/AG$14,AH$328/AH$14,AI$328/AI$14),AI$328/AI$14) *AJ$14</f>
        <v>0.29309619508965135</v>
      </c>
      <c r="AK328" s="8">
        <f ca="1">IF(AK$6=OFFSET(Assumptions!$B$8,0,$C$1),AVERAGE(AH$328/AH$14,AI$328/AI$14,AJ$328/AJ$14),AJ$328/AJ$14) *AK$14</f>
        <v>0.30483946148357199</v>
      </c>
      <c r="AL328" s="8">
        <f ca="1">IF(AL$6=OFFSET(Assumptions!$B$8,0,$C$1),AVERAGE(AI$328/AI$14,AJ$328/AJ$14,AK$328/AK$14),AK$328/AK$14) *AL$14</f>
        <v>0.31699209847461207</v>
      </c>
      <c r="AM328" s="8">
        <f ca="1">IF(AM$6=OFFSET(Assumptions!$B$8,0,$C$1),AVERAGE(AJ$328/AJ$14,AK$328/AK$14,AL$328/AL$14),AL$328/AL$14) *AM$14</f>
        <v>0.32957070814742107</v>
      </c>
      <c r="AN328" s="8">
        <f ca="1">IF(AN$6=OFFSET(Assumptions!$B$8,0,$C$1),AVERAGE(AK$328/AK$14,AL$328/AL$14,AM$328/AM$14),AM$328/AM$14) *AN$14</f>
        <v>0.34259278722624159</v>
      </c>
      <c r="AO328" s="8">
        <f ca="1">IF(AO$6=OFFSET(Assumptions!$B$8,0,$C$1),AVERAGE(AL$328/AL$14,AM$328/AM$14,AN$328/AN$14),AN$328/AN$14) *AO$14</f>
        <v>0.35600720250977469</v>
      </c>
      <c r="AP328" s="8">
        <f ca="1">IF(AP$6=OFFSET(Assumptions!$B$8,0,$C$1),AVERAGE(AM$328/AM$14,AN$328/AN$14,AO$328/AO$14),AO$328/AO$14) *AP$14</f>
        <v>0.36987091824703755</v>
      </c>
      <c r="AQ328" s="8">
        <f ca="1">IF(AQ$6=OFFSET(Assumptions!$B$8,0,$C$1),AVERAGE(AN$328/AN$14,AO$328/AO$14,AP$328/AP$14),AP$328/AP$14) *AQ$14</f>
        <v>0.38414508835028449</v>
      </c>
      <c r="AR328" s="8">
        <f ca="1">IF(AR$6=OFFSET(Assumptions!$B$8,0,$C$1),AVERAGE(AO$328/AO$14,AP$328/AP$14,AQ$328/AQ$14),AQ$328/AQ$14) *AR$14</f>
        <v>0.39884587373367675</v>
      </c>
      <c r="AS328" s="8">
        <f ca="1">IF(AS$6=OFFSET(Assumptions!$B$8,0,$C$1),AVERAGE(AP$328/AP$14,AQ$328/AQ$14,AR$328/AR$14),AR$328/AR$14) *AS$14</f>
        <v>0.41400757090548596</v>
      </c>
      <c r="AT328" s="8">
        <f ca="1">IF(AT$6=OFFSET(Assumptions!$B$8,0,$C$1),AVERAGE(AQ$328/AQ$14,AR$328/AR$14,AS$328/AS$14),AS$328/AS$14) *AT$14</f>
        <v>0.42964228901686297</v>
      </c>
      <c r="AU328" s="8">
        <f ca="1">IF(AU$6=OFFSET(Assumptions!$B$8,0,$C$1),AVERAGE(AR$328/AR$14,AS$328/AS$14,AT$328/AT$14),AT$328/AT$14) *AU$14</f>
        <v>0.44577081875252944</v>
      </c>
      <c r="AV328" s="8">
        <f ca="1">IF(AV$6=OFFSET(Assumptions!$B$8,0,$C$1),AVERAGE(AS$328/AS$14,AT$328/AT$14,AU$328/AU$14),AU$328/AU$14) *AV$14</f>
        <v>0.46244302788236052</v>
      </c>
      <c r="AW328" s="8">
        <f ca="1">IF(AW$6=OFFSET(Assumptions!$B$8,0,$C$1),AVERAGE(AT$328/AT$14,AU$328/AU$14,AV$328/AV$14),AV$328/AV$14) *AW$14</f>
        <v>0.4796495040076913</v>
      </c>
    </row>
    <row r="329" spans="1:49" ht="15" x14ac:dyDescent="0.25">
      <c r="A329" s="2" t="s">
        <v>593</v>
      </c>
      <c r="B329" s="4" t="str">
        <f t="shared" si="203"/>
        <v>From Fiscal</v>
      </c>
      <c r="D329" s="47">
        <f>Fiscal!D$31</f>
        <v>1.028</v>
      </c>
      <c r="E329" s="44">
        <f>Fiscal!E$31</f>
        <v>0.28399999999999997</v>
      </c>
      <c r="F329" s="44">
        <f>Fiscal!F$31</f>
        <v>0.28599999999999998</v>
      </c>
      <c r="G329" s="44">
        <f>Fiscal!G$31</f>
        <v>0.28499999999999998</v>
      </c>
      <c r="H329" s="44">
        <f>Fiscal!H$31</f>
        <v>0.28699999999999998</v>
      </c>
      <c r="I329" s="44">
        <f>Fiscal!I$31</f>
        <v>0.28899999999999998</v>
      </c>
      <c r="J329" s="8">
        <f ca="1">IF(J$6=OFFSET(Assumptions!$B$8,0,$C$1),AVERAGE((G$329-G$328)/G$14,(H$329-H$328)/H$14,(I$329-I$328)/I$14),(I$329-I$328)/I$14) *J$14 +J$328</f>
        <v>0.31241826732297806</v>
      </c>
      <c r="K329" s="8">
        <f ca="1">IF(K$6=OFFSET(Assumptions!$B$8,0,$C$1),AVERAGE((H$329-H$328)/H$14,(I$329-I$328)/I$14,(J$329-J$328)/J$14),(J$329-J$328)/J$14) *K$14 +K$328</f>
        <v>0.32547428836745085</v>
      </c>
      <c r="L329" s="8">
        <f ca="1">IF(L$6=OFFSET(Assumptions!$B$8,0,$C$1),AVERAGE((I$329-I$328)/I$14,(J$329-J$328)/J$14,(K$329-K$328)/K$14),(K$329-K$328)/K$14) *L$14 +L$328</f>
        <v>0.33958206588786044</v>
      </c>
      <c r="M329" s="8">
        <f ca="1">IF(M$6=OFFSET(Assumptions!$B$8,0,$C$1),AVERAGE((J$329-J$328)/J$14,(K$329-K$328)/K$14,(L$329-L$328)/L$14),(L$329-L$328)/L$14) *M$14 +M$328</f>
        <v>0.3542542026932084</v>
      </c>
      <c r="N329" s="8">
        <f ca="1">IF(N$6=OFFSET(Assumptions!$B$8,0,$C$1),AVERAGE((K$329-K$328)/K$14,(L$329-L$328)/L$14,(M$329-M$328)/M$14),(M$329-M$328)/M$14) *N$14 +N$328</f>
        <v>0.3695322925004827</v>
      </c>
      <c r="O329" s="8">
        <f ca="1">IF(O$6=OFFSET(Assumptions!$B$8,0,$C$1),AVERAGE((L$329-L$328)/L$14,(M$329-M$328)/M$14,(N$329-N$328)/N$14),(N$329-N$328)/N$14) *O$14 +O$328</f>
        <v>0.38530641883616568</v>
      </c>
      <c r="P329" s="8">
        <f ca="1">IF(P$6=OFFSET(Assumptions!$B$8,0,$C$1),AVERAGE((M$329-M$328)/M$14,(N$329-N$328)/N$14,(O$329-O$328)/O$14),(O$329-O$328)/O$14) *P$14 +P$328</f>
        <v>0.40160060392255903</v>
      </c>
      <c r="Q329" s="8">
        <f ca="1">IF(Q$6=OFFSET(Assumptions!$B$8,0,$C$1),AVERAGE((N$329-N$328)/N$14,(O$329-O$328)/O$14,(P$329-P$328)/P$14),(P$329-P$328)/P$14) *Q$14 +Q$328</f>
        <v>0.41839724704785153</v>
      </c>
      <c r="R329" s="8">
        <f ca="1">IF(R$6=OFFSET(Assumptions!$B$8,0,$C$1),AVERAGE((O$329-O$328)/O$14,(P$329-P$328)/P$14,(Q$329-Q$328)/Q$14),(Q$329-Q$328)/Q$14) *R$14 +R$328</f>
        <v>0.4356838814494649</v>
      </c>
      <c r="S329" s="8">
        <f ca="1">IF(S$6=OFFSET(Assumptions!$B$8,0,$C$1),AVERAGE((P$329-P$328)/P$14,(Q$329-Q$328)/Q$14,(R$329-R$328)/R$14),(R$329-R$328)/R$14) *S$14 +S$328</f>
        <v>0.45351544334662797</v>
      </c>
      <c r="T329" s="8">
        <f ca="1">IF(T$6=OFFSET(Assumptions!$B$8,0,$C$1),AVERAGE((Q$329-Q$328)/Q$14,(R$329-R$328)/R$14,(S$329-S$328)/S$14),(S$329-S$328)/S$14) *T$14 +T$328</f>
        <v>0.4718984353062462</v>
      </c>
      <c r="U329" s="8">
        <f ca="1">IF(U$6=OFFSET(Assumptions!$B$8,0,$C$1),AVERAGE((R$329-R$328)/R$14,(S$329-S$328)/S$14,(T$329-T$328)/T$14),(T$329-T$328)/T$14) *U$14 +U$328</f>
        <v>0.490898833401893</v>
      </c>
      <c r="V329" s="8">
        <f ca="1">IF(V$6=OFFSET(Assumptions!$B$8,0,$C$1),AVERAGE((S$329-S$328)/S$14,(T$329-T$328)/T$14,(U$329-U$328)/U$14),(U$329-U$328)/U$14) *V$14 +V$328</f>
        <v>0.51056354022479344</v>
      </c>
      <c r="W329" s="8">
        <f ca="1">IF(W$6=OFFSET(Assumptions!$B$8,0,$C$1),AVERAGE((T$329-T$328)/T$14,(U$329-U$328)/U$14,(V$329-V$328)/V$14),(V$329-V$328)/V$14) *W$14 +W$328</f>
        <v>0.53094952939078699</v>
      </c>
      <c r="X329" s="8">
        <f ca="1">IF(X$6=OFFSET(Assumptions!$B$8,0,$C$1),AVERAGE((U$329-U$328)/U$14,(V$329-V$328)/V$14,(W$329-W$328)/W$14),(W$329-W$328)/W$14) *X$14 +X$328</f>
        <v>0.55212137265068106</v>
      </c>
      <c r="Y329" s="8">
        <f ca="1">IF(Y$6=OFFSET(Assumptions!$B$8,0,$C$1),AVERAGE((V$329-V$328)/V$14,(W$329-W$328)/W$14,(X$329-X$328)/X$14),(X$329-X$328)/X$14) *Y$14 +Y$328</f>
        <v>0.57407690554107749</v>
      </c>
      <c r="Z329" s="8">
        <f ca="1">IF(Z$6=OFFSET(Assumptions!$B$8,0,$C$1),AVERAGE((W$329-W$328)/W$14,(X$329-X$328)/X$14,(Y$329-Y$328)/Y$14),(Y$329-Y$328)/Y$14) *Z$14 +Z$328</f>
        <v>0.59692725911802325</v>
      </c>
      <c r="AA329" s="8">
        <f ca="1">IF(AA$6=OFFSET(Assumptions!$B$8,0,$C$1),AVERAGE((X$329-X$328)/X$14,(Y$329-Y$328)/Y$14,(Z$329-Z$328)/Z$14),(Z$329-Z$328)/Z$14) *AA$14 +AA$328</f>
        <v>0.62070940533240548</v>
      </c>
      <c r="AB329" s="8">
        <f ca="1">IF(AB$6=OFFSET(Assumptions!$B$8,0,$C$1),AVERAGE((Y$329-Y$328)/Y$14,(Z$329-Z$328)/Z$14,(AA$329-AA$328)/AA$14),(AA$329-AA$328)/AA$14) *AB$14 +AB$328</f>
        <v>0.64549476416561702</v>
      </c>
      <c r="AC329" s="8">
        <f ca="1">IF(AC$6=OFFSET(Assumptions!$B$8,0,$C$1),AVERAGE((Z$329-Z$328)/Z$14,(AA$329-AA$328)/AA$14,(AB$329-AB$328)/AB$14),(AB$329-AB$328)/AB$14) *AC$14 +AC$328</f>
        <v>0.67137690371068559</v>
      </c>
      <c r="AD329" s="8">
        <f ca="1">IF(AD$6=OFFSET(Assumptions!$B$8,0,$C$1),AVERAGE((AA$329-AA$328)/AA$14,(AB$329-AB$328)/AB$14,(AC$329-AC$328)/AC$14),(AC$329-AC$328)/AC$14) *AD$14 +AD$328</f>
        <v>0.69838310406196613</v>
      </c>
      <c r="AE329" s="8">
        <f ca="1">IF(AE$6=OFFSET(Assumptions!$B$8,0,$C$1),AVERAGE((AB$329-AB$328)/AB$14,(AC$329-AC$328)/AC$14,(AD$329-AD$328)/AD$14),(AD$329-AD$328)/AD$14) *AE$14 +AE$328</f>
        <v>0.72648856362399472</v>
      </c>
      <c r="AF329" s="8">
        <f ca="1">IF(AF$6=OFFSET(Assumptions!$B$8,0,$C$1),AVERAGE((AC$329-AC$328)/AC$14,(AD$329-AD$328)/AD$14,(AE$329-AE$328)/AE$14),(AE$329-AE$328)/AE$14) *AF$14 +AF$328</f>
        <v>0.7557710389499257</v>
      </c>
      <c r="AG329" s="8">
        <f ca="1">IF(AG$6=OFFSET(Assumptions!$B$8,0,$C$1),AVERAGE((AD$329-AD$328)/AD$14,(AE$329-AE$328)/AE$14,(AF$329-AF$328)/AF$14),(AF$329-AF$328)/AF$14) *AG$14 +AG$328</f>
        <v>0.78624690357550253</v>
      </c>
      <c r="AH329" s="8">
        <f ca="1">IF(AH$6=OFFSET(Assumptions!$B$8,0,$C$1),AVERAGE((AE$329-AE$328)/AE$14,(AF$329-AF$328)/AF$14,(AG$329-AG$328)/AG$14),(AG$329-AG$328)/AG$14) *AH$14 +AH$328</f>
        <v>0.81796502766425983</v>
      </c>
      <c r="AI329" s="8">
        <f ca="1">IF(AI$6=OFFSET(Assumptions!$B$8,0,$C$1),AVERAGE((AF$329-AF$328)/AF$14,(AG$329-AG$328)/AG$14,(AH$329-AH$328)/AH$14),(AH$329-AH$328)/AH$14) *AI$14 +AI$328</f>
        <v>0.85086998915365042</v>
      </c>
      <c r="AJ329" s="8">
        <f ca="1">IF(AJ$6=OFFSET(Assumptions!$B$8,0,$C$1),AVERAGE((AG$329-AG$328)/AG$14,(AH$329-AH$328)/AH$14,(AI$329-AI$328)/AI$14),(AI$329-AI$328)/AI$14) *AJ$14 +AJ$328</f>
        <v>0.8850671990296789</v>
      </c>
      <c r="AK329" s="8">
        <f ca="1">IF(AK$6=OFFSET(Assumptions!$B$8,0,$C$1),AVERAGE((AH$329-AH$328)/AH$14,(AI$329-AI$328)/AI$14,(AJ$329-AJ$328)/AJ$14),(AJ$329-AJ$328)/AJ$14) *AK$14 +AK$328</f>
        <v>0.92052852561410481</v>
      </c>
      <c r="AL329" s="8">
        <f ca="1">IF(AL$6=OFFSET(Assumptions!$B$8,0,$C$1),AVERAGE((AI$329-AI$328)/AI$14,(AJ$329-AJ$328)/AJ$14,(AK$329-AK$328)/AK$14),(AK$329-AK$328)/AK$14) *AL$14 +AL$328</f>
        <v>0.95722603504166426</v>
      </c>
      <c r="AM329" s="8">
        <f ca="1">IF(AM$6=OFFSET(Assumptions!$B$8,0,$C$1),AVERAGE((AJ$329-AJ$328)/AJ$14,(AK$329-AK$328)/AK$14,(AL$329-AL$328)/AL$14),(AL$329-AL$328)/AL$14) *AM$14 +AM$328</f>
        <v>0.99520986088899543</v>
      </c>
      <c r="AN329" s="8">
        <f ca="1">IF(AN$6=OFFSET(Assumptions!$B$8,0,$C$1),AVERAGE((AK$329-AK$328)/AK$14,(AL$329-AL$328)/AL$14,(AM$329-AM$328)/AM$14),(AM$329-AM$328)/AM$14) *AN$14 +AN$328</f>
        <v>1.0345328382900132</v>
      </c>
      <c r="AO329" s="8">
        <f ca="1">IF(AO$6=OFFSET(Assumptions!$B$8,0,$C$1),AVERAGE((AL$329-AL$328)/AL$14,(AM$329-AM$328)/AM$14,(AN$329-AN$328)/AN$14),(AN$329-AN$328)/AN$14) *AO$14 +AO$328</f>
        <v>1.0750405595109798</v>
      </c>
      <c r="AP329" s="8">
        <f ca="1">IF(AP$6=OFFSET(Assumptions!$B$8,0,$C$1),AVERAGE((AM$329-AM$328)/AM$14,(AN$329-AN$328)/AN$14,(AO$329-AO$328)/AO$14),(AO$329-AO$328)/AO$14) *AP$14 +AP$328</f>
        <v>1.1169050403923153</v>
      </c>
      <c r="AQ329" s="8">
        <f ca="1">IF(AQ$6=OFFSET(Assumptions!$B$8,0,$C$1),AVERAGE((AN$329-AN$328)/AN$14,(AO$329-AO$328)/AO$14,(AP$329-AP$328)/AP$14),(AP$329-AP$328)/AP$14) *AQ$14 +AQ$328</f>
        <v>1.1600089767907038</v>
      </c>
      <c r="AR329" s="8">
        <f ca="1">IF(AR$6=OFFSET(Assumptions!$B$8,0,$C$1),AVERAGE((AO$329-AO$328)/AO$14,(AP$329-AP$328)/AP$14,(AQ$329-AQ$328)/AQ$14),(AQ$329-AQ$328)/AQ$14) *AR$14 +AR$328</f>
        <v>1.2044011700733073</v>
      </c>
      <c r="AS329" s="8">
        <f ca="1">IF(AS$6=OFFSET(Assumptions!$B$8,0,$C$1),AVERAGE((AP$329-AP$328)/AP$14,(AQ$329-AQ$328)/AQ$14,(AR$329-AR$328)/AR$14),(AR$329-AR$328)/AR$14) *AS$14 +AS$328</f>
        <v>1.2501851859466107</v>
      </c>
      <c r="AT329" s="8">
        <f ca="1">IF(AT$6=OFFSET(Assumptions!$B$8,0,$C$1),AVERAGE((AQ$329-AQ$328)/AQ$14,(AR$329-AR$328)/AR$14,(AS$329-AS$328)/AS$14),(AS$329-AS$328)/AS$14) *AT$14 +AT$328</f>
        <v>1.2973975906051645</v>
      </c>
      <c r="AU329" s="8">
        <f ca="1">IF(AU$6=OFFSET(Assumptions!$B$8,0,$C$1),AVERAGE((AR$329-AR$328)/AR$14,(AS$329-AS$328)/AS$14,(AT$329-AT$328)/AT$14),(AT$329-AT$328)/AT$14) *AU$14 +AU$328</f>
        <v>1.3461011660072499</v>
      </c>
      <c r="AV329" s="8">
        <f ca="1">IF(AV$6=OFFSET(Assumptions!$B$8,0,$C$1),AVERAGE((AS$329-AS$328)/AS$14,(AT$329-AT$328)/AT$14,(AU$329-AU$328)/AU$14),(AU$329-AU$328)/AU$14) *AV$14 +AV$328</f>
        <v>1.396446498643394</v>
      </c>
      <c r="AW329" s="8">
        <f ca="1">IF(AW$6=OFFSET(Assumptions!$B$8,0,$C$1),AVERAGE((AT$329-AT$328)/AT$14,(AU$329-AU$328)/AU$14,(AV$329-AV$328)/AV$14),(AV$329-AV$328)/AV$14) *AW$14 +AW$328</f>
        <v>1.4484051657450239</v>
      </c>
    </row>
    <row r="330" spans="1:49" ht="15" x14ac:dyDescent="0.25">
      <c r="A330" s="2"/>
      <c r="B330" s="4"/>
      <c r="D330" s="47"/>
      <c r="E330" s="44"/>
      <c r="F330" s="44"/>
      <c r="G330" s="44"/>
      <c r="H330" s="44"/>
      <c r="I330" s="44"/>
      <c r="J330" s="8"/>
      <c r="K330" s="8"/>
      <c r="L330" s="8"/>
      <c r="M330" s="8"/>
      <c r="N330" s="8"/>
      <c r="O330" s="8"/>
      <c r="P330" s="8"/>
      <c r="Q330" s="8"/>
      <c r="R330" s="8"/>
      <c r="S330" s="8"/>
    </row>
    <row r="331" spans="1:49" ht="15" x14ac:dyDescent="0.25">
      <c r="A331" s="22" t="s">
        <v>232</v>
      </c>
      <c r="B331" s="4"/>
      <c r="D331" s="47"/>
      <c r="E331" s="8"/>
      <c r="F331" s="8"/>
      <c r="G331" s="8"/>
      <c r="H331" s="8"/>
      <c r="I331" s="8"/>
      <c r="J331" s="8"/>
      <c r="K331" s="8"/>
      <c r="L331" s="8"/>
      <c r="M331" s="8"/>
      <c r="N331" s="8"/>
      <c r="O331" s="8"/>
      <c r="P331" s="8"/>
      <c r="Q331" s="8"/>
      <c r="R331" s="8"/>
      <c r="S331" s="8"/>
    </row>
    <row r="332" spans="1:49" x14ac:dyDescent="0.2">
      <c r="A332" s="1" t="s">
        <v>594</v>
      </c>
      <c r="B332" s="4" t="str">
        <f t="shared" si="203"/>
        <v>From Fiscal</v>
      </c>
      <c r="D332" s="58">
        <f ca="1">Fiscal!D$167-D$333</f>
        <v>1.3857199999999992</v>
      </c>
      <c r="E332" s="19">
        <f ca="1">Fiscal!E$167-E$333</f>
        <v>2.7927199999999992</v>
      </c>
      <c r="F332" s="19">
        <f ca="1">Fiscal!F$167-F$333</f>
        <v>3.39072</v>
      </c>
      <c r="G332" s="19">
        <f ca="1">Fiscal!G$167-G$333</f>
        <v>4.0587199999999992</v>
      </c>
      <c r="H332" s="19">
        <f ca="1">Fiscal!H$167-H$333</f>
        <v>4.7727199999999996</v>
      </c>
      <c r="I332" s="19">
        <f ca="1">Fiscal!I$167-I$333</f>
        <v>5.5387199999999996</v>
      </c>
      <c r="J332" s="7">
        <f ca="1">IF(J$6=OFFSET(Assumptions!$B$8,0,$C$1),AVERAGE(G$332/G$372,H$332/H$372,I$332/I$372),I$332/I$372)*J$372</f>
        <v>5.7719409753199313</v>
      </c>
      <c r="K332" s="7">
        <f ca="1">IF(K$6=OFFSET(Assumptions!$B$8,0,$C$1),AVERAGE(H$332/H$372,I$332/I$372,J$332/J$372),J$332/J$372)*K$372</f>
        <v>6.4856014034125673</v>
      </c>
      <c r="L332" s="7">
        <f ca="1">IF(L$6=OFFSET(Assumptions!$B$8,0,$C$1),AVERAGE(I$332/I$372,J$332/J$372,K$332/K$372),K$332/K$372)*L$372</f>
        <v>7.2275992843241514</v>
      </c>
      <c r="M332" s="7">
        <f ca="1">IF(M$6=OFFSET(Assumptions!$B$8,0,$C$1),AVERAGE(J$332/J$372,K$332/K$372,L$332/L$372),L$332/L$372)*M$372</f>
        <v>7.9950990229520471</v>
      </c>
      <c r="N332" s="7">
        <f ca="1">IF(N$6=OFFSET(Assumptions!$B$8,0,$C$1),AVERAGE(K$332/K$372,L$332/L$372,M$332/M$372),M$332/M$372)*N$372</f>
        <v>8.7863776231134807</v>
      </c>
      <c r="O332" s="7">
        <f ca="1">IF(O$6=OFFSET(Assumptions!$B$8,0,$C$1),AVERAGE(L$332/L$372,M$332/M$372,N$332/N$372),N$332/N$372)*O$372</f>
        <v>9.5869761831425322</v>
      </c>
      <c r="P332" s="7">
        <f ca="1">IF(P$6=OFFSET(Assumptions!$B$8,0,$C$1),AVERAGE(M$332/M$372,N$332/N$372,O$332/O$372),O$332/O$372)*P$372</f>
        <v>10.391765883773132</v>
      </c>
      <c r="Q332" s="7">
        <f ca="1">IF(Q$6=OFFSET(Assumptions!$B$8,0,$C$1),AVERAGE(N$332/N$372,O$332/O$372,P$332/P$372),P$332/P$372)*Q$372</f>
        <v>11.199470841798931</v>
      </c>
      <c r="R332" s="7">
        <f ca="1">IF(R$6=OFFSET(Assumptions!$B$8,0,$C$1),AVERAGE(O$332/O$372,P$332/P$372,Q$332/Q$372),Q$332/Q$372)*R$372</f>
        <v>12.010817964109771</v>
      </c>
      <c r="S332" s="7">
        <f ca="1">IF(S$6=OFFSET(Assumptions!$B$8,0,$C$1),AVERAGE(P$332/P$372,Q$332/Q$372,R$332/R$372),R$332/R$372)*S$372</f>
        <v>12.831011055444382</v>
      </c>
      <c r="T332" s="7">
        <f ca="1">IF(T$6=OFFSET(Assumptions!$B$8,0,$C$1),AVERAGE(Q$332/Q$372,R$332/R$372,S$332/S$372),S$332/S$372)*T$372</f>
        <v>13.66168254112914</v>
      </c>
      <c r="U332" s="7">
        <f ca="1">IF(U$6=OFFSET(Assumptions!$B$8,0,$C$1),AVERAGE(R$332/R$372,S$332/S$372,T$332/T$372),T$332/T$372)*U$372</f>
        <v>14.501651829804731</v>
      </c>
      <c r="V332" s="7">
        <f ca="1">IF(V$6=OFFSET(Assumptions!$B$8,0,$C$1),AVERAGE(S$332/S$372,T$332/T$372,U$332/U$372),U$332/U$372)*V$372</f>
        <v>15.349252728605471</v>
      </c>
      <c r="W332" s="7">
        <f ca="1">IF(W$6=OFFSET(Assumptions!$B$8,0,$C$1),AVERAGE(T$332/T$372,U$332/U$372,V$332/V$372),V$332/V$372)*W$372</f>
        <v>16.202997467744424</v>
      </c>
      <c r="X332" s="7">
        <f ca="1">IF(X$6=OFFSET(Assumptions!$B$8,0,$C$1),AVERAGE(U$332/U$372,V$332/V$372,W$332/W$372),W$332/W$372)*X$372</f>
        <v>17.064774092572623</v>
      </c>
      <c r="Y332" s="7">
        <f ca="1">IF(Y$6=OFFSET(Assumptions!$B$8,0,$C$1),AVERAGE(V$332/V$372,W$332/W$372,X$332/X$372),X$332/X$372)*Y$372</f>
        <v>17.929931718752897</v>
      </c>
      <c r="Z332" s="7">
        <f ca="1">IF(Z$6=OFFSET(Assumptions!$B$8,0,$C$1),AVERAGE(W$332/W$372,X$332/X$372,Y$332/Y$372),Y$332/Y$372)*Z$372</f>
        <v>18.803658681807139</v>
      </c>
      <c r="AA332" s="7">
        <f ca="1">IF(AA$6=OFFSET(Assumptions!$B$8,0,$C$1),AVERAGE(X$332/X$372,Y$332/Y$372,Z$332/Z$372),Z$332/Z$372)*AA$372</f>
        <v>19.69560735958208</v>
      </c>
      <c r="AB332" s="7">
        <f ca="1">IF(AB$6=OFFSET(Assumptions!$B$8,0,$C$1),AVERAGE(Y$332/Y$372,Z$332/Z$372,AA$332/AA$372),AA$332/AA$372)*AB$372</f>
        <v>20.61849589602048</v>
      </c>
      <c r="AC332" s="7">
        <f ca="1">IF(AC$6=OFFSET(Assumptions!$B$8,0,$C$1),AVERAGE(Z$332/Z$372,AA$332/AA$372,AB$332/AB$372),AB$332/AB$372)*AC$372</f>
        <v>21.587458447471366</v>
      </c>
      <c r="AD332" s="7">
        <f ca="1">IF(AD$6=OFFSET(Assumptions!$B$8,0,$C$1),AVERAGE(AA$332/AA$372,AB$332/AB$372,AC$332/AC$372),AC$332/AC$372)*AD$372</f>
        <v>22.619772615410543</v>
      </c>
      <c r="AE332" s="7">
        <f ca="1">IF(AE$6=OFFSET(Assumptions!$B$8,0,$C$1),AVERAGE(AB$332/AB$372,AC$332/AC$372,AD$332/AD$372),AD$332/AD$372)*AE$372</f>
        <v>23.723763245392639</v>
      </c>
      <c r="AF332" s="7">
        <f ca="1">IF(AF$6=OFFSET(Assumptions!$B$8,0,$C$1),AVERAGE(AC$332/AC$372,AD$332/AD$372,AE$332/AE$372),AE$332/AE$372)*AF$372</f>
        <v>24.913790582746493</v>
      </c>
      <c r="AG332" s="7">
        <f ca="1">IF(AG$6=OFFSET(Assumptions!$B$8,0,$C$1),AVERAGE(AD$332/AD$372,AE$332/AE$372,AF$332/AF$372),AF$332/AF$372)*AG$372</f>
        <v>26.193703740365066</v>
      </c>
      <c r="AH332" s="7">
        <f ca="1">IF(AH$6=OFFSET(Assumptions!$B$8,0,$C$1),AVERAGE(AE$332/AE$372,AF$332/AF$372,AG$332/AG$372),AG$332/AG$372)*AH$372</f>
        <v>27.572983566526847</v>
      </c>
      <c r="AI332" s="7">
        <f ca="1">IF(AI$6=OFFSET(Assumptions!$B$8,0,$C$1),AVERAGE(AF$332/AF$372,AG$332/AG$372,AH$332/AH$372),AH$332/AH$372)*AI$372</f>
        <v>29.058762771033365</v>
      </c>
      <c r="AJ332" s="7">
        <f ca="1">IF(AJ$6=OFFSET(Assumptions!$B$8,0,$C$1),AVERAGE(AG$332/AG$372,AH$332/AH$372,AI$332/AI$372),AI$332/AI$372)*AJ$372</f>
        <v>30.658596548735233</v>
      </c>
      <c r="AK332" s="7">
        <f ca="1">IF(AK$6=OFFSET(Assumptions!$B$8,0,$C$1),AVERAGE(AH$332/AH$372,AI$332/AI$372,AJ$332/AJ$372),AJ$332/AJ$372)*AK$372</f>
        <v>32.374806744560964</v>
      </c>
      <c r="AL332" s="7">
        <f ca="1">IF(AL$6=OFFSET(Assumptions!$B$8,0,$C$1),AVERAGE(AI$332/AI$372,AJ$332/AJ$372,AK$332/AK$372),AK$332/AK$372)*AL$372</f>
        <v>34.215256475606687</v>
      </c>
      <c r="AM332" s="7">
        <f ca="1">IF(AM$6=OFFSET(Assumptions!$B$8,0,$C$1),AVERAGE(AJ$332/AJ$372,AK$332/AK$372,AL$332/AL$372),AL$332/AL$372)*AM$372</f>
        <v>36.186611916918707</v>
      </c>
      <c r="AN332" s="7">
        <f ca="1">IF(AN$6=OFFSET(Assumptions!$B$8,0,$C$1),AVERAGE(AK$332/AK$372,AL$332/AL$372,AM$332/AM$372),AM$332/AM$372)*AN$372</f>
        <v>38.290946022912081</v>
      </c>
      <c r="AO332" s="7">
        <f ca="1">IF(AO$6=OFFSET(Assumptions!$B$8,0,$C$1),AVERAGE(AL$332/AL$372,AM$332/AM$372,AN$332/AN$372),AN$332/AN$372)*AO$372</f>
        <v>40.525882134135877</v>
      </c>
      <c r="AP332" s="7">
        <f ca="1">IF(AP$6=OFFSET(Assumptions!$B$8,0,$C$1),AVERAGE(AM$332/AM$372,AN$332/AN$372,AO$332/AO$372),AO$332/AO$372)*AP$372</f>
        <v>42.88058936360477</v>
      </c>
      <c r="AQ332" s="7">
        <f ca="1">IF(AQ$6=OFFSET(Assumptions!$B$8,0,$C$1),AVERAGE(AN$332/AN$372,AO$332/AO$372,AP$332/AP$372),AP$332/AP$372)*AQ$372</f>
        <v>45.34456519151864</v>
      </c>
      <c r="AR332" s="7">
        <f ca="1">IF(AR$6=OFFSET(Assumptions!$B$8,0,$C$1),AVERAGE(AO$332/AO$372,AP$332/AP$372,AQ$332/AQ$372),AQ$332/AQ$372)*AR$372</f>
        <v>47.898925789355104</v>
      </c>
      <c r="AS332" s="7">
        <f ca="1">IF(AS$6=OFFSET(Assumptions!$B$8,0,$C$1),AVERAGE(AP$332/AP$372,AQ$332/AQ$372,AR$332/AR$372),AR$332/AR$372)*AS$372</f>
        <v>50.525470048823898</v>
      </c>
      <c r="AT332" s="7">
        <f ca="1">IF(AT$6=OFFSET(Assumptions!$B$8,0,$C$1),AVERAGE(AQ$332/AQ$372,AR$332/AR$372,AS$332/AS$372),AS$332/AS$372)*AT$372</f>
        <v>53.229720574404972</v>
      </c>
      <c r="AU332" s="7">
        <f ca="1">IF(AU$6=OFFSET(Assumptions!$B$8,0,$C$1),AVERAGE(AR$332/AR$372,AS$332/AS$372,AT$332/AT$372),AT$332/AT$372)*AU$372</f>
        <v>56.009213632668235</v>
      </c>
      <c r="AV332" s="7">
        <f ca="1">IF(AV$6=OFFSET(Assumptions!$B$8,0,$C$1),AVERAGE(AS$332/AS$372,AT$332/AT$372,AU$332/AU$372),AU$332/AU$372)*AV$372</f>
        <v>58.867851763132698</v>
      </c>
      <c r="AW332" s="7">
        <f ca="1">IF(AW$6=OFFSET(Assumptions!$B$8,0,$C$1),AVERAGE(AT$332/AT$372,AU$332/AU$372,AV$332/AV$372),AV$332/AV$372)*AW$372</f>
        <v>61.80034674721756</v>
      </c>
    </row>
    <row r="333" spans="1:49" ht="15" x14ac:dyDescent="0.25">
      <c r="A333" s="1" t="s">
        <v>595</v>
      </c>
      <c r="B333" s="4"/>
      <c r="C333" s="69">
        <f ca="1">Fiscal!C$167*(1-OFFSET(Assumptions!$B$60,0,$C$1))</f>
        <v>5.2652800000000006</v>
      </c>
      <c r="D333" s="18">
        <f t="shared" ref="D333:I333" ca="1" si="206">C$333+D$494</f>
        <v>7.6462800000000009</v>
      </c>
      <c r="E333" s="19">
        <f t="shared" ca="1" si="206"/>
        <v>9.0672800000000002</v>
      </c>
      <c r="F333" s="19">
        <f t="shared" ca="1" si="206"/>
        <v>9.0742799999999999</v>
      </c>
      <c r="G333" s="19">
        <f t="shared" ca="1" si="206"/>
        <v>9.0732800000000005</v>
      </c>
      <c r="H333" s="19">
        <f t="shared" ca="1" si="206"/>
        <v>9.0812799999999996</v>
      </c>
      <c r="I333" s="19">
        <f t="shared" ca="1" si="206"/>
        <v>9.0862800000000004</v>
      </c>
      <c r="J333" s="7">
        <f ca="1">(I$333/I$14+ IF(J$2&gt;0,J$2*IF(J$6=OFFSET(Assumptions!$B$8,0,$C$1),SUMPRODUCT(OFFSET(I$333,0,0,1,-OFFSET(Assumptions!$B$67,0,$C$1)),OFFSET(I$16,0,0,1,-OFFSET(Assumptions!$B$67,0,$C$1)))/OFFSET(Assumptions!$B$67,0,$C$1)-I$333/I$14,(I$333/I$14-H$333/H$14)/I$2),0))*J$14</f>
        <v>9.6082065255837463</v>
      </c>
      <c r="K333" s="7">
        <f ca="1">(J$333/J$14+ IF(K$2&gt;0,K$2*IF(K$6=OFFSET(Assumptions!$B$8,0,$C$1),SUMPRODUCT(OFFSET(J$333,0,0,1,-OFFSET(Assumptions!$B$67,0,$C$1)),OFFSET(J$16,0,0,1,-OFFSET(Assumptions!$B$67,0,$C$1)))/OFFSET(Assumptions!$B$67,0,$C$1)-J$333/J$14,(J$333/J$14-I$333/I$14)/J$2),0))*K$14</f>
        <v>10.125629651935949</v>
      </c>
      <c r="L333" s="7">
        <f ca="1">(K$333/K$14+ IF(L$2&gt;0,L$2*IF(L$6=OFFSET(Assumptions!$B$8,0,$C$1),SUMPRODUCT(OFFSET(K$333,0,0,1,-OFFSET(Assumptions!$B$67,0,$C$1)),OFFSET(K$16,0,0,1,-OFFSET(Assumptions!$B$67,0,$C$1)))/OFFSET(Assumptions!$B$67,0,$C$1)-K$333/K$14,(K$333/K$14-J$333/J$14)/K$2),0))*L$14</f>
        <v>10.65521632191277</v>
      </c>
      <c r="M333" s="7">
        <f ca="1">(L$333/L$14+ IF(M$2&gt;0,M$2*IF(M$6=OFFSET(Assumptions!$B$8,0,$C$1),SUMPRODUCT(OFFSET(L$333,0,0,1,-OFFSET(Assumptions!$B$67,0,$C$1)),OFFSET(L$16,0,0,1,-OFFSET(Assumptions!$B$67,0,$C$1)))/OFFSET(Assumptions!$B$67,0,$C$1)-L$333/L$14,(L$333/L$14-K$333/K$14)/L$2),0))*M$14</f>
        <v>11.178661521504601</v>
      </c>
      <c r="N333" s="7">
        <f ca="1">(M$333/M$14+ IF(N$2&gt;0,N$2*IF(N$6=OFFSET(Assumptions!$B$8,0,$C$1),SUMPRODUCT(OFFSET(M$333,0,0,1,-OFFSET(Assumptions!$B$67,0,$C$1)),OFFSET(M$16,0,0,1,-OFFSET(Assumptions!$B$67,0,$C$1)))/OFFSET(Assumptions!$B$67,0,$C$1)-M$333/M$14,(M$333/M$14-L$333/L$14)/M$2),0))*N$14</f>
        <v>11.693664576691415</v>
      </c>
      <c r="O333" s="7">
        <f ca="1">(N$333/N$14+ IF(O$2&gt;0,O$2*IF(O$6=OFFSET(Assumptions!$B$8,0,$C$1),SUMPRODUCT(OFFSET(N$333,0,0,1,-OFFSET(Assumptions!$B$67,0,$C$1)),OFFSET(N$16,0,0,1,-OFFSET(Assumptions!$B$67,0,$C$1)))/OFFSET(Assumptions!$B$67,0,$C$1)-N$333/N$14,(N$333/N$14-M$333/M$14)/N$2),0))*O$14</f>
        <v>12.19282891524402</v>
      </c>
      <c r="P333" s="7">
        <f ca="1">(O$333/O$14+ IF(P$2&gt;0,P$2*IF(P$6=OFFSET(Assumptions!$B$8,0,$C$1),SUMPRODUCT(OFFSET(O$333,0,0,1,-OFFSET(Assumptions!$B$67,0,$C$1)),OFFSET(O$16,0,0,1,-OFFSET(Assumptions!$B$67,0,$C$1)))/OFFSET(Assumptions!$B$67,0,$C$1)-O$333/O$14,(O$333/O$14-N$333/N$14)/O$2),0))*P$14</f>
        <v>12.708450252858412</v>
      </c>
      <c r="Q333" s="7">
        <f ca="1">(P$333/P$14+ IF(Q$2&gt;0,Q$2*IF(Q$6=OFFSET(Assumptions!$B$8,0,$C$1),SUMPRODUCT(OFFSET(P$333,0,0,1,-OFFSET(Assumptions!$B$67,0,$C$1)),OFFSET(P$16,0,0,1,-OFFSET(Assumptions!$B$67,0,$C$1)))/OFFSET(Assumptions!$B$67,0,$C$1)-P$333/P$14,(P$333/P$14-O$333/O$14)/P$2),0))*Q$14</f>
        <v>13.239971623812218</v>
      </c>
      <c r="R333" s="7">
        <f ca="1">(Q$333/Q$14+ IF(R$2&gt;0,R$2*IF(R$6=OFFSET(Assumptions!$B$8,0,$C$1),SUMPRODUCT(OFFSET(Q$333,0,0,1,-OFFSET(Assumptions!$B$67,0,$C$1)),OFFSET(Q$16,0,0,1,-OFFSET(Assumptions!$B$67,0,$C$1)))/OFFSET(Assumptions!$B$67,0,$C$1)-Q$333/Q$14,(Q$333/Q$14-P$333/P$14)/Q$2),0))*R$14</f>
        <v>13.786998523638836</v>
      </c>
      <c r="S333" s="7">
        <f ca="1">(R$333/R$14+ IF(S$2&gt;0,S$2*IF(S$6=OFFSET(Assumptions!$B$8,0,$C$1),SUMPRODUCT(OFFSET(R$333,0,0,1,-OFFSET(Assumptions!$B$67,0,$C$1)),OFFSET(R$16,0,0,1,-OFFSET(Assumptions!$B$67,0,$C$1)))/OFFSET(Assumptions!$B$67,0,$C$1)-R$333/R$14,(R$333/R$14-Q$333/Q$14)/R$2),0))*S$14</f>
        <v>14.351269381519716</v>
      </c>
      <c r="T333" s="7">
        <f ca="1">(S$333/S$14+ IF(T$2&gt;0,T$2*IF(T$6=OFFSET(Assumptions!$B$8,0,$C$1),SUMPRODUCT(OFFSET(S$333,0,0,1,-OFFSET(Assumptions!$B$67,0,$C$1)),OFFSET(S$16,0,0,1,-OFFSET(Assumptions!$B$67,0,$C$1)))/OFFSET(Assumptions!$B$67,0,$C$1)-S$333/S$14,(S$333/S$14-R$333/R$14)/S$2),0))*T$14</f>
        <v>14.932989967932363</v>
      </c>
      <c r="U333" s="7">
        <f ca="1">(T$333/T$14+ IF(U$2&gt;0,U$2*IF(U$6=OFFSET(Assumptions!$B$8,0,$C$1),SUMPRODUCT(OFFSET(T$333,0,0,1,-OFFSET(Assumptions!$B$67,0,$C$1)),OFFSET(T$16,0,0,1,-OFFSET(Assumptions!$B$67,0,$C$1)))/OFFSET(Assumptions!$B$67,0,$C$1)-T$333/T$14,(T$333/T$14-S$333/S$14)/T$2),0))*U$14</f>
        <v>15.53424806272745</v>
      </c>
      <c r="V333" s="7">
        <f ca="1">(U$333/U$14+ IF(V$2&gt;0,V$2*IF(V$6=OFFSET(Assumptions!$B$8,0,$C$1),SUMPRODUCT(OFFSET(U$333,0,0,1,-OFFSET(Assumptions!$B$67,0,$C$1)),OFFSET(U$16,0,0,1,-OFFSET(Assumptions!$B$67,0,$C$1)))/OFFSET(Assumptions!$B$67,0,$C$1)-U$333/U$14,(U$333/U$14-T$333/T$14)/U$2),0))*V$14</f>
        <v>16.156527874946221</v>
      </c>
      <c r="W333" s="7">
        <f ca="1">(V$333/V$14+ IF(W$2&gt;0,W$2*IF(W$6=OFFSET(Assumptions!$B$8,0,$C$1),SUMPRODUCT(OFFSET(V$333,0,0,1,-OFFSET(Assumptions!$B$67,0,$C$1)),OFFSET(V$16,0,0,1,-OFFSET(Assumptions!$B$67,0,$C$1)))/OFFSET(Assumptions!$B$67,0,$C$1)-V$333/V$14,(V$333/V$14-U$333/U$14)/V$2),0))*W$14</f>
        <v>16.801632306166894</v>
      </c>
      <c r="X333" s="7">
        <f ca="1">(W$333/W$14+ IF(X$2&gt;0,X$2*IF(X$6=OFFSET(Assumptions!$B$8,0,$C$1),SUMPRODUCT(OFFSET(W$333,0,0,1,-OFFSET(Assumptions!$B$67,0,$C$1)),OFFSET(W$16,0,0,1,-OFFSET(Assumptions!$B$67,0,$C$1)))/OFFSET(Assumptions!$B$67,0,$C$1)-W$333/W$14,(W$333/W$14-V$333/V$14)/W$2),0))*X$14</f>
        <v>17.471604697148564</v>
      </c>
      <c r="Y333" s="7">
        <f ca="1">(X$333/X$14+ IF(Y$2&gt;0,Y$2*IF(Y$6=OFFSET(Assumptions!$B$8,0,$C$1),SUMPRODUCT(OFFSET(X$333,0,0,1,-OFFSET(Assumptions!$B$67,0,$C$1)),OFFSET(X$16,0,0,1,-OFFSET(Assumptions!$B$67,0,$C$1)))/OFFSET(Assumptions!$B$67,0,$C$1)-X$333/X$14,(X$333/X$14-W$333/W$14)/X$2),0))*Y$14</f>
        <v>18.166376554529542</v>
      </c>
      <c r="Z333" s="7">
        <f ca="1">(Y$333/Y$14+ IF(Z$2&gt;0,Z$2*IF(Z$6=OFFSET(Assumptions!$B$8,0,$C$1),SUMPRODUCT(OFFSET(Y$333,0,0,1,-OFFSET(Assumptions!$B$67,0,$C$1)),OFFSET(Y$16,0,0,1,-OFFSET(Assumptions!$B$67,0,$C$1)))/OFFSET(Assumptions!$B$67,0,$C$1)-Y$333/Y$14,(Y$333/Y$14-X$333/X$14)/Y$2),0))*Z$14</f>
        <v>18.889464564996874</v>
      </c>
      <c r="AA333" s="7">
        <f ca="1">(Z$333/Z$14+ IF(AA$2&gt;0,AA$2*IF(AA$6=OFFSET(Assumptions!$B$8,0,$C$1),SUMPRODUCT(OFFSET(Z$333,0,0,1,-OFFSET(Assumptions!$B$67,0,$C$1)),OFFSET(Z$16,0,0,1,-OFFSET(Assumptions!$B$67,0,$C$1)))/OFFSET(Assumptions!$B$67,0,$C$1)-Z$333/Z$14,(Z$333/Z$14-Y$333/Y$14)/Z$2),0))*AA$14</f>
        <v>19.642038687445059</v>
      </c>
      <c r="AB333" s="7">
        <f ca="1">(AA$333/AA$14+ IF(AB$2&gt;0,AB$2*IF(AB$6=OFFSET(Assumptions!$B$8,0,$C$1),SUMPRODUCT(OFFSET(AA$333,0,0,1,-OFFSET(Assumptions!$B$67,0,$C$1)),OFFSET(AA$16,0,0,1,-OFFSET(Assumptions!$B$67,0,$C$1)))/OFFSET(Assumptions!$B$67,0,$C$1)-AA$333/AA$14,(AA$333/AA$14-Z$333/Z$14)/AA$2),0))*AB$14</f>
        <v>20.426358971464982</v>
      </c>
      <c r="AC333" s="7">
        <f ca="1">(AB$333/AB$14+ IF(AC$2&gt;0,AC$2*IF(AC$6=OFFSET(Assumptions!$B$8,0,$C$1),SUMPRODUCT(OFFSET(AB$333,0,0,1,-OFFSET(Assumptions!$B$67,0,$C$1)),OFFSET(AB$16,0,0,1,-OFFSET(Assumptions!$B$67,0,$C$1)))/OFFSET(Assumptions!$B$67,0,$C$1)-AB$333/AB$14,(AB$333/AB$14-AA$333/AA$14)/AB$2),0))*AC$14</f>
        <v>21.245386332562948</v>
      </c>
      <c r="AD333" s="7">
        <f ca="1">(AC$333/AC$14+ IF(AD$2&gt;0,AD$2*IF(AD$6=OFFSET(Assumptions!$B$8,0,$C$1),SUMPRODUCT(OFFSET(AC$333,0,0,1,-OFFSET(Assumptions!$B$67,0,$C$1)),OFFSET(AC$16,0,0,1,-OFFSET(Assumptions!$B$67,0,$C$1)))/OFFSET(Assumptions!$B$67,0,$C$1)-AC$333/AC$14,(AC$333/AC$14-AB$333/AB$14)/AC$2),0))*AD$14</f>
        <v>22.099984035680837</v>
      </c>
      <c r="AE333" s="7">
        <f ca="1">(AD$333/AD$14+ IF(AE$2&gt;0,AE$2*IF(AE$6=OFFSET(Assumptions!$B$8,0,$C$1),SUMPRODUCT(OFFSET(AD$333,0,0,1,-OFFSET(Assumptions!$B$67,0,$C$1)),OFFSET(AD$16,0,0,1,-OFFSET(Assumptions!$B$67,0,$C$1)))/OFFSET(Assumptions!$B$67,0,$C$1)-AD$333/AD$14,(AD$333/AD$14-AC$333/AC$14)/AD$2),0))*AE$14</f>
        <v>22.98936724673457</v>
      </c>
      <c r="AF333" s="7">
        <f ca="1">(AE$333/AE$14+ IF(AF$2&gt;0,AF$2*IF(AF$6=OFFSET(Assumptions!$B$8,0,$C$1),SUMPRODUCT(OFFSET(AE$333,0,0,1,-OFFSET(Assumptions!$B$67,0,$C$1)),OFFSET(AE$16,0,0,1,-OFFSET(Assumptions!$B$67,0,$C$1)))/OFFSET(Assumptions!$B$67,0,$C$1)-AE$333/AE$14,(AE$333/AE$14-AD$333/AD$14)/AE$2),0))*AF$14</f>
        <v>23.915996532959216</v>
      </c>
      <c r="AG333" s="7">
        <f ca="1">(AF$333/AF$14+ IF(AG$2&gt;0,AG$2*IF(AG$6=OFFSET(Assumptions!$B$8,0,$C$1),SUMPRODUCT(OFFSET(AF$333,0,0,1,-OFFSET(Assumptions!$B$67,0,$C$1)),OFFSET(AF$16,0,0,1,-OFFSET(Assumptions!$B$67,0,$C$1)))/OFFSET(Assumptions!$B$67,0,$C$1)-AF$333/AF$14,(AF$333/AF$14-AE$333/AE$14)/AF$2),0))*AG$14</f>
        <v>24.880390026704244</v>
      </c>
      <c r="AH333" s="7">
        <f ca="1">(AG$333/AG$14+ IF(AH$2&gt;0,AH$2*IF(AH$6=OFFSET(Assumptions!$B$8,0,$C$1),SUMPRODUCT(OFFSET(AG$333,0,0,1,-OFFSET(Assumptions!$B$67,0,$C$1)),OFFSET(AG$16,0,0,1,-OFFSET(Assumptions!$B$67,0,$C$1)))/OFFSET(Assumptions!$B$67,0,$C$1)-AG$333/AG$14,(AG$333/AG$14-AF$333/AF$14)/AG$2),0))*AH$14</f>
        <v>25.88409419985258</v>
      </c>
      <c r="AI333" s="7">
        <f ca="1">(AH$333/AH$14+ IF(AI$2&gt;0,AI$2*IF(AI$6=OFFSET(Assumptions!$B$8,0,$C$1),SUMPRODUCT(OFFSET(AH$333,0,0,1,-OFFSET(Assumptions!$B$67,0,$C$1)),OFFSET(AH$16,0,0,1,-OFFSET(Assumptions!$B$67,0,$C$1)))/OFFSET(Assumptions!$B$67,0,$C$1)-AH$333/AH$14,(AH$333/AH$14-AG$333/AG$14)/AH$2),0))*AI$14</f>
        <v>26.925355248953938</v>
      </c>
      <c r="AJ333" s="7">
        <f ca="1">(AI$333/AI$14+ IF(AJ$2&gt;0,AJ$2*IF(AJ$6=OFFSET(Assumptions!$B$8,0,$C$1),SUMPRODUCT(OFFSET(AI$333,0,0,1,-OFFSET(Assumptions!$B$67,0,$C$1)),OFFSET(AI$16,0,0,1,-OFFSET(Assumptions!$B$67,0,$C$1)))/OFFSET(Assumptions!$B$67,0,$C$1)-AI$333/AI$14,(AI$333/AI$14-AH$333/AH$14)/AI$2),0))*AJ$14</f>
        <v>28.007508851939729</v>
      </c>
      <c r="AK333" s="7">
        <f ca="1">(AJ$333/AJ$14+ IF(AK$2&gt;0,AK$2*IF(AK$6=OFFSET(Assumptions!$B$8,0,$C$1),SUMPRODUCT(OFFSET(AJ$333,0,0,1,-OFFSET(Assumptions!$B$67,0,$C$1)),OFFSET(AJ$16,0,0,1,-OFFSET(Assumptions!$B$67,0,$C$1)))/OFFSET(Assumptions!$B$67,0,$C$1)-AJ$333/AJ$14,(AJ$333/AJ$14-AI$333/AI$14)/AJ$2),0))*AK$14</f>
        <v>29.129664795921933</v>
      </c>
      <c r="AL333" s="7">
        <f ca="1">(AK$333/AK$14+ IF(AL$2&gt;0,AL$2*IF(AL$6=OFFSET(Assumptions!$B$8,0,$C$1),SUMPRODUCT(OFFSET(AK$333,0,0,1,-OFFSET(Assumptions!$B$67,0,$C$1)),OFFSET(AK$16,0,0,1,-OFFSET(Assumptions!$B$67,0,$C$1)))/OFFSET(Assumptions!$B$67,0,$C$1)-AK$333/AK$14,(AK$333/AK$14-AJ$333/AJ$14)/AK$2),0))*AL$14</f>
        <v>30.29093912770524</v>
      </c>
      <c r="AM333" s="7">
        <f ca="1">(AL$333/AL$14+ IF(AM$2&gt;0,AM$2*IF(AM$6=OFFSET(Assumptions!$B$8,0,$C$1),SUMPRODUCT(OFFSET(AL$333,0,0,1,-OFFSET(Assumptions!$B$67,0,$C$1)),OFFSET(AL$16,0,0,1,-OFFSET(Assumptions!$B$67,0,$C$1)))/OFFSET(Assumptions!$B$67,0,$C$1)-AL$333/AL$14,(AL$333/AL$14-AK$333/AK$14)/AL$2),0))*AM$14</f>
        <v>31.492918299248338</v>
      </c>
      <c r="AN333" s="7">
        <f ca="1">(AM$333/AM$14+ IF(AN$2&gt;0,AN$2*IF(AN$6=OFFSET(Assumptions!$B$8,0,$C$1),SUMPRODUCT(OFFSET(AM$333,0,0,1,-OFFSET(Assumptions!$B$67,0,$C$1)),OFFSET(AM$16,0,0,1,-OFFSET(Assumptions!$B$67,0,$C$1)))/OFFSET(Assumptions!$B$67,0,$C$1)-AM$333/AM$14,(AM$333/AM$14-AL$333/AL$14)/AM$2),0))*AN$14</f>
        <v>32.737274251938771</v>
      </c>
      <c r="AO333" s="7">
        <f ca="1">(AN$333/AN$14+ IF(AO$2&gt;0,AO$2*IF(AO$6=OFFSET(Assumptions!$B$8,0,$C$1),SUMPRODUCT(OFFSET(AN$333,0,0,1,-OFFSET(Assumptions!$B$67,0,$C$1)),OFFSET(AN$16,0,0,1,-OFFSET(Assumptions!$B$67,0,$C$1)))/OFFSET(Assumptions!$B$67,0,$C$1)-AN$333/AN$14,(AN$333/AN$14-AM$333/AM$14)/AN$2),0))*AO$14</f>
        <v>34.019120830268555</v>
      </c>
      <c r="AP333" s="7">
        <f ca="1">(AO$333/AO$14+ IF(AP$2&gt;0,AP$2*IF(AP$6=OFFSET(Assumptions!$B$8,0,$C$1),SUMPRODUCT(OFFSET(AO$333,0,0,1,-OFFSET(Assumptions!$B$67,0,$C$1)),OFFSET(AO$16,0,0,1,-OFFSET(Assumptions!$B$67,0,$C$1)))/OFFSET(Assumptions!$B$67,0,$C$1)-AO$333/AO$14,(AO$333/AO$14-AN$333/AN$14)/AO$2),0))*AP$14</f>
        <v>35.343901389475057</v>
      </c>
      <c r="AQ333" s="7">
        <f ca="1">(AP$333/AP$14+ IF(AQ$2&gt;0,AQ$2*IF(AQ$6=OFFSET(Assumptions!$B$8,0,$C$1),SUMPRODUCT(OFFSET(AP$333,0,0,1,-OFFSET(Assumptions!$B$67,0,$C$1)),OFFSET(AP$16,0,0,1,-OFFSET(Assumptions!$B$67,0,$C$1)))/OFFSET(Assumptions!$B$67,0,$C$1)-AP$333/AP$14,(AP$333/AP$14-AO$333/AO$14)/AP$2),0))*AQ$14</f>
        <v>36.707903898612024</v>
      </c>
      <c r="AR333" s="7">
        <f ca="1">(AQ$333/AQ$14+ IF(AR$2&gt;0,AR$2*IF(AR$6=OFFSET(Assumptions!$B$8,0,$C$1),SUMPRODUCT(OFFSET(AQ$333,0,0,1,-OFFSET(Assumptions!$B$67,0,$C$1)),OFFSET(AQ$16,0,0,1,-OFFSET(Assumptions!$B$67,0,$C$1)))/OFFSET(Assumptions!$B$67,0,$C$1)-AQ$333/AQ$14,(AQ$333/AQ$14-AP$333/AP$14)/AQ$2),0))*AR$14</f>
        <v>38.112672652535579</v>
      </c>
      <c r="AS333" s="7">
        <f ca="1">(AR$333/AR$14+ IF(AS$2&gt;0,AS$2*IF(AS$6=OFFSET(Assumptions!$B$8,0,$C$1),SUMPRODUCT(OFFSET(AR$333,0,0,1,-OFFSET(Assumptions!$B$67,0,$C$1)),OFFSET(AR$16,0,0,1,-OFFSET(Assumptions!$B$67,0,$C$1)))/OFFSET(Assumptions!$B$67,0,$C$1)-AR$333/AR$14,(AR$333/AR$14-AQ$333/AQ$14)/AR$2),0))*AS$14</f>
        <v>39.561484936229633</v>
      </c>
      <c r="AT333" s="7">
        <f ca="1">(AS$333/AS$14+ IF(AT$2&gt;0,AT$2*IF(AT$6=OFFSET(Assumptions!$B$8,0,$C$1),SUMPRODUCT(OFFSET(AS$333,0,0,1,-OFFSET(Assumptions!$B$67,0,$C$1)),OFFSET(AS$16,0,0,1,-OFFSET(Assumptions!$B$67,0,$C$1)))/OFFSET(Assumptions!$B$67,0,$C$1)-AS$333/AS$14,(AS$333/AS$14-AR$333/AR$14)/AS$2),0))*AT$14</f>
        <v>41.055497868632372</v>
      </c>
      <c r="AU333" s="7">
        <f ca="1">(AT$333/AT$14+ IF(AU$2&gt;0,AU$2*IF(AU$6=OFFSET(Assumptions!$B$8,0,$C$1),SUMPRODUCT(OFFSET(AT$333,0,0,1,-OFFSET(Assumptions!$B$67,0,$C$1)),OFFSET(AT$16,0,0,1,-OFFSET(Assumptions!$B$67,0,$C$1)))/OFFSET(Assumptions!$B$67,0,$C$1)-AT$333/AT$14,(AT$333/AT$14-AS$333/AS$14)/AT$2),0))*AU$14</f>
        <v>42.596698153413548</v>
      </c>
      <c r="AV333" s="7">
        <f ca="1">(AU$333/AU$14+ IF(AV$2&gt;0,AV$2*IF(AV$6=OFFSET(Assumptions!$B$8,0,$C$1),SUMPRODUCT(OFFSET(AU$333,0,0,1,-OFFSET(Assumptions!$B$67,0,$C$1)),OFFSET(AU$16,0,0,1,-OFFSET(Assumptions!$B$67,0,$C$1)))/OFFSET(Assumptions!$B$67,0,$C$1)-AU$333/AU$14,(AU$333/AU$14-AT$333/AT$14)/AU$2),0))*AV$14</f>
        <v>44.189851024750922</v>
      </c>
      <c r="AW333" s="7">
        <f ca="1">(AV$333/AV$14+ IF(AW$2&gt;0,AW$2*IF(AW$6=OFFSET(Assumptions!$B$8,0,$C$1),SUMPRODUCT(OFFSET(AV$333,0,0,1,-OFFSET(Assumptions!$B$67,0,$C$1)),OFFSET(AV$16,0,0,1,-OFFSET(Assumptions!$B$67,0,$C$1)))/OFFSET(Assumptions!$B$67,0,$C$1)-AV$333/AV$14,(AV$333/AV$14-AU$333/AU$14)/AV$2),0))*AW$14</f>
        <v>45.834057058348478</v>
      </c>
    </row>
    <row r="334" spans="1:49" ht="15" x14ac:dyDescent="0.25">
      <c r="A334" s="2" t="s">
        <v>596</v>
      </c>
      <c r="B334" s="4"/>
      <c r="D334" s="40">
        <f t="shared" ref="D334:AW334" ca="1" si="207">SUM(D$332:D$333)</f>
        <v>9.032</v>
      </c>
      <c r="E334" s="39">
        <f t="shared" ca="1" si="207"/>
        <v>11.86</v>
      </c>
      <c r="F334" s="39">
        <f t="shared" ca="1" si="207"/>
        <v>12.465</v>
      </c>
      <c r="G334" s="39">
        <f t="shared" ca="1" si="207"/>
        <v>13.132</v>
      </c>
      <c r="H334" s="39">
        <f t="shared" ca="1" si="207"/>
        <v>13.853999999999999</v>
      </c>
      <c r="I334" s="39">
        <f t="shared" ca="1" si="207"/>
        <v>14.625</v>
      </c>
      <c r="J334" s="43">
        <f t="shared" ca="1" si="207"/>
        <v>15.380147500903679</v>
      </c>
      <c r="K334" s="43">
        <f t="shared" ca="1" si="207"/>
        <v>16.611231055348515</v>
      </c>
      <c r="L334" s="43">
        <f t="shared" ca="1" si="207"/>
        <v>17.882815606236921</v>
      </c>
      <c r="M334" s="43">
        <f t="shared" ca="1" si="207"/>
        <v>19.173760544456648</v>
      </c>
      <c r="N334" s="43">
        <f t="shared" ca="1" si="207"/>
        <v>20.480042199804895</v>
      </c>
      <c r="O334" s="43">
        <f t="shared" ca="1" si="207"/>
        <v>21.779805098386554</v>
      </c>
      <c r="P334" s="43">
        <f t="shared" ca="1" si="207"/>
        <v>23.100216136631545</v>
      </c>
      <c r="Q334" s="43">
        <f t="shared" ca="1" si="207"/>
        <v>24.439442465611151</v>
      </c>
      <c r="R334" s="43">
        <f t="shared" ca="1" si="207"/>
        <v>25.797816487748605</v>
      </c>
      <c r="S334" s="43">
        <f t="shared" ca="1" si="207"/>
        <v>27.182280436964099</v>
      </c>
      <c r="T334" s="43">
        <f t="shared" ca="1" si="207"/>
        <v>28.594672509061503</v>
      </c>
      <c r="U334" s="43">
        <f t="shared" ca="1" si="207"/>
        <v>30.035899892532179</v>
      </c>
      <c r="V334" s="43">
        <f t="shared" ca="1" si="207"/>
        <v>31.505780603551692</v>
      </c>
      <c r="W334" s="43">
        <f t="shared" ca="1" si="207"/>
        <v>33.004629773911319</v>
      </c>
      <c r="X334" s="43">
        <f t="shared" ca="1" si="207"/>
        <v>34.536378789721184</v>
      </c>
      <c r="Y334" s="43">
        <f t="shared" ca="1" si="207"/>
        <v>36.096308273282439</v>
      </c>
      <c r="Z334" s="43">
        <f t="shared" ca="1" si="207"/>
        <v>37.693123246804014</v>
      </c>
      <c r="AA334" s="43">
        <f t="shared" ca="1" si="207"/>
        <v>39.337646047027135</v>
      </c>
      <c r="AB334" s="43">
        <f t="shared" ca="1" si="207"/>
        <v>41.044854867485462</v>
      </c>
      <c r="AC334" s="43">
        <f t="shared" ca="1" si="207"/>
        <v>42.832844780034314</v>
      </c>
      <c r="AD334" s="43">
        <f t="shared" ca="1" si="207"/>
        <v>44.71975665109138</v>
      </c>
      <c r="AE334" s="43">
        <f t="shared" ca="1" si="207"/>
        <v>46.713130492127206</v>
      </c>
      <c r="AF334" s="43">
        <f t="shared" ca="1" si="207"/>
        <v>48.829787115705713</v>
      </c>
      <c r="AG334" s="43">
        <f t="shared" ca="1" si="207"/>
        <v>51.074093767069314</v>
      </c>
      <c r="AH334" s="43">
        <f t="shared" ca="1" si="207"/>
        <v>53.457077766379427</v>
      </c>
      <c r="AI334" s="43">
        <f t="shared" ca="1" si="207"/>
        <v>55.984118019987307</v>
      </c>
      <c r="AJ334" s="43">
        <f t="shared" ca="1" si="207"/>
        <v>58.666105400674965</v>
      </c>
      <c r="AK334" s="43">
        <f t="shared" ca="1" si="207"/>
        <v>61.504471540482896</v>
      </c>
      <c r="AL334" s="43">
        <f t="shared" ca="1" si="207"/>
        <v>64.506195603311923</v>
      </c>
      <c r="AM334" s="43">
        <f t="shared" ca="1" si="207"/>
        <v>67.679530216167052</v>
      </c>
      <c r="AN334" s="43">
        <f t="shared" ca="1" si="207"/>
        <v>71.028220274850852</v>
      </c>
      <c r="AO334" s="43">
        <f t="shared" ca="1" si="207"/>
        <v>74.545002964404432</v>
      </c>
      <c r="AP334" s="43">
        <f t="shared" ca="1" si="207"/>
        <v>78.224490753079834</v>
      </c>
      <c r="AQ334" s="43">
        <f t="shared" ca="1" si="207"/>
        <v>82.052469090130671</v>
      </c>
      <c r="AR334" s="43">
        <f t="shared" ca="1" si="207"/>
        <v>86.011598441890683</v>
      </c>
      <c r="AS334" s="43">
        <f t="shared" ca="1" si="207"/>
        <v>90.086954985053524</v>
      </c>
      <c r="AT334" s="43">
        <f t="shared" ca="1" si="207"/>
        <v>94.285218443037337</v>
      </c>
      <c r="AU334" s="43">
        <f t="shared" ca="1" si="207"/>
        <v>98.605911786081776</v>
      </c>
      <c r="AV334" s="43">
        <f t="shared" ca="1" si="207"/>
        <v>103.05770278788361</v>
      </c>
      <c r="AW334" s="43">
        <f t="shared" ca="1" si="207"/>
        <v>107.63440380556604</v>
      </c>
    </row>
    <row r="335" spans="1:49" ht="15" x14ac:dyDescent="0.25">
      <c r="A335" s="2" t="s">
        <v>597</v>
      </c>
      <c r="B335" s="4" t="str">
        <f t="shared" ref="B335" si="208">$B$43</f>
        <v>From Fiscal</v>
      </c>
      <c r="D335" s="47">
        <f>Fiscal!D$114</f>
        <v>11.981999999999999</v>
      </c>
      <c r="E335" s="44">
        <f>Fiscal!E$114</f>
        <v>15.036</v>
      </c>
      <c r="F335" s="44">
        <f>Fiscal!F$114</f>
        <v>15.167999999999999</v>
      </c>
      <c r="G335" s="44">
        <f>Fiscal!G$114</f>
        <v>16.196000000000002</v>
      </c>
      <c r="H335" s="44">
        <f>Fiscal!H$114</f>
        <v>17.352</v>
      </c>
      <c r="I335" s="44">
        <f>Fiscal!I$114</f>
        <v>18.706</v>
      </c>
      <c r="J335" s="8">
        <f ca="1">((I$335-I$334)/I$14+ IF(J$2&gt;0,J$2*IF(J$6=OFFSET(Assumptions!$B$8,0,$C$1),(SUMPRODUCT(OFFSET(I$335,0,0,1,-OFFSET(Assumptions!$B$67,0,$C$1)),OFFSET(I$16,0,0,1,-OFFSET(Assumptions!$B$67,0,$C$1)))-SUMPRODUCT(OFFSET(I$334,0,0,1,-OFFSET(Assumptions!$B$67,0,$C$1)),OFFSET(I$16,0,0,1,-OFFSET(Assumptions!$B$67,0,$C$1))))/OFFSET(Assumptions!$B$67,0,$C$1)-(I$335-I$334)/I$14,((I$335-I$334)/I$14-(H$335-H$334)/H$14)/I$2),0))*J$14 +J$334</f>
        <v>19.497542798764272</v>
      </c>
      <c r="K335" s="8">
        <f ca="1">((J$335-J$334)/J$14+ IF(K$2&gt;0,K$2*IF(K$6=OFFSET(Assumptions!$B$8,0,$C$1),(SUMPRODUCT(OFFSET(J$335,0,0,1,-OFFSET(Assumptions!$B$67,0,$C$1)),OFFSET(J$16,0,0,1,-OFFSET(Assumptions!$B$67,0,$C$1)))-SUMPRODUCT(OFFSET(J$334,0,0,1,-OFFSET(Assumptions!$B$67,0,$C$1)),OFFSET(J$16,0,0,1,-OFFSET(Assumptions!$B$67,0,$C$1))))/OFFSET(Assumptions!$B$67,0,$C$1)-(J$335-J$334)/J$14,((J$335-J$334)/J$14-(I$335-I$334)/I$14)/J$2),0))*K$14 +K$334</f>
        <v>20.787707731949457</v>
      </c>
      <c r="L335" s="8">
        <f ca="1">((K$335-K$334)/K$14+ IF(L$2&gt;0,L$2*IF(L$6=OFFSET(Assumptions!$B$8,0,$C$1),(SUMPRODUCT(OFFSET(K$335,0,0,1,-OFFSET(Assumptions!$B$67,0,$C$1)),OFFSET(K$16,0,0,1,-OFFSET(Assumptions!$B$67,0,$C$1)))-SUMPRODUCT(OFFSET(K$334,0,0,1,-OFFSET(Assumptions!$B$67,0,$C$1)),OFFSET(K$16,0,0,1,-OFFSET(Assumptions!$B$67,0,$C$1))))/OFFSET(Assumptions!$B$67,0,$C$1)-(K$335-K$334)/K$14,((K$335-K$334)/K$14-(J$335-J$334)/J$14)/K$2),0))*L$14 +L$334</f>
        <v>22.151910801244959</v>
      </c>
      <c r="M335" s="8">
        <f ca="1">((L$335-L$334)/L$14+ IF(M$2&gt;0,M$2*IF(M$6=OFFSET(Assumptions!$B$8,0,$C$1),(SUMPRODUCT(OFFSET(L$335,0,0,1,-OFFSET(Assumptions!$B$67,0,$C$1)),OFFSET(L$16,0,0,1,-OFFSET(Assumptions!$B$67,0,$C$1)))-SUMPRODUCT(OFFSET(L$334,0,0,1,-OFFSET(Assumptions!$B$67,0,$C$1)),OFFSET(L$16,0,0,1,-OFFSET(Assumptions!$B$67,0,$C$1))))/OFFSET(Assumptions!$B$67,0,$C$1)-(L$335-L$334)/L$14,((L$335-L$334)/L$14-(K$335-K$334)/K$14)/L$2),0))*M$14 +M$334</f>
        <v>23.565820171392872</v>
      </c>
      <c r="N335" s="8">
        <f ca="1">((M$335-M$334)/M$14+ IF(N$2&gt;0,N$2*IF(N$6=OFFSET(Assumptions!$B$8,0,$C$1),(SUMPRODUCT(OFFSET(M$335,0,0,1,-OFFSET(Assumptions!$B$67,0,$C$1)),OFFSET(M$16,0,0,1,-OFFSET(Assumptions!$B$67,0,$C$1)))-SUMPRODUCT(OFFSET(M$334,0,0,1,-OFFSET(Assumptions!$B$67,0,$C$1)),OFFSET(M$16,0,0,1,-OFFSET(Assumptions!$B$67,0,$C$1))))/OFFSET(Assumptions!$B$67,0,$C$1)-(M$335-M$334)/M$14,((M$335-M$334)/M$14-(L$335-L$334)/L$14)/M$2),0))*N$14 +N$334</f>
        <v>25.029450347364509</v>
      </c>
      <c r="O335" s="8">
        <f ca="1">((N$335-N$334)/N$14+ IF(O$2&gt;0,O$2*IF(O$6=OFFSET(Assumptions!$B$8,0,$C$1),(SUMPRODUCT(OFFSET(N$335,0,0,1,-OFFSET(Assumptions!$B$67,0,$C$1)),OFFSET(N$16,0,0,1,-OFFSET(Assumptions!$B$67,0,$C$1)))-SUMPRODUCT(OFFSET(N$334,0,0,1,-OFFSET(Assumptions!$B$67,0,$C$1)),OFFSET(N$16,0,0,1,-OFFSET(Assumptions!$B$67,0,$C$1))))/OFFSET(Assumptions!$B$67,0,$C$1)-(N$335-N$334)/N$14,((N$335-N$334)/N$14-(M$335-M$334)/M$14)/N$2),0))*O$14 +O$334</f>
        <v>26.523412617228711</v>
      </c>
      <c r="P335" s="8">
        <f ca="1">((O$335-O$334)/O$14+ IF(P$2&gt;0,P$2*IF(P$6=OFFSET(Assumptions!$B$8,0,$C$1),(SUMPRODUCT(OFFSET(O$335,0,0,1,-OFFSET(Assumptions!$B$67,0,$C$1)),OFFSET(O$16,0,0,1,-OFFSET(Assumptions!$B$67,0,$C$1)))-SUMPRODUCT(OFFSET(O$334,0,0,1,-OFFSET(Assumptions!$B$67,0,$C$1)),OFFSET(O$16,0,0,1,-OFFSET(Assumptions!$B$67,0,$C$1))))/OFFSET(Assumptions!$B$67,0,$C$1)-(O$335-O$334)/O$14,((O$335-O$334)/O$14-(N$335-N$334)/N$14)/O$2),0))*P$14 +P$334</f>
        <v>28.044425605274302</v>
      </c>
      <c r="Q335" s="8">
        <f ca="1">((P$335-P$334)/P$14+ IF(Q$2&gt;0,Q$2*IF(Q$6=OFFSET(Assumptions!$B$8,0,$C$1),(SUMPRODUCT(OFFSET(P$335,0,0,1,-OFFSET(Assumptions!$B$67,0,$C$1)),OFFSET(P$16,0,0,1,-OFFSET(Assumptions!$B$67,0,$C$1)))-SUMPRODUCT(OFFSET(P$334,0,0,1,-OFFSET(Assumptions!$B$67,0,$C$1)),OFFSET(P$16,0,0,1,-OFFSET(Assumptions!$B$67,0,$C$1))))/OFFSET(Assumptions!$B$67,0,$C$1)-(P$335-P$334)/P$14,((P$335-P$334)/P$14-(O$335-O$334)/O$14)/P$2),0))*Q$14 +Q$334</f>
        <v>29.590439775632497</v>
      </c>
      <c r="R335" s="8">
        <f ca="1">((Q$335-Q$334)/Q$14+ IF(R$2&gt;0,R$2*IF(R$6=OFFSET(Assumptions!$B$8,0,$C$1),(SUMPRODUCT(OFFSET(Q$335,0,0,1,-OFFSET(Assumptions!$B$67,0,$C$1)),OFFSET(Q$16,0,0,1,-OFFSET(Assumptions!$B$67,0,$C$1)))-SUMPRODUCT(OFFSET(Q$334,0,0,1,-OFFSET(Assumptions!$B$67,0,$C$1)),OFFSET(Q$16,0,0,1,-OFFSET(Assumptions!$B$67,0,$C$1))))/OFFSET(Assumptions!$B$67,0,$C$1)-(Q$335-Q$334)/Q$14,((Q$335-Q$334)/Q$14-(P$335-P$334)/P$14)/Q$2),0))*R$14 +R$334</f>
        <v>31.161634049170527</v>
      </c>
      <c r="S335" s="8">
        <f ca="1">((R$335-R$334)/R$14+ IF(S$2&gt;0,S$2*IF(S$6=OFFSET(Assumptions!$B$8,0,$C$1),(SUMPRODUCT(OFFSET(R$335,0,0,1,-OFFSET(Assumptions!$B$67,0,$C$1)),OFFSET(R$16,0,0,1,-OFFSET(Assumptions!$B$67,0,$C$1)))-SUMPRODUCT(OFFSET(R$334,0,0,1,-OFFSET(Assumptions!$B$67,0,$C$1)),OFFSET(R$16,0,0,1,-OFFSET(Assumptions!$B$67,0,$C$1))))/OFFSET(Assumptions!$B$67,0,$C$1)-(R$335-R$334)/R$14,((R$335-R$334)/R$14-(Q$335-Q$334)/Q$14)/R$2),0))*S$14 +S$334</f>
        <v>32.765626993889335</v>
      </c>
      <c r="T335" s="8">
        <f ca="1">((S$335-S$334)/S$14+ IF(T$2&gt;0,T$2*IF(T$6=OFFSET(Assumptions!$B$8,0,$C$1),(SUMPRODUCT(OFFSET(S$335,0,0,1,-OFFSET(Assumptions!$B$67,0,$C$1)),OFFSET(S$16,0,0,1,-OFFSET(Assumptions!$B$67,0,$C$1)))-SUMPRODUCT(OFFSET(S$334,0,0,1,-OFFSET(Assumptions!$B$67,0,$C$1)),OFFSET(S$16,0,0,1,-OFFSET(Assumptions!$B$67,0,$C$1))))/OFFSET(Assumptions!$B$67,0,$C$1)-(S$335-S$334)/S$14,((S$335-S$334)/S$14-(R$335-R$334)/R$14)/S$2),0))*T$14 +T$334</f>
        <v>34.404336860384916</v>
      </c>
      <c r="U335" s="8">
        <f ca="1">((T$335-T$334)/T$14+ IF(U$2&gt;0,U$2*IF(U$6=OFFSET(Assumptions!$B$8,0,$C$1),(SUMPRODUCT(OFFSET(T$335,0,0,1,-OFFSET(Assumptions!$B$67,0,$C$1)),OFFSET(T$16,0,0,1,-OFFSET(Assumptions!$B$67,0,$C$1)))-SUMPRODUCT(OFFSET(T$334,0,0,1,-OFFSET(Assumptions!$B$67,0,$C$1)),OFFSET(T$16,0,0,1,-OFFSET(Assumptions!$B$67,0,$C$1))))/OFFSET(Assumptions!$B$67,0,$C$1)-(T$335-T$334)/T$14,((T$335-T$334)/T$14-(S$335-S$334)/S$14)/T$2),0))*U$14 +U$334</f>
        <v>36.079483085747057</v>
      </c>
      <c r="V335" s="8">
        <f ca="1">((U$335-U$334)/U$14+ IF(V$2&gt;0,V$2*IF(V$6=OFFSET(Assumptions!$B$8,0,$C$1),(SUMPRODUCT(OFFSET(U$335,0,0,1,-OFFSET(Assumptions!$B$67,0,$C$1)),OFFSET(U$16,0,0,1,-OFFSET(Assumptions!$B$67,0,$C$1)))-SUMPRODUCT(OFFSET(U$334,0,0,1,-OFFSET(Assumptions!$B$67,0,$C$1)),OFFSET(U$16,0,0,1,-OFFSET(Assumptions!$B$67,0,$C$1))))/OFFSET(Assumptions!$B$67,0,$C$1)-(U$335-U$334)/U$14,((U$335-U$334)/U$14-(T$335-T$334)/T$14)/U$2),0))*V$14 +V$334</f>
        <v>37.791461116148632</v>
      </c>
      <c r="W335" s="8">
        <f ca="1">((V$335-V$334)/V$14+ IF(W$2&gt;0,W$2*IF(W$6=OFFSET(Assumptions!$B$8,0,$C$1),(SUMPRODUCT(OFFSET(V$335,0,0,1,-OFFSET(Assumptions!$B$67,0,$C$1)),OFFSET(V$16,0,0,1,-OFFSET(Assumptions!$B$67,0,$C$1)))-SUMPRODUCT(OFFSET(V$334,0,0,1,-OFFSET(Assumptions!$B$67,0,$C$1)),OFFSET(V$16,0,0,1,-OFFSET(Assumptions!$B$67,0,$C$1))))/OFFSET(Assumptions!$B$67,0,$C$1)-(V$335-V$334)/V$14,((V$335-V$334)/V$14-(U$335-U$334)/U$14)/V$2),0))*W$14 +W$334</f>
        <v>39.541287500381152</v>
      </c>
      <c r="X335" s="8">
        <f ca="1">((W$335-W$334)/W$14+ IF(X$2&gt;0,X$2*IF(X$6=OFFSET(Assumptions!$B$8,0,$C$1),(SUMPRODUCT(OFFSET(W$335,0,0,1,-OFFSET(Assumptions!$B$67,0,$C$1)),OFFSET(W$16,0,0,1,-OFFSET(Assumptions!$B$67,0,$C$1)))-SUMPRODUCT(OFFSET(W$334,0,0,1,-OFFSET(Assumptions!$B$67,0,$C$1)),OFFSET(W$16,0,0,1,-OFFSET(Assumptions!$B$67,0,$C$1))))/OFFSET(Assumptions!$B$67,0,$C$1)-(W$335-W$334)/W$14,((W$335-W$334)/W$14-(V$335-V$334)/V$14)/W$2),0))*X$14 +X$334</f>
        <v>41.33368858417041</v>
      </c>
      <c r="Y335" s="8">
        <f ca="1">((X$335-X$334)/X$14+ IF(Y$2&gt;0,Y$2*IF(Y$6=OFFSET(Assumptions!$B$8,0,$C$1),(SUMPRODUCT(OFFSET(X$335,0,0,1,-OFFSET(Assumptions!$B$67,0,$C$1)),OFFSET(X$16,0,0,1,-OFFSET(Assumptions!$B$67,0,$C$1)))-SUMPRODUCT(OFFSET(X$334,0,0,1,-OFFSET(Assumptions!$B$67,0,$C$1)),OFFSET(X$16,0,0,1,-OFFSET(Assumptions!$B$67,0,$C$1))))/OFFSET(Assumptions!$B$67,0,$C$1)-(X$335-X$334)/X$14,((X$335-X$334)/X$14-(W$335-W$334)/W$14)/X$2),0))*Y$14 +Y$334</f>
        <v>43.163918342545813</v>
      </c>
      <c r="Z335" s="8">
        <f ca="1">((Y$335-Y$334)/Y$14+ IF(Z$2&gt;0,Z$2*IF(Z$6=OFFSET(Assumptions!$B$8,0,$C$1),(SUMPRODUCT(OFFSET(Y$335,0,0,1,-OFFSET(Assumptions!$B$67,0,$C$1)),OFFSET(Y$16,0,0,1,-OFFSET(Assumptions!$B$67,0,$C$1)))-SUMPRODUCT(OFFSET(Y$334,0,0,1,-OFFSET(Assumptions!$B$67,0,$C$1)),OFFSET(Y$16,0,0,1,-OFFSET(Assumptions!$B$67,0,$C$1))))/OFFSET(Assumptions!$B$67,0,$C$1)-(Y$335-Y$334)/Y$14,((Y$335-Y$334)/Y$14-(X$335-X$334)/X$14)/Y$2),0))*Z$14 +Z$334</f>
        <v>45.042049961046231</v>
      </c>
      <c r="AA335" s="8">
        <f ca="1">((Z$335-Z$334)/Z$14+ IF(AA$2&gt;0,AA$2*IF(AA$6=OFFSET(Assumptions!$B$8,0,$C$1),(SUMPRODUCT(OFFSET(Z$335,0,0,1,-OFFSET(Assumptions!$B$67,0,$C$1)),OFFSET(Z$16,0,0,1,-OFFSET(Assumptions!$B$67,0,$C$1)))-SUMPRODUCT(OFFSET(Z$334,0,0,1,-OFFSET(Assumptions!$B$67,0,$C$1)),OFFSET(Z$16,0,0,1,-OFFSET(Assumptions!$B$67,0,$C$1))))/OFFSET(Assumptions!$B$67,0,$C$1)-(Z$335-Z$334)/Z$14,((Z$335-Z$334)/Z$14-(Y$335-Y$334)/Y$14)/Z$2),0))*AA$14 +AA$334</f>
        <v>46.979360947714582</v>
      </c>
      <c r="AB335" s="8">
        <f ca="1">((AA$335-AA$334)/AA$14+ IF(AB$2&gt;0,AB$2*IF(AB$6=OFFSET(Assumptions!$B$8,0,$C$1),(SUMPRODUCT(OFFSET(AA$335,0,0,1,-OFFSET(Assumptions!$B$67,0,$C$1)),OFFSET(AA$16,0,0,1,-OFFSET(Assumptions!$B$67,0,$C$1)))-SUMPRODUCT(OFFSET(AA$334,0,0,1,-OFFSET(Assumptions!$B$67,0,$C$1)),OFFSET(AA$16,0,0,1,-OFFSET(Assumptions!$B$67,0,$C$1))))/OFFSET(Assumptions!$B$67,0,$C$1)-(AA$335-AA$334)/AA$14,((AA$335-AA$334)/AA$14-(Z$335-Z$334)/Z$14)/AA$2),0))*AB$14 +AB$334</f>
        <v>48.991708766047779</v>
      </c>
      <c r="AC335" s="8">
        <f ca="1">((AB$335-AB$334)/AB$14+ IF(AC$2&gt;0,AC$2*IF(AC$6=OFFSET(Assumptions!$B$8,0,$C$1),(SUMPRODUCT(OFFSET(AB$335,0,0,1,-OFFSET(Assumptions!$B$67,0,$C$1)),OFFSET(AB$16,0,0,1,-OFFSET(Assumptions!$B$67,0,$C$1)))-SUMPRODUCT(OFFSET(AB$334,0,0,1,-OFFSET(Assumptions!$B$67,0,$C$1)),OFFSET(AB$16,0,0,1,-OFFSET(Assumptions!$B$67,0,$C$1))))/OFFSET(Assumptions!$B$67,0,$C$1)-(AB$335-AB$334)/AB$14,((AB$335-AB$334)/AB$14-(AA$335-AA$334)/AA$14)/AB$2),0))*AC$14 +AC$334</f>
        <v>51.098340429026216</v>
      </c>
      <c r="AD335" s="8">
        <f ca="1">((AC$335-AC$334)/AC$14+ IF(AD$2&gt;0,AD$2*IF(AD$6=OFFSET(Assumptions!$B$8,0,$C$1),(SUMPRODUCT(OFFSET(AC$335,0,0,1,-OFFSET(Assumptions!$B$67,0,$C$1)),OFFSET(AC$16,0,0,1,-OFFSET(Assumptions!$B$67,0,$C$1)))-SUMPRODUCT(OFFSET(AC$334,0,0,1,-OFFSET(Assumptions!$B$67,0,$C$1)),OFFSET(AC$16,0,0,1,-OFFSET(Assumptions!$B$67,0,$C$1))))/OFFSET(Assumptions!$B$67,0,$C$1)-(AC$335-AC$334)/AC$14,((AC$335-AC$334)/AC$14-(AB$335-AB$334)/AB$14)/AC$2),0))*AD$14 +AD$334</f>
        <v>53.317732655403198</v>
      </c>
      <c r="AE335" s="8">
        <f ca="1">((AD$335-AD$334)/AD$14+ IF(AE$2&gt;0,AE$2*IF(AE$6=OFFSET(Assumptions!$B$8,0,$C$1),(SUMPRODUCT(OFFSET(AD$335,0,0,1,-OFFSET(Assumptions!$B$67,0,$C$1)),OFFSET(AD$16,0,0,1,-OFFSET(Assumptions!$B$67,0,$C$1)))-SUMPRODUCT(OFFSET(AD$334,0,0,1,-OFFSET(Assumptions!$B$67,0,$C$1)),OFFSET(AD$16,0,0,1,-OFFSET(Assumptions!$B$67,0,$C$1))))/OFFSET(Assumptions!$B$67,0,$C$1)-(AD$335-AD$334)/AD$14,((AD$335-AD$334)/AD$14-(AC$335-AC$334)/AC$14)/AD$2),0))*AE$14 +AE$334</f>
        <v>55.657120117758012</v>
      </c>
      <c r="AF335" s="8">
        <f ca="1">((AE$335-AE$334)/AE$14+ IF(AF$2&gt;0,AF$2*IF(AF$6=OFFSET(Assumptions!$B$8,0,$C$1),(SUMPRODUCT(OFFSET(AE$335,0,0,1,-OFFSET(Assumptions!$B$67,0,$C$1)),OFFSET(AE$16,0,0,1,-OFFSET(Assumptions!$B$67,0,$C$1)))-SUMPRODUCT(OFFSET(AE$334,0,0,1,-OFFSET(Assumptions!$B$67,0,$C$1)),OFFSET(AE$16,0,0,1,-OFFSET(Assumptions!$B$67,0,$C$1))))/OFFSET(Assumptions!$B$67,0,$C$1)-(AE$335-AE$334)/AE$14,((AE$335-AE$334)/AE$14-(AD$335-AD$334)/AD$14)/AE$2),0))*AF$14 +AF$334</f>
        <v>58.13428090980058</v>
      </c>
      <c r="AG335" s="8">
        <f ca="1">((AF$335-AF$334)/AF$14+ IF(AG$2&gt;0,AG$2*IF(AG$6=OFFSET(Assumptions!$B$8,0,$C$1),(SUMPRODUCT(OFFSET(AF$335,0,0,1,-OFFSET(Assumptions!$B$67,0,$C$1)),OFFSET(AF$16,0,0,1,-OFFSET(Assumptions!$B$67,0,$C$1)))-SUMPRODUCT(OFFSET(AF$334,0,0,1,-OFFSET(Assumptions!$B$67,0,$C$1)),OFFSET(AF$16,0,0,1,-OFFSET(Assumptions!$B$67,0,$C$1))))/OFFSET(Assumptions!$B$67,0,$C$1)-(AF$335-AF$334)/AF$14,((AF$335-AF$334)/AF$14-(AE$335-AE$334)/AE$14)/AF$2),0))*AG$14 +AG$334</f>
        <v>60.753783855629685</v>
      </c>
      <c r="AH335" s="8">
        <f ca="1">((AG$335-AG$334)/AG$14+ IF(AH$2&gt;0,AH$2*IF(AH$6=OFFSET(Assumptions!$B$8,0,$C$1),(SUMPRODUCT(OFFSET(AG$335,0,0,1,-OFFSET(Assumptions!$B$67,0,$C$1)),OFFSET(AG$16,0,0,1,-OFFSET(Assumptions!$B$67,0,$C$1)))-SUMPRODUCT(OFFSET(AG$334,0,0,1,-OFFSET(Assumptions!$B$67,0,$C$1)),OFFSET(AG$16,0,0,1,-OFFSET(Assumptions!$B$67,0,$C$1))))/OFFSET(Assumptions!$B$67,0,$C$1)-(AG$335-AG$334)/AG$14,((AG$335-AG$334)/AG$14-(AF$335-AF$334)/AF$14)/AG$2),0))*AH$14 +AH$334</f>
        <v>63.527257928698404</v>
      </c>
      <c r="AI335" s="8">
        <f ca="1">((AH$335-AH$334)/AH$14+ IF(AI$2&gt;0,AI$2*IF(AI$6=OFFSET(Assumptions!$B$8,0,$C$1),(SUMPRODUCT(OFFSET(AH$335,0,0,1,-OFFSET(Assumptions!$B$67,0,$C$1)),OFFSET(AH$16,0,0,1,-OFFSET(Assumptions!$B$67,0,$C$1)))-SUMPRODUCT(OFFSET(AH$334,0,0,1,-OFFSET(Assumptions!$B$67,0,$C$1)),OFFSET(AH$16,0,0,1,-OFFSET(Assumptions!$B$67,0,$C$1))))/OFFSET(Assumptions!$B$67,0,$C$1)-(AH$335-AH$334)/AH$14,((AH$335-AH$334)/AH$14-(AG$335-AG$334)/AG$14)/AH$2),0))*AI$14 +AI$334</f>
        <v>66.459399719933813</v>
      </c>
      <c r="AJ335" s="8">
        <f ca="1">((AI$335-AI$334)/AI$14+ IF(AJ$2&gt;0,AJ$2*IF(AJ$6=OFFSET(Assumptions!$B$8,0,$C$1),(SUMPRODUCT(OFFSET(AI$335,0,0,1,-OFFSET(Assumptions!$B$67,0,$C$1)),OFFSET(AI$16,0,0,1,-OFFSET(Assumptions!$B$67,0,$C$1)))-SUMPRODUCT(OFFSET(AI$334,0,0,1,-OFFSET(Assumptions!$B$67,0,$C$1)),OFFSET(AI$16,0,0,1,-OFFSET(Assumptions!$B$67,0,$C$1))))/OFFSET(Assumptions!$B$67,0,$C$1)-(AI$335-AI$334)/AI$14,((AI$335-AI$334)/AI$14-(AH$335-AH$334)/AH$14)/AI$2),0))*AJ$14 +AJ$334</f>
        <v>69.562397844178093</v>
      </c>
      <c r="AK335" s="8">
        <f ca="1">((AJ$335-AJ$334)/AJ$14+ IF(AK$2&gt;0,AK$2*IF(AK$6=OFFSET(Assumptions!$B$8,0,$C$1),(SUMPRODUCT(OFFSET(AJ$335,0,0,1,-OFFSET(Assumptions!$B$67,0,$C$1)),OFFSET(AJ$16,0,0,1,-OFFSET(Assumptions!$B$67,0,$C$1)))-SUMPRODUCT(OFFSET(AJ$334,0,0,1,-OFFSET(Assumptions!$B$67,0,$C$1)),OFFSET(AJ$16,0,0,1,-OFFSET(Assumptions!$B$67,0,$C$1))))/OFFSET(Assumptions!$B$67,0,$C$1)-(AJ$335-AJ$334)/AJ$14,((AJ$335-AJ$334)/AJ$14-(AI$335-AI$334)/AI$14)/AJ$2),0))*AK$14 +AK$334</f>
        <v>72.837337597065456</v>
      </c>
      <c r="AL335" s="8">
        <f ca="1">((AK$335-AK$334)/AK$14+ IF(AL$2&gt;0,AL$2*IF(AL$6=OFFSET(Assumptions!$B$8,0,$C$1),(SUMPRODUCT(OFFSET(AK$335,0,0,1,-OFFSET(Assumptions!$B$67,0,$C$1)),OFFSET(AK$16,0,0,1,-OFFSET(Assumptions!$B$67,0,$C$1)))-SUMPRODUCT(OFFSET(AK$334,0,0,1,-OFFSET(Assumptions!$B$67,0,$C$1)),OFFSET(AK$16,0,0,1,-OFFSET(Assumptions!$B$67,0,$C$1))))/OFFSET(Assumptions!$B$67,0,$C$1)-(AK$335-AK$334)/AK$14,((AK$335-AK$334)/AK$14-(AJ$335-AJ$334)/AJ$14)/AK$2),0))*AL$14 +AL$334</f>
        <v>76.290854241417435</v>
      </c>
      <c r="AM335" s="8">
        <f ca="1">((AL$335-AL$334)/AL$14+ IF(AM$2&gt;0,AM$2*IF(AM$6=OFFSET(Assumptions!$B$8,0,$C$1),(SUMPRODUCT(OFFSET(AL$335,0,0,1,-OFFSET(Assumptions!$B$67,0,$C$1)),OFFSET(AL$16,0,0,1,-OFFSET(Assumptions!$B$67,0,$C$1)))-SUMPRODUCT(OFFSET(AL$334,0,0,1,-OFFSET(Assumptions!$B$67,0,$C$1)),OFFSET(AL$16,0,0,1,-OFFSET(Assumptions!$B$67,0,$C$1))))/OFFSET(Assumptions!$B$67,0,$C$1)-(AL$335-AL$334)/AL$14,((AL$335-AL$334)/AL$14-(AK$335-AK$334)/AK$14)/AL$2),0))*AM$14 +AM$334</f>
        <v>79.931817611737941</v>
      </c>
      <c r="AN335" s="8">
        <f ca="1">((AM$335-AM$334)/AM$14+ IF(AN$2&gt;0,AN$2*IF(AN$6=OFFSET(Assumptions!$B$8,0,$C$1),(SUMPRODUCT(OFFSET(AM$335,0,0,1,-OFFSET(Assumptions!$B$67,0,$C$1)),OFFSET(AM$16,0,0,1,-OFFSET(Assumptions!$B$67,0,$C$1)))-SUMPRODUCT(OFFSET(AM$334,0,0,1,-OFFSET(Assumptions!$B$67,0,$C$1)),OFFSET(AM$16,0,0,1,-OFFSET(Assumptions!$B$67,0,$C$1))))/OFFSET(Assumptions!$B$67,0,$C$1)-(AM$335-AM$334)/AM$14,((AM$335-AM$334)/AM$14-(AL$335-AL$334)/AL$14)/AM$2),0))*AN$14 +AN$334</f>
        <v>83.76462307090263</v>
      </c>
      <c r="AO335" s="8">
        <f ca="1">((AN$335-AN$334)/AN$14+ IF(AO$2&gt;0,AO$2*IF(AO$6=OFFSET(Assumptions!$B$8,0,$C$1),(SUMPRODUCT(OFFSET(AN$335,0,0,1,-OFFSET(Assumptions!$B$67,0,$C$1)),OFFSET(AN$16,0,0,1,-OFFSET(Assumptions!$B$67,0,$C$1)))-SUMPRODUCT(OFFSET(AN$334,0,0,1,-OFFSET(Assumptions!$B$67,0,$C$1)),OFFSET(AN$16,0,0,1,-OFFSET(Assumptions!$B$67,0,$C$1))))/OFFSET(Assumptions!$B$67,0,$C$1)-(AN$335-AN$334)/AN$14,((AN$335-AN$334)/AN$14-(AM$335-AM$334)/AM$14)/AN$2),0))*AO$14 +AO$334</f>
        <v>87.780106850189782</v>
      </c>
      <c r="AP335" s="8">
        <f ca="1">((AO$335-AO$334)/AO$14+ IF(AP$2&gt;0,AP$2*IF(AP$6=OFFSET(Assumptions!$B$8,0,$C$1),(SUMPRODUCT(OFFSET(AO$335,0,0,1,-OFFSET(Assumptions!$B$67,0,$C$1)),OFFSET(AO$16,0,0,1,-OFFSET(Assumptions!$B$67,0,$C$1)))-SUMPRODUCT(OFFSET(AO$334,0,0,1,-OFFSET(Assumptions!$B$67,0,$C$1)),OFFSET(AO$16,0,0,1,-OFFSET(Assumptions!$B$67,0,$C$1))))/OFFSET(Assumptions!$B$67,0,$C$1)-(AO$335-AO$334)/AO$14,((AO$335-AO$334)/AO$14-(AN$335-AN$334)/AN$14)/AO$2),0))*AP$14 +AP$334</f>
        <v>91.974999149594524</v>
      </c>
      <c r="AQ335" s="8">
        <f ca="1">((AP$335-AP$334)/AP$14+ IF(AQ$2&gt;0,AQ$2*IF(AQ$6=OFFSET(Assumptions!$B$8,0,$C$1),(SUMPRODUCT(OFFSET(AP$335,0,0,1,-OFFSET(Assumptions!$B$67,0,$C$1)),OFFSET(AP$16,0,0,1,-OFFSET(Assumptions!$B$67,0,$C$1)))-SUMPRODUCT(OFFSET(AP$334,0,0,1,-OFFSET(Assumptions!$B$67,0,$C$1)),OFFSET(AP$16,0,0,1,-OFFSET(Assumptions!$B$67,0,$C$1))))/OFFSET(Assumptions!$B$67,0,$C$1)-(AP$335-AP$334)/AP$14,((AP$335-AP$334)/AP$14-(AO$335-AO$334)/AO$14)/AP$2),0))*AQ$14 +AQ$334</f>
        <v>96.333641256557868</v>
      </c>
      <c r="AR335" s="8">
        <f ca="1">((AQ$335-AQ$334)/AQ$14+ IF(AR$2&gt;0,AR$2*IF(AR$6=OFFSET(Assumptions!$B$8,0,$C$1),(SUMPRODUCT(OFFSET(AQ$335,0,0,1,-OFFSET(Assumptions!$B$67,0,$C$1)),OFFSET(AQ$16,0,0,1,-OFFSET(Assumptions!$B$67,0,$C$1)))-SUMPRODUCT(OFFSET(AQ$334,0,0,1,-OFFSET(Assumptions!$B$67,0,$C$1)),OFFSET(AQ$16,0,0,1,-OFFSET(Assumptions!$B$67,0,$C$1))))/OFFSET(Assumptions!$B$67,0,$C$1)-(AQ$335-AQ$334)/AQ$14,((AQ$335-AQ$334)/AQ$14-(AP$335-AP$334)/AP$14)/AQ$2),0))*AR$14 +AR$334</f>
        <v>100.8392944437352</v>
      </c>
      <c r="AS335" s="8">
        <f ca="1">((AR$335-AR$334)/AR$14+ IF(AS$2&gt;0,AS$2*IF(AS$6=OFFSET(Assumptions!$B$8,0,$C$1),(SUMPRODUCT(OFFSET(AR$335,0,0,1,-OFFSET(Assumptions!$B$67,0,$C$1)),OFFSET(AR$16,0,0,1,-OFFSET(Assumptions!$B$67,0,$C$1)))-SUMPRODUCT(OFFSET(AR$334,0,0,1,-OFFSET(Assumptions!$B$67,0,$C$1)),OFFSET(AR$16,0,0,1,-OFFSET(Assumptions!$B$67,0,$C$1))))/OFFSET(Assumptions!$B$67,0,$C$1)-(AR$335-AR$334)/AR$14,((AR$335-AR$334)/AR$14-(AQ$335-AQ$334)/AQ$14)/AR$2),0))*AS$14 +AS$334</f>
        <v>105.47830991216432</v>
      </c>
      <c r="AT335" s="8">
        <f ca="1">((AS$335-AS$334)/AS$14+ IF(AT$2&gt;0,AT$2*IF(AT$6=OFFSET(Assumptions!$B$8,0,$C$1),(SUMPRODUCT(OFFSET(AS$335,0,0,1,-OFFSET(Assumptions!$B$67,0,$C$1)),OFFSET(AS$16,0,0,1,-OFFSET(Assumptions!$B$67,0,$C$1)))-SUMPRODUCT(OFFSET(AS$334,0,0,1,-OFFSET(Assumptions!$B$67,0,$C$1)),OFFSET(AS$16,0,0,1,-OFFSET(Assumptions!$B$67,0,$C$1))))/OFFSET(Assumptions!$B$67,0,$C$1)-(AS$335-AS$334)/AS$14,((AS$335-AS$334)/AS$14-(AR$335-AR$334)/AR$14)/AS$2),0))*AT$14 +AT$334</f>
        <v>110.25781756119329</v>
      </c>
      <c r="AU335" s="8">
        <f ca="1">((AT$335-AT$334)/AT$14+ IF(AU$2&gt;0,AU$2*IF(AU$6=OFFSET(Assumptions!$B$8,0,$C$1),(SUMPRODUCT(OFFSET(AT$335,0,0,1,-OFFSET(Assumptions!$B$67,0,$C$1)),OFFSET(AT$16,0,0,1,-OFFSET(Assumptions!$B$67,0,$C$1)))-SUMPRODUCT(OFFSET(AT$334,0,0,1,-OFFSET(Assumptions!$B$67,0,$C$1)),OFFSET(AT$16,0,0,1,-OFFSET(Assumptions!$B$67,0,$C$1))))/OFFSET(Assumptions!$B$67,0,$C$1)-(AT$335-AT$334)/AT$14,((AT$335-AT$334)/AT$14-(AS$335-AS$334)/AS$14)/AT$2),0))*AU$14 +AU$334</f>
        <v>115.17811328607624</v>
      </c>
      <c r="AV335" s="8">
        <f ca="1">((AU$335-AU$334)/AU$14+ IF(AV$2&gt;0,AV$2*IF(AV$6=OFFSET(Assumptions!$B$8,0,$C$1),(SUMPRODUCT(OFFSET(AU$335,0,0,1,-OFFSET(Assumptions!$B$67,0,$C$1)),OFFSET(AU$16,0,0,1,-OFFSET(Assumptions!$B$67,0,$C$1)))-SUMPRODUCT(OFFSET(AU$334,0,0,1,-OFFSET(Assumptions!$B$67,0,$C$1)),OFFSET(AU$16,0,0,1,-OFFSET(Assumptions!$B$67,0,$C$1))))/OFFSET(Assumptions!$B$67,0,$C$1)-(AU$335-AU$334)/AU$14,((AU$335-AU$334)/AU$14-(AT$335-AT$334)/AT$14)/AU$2),0))*AV$14 +AV$334</f>
        <v>120.24971876995389</v>
      </c>
      <c r="AW335" s="8">
        <f ca="1">((AV$335-AV$334)/AV$14+ IF(AW$2&gt;0,AW$2*IF(AW$6=OFFSET(Assumptions!$B$8,0,$C$1),(SUMPRODUCT(OFFSET(AV$335,0,0,1,-OFFSET(Assumptions!$B$67,0,$C$1)),OFFSET(AV$16,0,0,1,-OFFSET(Assumptions!$B$67,0,$C$1)))-SUMPRODUCT(OFFSET(AV$334,0,0,1,-OFFSET(Assumptions!$B$67,0,$C$1)),OFFSET(AV$16,0,0,1,-OFFSET(Assumptions!$B$67,0,$C$1))))/OFFSET(Assumptions!$B$67,0,$C$1)-(AV$335-AV$334)/AV$14,((AV$335-AV$334)/AV$14-(AU$335-AU$334)/AU$14)/AV$2),0))*AW$14 +AW$334</f>
        <v>125.46609644985436</v>
      </c>
    </row>
    <row r="336" spans="1:49" ht="15" x14ac:dyDescent="0.25">
      <c r="A336" s="2"/>
      <c r="B336" s="4"/>
      <c r="D336" s="47"/>
      <c r="E336" s="44"/>
      <c r="F336" s="44"/>
      <c r="G336" s="44"/>
      <c r="H336" s="44"/>
      <c r="I336" s="44"/>
      <c r="J336" s="8"/>
      <c r="K336" s="8"/>
      <c r="L336" s="8"/>
      <c r="M336" s="8"/>
      <c r="N336" s="8"/>
      <c r="O336" s="8"/>
      <c r="P336" s="8"/>
      <c r="Q336" s="8"/>
      <c r="R336" s="8"/>
      <c r="S336" s="8"/>
    </row>
    <row r="337" spans="1:49" ht="15" x14ac:dyDescent="0.25">
      <c r="A337" s="22" t="s">
        <v>233</v>
      </c>
      <c r="B337" s="4"/>
      <c r="D337" s="47"/>
      <c r="E337" s="44"/>
      <c r="F337" s="44"/>
      <c r="G337" s="44"/>
      <c r="H337" s="44"/>
      <c r="I337" s="44"/>
      <c r="J337" s="8"/>
      <c r="K337" s="8"/>
      <c r="L337" s="8"/>
      <c r="M337" s="8"/>
      <c r="N337" s="8"/>
      <c r="O337" s="8"/>
      <c r="P337" s="8"/>
      <c r="Q337" s="8"/>
      <c r="R337" s="8"/>
      <c r="S337" s="8"/>
    </row>
    <row r="338" spans="1:49" x14ac:dyDescent="0.2">
      <c r="A338" s="1" t="s">
        <v>598</v>
      </c>
      <c r="B338" s="4"/>
      <c r="D338" s="18">
        <f t="shared" ref="D338:I338" si="209">D$372-D$81</f>
        <v>1.5050000000000026</v>
      </c>
      <c r="E338" s="19">
        <f t="shared" si="209"/>
        <v>1.6149999999999984</v>
      </c>
      <c r="F338" s="19">
        <f t="shared" si="209"/>
        <v>1.9220000000000006</v>
      </c>
      <c r="G338" s="19">
        <f t="shared" si="209"/>
        <v>1.9679999999999964</v>
      </c>
      <c r="H338" s="19">
        <f t="shared" si="209"/>
        <v>2.0220000000000056</v>
      </c>
      <c r="I338" s="19">
        <f t="shared" si="209"/>
        <v>2.0730000000000004</v>
      </c>
      <c r="J338" s="7">
        <f ca="1">IF(J$6=OFFSET(Assumptions!$B$8,0,$C$1),AVERAGE(G$338/G$372,H$338/H$372,I$338/I$372),I$338/I$372)*J$372</f>
        <v>2.4484547598416131</v>
      </c>
      <c r="K338" s="7">
        <f ca="1">IF(K$6=OFFSET(Assumptions!$B$8,0,$C$1),AVERAGE(H$338/H$372,I$338/I$372,J$338/J$372),J$338/J$372)*K$372</f>
        <v>2.7511891917329865</v>
      </c>
      <c r="L338" s="7">
        <f ca="1">IF(L$6=OFFSET(Assumptions!$B$8,0,$C$1),AVERAGE(I$338/I$372,J$338/J$372,K$338/K$372),K$338/K$372)*L$372</f>
        <v>3.0659443583361341</v>
      </c>
      <c r="M338" s="7">
        <f ca="1">IF(M$6=OFFSET(Assumptions!$B$8,0,$C$1),AVERAGE(J$338/J$372,K$338/K$372,L$338/L$372),L$338/L$372)*M$372</f>
        <v>3.3915174014867535</v>
      </c>
      <c r="N338" s="7">
        <f ca="1">IF(N$6=OFFSET(Assumptions!$B$8,0,$C$1),AVERAGE(K$338/K$372,L$338/L$372,M$338/M$372),M$338/M$372)*N$372</f>
        <v>3.7271774269808087</v>
      </c>
      <c r="O338" s="7">
        <f ca="1">IF(O$6=OFFSET(Assumptions!$B$8,0,$C$1),AVERAGE(L$338/L$372,M$338/M$372,N$338/N$372),N$338/N$372)*O$372</f>
        <v>4.0667909752494342</v>
      </c>
      <c r="P338" s="7">
        <f ca="1">IF(P$6=OFFSET(Assumptions!$B$8,0,$C$1),AVERAGE(M$338/M$372,N$338/N$372,O$338/O$372),O$338/O$372)*P$372</f>
        <v>4.4081824034719439</v>
      </c>
      <c r="Q338" s="7">
        <f ca="1">IF(Q$6=OFFSET(Assumptions!$B$8,0,$C$1),AVERAGE(N$338/N$372,O$338/O$372,P$338/P$372),P$338/P$372)*Q$372</f>
        <v>4.7508104825673509</v>
      </c>
      <c r="R338" s="7">
        <f ca="1">IF(R$6=OFFSET(Assumptions!$B$8,0,$C$1),AVERAGE(O$338/O$372,P$338/P$372,Q$338/Q$372),Q$338/Q$372)*R$372</f>
        <v>5.0949835661106482</v>
      </c>
      <c r="S338" s="7">
        <f ca="1">IF(S$6=OFFSET(Assumptions!$B$8,0,$C$1),AVERAGE(P$338/P$372,Q$338/Q$372,R$338/R$372),R$338/R$372)*S$372</f>
        <v>5.4429091057262236</v>
      </c>
      <c r="T338" s="7">
        <f ca="1">IF(T$6=OFFSET(Assumptions!$B$8,0,$C$1),AVERAGE(Q$338/Q$372,R$338/R$372,S$338/S$372),S$338/S$372)*T$372</f>
        <v>5.7952795755016551</v>
      </c>
      <c r="U338" s="7">
        <f ca="1">IF(U$6=OFFSET(Assumptions!$B$8,0,$C$1),AVERAGE(R$338/R$372,S$338/S$372,T$338/T$372),T$338/T$372)*U$372</f>
        <v>6.151594169114512</v>
      </c>
      <c r="V338" s="7">
        <f ca="1">IF(V$6=OFFSET(Assumptions!$B$8,0,$C$1),AVERAGE(S$338/S$372,T$338/T$372,U$338/U$372),U$338/U$372)*V$372</f>
        <v>6.5111460883022643</v>
      </c>
      <c r="W338" s="7">
        <f ca="1">IF(W$6=OFFSET(Assumptions!$B$8,0,$C$1),AVERAGE(T$338/T$372,U$338/U$372,V$338/V$372),V$338/V$372)*W$372</f>
        <v>6.8733042217919502</v>
      </c>
      <c r="X338" s="7">
        <f ca="1">IF(X$6=OFFSET(Assumptions!$B$8,0,$C$1),AVERAGE(U$338/U$372,V$338/V$372,W$338/W$372),W$338/W$372)*X$372</f>
        <v>7.2388694775703817</v>
      </c>
      <c r="Y338" s="7">
        <f ca="1">IF(Y$6=OFFSET(Assumptions!$B$8,0,$C$1),AVERAGE(V$338/V$372,W$338/W$372,X$338/X$372),X$338/X$372)*Y$372</f>
        <v>7.6058689525982688</v>
      </c>
      <c r="Z338" s="7">
        <f ca="1">IF(Z$6=OFFSET(Assumptions!$B$8,0,$C$1),AVERAGE(W$338/W$372,X$338/X$372,Y$338/Y$372),Y$338/Y$372)*Z$372</f>
        <v>7.9765035364651871</v>
      </c>
      <c r="AA338" s="7">
        <f ca="1">IF(AA$6=OFFSET(Assumptions!$B$8,0,$C$1),AVERAGE(X$338/X$372,Y$338/Y$372,Z$338/Z$372),Z$338/Z$372)*AA$372</f>
        <v>8.3548677635025967</v>
      </c>
      <c r="AB338" s="7">
        <f ca="1">IF(AB$6=OFFSET(Assumptions!$B$8,0,$C$1),AVERAGE(Y$338/Y$372,Z$338/Z$372,AA$338/AA$372),AA$338/AA$372)*AB$372</f>
        <v>8.7463566646379061</v>
      </c>
      <c r="AC338" s="7">
        <f ca="1">IF(AC$6=OFFSET(Assumptions!$B$8,0,$C$1),AVERAGE(Z$338/Z$372,AA$338/AA$372,AB$338/AB$372),AB$338/AB$372)*AC$372</f>
        <v>9.157390142172158</v>
      </c>
      <c r="AD338" s="7">
        <f ca="1">IF(AD$6=OFFSET(Assumptions!$B$8,0,$C$1),AVERAGE(AA$338/AA$372,AB$338/AB$372,AC$338/AC$372),AC$338/AC$372)*AD$372</f>
        <v>9.5952973468629512</v>
      </c>
      <c r="AE338" s="7">
        <f ca="1">IF(AE$6=OFFSET(Assumptions!$B$8,0,$C$1),AVERAGE(AB$338/AB$372,AC$338/AC$372,AD$338/AD$372),AD$338/AD$372)*AE$372</f>
        <v>10.063609674441871</v>
      </c>
      <c r="AF338" s="7">
        <f ca="1">IF(AF$6=OFFSET(Assumptions!$B$8,0,$C$1),AVERAGE(AC$338/AC$372,AD$338/AD$372,AE$338/AE$372),AE$338/AE$372)*AF$372</f>
        <v>10.568418734504057</v>
      </c>
      <c r="AG338" s="7">
        <f ca="1">IF(AG$6=OFFSET(Assumptions!$B$8,0,$C$1),AVERAGE(AD$338/AD$372,AE$338/AE$372,AF$338/AF$372),AF$338/AF$372)*AG$372</f>
        <v>11.111357319003599</v>
      </c>
      <c r="AH338" s="7">
        <f ca="1">IF(AH$6=OFFSET(Assumptions!$B$8,0,$C$1),AVERAGE(AE$338/AE$372,AF$338/AF$372,AG$338/AG$372),AG$338/AG$372)*AH$372</f>
        <v>11.696447199506427</v>
      </c>
      <c r="AI338" s="7">
        <f ca="1">IF(AI$6=OFFSET(Assumptions!$B$8,0,$C$1),AVERAGE(AF$338/AF$372,AG$338/AG$372,AH$338/AH$372),AH$338/AH$372)*AI$372</f>
        <v>12.326714068295054</v>
      </c>
      <c r="AJ338" s="7">
        <f ca="1">IF(AJ$6=OFFSET(Assumptions!$B$8,0,$C$1),AVERAGE(AG$338/AG$372,AH$338/AH$372,AI$338/AI$372),AI$338/AI$372)*AJ$372</f>
        <v>13.005362835619358</v>
      </c>
      <c r="AK338" s="7">
        <f ca="1">IF(AK$6=OFFSET(Assumptions!$B$8,0,$C$1),AVERAGE(AH$338/AH$372,AI$338/AI$372,AJ$338/AJ$372),AJ$338/AJ$372)*AK$372</f>
        <v>13.733378427051376</v>
      </c>
      <c r="AL338" s="7">
        <f ca="1">IF(AL$6=OFFSET(Assumptions!$B$8,0,$C$1),AVERAGE(AI$338/AI$372,AJ$338/AJ$372,AK$338/AK$372),AK$338/AK$372)*AL$372</f>
        <v>14.51409637331872</v>
      </c>
      <c r="AM338" s="7">
        <f ca="1">IF(AM$6=OFFSET(Assumptions!$B$8,0,$C$1),AVERAGE(AJ$338/AJ$372,AK$338/AK$372,AL$338/AL$372),AL$338/AL$372)*AM$372</f>
        <v>15.350344462871044</v>
      </c>
      <c r="AN338" s="7">
        <f ca="1">IF(AN$6=OFFSET(Assumptions!$B$8,0,$C$1),AVERAGE(AK$338/AK$372,AL$338/AL$372,AM$338/AM$372),AM$338/AM$372)*AN$372</f>
        <v>16.243002042036764</v>
      </c>
      <c r="AO338" s="7">
        <f ca="1">IF(AO$6=OFFSET(Assumptions!$B$8,0,$C$1),AVERAGE(AL$338/AL$372,AM$338/AM$372,AN$338/AN$372),AN$338/AN$372)*AO$372</f>
        <v>17.191060932948151</v>
      </c>
      <c r="AP338" s="7">
        <f ca="1">IF(AP$6=OFFSET(Assumptions!$B$8,0,$C$1),AVERAGE(AM$338/AM$372,AN$338/AN$372,AO$338/AO$372),AO$338/AO$372)*AP$372</f>
        <v>18.189926678228399</v>
      </c>
      <c r="AQ338" s="7">
        <f ca="1">IF(AQ$6=OFFSET(Assumptions!$B$8,0,$C$1),AVERAGE(AN$338/AN$372,AO$338/AO$372,AP$338/AP$372),AP$338/AP$372)*AQ$372</f>
        <v>19.235144113712661</v>
      </c>
      <c r="AR338" s="7">
        <f ca="1">IF(AR$6=OFFSET(Assumptions!$B$8,0,$C$1),AVERAGE(AO$338/AO$372,AP$338/AP$372,AQ$338/AQ$372),AQ$338/AQ$372)*AR$372</f>
        <v>20.318702727854223</v>
      </c>
      <c r="AS338" s="7">
        <f ca="1">IF(AS$6=OFFSET(Assumptions!$B$8,0,$C$1),AVERAGE(AP$338/AP$372,AQ$338/AQ$372,AR$338/AR$372),AR$338/AR$372)*AS$372</f>
        <v>21.432881618721098</v>
      </c>
      <c r="AT338" s="7">
        <f ca="1">IF(AT$6=OFFSET(Assumptions!$B$8,0,$C$1),AVERAGE(AQ$338/AQ$372,AR$338/AR$372,AS$338/AS$372),AS$338/AS$372)*AT$372</f>
        <v>22.580023472644189</v>
      </c>
      <c r="AU338" s="7">
        <f ca="1">IF(AU$6=OFFSET(Assumptions!$B$8,0,$C$1),AVERAGE(AR$338/AR$372,AS$338/AS$372,AT$338/AT$372),AT$338/AT$372)*AU$372</f>
        <v>23.759083175013057</v>
      </c>
      <c r="AV338" s="7">
        <f ca="1">IF(AV$6=OFFSET(Assumptions!$B$8,0,$C$1),AVERAGE(AS$338/AS$372,AT$338/AT$372,AU$338/AU$372),AU$338/AU$372)*AV$372</f>
        <v>24.971716181332475</v>
      </c>
      <c r="AW338" s="7">
        <f ca="1">IF(AW$6=OFFSET(Assumptions!$B$8,0,$C$1),AVERAGE(AT$338/AT$372,AU$338/AU$372,AV$338/AV$372),AV$338/AV$372)*AW$372</f>
        <v>26.2156792316643</v>
      </c>
    </row>
    <row r="339" spans="1:49" x14ac:dyDescent="0.2">
      <c r="A339" s="1" t="s">
        <v>387</v>
      </c>
      <c r="B339" s="4" t="str">
        <f t="shared" ref="B339:B342" si="210">$B$43</f>
        <v>From Fiscal</v>
      </c>
      <c r="D339" s="18">
        <f>Fiscal!D$298</f>
        <v>8.9570000000000007</v>
      </c>
      <c r="E339" s="19">
        <f>Fiscal!E$298</f>
        <v>9.0399999999999991</v>
      </c>
      <c r="F339" s="19">
        <f>Fiscal!F$298</f>
        <v>9.2629999999999999</v>
      </c>
      <c r="G339" s="19">
        <f>Fiscal!G$298</f>
        <v>9.6880000000000006</v>
      </c>
      <c r="H339" s="19">
        <f>Fiscal!H$298</f>
        <v>10.222</v>
      </c>
      <c r="I339" s="19">
        <f>Fiscal!I$298</f>
        <v>10.727</v>
      </c>
      <c r="J339" s="7">
        <f t="shared" ref="J339:AW339" ca="1" si="211">I$339+J$139-(J$472-J$364)+J$447-I$447-J$269</f>
        <v>11.204104969304067</v>
      </c>
      <c r="K339" s="7">
        <f t="shared" ca="1" si="211"/>
        <v>11.74413706535341</v>
      </c>
      <c r="L339" s="7">
        <f t="shared" ca="1" si="211"/>
        <v>12.301614871415971</v>
      </c>
      <c r="M339" s="7">
        <f t="shared" ca="1" si="211"/>
        <v>12.872148561310935</v>
      </c>
      <c r="N339" s="7">
        <f t="shared" ca="1" si="211"/>
        <v>13.466787288527557</v>
      </c>
      <c r="O339" s="7">
        <f t="shared" ca="1" si="211"/>
        <v>14.084471373361678</v>
      </c>
      <c r="P339" s="7">
        <f t="shared" ca="1" si="211"/>
        <v>14.73871056915303</v>
      </c>
      <c r="Q339" s="7">
        <f t="shared" ca="1" si="211"/>
        <v>15.410402268597037</v>
      </c>
      <c r="R339" s="7">
        <f t="shared" ca="1" si="211"/>
        <v>16.099740633550624</v>
      </c>
      <c r="S339" s="7">
        <f t="shared" ca="1" si="211"/>
        <v>16.814249234313635</v>
      </c>
      <c r="T339" s="7">
        <f t="shared" ca="1" si="211"/>
        <v>17.554512749005134</v>
      </c>
      <c r="U339" s="7">
        <f t="shared" ca="1" si="211"/>
        <v>18.322284379813688</v>
      </c>
      <c r="V339" s="7">
        <f t="shared" ca="1" si="211"/>
        <v>19.118999720310793</v>
      </c>
      <c r="W339" s="7">
        <f t="shared" ca="1" si="211"/>
        <v>19.946330691933522</v>
      </c>
      <c r="X339" s="7">
        <f t="shared" ca="1" si="211"/>
        <v>20.80614563962293</v>
      </c>
      <c r="Y339" s="7">
        <f t="shared" ca="1" si="211"/>
        <v>21.699062027703299</v>
      </c>
      <c r="Z339" s="7">
        <f t="shared" ca="1" si="211"/>
        <v>22.627911111765322</v>
      </c>
      <c r="AA339" s="7">
        <f t="shared" ca="1" si="211"/>
        <v>23.59416719520998</v>
      </c>
      <c r="AB339" s="7">
        <f t="shared" ca="1" si="211"/>
        <v>24.600009288687016</v>
      </c>
      <c r="AC339" s="7">
        <f t="shared" ca="1" si="211"/>
        <v>25.648109494841741</v>
      </c>
      <c r="AD339" s="7">
        <f t="shared" ca="1" si="211"/>
        <v>26.739922145952491</v>
      </c>
      <c r="AE339" s="7">
        <f t="shared" ca="1" si="211"/>
        <v>27.875905968156889</v>
      </c>
      <c r="AF339" s="7">
        <f t="shared" ca="1" si="211"/>
        <v>29.058504492874263</v>
      </c>
      <c r="AG339" s="7">
        <f t="shared" ca="1" si="211"/>
        <v>30.289026127870983</v>
      </c>
      <c r="AH339" s="7">
        <f t="shared" ca="1" si="211"/>
        <v>31.569428532353445</v>
      </c>
      <c r="AI339" s="7">
        <f t="shared" ca="1" si="211"/>
        <v>32.899670856255035</v>
      </c>
      <c r="AJ339" s="7">
        <f t="shared" ca="1" si="211"/>
        <v>34.282810970889592</v>
      </c>
      <c r="AK339" s="7">
        <f t="shared" ca="1" si="211"/>
        <v>35.719383687301679</v>
      </c>
      <c r="AL339" s="7">
        <f t="shared" ca="1" si="211"/>
        <v>37.209904065987466</v>
      </c>
      <c r="AM339" s="7">
        <f t="shared" ca="1" si="211"/>
        <v>38.75639040236225</v>
      </c>
      <c r="AN339" s="7">
        <f t="shared" ca="1" si="211"/>
        <v>40.360955915008475</v>
      </c>
      <c r="AO339" s="7">
        <f t="shared" ca="1" si="211"/>
        <v>42.021705338205081</v>
      </c>
      <c r="AP339" s="7">
        <f t="shared" ca="1" si="211"/>
        <v>43.742997310845908</v>
      </c>
      <c r="AQ339" s="7">
        <f t="shared" ca="1" si="211"/>
        <v>45.523676948994954</v>
      </c>
      <c r="AR339" s="7">
        <f t="shared" ca="1" si="211"/>
        <v>47.365739243056467</v>
      </c>
      <c r="AS339" s="7">
        <f t="shared" ca="1" si="211"/>
        <v>49.272291128479367</v>
      </c>
      <c r="AT339" s="7">
        <f t="shared" ca="1" si="211"/>
        <v>51.245216249846365</v>
      </c>
      <c r="AU339" s="7">
        <f t="shared" ca="1" si="211"/>
        <v>53.286941628014645</v>
      </c>
      <c r="AV339" s="7">
        <f t="shared" ca="1" si="211"/>
        <v>55.401664101207935</v>
      </c>
      <c r="AW339" s="7">
        <f t="shared" ca="1" si="211"/>
        <v>57.590206230862663</v>
      </c>
    </row>
    <row r="340" spans="1:49" x14ac:dyDescent="0.2">
      <c r="A340" s="1" t="s">
        <v>599</v>
      </c>
      <c r="B340" s="4" t="str">
        <f t="shared" si="210"/>
        <v>From Fiscal</v>
      </c>
      <c r="D340" s="18">
        <f>Fiscal!D$168-SUM(D$338:D$339)</f>
        <v>1.7089999999999961</v>
      </c>
      <c r="E340" s="19">
        <f>Fiscal!E$168-SUM(E$338:E$339)</f>
        <v>1.6490000000000027</v>
      </c>
      <c r="F340" s="19">
        <f>Fiscal!F$168-SUM(F$338:F$339)</f>
        <v>1.3919999999999995</v>
      </c>
      <c r="G340" s="19">
        <f>Fiscal!G$168-SUM(G$338:G$339)</f>
        <v>1.3870000000000022</v>
      </c>
      <c r="H340" s="19">
        <f>Fiscal!H$168-SUM(H$338:H$339)</f>
        <v>1.4219999999999953</v>
      </c>
      <c r="I340" s="19">
        <f>Fiscal!I$168-SUM(I$338:I$339)</f>
        <v>1.4559999999999995</v>
      </c>
      <c r="J340" s="7">
        <f t="shared" ref="J340:AW340" ca="1" si="212">I$340+J$148+J$162-J$475+J$453-I$453</f>
        <v>1.5372981988265531</v>
      </c>
      <c r="K340" s="7">
        <f t="shared" ca="1" si="212"/>
        <v>1.621993865425565</v>
      </c>
      <c r="L340" s="7">
        <f t="shared" ca="1" si="212"/>
        <v>1.7103606902820083</v>
      </c>
      <c r="M340" s="7">
        <f t="shared" ca="1" si="212"/>
        <v>1.8025455322647632</v>
      </c>
      <c r="N340" s="7">
        <f t="shared" ca="1" si="212"/>
        <v>1.8987060738552413</v>
      </c>
      <c r="O340" s="7">
        <f t="shared" ca="1" si="212"/>
        <v>1.9989713948177514</v>
      </c>
      <c r="P340" s="7">
        <f t="shared" ca="1" si="212"/>
        <v>2.1034768260344441</v>
      </c>
      <c r="Q340" s="7">
        <f t="shared" ca="1" si="212"/>
        <v>2.2123531182898324</v>
      </c>
      <c r="R340" s="7">
        <f t="shared" ca="1" si="212"/>
        <v>2.3257277782388472</v>
      </c>
      <c r="S340" s="7">
        <f t="shared" ca="1" si="212"/>
        <v>2.4437426081655191</v>
      </c>
      <c r="T340" s="7">
        <f t="shared" ca="1" si="212"/>
        <v>2.5665411024667675</v>
      </c>
      <c r="U340" s="7">
        <f t="shared" ca="1" si="212"/>
        <v>2.6942839239848575</v>
      </c>
      <c r="V340" s="7">
        <f t="shared" ca="1" si="212"/>
        <v>2.82714394066203</v>
      </c>
      <c r="W340" s="7">
        <f t="shared" ca="1" si="212"/>
        <v>2.9653088462456485</v>
      </c>
      <c r="X340" s="7">
        <f t="shared" ca="1" si="212"/>
        <v>3.1089831374923271</v>
      </c>
      <c r="Y340" s="7">
        <f t="shared" ca="1" si="212"/>
        <v>3.2583707479170463</v>
      </c>
      <c r="Z340" s="7">
        <f t="shared" ca="1" si="212"/>
        <v>3.4137045298133435</v>
      </c>
      <c r="AA340" s="7">
        <f t="shared" ca="1" si="212"/>
        <v>3.575226956400702</v>
      </c>
      <c r="AB340" s="7">
        <f t="shared" ca="1" si="212"/>
        <v>3.7431990859701409</v>
      </c>
      <c r="AC340" s="7">
        <f t="shared" ca="1" si="212"/>
        <v>3.9179063253166806</v>
      </c>
      <c r="AD340" s="7">
        <f t="shared" ca="1" si="212"/>
        <v>4.0996411801241246</v>
      </c>
      <c r="AE340" s="7">
        <f t="shared" ca="1" si="212"/>
        <v>4.2886897021481634</v>
      </c>
      <c r="AF340" s="7">
        <f t="shared" ca="1" si="212"/>
        <v>4.4853581771332758</v>
      </c>
      <c r="AG340" s="7">
        <f t="shared" ca="1" si="212"/>
        <v>4.6899571515830054</v>
      </c>
      <c r="AH340" s="7">
        <f t="shared" ca="1" si="212"/>
        <v>4.9028098891070542</v>
      </c>
      <c r="AI340" s="7">
        <f t="shared" ca="1" si="212"/>
        <v>5.1242252312587624</v>
      </c>
      <c r="AJ340" s="7">
        <f t="shared" ca="1" si="212"/>
        <v>5.3545394498802654</v>
      </c>
      <c r="AK340" s="7">
        <f t="shared" ca="1" si="212"/>
        <v>5.594081496323799</v>
      </c>
      <c r="AL340" s="7">
        <f t="shared" ca="1" si="212"/>
        <v>5.8431730529270487</v>
      </c>
      <c r="AM340" s="7">
        <f t="shared" ca="1" si="212"/>
        <v>6.1021488479021091</v>
      </c>
      <c r="AN340" s="7">
        <f t="shared" ca="1" si="212"/>
        <v>6.3713573583409406</v>
      </c>
      <c r="AO340" s="7">
        <f t="shared" ca="1" si="212"/>
        <v>6.6511068810005085</v>
      </c>
      <c r="AP340" s="7">
        <f t="shared" ca="1" si="212"/>
        <v>6.9417504749947181</v>
      </c>
      <c r="AQ340" s="7">
        <f t="shared" ca="1" si="212"/>
        <v>7.243610674283973</v>
      </c>
      <c r="AR340" s="7">
        <f t="shared" ca="1" si="212"/>
        <v>7.5570227120324827</v>
      </c>
      <c r="AS340" s="7">
        <f t="shared" ca="1" si="212"/>
        <v>7.8823487715103884</v>
      </c>
      <c r="AT340" s="7">
        <f t="shared" ca="1" si="212"/>
        <v>8.2199605513269258</v>
      </c>
      <c r="AU340" s="7">
        <f t="shared" ca="1" si="212"/>
        <v>8.5702460873566668</v>
      </c>
      <c r="AV340" s="7">
        <f t="shared" ca="1" si="212"/>
        <v>8.9336326014364875</v>
      </c>
      <c r="AW340" s="7">
        <f t="shared" ca="1" si="212"/>
        <v>9.3105399191651692</v>
      </c>
    </row>
    <row r="341" spans="1:49" ht="15" x14ac:dyDescent="0.25">
      <c r="A341" s="2" t="s">
        <v>600</v>
      </c>
      <c r="B341" s="4"/>
      <c r="D341" s="40">
        <f t="shared" ref="D341:I341" si="213">SUM(D$338:D$340)</f>
        <v>12.170999999999999</v>
      </c>
      <c r="E341" s="39">
        <f t="shared" si="213"/>
        <v>12.304</v>
      </c>
      <c r="F341" s="39">
        <f t="shared" si="213"/>
        <v>12.577</v>
      </c>
      <c r="G341" s="39">
        <f t="shared" si="213"/>
        <v>13.042999999999999</v>
      </c>
      <c r="H341" s="39">
        <f t="shared" si="213"/>
        <v>13.666</v>
      </c>
      <c r="I341" s="39">
        <f t="shared" si="213"/>
        <v>14.256</v>
      </c>
      <c r="J341" s="43">
        <f t="shared" ref="J341:AW341" ca="1" si="214">SUM(J$338:J$340)</f>
        <v>15.189857927972234</v>
      </c>
      <c r="K341" s="43">
        <f t="shared" ca="1" si="214"/>
        <v>16.117320122511963</v>
      </c>
      <c r="L341" s="43">
        <f t="shared" ca="1" si="214"/>
        <v>17.077919920034113</v>
      </c>
      <c r="M341" s="43">
        <f t="shared" ca="1" si="214"/>
        <v>18.066211495062451</v>
      </c>
      <c r="N341" s="43">
        <f t="shared" ca="1" si="214"/>
        <v>19.092670789363606</v>
      </c>
      <c r="O341" s="43">
        <f t="shared" ca="1" si="214"/>
        <v>20.150233743428863</v>
      </c>
      <c r="P341" s="43">
        <f t="shared" ca="1" si="214"/>
        <v>21.25036979865942</v>
      </c>
      <c r="Q341" s="43">
        <f t="shared" ca="1" si="214"/>
        <v>22.373565869454222</v>
      </c>
      <c r="R341" s="43">
        <f t="shared" ca="1" si="214"/>
        <v>23.52045197790012</v>
      </c>
      <c r="S341" s="43">
        <f t="shared" ca="1" si="214"/>
        <v>24.700900948205376</v>
      </c>
      <c r="T341" s="43">
        <f t="shared" ca="1" si="214"/>
        <v>25.916333426973559</v>
      </c>
      <c r="U341" s="43">
        <f t="shared" ca="1" si="214"/>
        <v>27.168162472913057</v>
      </c>
      <c r="V341" s="43">
        <f t="shared" ca="1" si="214"/>
        <v>28.457289749275088</v>
      </c>
      <c r="W341" s="43">
        <f t="shared" ca="1" si="214"/>
        <v>29.784943759971121</v>
      </c>
      <c r="X341" s="43">
        <f t="shared" ca="1" si="214"/>
        <v>31.153998254685639</v>
      </c>
      <c r="Y341" s="43">
        <f t="shared" ca="1" si="214"/>
        <v>32.563301728218612</v>
      </c>
      <c r="Z341" s="43">
        <f t="shared" ca="1" si="214"/>
        <v>34.018119178043854</v>
      </c>
      <c r="AA341" s="43">
        <f t="shared" ca="1" si="214"/>
        <v>35.524261915113279</v>
      </c>
      <c r="AB341" s="43">
        <f t="shared" ca="1" si="214"/>
        <v>37.08956503929506</v>
      </c>
      <c r="AC341" s="43">
        <f t="shared" ca="1" si="214"/>
        <v>38.723405962330574</v>
      </c>
      <c r="AD341" s="43">
        <f t="shared" ca="1" si="214"/>
        <v>40.434860672939564</v>
      </c>
      <c r="AE341" s="43">
        <f t="shared" ca="1" si="214"/>
        <v>42.228205344746925</v>
      </c>
      <c r="AF341" s="43">
        <f t="shared" ca="1" si="214"/>
        <v>44.112281404511599</v>
      </c>
      <c r="AG341" s="43">
        <f t="shared" ca="1" si="214"/>
        <v>46.090340598457587</v>
      </c>
      <c r="AH341" s="43">
        <f t="shared" ca="1" si="214"/>
        <v>48.168685620966926</v>
      </c>
      <c r="AI341" s="43">
        <f t="shared" ca="1" si="214"/>
        <v>50.350610155808852</v>
      </c>
      <c r="AJ341" s="43">
        <f t="shared" ca="1" si="214"/>
        <v>52.642713256389214</v>
      </c>
      <c r="AK341" s="43">
        <f t="shared" ca="1" si="214"/>
        <v>55.046843610676859</v>
      </c>
      <c r="AL341" s="43">
        <f t="shared" ca="1" si="214"/>
        <v>57.567173492233238</v>
      </c>
      <c r="AM341" s="43">
        <f t="shared" ca="1" si="214"/>
        <v>60.2088837131354</v>
      </c>
      <c r="AN341" s="43">
        <f t="shared" ca="1" si="214"/>
        <v>62.975315315386183</v>
      </c>
      <c r="AO341" s="43">
        <f t="shared" ca="1" si="214"/>
        <v>65.86387315215373</v>
      </c>
      <c r="AP341" s="43">
        <f t="shared" ca="1" si="214"/>
        <v>68.874674464069031</v>
      </c>
      <c r="AQ341" s="43">
        <f t="shared" ca="1" si="214"/>
        <v>72.002431736991582</v>
      </c>
      <c r="AR341" s="43">
        <f t="shared" ca="1" si="214"/>
        <v>75.24146468294316</v>
      </c>
      <c r="AS341" s="43">
        <f t="shared" ca="1" si="214"/>
        <v>78.587521518710858</v>
      </c>
      <c r="AT341" s="43">
        <f t="shared" ca="1" si="214"/>
        <v>82.045200273817471</v>
      </c>
      <c r="AU341" s="43">
        <f t="shared" ca="1" si="214"/>
        <v>85.616270890384371</v>
      </c>
      <c r="AV341" s="43">
        <f t="shared" ca="1" si="214"/>
        <v>89.307012883976896</v>
      </c>
      <c r="AW341" s="43">
        <f t="shared" ca="1" si="214"/>
        <v>93.116425381692125</v>
      </c>
    </row>
    <row r="342" spans="1:49" ht="15" x14ac:dyDescent="0.25">
      <c r="A342" s="2" t="s">
        <v>601</v>
      </c>
      <c r="B342" s="4" t="str">
        <f t="shared" si="210"/>
        <v>From Fiscal</v>
      </c>
      <c r="D342" s="47">
        <f>Fiscal!D$115</f>
        <v>17.602</v>
      </c>
      <c r="E342" s="44">
        <f>Fiscal!E$115</f>
        <v>16.946000000000002</v>
      </c>
      <c r="F342" s="44">
        <f>Fiscal!F$115</f>
        <v>17.484000000000002</v>
      </c>
      <c r="G342" s="44">
        <f>Fiscal!G$115</f>
        <v>17.652000000000001</v>
      </c>
      <c r="H342" s="44">
        <f>Fiscal!H$115</f>
        <v>18.350000000000001</v>
      </c>
      <c r="I342" s="44">
        <f>Fiscal!I$115</f>
        <v>19.164999999999999</v>
      </c>
      <c r="J342" s="8">
        <f t="shared" ref="J342:AW342" ca="1" si="215">I$342-I$341+J$149-J$148+J$163-J$162-(J$88+J$90-J$475)+J$454-J$453-(I$454-I$453)+J$341</f>
        <v>20.168536657211291</v>
      </c>
      <c r="K342" s="8">
        <f t="shared" ca="1" si="215"/>
        <v>21.168589468835481</v>
      </c>
      <c r="L342" s="8">
        <f t="shared" ca="1" si="215"/>
        <v>22.204926344813998</v>
      </c>
      <c r="M342" s="8">
        <f t="shared" ca="1" si="215"/>
        <v>23.272227328871999</v>
      </c>
      <c r="N342" s="8">
        <f t="shared" ca="1" si="215"/>
        <v>24.38110350863527</v>
      </c>
      <c r="O342" s="8">
        <f t="shared" ca="1" si="215"/>
        <v>25.524601455753935</v>
      </c>
      <c r="P342" s="8">
        <f t="shared" ca="1" si="215"/>
        <v>26.714306600470657</v>
      </c>
      <c r="Q342" s="8">
        <f t="shared" ca="1" si="215"/>
        <v>27.930817920534416</v>
      </c>
      <c r="R342" s="8">
        <f t="shared" ca="1" si="215"/>
        <v>29.174874720916712</v>
      </c>
      <c r="S342" s="8">
        <f t="shared" ca="1" si="215"/>
        <v>30.456471361150044</v>
      </c>
      <c r="T342" s="8">
        <f t="shared" ca="1" si="215"/>
        <v>31.777151473431438</v>
      </c>
      <c r="U342" s="8">
        <f t="shared" ca="1" si="215"/>
        <v>33.138465816724</v>
      </c>
      <c r="V342" s="8">
        <f t="shared" ca="1" si="215"/>
        <v>34.541464215231038</v>
      </c>
      <c r="W342" s="8">
        <f t="shared" ca="1" si="215"/>
        <v>35.987536040656799</v>
      </c>
      <c r="X342" s="8">
        <f t="shared" ca="1" si="215"/>
        <v>37.479730311933295</v>
      </c>
      <c r="Y342" s="8">
        <f t="shared" ca="1" si="215"/>
        <v>39.017070310367174</v>
      </c>
      <c r="Z342" s="8">
        <f t="shared" ca="1" si="215"/>
        <v>40.60502060552794</v>
      </c>
      <c r="AA342" s="8">
        <f t="shared" ca="1" si="215"/>
        <v>42.249600326327212</v>
      </c>
      <c r="AB342" s="8">
        <f t="shared" ca="1" si="215"/>
        <v>43.958868319410314</v>
      </c>
      <c r="AC342" s="8">
        <f t="shared" ca="1" si="215"/>
        <v>45.742446611812461</v>
      </c>
      <c r="AD342" s="8">
        <f t="shared" ca="1" si="215"/>
        <v>47.609661891833888</v>
      </c>
      <c r="AE342" s="8">
        <f t="shared" ca="1" si="215"/>
        <v>49.565035501173583</v>
      </c>
      <c r="AF342" s="8">
        <f t="shared" ca="1" si="215"/>
        <v>51.617671376729298</v>
      </c>
      <c r="AG342" s="8">
        <f t="shared" ca="1" si="215"/>
        <v>53.771087426657878</v>
      </c>
      <c r="AH342" s="8">
        <f t="shared" ca="1" si="215"/>
        <v>56.0318634067998</v>
      </c>
      <c r="AI342" s="8">
        <f t="shared" ca="1" si="215"/>
        <v>58.403557701585335</v>
      </c>
      <c r="AJ342" s="8">
        <f t="shared" ca="1" si="215"/>
        <v>60.893057574921677</v>
      </c>
      <c r="AK342" s="8">
        <f t="shared" ca="1" si="215"/>
        <v>63.502493651063261</v>
      </c>
      <c r="AL342" s="8">
        <f t="shared" ca="1" si="215"/>
        <v>66.236313909759787</v>
      </c>
      <c r="AM342" s="8">
        <f t="shared" ca="1" si="215"/>
        <v>69.099986050581435</v>
      </c>
      <c r="AN342" s="8">
        <f t="shared" ca="1" si="215"/>
        <v>72.097149786858154</v>
      </c>
      <c r="AO342" s="8">
        <f t="shared" ca="1" si="215"/>
        <v>75.225474205487359</v>
      </c>
      <c r="AP342" s="8">
        <f t="shared" ca="1" si="215"/>
        <v>78.485379145567862</v>
      </c>
      <c r="AQ342" s="8">
        <f t="shared" ca="1" si="215"/>
        <v>81.871853529052686</v>
      </c>
      <c r="AR342" s="8">
        <f t="shared" ca="1" si="215"/>
        <v>85.379504388239098</v>
      </c>
      <c r="AS342" s="8">
        <f t="shared" ca="1" si="215"/>
        <v>89.004390358476741</v>
      </c>
      <c r="AT342" s="8">
        <f t="shared" ca="1" si="215"/>
        <v>92.751428043218922</v>
      </c>
      <c r="AU342" s="8">
        <f t="shared" ca="1" si="215"/>
        <v>96.622719960794555</v>
      </c>
      <c r="AV342" s="8">
        <f t="shared" ca="1" si="215"/>
        <v>100.62491178832144</v>
      </c>
      <c r="AW342" s="8">
        <f t="shared" ca="1" si="215"/>
        <v>104.75736247531151</v>
      </c>
    </row>
    <row r="343" spans="1:49" ht="15" x14ac:dyDescent="0.25">
      <c r="A343" s="2"/>
      <c r="B343" s="4"/>
      <c r="D343" s="47"/>
      <c r="E343" s="44"/>
      <c r="F343" s="44"/>
      <c r="G343" s="44"/>
      <c r="H343" s="44"/>
      <c r="I343" s="44"/>
      <c r="J343" s="8"/>
      <c r="K343" s="8"/>
      <c r="L343" s="8"/>
      <c r="M343" s="8"/>
      <c r="N343" s="8"/>
      <c r="O343" s="8"/>
      <c r="P343" s="8"/>
      <c r="Q343" s="8"/>
      <c r="R343" s="8"/>
      <c r="S343" s="8"/>
    </row>
    <row r="344" spans="1:49" ht="15" x14ac:dyDescent="0.25">
      <c r="A344" s="22" t="s">
        <v>234</v>
      </c>
      <c r="B344" s="4"/>
      <c r="D344" s="47"/>
      <c r="E344" s="44"/>
      <c r="F344" s="44"/>
      <c r="G344" s="44"/>
      <c r="H344" s="44"/>
      <c r="I344" s="8"/>
      <c r="J344" s="8"/>
      <c r="K344" s="8"/>
      <c r="L344" s="8"/>
      <c r="M344" s="8"/>
      <c r="N344" s="8"/>
      <c r="O344" s="8"/>
      <c r="P344" s="8"/>
      <c r="Q344" s="8"/>
      <c r="R344" s="8"/>
      <c r="S344" s="8"/>
    </row>
    <row r="345" spans="1:49" x14ac:dyDescent="0.2">
      <c r="A345" s="1" t="s">
        <v>606</v>
      </c>
      <c r="B345" s="4"/>
      <c r="D345" s="18">
        <f t="shared" ref="D345:AW345" ca="1" si="216">D$372-SUM(D$332,D$338,D$354,D$377)</f>
        <v>12.06128</v>
      </c>
      <c r="E345" s="19">
        <f t="shared" ca="1" si="216"/>
        <v>10.50028</v>
      </c>
      <c r="F345" s="19">
        <f t="shared" ca="1" si="216"/>
        <v>10.991280000000003</v>
      </c>
      <c r="G345" s="19">
        <f t="shared" ca="1" si="216"/>
        <v>11.378280000000004</v>
      </c>
      <c r="H345" s="19">
        <f t="shared" ca="1" si="216"/>
        <v>11.802279999999996</v>
      </c>
      <c r="I345" s="19">
        <f t="shared" ca="1" si="216"/>
        <v>12.262279999999997</v>
      </c>
      <c r="J345" s="7">
        <f t="shared" ca="1" si="216"/>
        <v>14.079320707657285</v>
      </c>
      <c r="K345" s="7">
        <f t="shared" ca="1" si="216"/>
        <v>15.820130963071115</v>
      </c>
      <c r="L345" s="7">
        <f t="shared" ca="1" si="216"/>
        <v>17.630063908405361</v>
      </c>
      <c r="M345" s="7">
        <f t="shared" ca="1" si="216"/>
        <v>19.502202762456335</v>
      </c>
      <c r="N345" s="7">
        <f t="shared" ca="1" si="216"/>
        <v>21.432344672849212</v>
      </c>
      <c r="O345" s="7">
        <f t="shared" ca="1" si="216"/>
        <v>23.385220478914235</v>
      </c>
      <c r="P345" s="7">
        <f t="shared" ca="1" si="216"/>
        <v>25.348319607239894</v>
      </c>
      <c r="Q345" s="7">
        <f t="shared" ca="1" si="216"/>
        <v>27.318529834585433</v>
      </c>
      <c r="R345" s="7">
        <f t="shared" ca="1" si="216"/>
        <v>29.297624282898965</v>
      </c>
      <c r="S345" s="7">
        <f t="shared" ca="1" si="216"/>
        <v>31.298296435383136</v>
      </c>
      <c r="T345" s="7">
        <f t="shared" ca="1" si="216"/>
        <v>33.32452821766735</v>
      </c>
      <c r="U345" s="7">
        <f t="shared" ca="1" si="216"/>
        <v>35.373439849025615</v>
      </c>
      <c r="V345" s="7">
        <f t="shared" ca="1" si="216"/>
        <v>37.440967035693134</v>
      </c>
      <c r="W345" s="7">
        <f t="shared" ca="1" si="216"/>
        <v>39.523480705914153</v>
      </c>
      <c r="X345" s="7">
        <f t="shared" ca="1" si="216"/>
        <v>41.625586311497912</v>
      </c>
      <c r="Y345" s="7">
        <f t="shared" ca="1" si="216"/>
        <v>43.735939091221624</v>
      </c>
      <c r="Z345" s="7">
        <f t="shared" ca="1" si="216"/>
        <v>45.867194794696005</v>
      </c>
      <c r="AA345" s="7">
        <f t="shared" ca="1" si="216"/>
        <v>48.042898174696035</v>
      </c>
      <c r="AB345" s="7">
        <f t="shared" ca="1" si="216"/>
        <v>50.294072214329475</v>
      </c>
      <c r="AC345" s="7">
        <f t="shared" ca="1" si="216"/>
        <v>52.657633202551594</v>
      </c>
      <c r="AD345" s="7">
        <f t="shared" ca="1" si="216"/>
        <v>55.175725869060258</v>
      </c>
      <c r="AE345" s="7">
        <f t="shared" ca="1" si="216"/>
        <v>57.868656757340005</v>
      </c>
      <c r="AF345" s="7">
        <f t="shared" ca="1" si="216"/>
        <v>60.771454378647206</v>
      </c>
      <c r="AG345" s="7">
        <f t="shared" ca="1" si="216"/>
        <v>63.893507757417837</v>
      </c>
      <c r="AH345" s="7">
        <f t="shared" ca="1" si="216"/>
        <v>67.257943239549064</v>
      </c>
      <c r="AI345" s="7">
        <f t="shared" ca="1" si="216"/>
        <v>70.882159427909471</v>
      </c>
      <c r="AJ345" s="7">
        <f t="shared" ca="1" si="216"/>
        <v>74.784585480344788</v>
      </c>
      <c r="AK345" s="7">
        <f t="shared" ca="1" si="216"/>
        <v>78.970885002827799</v>
      </c>
      <c r="AL345" s="7">
        <f t="shared" ca="1" si="216"/>
        <v>83.460238258606353</v>
      </c>
      <c r="AM345" s="7">
        <f t="shared" ca="1" si="216"/>
        <v>88.26890584645858</v>
      </c>
      <c r="AN345" s="7">
        <f t="shared" ca="1" si="216"/>
        <v>93.401944261270131</v>
      </c>
      <c r="AO345" s="7">
        <f t="shared" ca="1" si="216"/>
        <v>98.853556189664829</v>
      </c>
      <c r="AP345" s="7">
        <f t="shared" ca="1" si="216"/>
        <v>104.59732217723959</v>
      </c>
      <c r="AQ345" s="7">
        <f t="shared" ca="1" si="216"/>
        <v>110.60762374571536</v>
      </c>
      <c r="AR345" s="7">
        <f t="shared" ca="1" si="216"/>
        <v>116.83839814443468</v>
      </c>
      <c r="AS345" s="7">
        <f t="shared" ca="1" si="216"/>
        <v>123.24524796151337</v>
      </c>
      <c r="AT345" s="7">
        <f t="shared" ca="1" si="216"/>
        <v>129.84164431870175</v>
      </c>
      <c r="AU345" s="7">
        <f t="shared" ca="1" si="216"/>
        <v>136.62157750570498</v>
      </c>
      <c r="AV345" s="7">
        <f t="shared" ca="1" si="216"/>
        <v>143.594566868909</v>
      </c>
      <c r="AW345" s="7">
        <f t="shared" ca="1" si="216"/>
        <v>150.74771301698416</v>
      </c>
    </row>
    <row r="346" spans="1:49" x14ac:dyDescent="0.2">
      <c r="A346" s="1" t="s">
        <v>607</v>
      </c>
      <c r="B346" s="4" t="str">
        <f t="shared" ref="B346:B350" si="217">$B$43</f>
        <v>From Fiscal</v>
      </c>
      <c r="D346" s="18">
        <f ca="1">Fiscal!D$169-D$345</f>
        <v>25.028720000000003</v>
      </c>
      <c r="E346" s="19">
        <f ca="1">Fiscal!E$169-E$345</f>
        <v>22.723719999999997</v>
      </c>
      <c r="F346" s="19">
        <f ca="1">Fiscal!F$169-F$345</f>
        <v>25.753719999999994</v>
      </c>
      <c r="G346" s="19">
        <f ca="1">Fiscal!G$169-G$345</f>
        <v>19.202719999999996</v>
      </c>
      <c r="H346" s="19">
        <f ca="1">Fiscal!H$169-H$345</f>
        <v>16.276720000000005</v>
      </c>
      <c r="I346" s="19">
        <f ca="1">Fiscal!I$169-I$345</f>
        <v>19.413720000000001</v>
      </c>
      <c r="J346" s="7">
        <f ca="1">(I$346/I$14+ IF(J$2&gt;0,J$2*IF(J$6=OFFSET(Assumptions!$B$8,0,$C$1),SUMPRODUCT(OFFSET(I$346,0,0,1,-OFFSET(Assumptions!$B$67,0,$C$1)),OFFSET(I$16,0,0,1,-OFFSET(Assumptions!$B$67,0,$C$1)))/OFFSET(Assumptions!$B$67,0,$C$1)-I$346/I$14,(I$346/I$14-H$346/H$14)/I$2),0))*J$14</f>
        <v>20.128875832649694</v>
      </c>
      <c r="K346" s="7">
        <f ca="1">(J$346/J$14+ IF(K$2&gt;0,K$2*IF(K$6=OFFSET(Assumptions!$B$8,0,$C$1),SUMPRODUCT(OFFSET(J$346,0,0,1,-OFFSET(Assumptions!$B$67,0,$C$1)),OFFSET(J$16,0,0,1,-OFFSET(Assumptions!$B$67,0,$C$1)))/OFFSET(Assumptions!$B$67,0,$C$1)-J$346/J$14,(J$346/J$14-I$346/I$14)/J$2),0))*K$14</f>
        <v>20.884319637397155</v>
      </c>
      <c r="L346" s="7">
        <f ca="1">(K$346/K$14+ IF(L$2&gt;0,L$2*IF(L$6=OFFSET(Assumptions!$B$8,0,$C$1),SUMPRODUCT(OFFSET(K$346,0,0,1,-OFFSET(Assumptions!$B$67,0,$C$1)),OFFSET(K$16,0,0,1,-OFFSET(Assumptions!$B$67,0,$C$1)))/OFFSET(Assumptions!$B$67,0,$C$1)-K$346/K$14,(K$346/K$14-J$346/J$14)/K$2),0))*L$14</f>
        <v>21.722459608435159</v>
      </c>
      <c r="M346" s="7">
        <f ca="1">(L$346/L$14+ IF(M$2&gt;0,M$2*IF(M$6=OFFSET(Assumptions!$B$8,0,$C$1),SUMPRODUCT(OFFSET(L$346,0,0,1,-OFFSET(Assumptions!$B$67,0,$C$1)),OFFSET(L$16,0,0,1,-OFFSET(Assumptions!$B$67,0,$C$1)))/OFFSET(Assumptions!$B$67,0,$C$1)-L$346/L$14,(L$346/L$14-K$346/K$14)/L$2),0))*M$14</f>
        <v>22.614346088974663</v>
      </c>
      <c r="N346" s="7">
        <f ca="1">(M$346/M$14+ IF(N$2&gt;0,N$2*IF(N$6=OFFSET(Assumptions!$B$8,0,$C$1),SUMPRODUCT(OFFSET(M$346,0,0,1,-OFFSET(Assumptions!$B$67,0,$C$1)),OFFSET(M$16,0,0,1,-OFFSET(Assumptions!$B$67,0,$C$1)))/OFFSET(Assumptions!$B$67,0,$C$1)-M$346/M$14,(M$346/M$14-L$346/L$14)/M$2),0))*N$14</f>
        <v>23.56530753699278</v>
      </c>
      <c r="O346" s="7">
        <f ca="1">(N$346/N$14+ IF(O$2&gt;0,O$2*IF(O$6=OFFSET(Assumptions!$B$8,0,$C$1),SUMPRODUCT(OFFSET(N$346,0,0,1,-OFFSET(Assumptions!$B$67,0,$C$1)),OFFSET(N$16,0,0,1,-OFFSET(Assumptions!$B$67,0,$C$1)))/OFFSET(Assumptions!$B$67,0,$C$1)-N$346/N$14,(N$346/N$14-M$346/M$14)/N$2),0))*O$14</f>
        <v>24.571233529853771</v>
      </c>
      <c r="P346" s="7">
        <f ca="1">(O$346/O$14+ IF(P$2&gt;0,P$2*IF(P$6=OFFSET(Assumptions!$B$8,0,$C$1),SUMPRODUCT(OFFSET(O$346,0,0,1,-OFFSET(Assumptions!$B$67,0,$C$1)),OFFSET(O$16,0,0,1,-OFFSET(Assumptions!$B$67,0,$C$1)))/OFFSET(Assumptions!$B$67,0,$C$1)-O$346/O$14,(O$346/O$14-N$346/N$14)/O$2),0))*P$14</f>
        <v>25.610323997502253</v>
      </c>
      <c r="Q346" s="7">
        <f ca="1">(P$346/P$14+ IF(Q$2&gt;0,Q$2*IF(Q$6=OFFSET(Assumptions!$B$8,0,$C$1),SUMPRODUCT(OFFSET(P$346,0,0,1,-OFFSET(Assumptions!$B$67,0,$C$1)),OFFSET(P$16,0,0,1,-OFFSET(Assumptions!$B$67,0,$C$1)))/OFFSET(Assumptions!$B$67,0,$C$1)-P$346/P$14,(P$346/P$14-O$346/O$14)/P$2),0))*Q$14</f>
        <v>26.681456531436659</v>
      </c>
      <c r="R346" s="7">
        <f ca="1">(Q$346/Q$14+ IF(R$2&gt;0,R$2*IF(R$6=OFFSET(Assumptions!$B$8,0,$C$1),SUMPRODUCT(OFFSET(Q$346,0,0,1,-OFFSET(Assumptions!$B$67,0,$C$1)),OFFSET(Q$16,0,0,1,-OFFSET(Assumptions!$B$67,0,$C$1)))/OFFSET(Assumptions!$B$67,0,$C$1)-Q$346/Q$14,(Q$346/Q$14-P$346/P$14)/Q$2),0))*R$14</f>
        <v>27.783836118338513</v>
      </c>
      <c r="S346" s="7">
        <f ca="1">(R$346/R$14+ IF(S$2&gt;0,S$2*IF(S$6=OFFSET(Assumptions!$B$8,0,$C$1),SUMPRODUCT(OFFSET(R$346,0,0,1,-OFFSET(Assumptions!$B$67,0,$C$1)),OFFSET(R$16,0,0,1,-OFFSET(Assumptions!$B$67,0,$C$1)))/OFFSET(Assumptions!$B$67,0,$C$1)-R$346/R$14,(R$346/R$14-Q$346/Q$14)/R$2),0))*S$14</f>
        <v>28.920966075583106</v>
      </c>
      <c r="T346" s="7">
        <f ca="1">(S$346/S$14+ IF(T$2&gt;0,T$2*IF(T$6=OFFSET(Assumptions!$B$8,0,$C$1),SUMPRODUCT(OFFSET(S$346,0,0,1,-OFFSET(Assumptions!$B$67,0,$C$1)),OFFSET(S$16,0,0,1,-OFFSET(Assumptions!$B$67,0,$C$1)))/OFFSET(Assumptions!$B$67,0,$C$1)-S$346/S$14,(S$346/S$14-R$346/R$14)/S$2),0))*T$14</f>
        <v>30.093261075966335</v>
      </c>
      <c r="U346" s="7">
        <f ca="1">(T$346/T$14+ IF(U$2&gt;0,U$2*IF(U$6=OFFSET(Assumptions!$B$8,0,$C$1),SUMPRODUCT(OFFSET(T$346,0,0,1,-OFFSET(Assumptions!$B$67,0,$C$1)),OFFSET(T$16,0,0,1,-OFFSET(Assumptions!$B$67,0,$C$1)))/OFFSET(Assumptions!$B$67,0,$C$1)-T$346/T$14,(T$346/T$14-S$346/S$14)/T$2),0))*U$14</f>
        <v>31.304928455343269</v>
      </c>
      <c r="V346" s="7">
        <f ca="1">(U$346/U$14+ IF(V$2&gt;0,V$2*IF(V$6=OFFSET(Assumptions!$B$8,0,$C$1),SUMPRODUCT(OFFSET(U$346,0,0,1,-OFFSET(Assumptions!$B$67,0,$C$1)),OFFSET(U$16,0,0,1,-OFFSET(Assumptions!$B$67,0,$C$1)))/OFFSET(Assumptions!$B$67,0,$C$1)-U$346/U$14,(U$346/U$14-T$346/T$14)/U$2),0))*V$14</f>
        <v>32.558959221560656</v>
      </c>
      <c r="W346" s="7">
        <f ca="1">(V$346/V$14+ IF(W$2&gt;0,W$2*IF(W$6=OFFSET(Assumptions!$B$8,0,$C$1),SUMPRODUCT(OFFSET(V$346,0,0,1,-OFFSET(Assumptions!$B$67,0,$C$1)),OFFSET(V$16,0,0,1,-OFFSET(Assumptions!$B$67,0,$C$1)))/OFFSET(Assumptions!$B$67,0,$C$1)-V$346/V$14,(V$346/V$14-U$346/U$14)/V$2),0))*W$14</f>
        <v>33.858986618061643</v>
      </c>
      <c r="X346" s="7">
        <f ca="1">(W$346/W$14+ IF(X$2&gt;0,X$2*IF(X$6=OFFSET(Assumptions!$B$8,0,$C$1),SUMPRODUCT(OFFSET(W$346,0,0,1,-OFFSET(Assumptions!$B$67,0,$C$1)),OFFSET(W$16,0,0,1,-OFFSET(Assumptions!$B$67,0,$C$1)))/OFFSET(Assumptions!$B$67,0,$C$1)-W$346/W$14,(W$346/W$14-V$346/V$14)/W$2),0))*X$14</f>
        <v>35.209128426152091</v>
      </c>
      <c r="Y346" s="7">
        <f ca="1">(X$346/X$14+ IF(Y$2&gt;0,Y$2*IF(Y$6=OFFSET(Assumptions!$B$8,0,$C$1),SUMPRODUCT(OFFSET(X$346,0,0,1,-OFFSET(Assumptions!$B$67,0,$C$1)),OFFSET(X$16,0,0,1,-OFFSET(Assumptions!$B$67,0,$C$1)))/OFFSET(Assumptions!$B$67,0,$C$1)-X$346/X$14,(X$346/X$14-W$346/W$14)/X$2),0))*Y$14</f>
        <v>36.609246616634934</v>
      </c>
      <c r="Z346" s="7">
        <f ca="1">(Y$346/Y$14+ IF(Z$2&gt;0,Z$2*IF(Z$6=OFFSET(Assumptions!$B$8,0,$C$1),SUMPRODUCT(OFFSET(Y$346,0,0,1,-OFFSET(Assumptions!$B$67,0,$C$1)),OFFSET(Y$16,0,0,1,-OFFSET(Assumptions!$B$67,0,$C$1)))/OFFSET(Assumptions!$B$67,0,$C$1)-Y$346/Y$14,(Y$346/Y$14-X$346/X$14)/Y$2),0))*Z$14</f>
        <v>38.066428087098842</v>
      </c>
      <c r="AA346" s="7">
        <f ca="1">(Z$346/Z$14+ IF(AA$2&gt;0,AA$2*IF(AA$6=OFFSET(Assumptions!$B$8,0,$C$1),SUMPRODUCT(OFFSET(Z$346,0,0,1,-OFFSET(Assumptions!$B$67,0,$C$1)),OFFSET(Z$16,0,0,1,-OFFSET(Assumptions!$B$67,0,$C$1)))/OFFSET(Assumptions!$B$67,0,$C$1)-Z$346/Z$14,(Z$346/Z$14-Y$346/Y$14)/Z$2),0))*AA$14</f>
        <v>39.583030562188121</v>
      </c>
      <c r="AB346" s="7">
        <f ca="1">(AA$346/AA$14+ IF(AB$2&gt;0,AB$2*IF(AB$6=OFFSET(Assumptions!$B$8,0,$C$1),SUMPRODUCT(OFFSET(AA$346,0,0,1,-OFFSET(Assumptions!$B$67,0,$C$1)),OFFSET(AA$16,0,0,1,-OFFSET(Assumptions!$B$67,0,$C$1)))/OFFSET(Assumptions!$B$67,0,$C$1)-AA$346/AA$14,(AA$346/AA$14-Z$346/Z$14)/AA$2),0))*AB$14</f>
        <v>41.1636085391956</v>
      </c>
      <c r="AC346" s="7">
        <f ca="1">(AB$346/AB$14+ IF(AC$2&gt;0,AC$2*IF(AC$6=OFFSET(Assumptions!$B$8,0,$C$1),SUMPRODUCT(OFFSET(AB$346,0,0,1,-OFFSET(Assumptions!$B$67,0,$C$1)),OFFSET(AB$16,0,0,1,-OFFSET(Assumptions!$B$67,0,$C$1)))/OFFSET(Assumptions!$B$67,0,$C$1)-AB$346/AB$14,(AB$346/AB$14-AA$346/AA$14)/AB$2),0))*AC$14</f>
        <v>42.814128914472697</v>
      </c>
      <c r="AD346" s="7">
        <f ca="1">(AC$346/AC$14+ IF(AD$2&gt;0,AD$2*IF(AD$6=OFFSET(Assumptions!$B$8,0,$C$1),SUMPRODUCT(OFFSET(AC$346,0,0,1,-OFFSET(Assumptions!$B$67,0,$C$1)),OFFSET(AC$16,0,0,1,-OFFSET(Assumptions!$B$67,0,$C$1)))/OFFSET(Assumptions!$B$67,0,$C$1)-AC$346/AC$14,(AC$346/AC$14-AB$346/AB$14)/AC$2),0))*AD$14</f>
        <v>44.536331356855285</v>
      </c>
      <c r="AE346" s="7">
        <f ca="1">(AD$346/AD$14+ IF(AE$2&gt;0,AE$2*IF(AE$6=OFFSET(Assumptions!$B$8,0,$C$1),SUMPRODUCT(OFFSET(AD$346,0,0,1,-OFFSET(Assumptions!$B$67,0,$C$1)),OFFSET(AD$16,0,0,1,-OFFSET(Assumptions!$B$67,0,$C$1)))/OFFSET(Assumptions!$B$67,0,$C$1)-AD$346/AD$14,(AD$346/AD$14-AC$346/AC$14)/AD$2),0))*AE$14</f>
        <v>46.328634252946166</v>
      </c>
      <c r="AF346" s="7">
        <f ca="1">(AE$346/AE$14+ IF(AF$2&gt;0,AF$2*IF(AF$6=OFFSET(Assumptions!$B$8,0,$C$1),SUMPRODUCT(OFFSET(AE$346,0,0,1,-OFFSET(Assumptions!$B$67,0,$C$1)),OFFSET(AE$16,0,0,1,-OFFSET(Assumptions!$B$67,0,$C$1)))/OFFSET(Assumptions!$B$67,0,$C$1)-AE$346/AE$14,(AE$346/AE$14-AD$346/AD$14)/AE$2),0))*AF$14</f>
        <v>48.195996187218974</v>
      </c>
      <c r="AG346" s="7">
        <f ca="1">(AF$346/AF$14+ IF(AG$2&gt;0,AG$2*IF(AG$6=OFFSET(Assumptions!$B$8,0,$C$1),SUMPRODUCT(OFFSET(AF$346,0,0,1,-OFFSET(Assumptions!$B$67,0,$C$1)),OFFSET(AF$16,0,0,1,-OFFSET(Assumptions!$B$67,0,$C$1)))/OFFSET(Assumptions!$B$67,0,$C$1)-AF$346/AF$14,(AF$346/AF$14-AE$346/AE$14)/AF$2),0))*AG$14</f>
        <v>50.139461310382842</v>
      </c>
      <c r="AH346" s="7">
        <f ca="1">(AG$346/AG$14+ IF(AH$2&gt;0,AH$2*IF(AH$6=OFFSET(Assumptions!$B$8,0,$C$1),SUMPRODUCT(OFFSET(AG$346,0,0,1,-OFFSET(Assumptions!$B$67,0,$C$1)),OFFSET(AG$16,0,0,1,-OFFSET(Assumptions!$B$67,0,$C$1)))/OFFSET(Assumptions!$B$67,0,$C$1)-AG$346/AG$14,(AG$346/AG$14-AF$346/AF$14)/AG$2),0))*AH$14</f>
        <v>52.162146103612628</v>
      </c>
      <c r="AI346" s="7">
        <f ca="1">(AH$346/AH$14+ IF(AI$2&gt;0,AI$2*IF(AI$6=OFFSET(Assumptions!$B$8,0,$C$1),SUMPRODUCT(OFFSET(AH$346,0,0,1,-OFFSET(Assumptions!$B$67,0,$C$1)),OFFSET(AH$16,0,0,1,-OFFSET(Assumptions!$B$67,0,$C$1)))/OFFSET(Assumptions!$B$67,0,$C$1)-AH$346/AH$14,(AH$346/AH$14-AG$346/AG$14)/AH$2),0))*AI$14</f>
        <v>54.260516266997968</v>
      </c>
      <c r="AJ346" s="7">
        <f ca="1">(AI$346/AI$14+ IF(AJ$2&gt;0,AJ$2*IF(AJ$6=OFFSET(Assumptions!$B$8,0,$C$1),SUMPRODUCT(OFFSET(AI$346,0,0,1,-OFFSET(Assumptions!$B$67,0,$C$1)),OFFSET(AI$16,0,0,1,-OFFSET(Assumptions!$B$67,0,$C$1)))/OFFSET(Assumptions!$B$67,0,$C$1)-AI$346/AI$14,(AI$346/AI$14-AH$346/AH$14)/AI$2),0))*AJ$14</f>
        <v>56.441293925650477</v>
      </c>
      <c r="AK346" s="7">
        <f ca="1">(AJ$346/AJ$14+ IF(AK$2&gt;0,AK$2*IF(AK$6=OFFSET(Assumptions!$B$8,0,$C$1),SUMPRODUCT(OFFSET(AJ$346,0,0,1,-OFFSET(Assumptions!$B$67,0,$C$1)),OFFSET(AJ$16,0,0,1,-OFFSET(Assumptions!$B$67,0,$C$1)))/OFFSET(Assumptions!$B$67,0,$C$1)-AJ$346/AJ$14,(AJ$346/AJ$14-AI$346/AI$14)/AJ$2),0))*AK$14</f>
        <v>58.702685104692407</v>
      </c>
      <c r="AL346" s="7">
        <f ca="1">(AK$346/AK$14+ IF(AL$2&gt;0,AL$2*IF(AL$6=OFFSET(Assumptions!$B$8,0,$C$1),SUMPRODUCT(OFFSET(AK$346,0,0,1,-OFFSET(Assumptions!$B$67,0,$C$1)),OFFSET(AK$16,0,0,1,-OFFSET(Assumptions!$B$67,0,$C$1)))/OFFSET(Assumptions!$B$67,0,$C$1)-AK$346/AK$14,(AK$346/AK$14-AJ$346/AJ$14)/AK$2),0))*AL$14</f>
        <v>61.042908443904366</v>
      </c>
      <c r="AM346" s="7">
        <f ca="1">(AL$346/AL$14+ IF(AM$2&gt;0,AM$2*IF(AM$6=OFFSET(Assumptions!$B$8,0,$C$1),SUMPRODUCT(OFFSET(AL$346,0,0,1,-OFFSET(Assumptions!$B$67,0,$C$1)),OFFSET(AL$16,0,0,1,-OFFSET(Assumptions!$B$67,0,$C$1)))/OFFSET(Assumptions!$B$67,0,$C$1)-AL$346/AL$14,(AL$346/AL$14-AK$346/AK$14)/AL$2),0))*AM$14</f>
        <v>63.465160993112271</v>
      </c>
      <c r="AN346" s="7">
        <f ca="1">(AM$346/AM$14+ IF(AN$2&gt;0,AN$2*IF(AN$6=OFFSET(Assumptions!$B$8,0,$C$1),SUMPRODUCT(OFFSET(AM$346,0,0,1,-OFFSET(Assumptions!$B$67,0,$C$1)),OFFSET(AM$16,0,0,1,-OFFSET(Assumptions!$B$67,0,$C$1)))/OFFSET(Assumptions!$B$67,0,$C$1)-AM$346/AM$14,(AM$346/AM$14-AL$346/AL$14)/AM$2),0))*AN$14</f>
        <v>65.972812082154761</v>
      </c>
      <c r="AO346" s="7">
        <f ca="1">(AN$346/AN$14+ IF(AO$2&gt;0,AO$2*IF(AO$6=OFFSET(Assumptions!$B$8,0,$C$1),SUMPRODUCT(OFFSET(AN$346,0,0,1,-OFFSET(Assumptions!$B$67,0,$C$1)),OFFSET(AN$16,0,0,1,-OFFSET(Assumptions!$B$67,0,$C$1)))/OFFSET(Assumptions!$B$67,0,$C$1)-AN$346/AN$14,(AN$346/AN$14-AM$346/AM$14)/AN$2),0))*AO$14</f>
        <v>68.556015032391088</v>
      </c>
      <c r="AP346" s="7">
        <f ca="1">(AO$346/AO$14+ IF(AP$2&gt;0,AP$2*IF(AP$6=OFFSET(Assumptions!$B$8,0,$C$1),SUMPRODUCT(OFFSET(AO$346,0,0,1,-OFFSET(Assumptions!$B$67,0,$C$1)),OFFSET(AO$16,0,0,1,-OFFSET(Assumptions!$B$67,0,$C$1)))/OFFSET(Assumptions!$B$67,0,$C$1)-AO$346/AO$14,(AO$346/AO$14-AN$346/AN$14)/AO$2),0))*AP$14</f>
        <v>71.225739402539162</v>
      </c>
      <c r="AQ346" s="7">
        <f ca="1">(AP$346/AP$14+ IF(AQ$2&gt;0,AQ$2*IF(AQ$6=OFFSET(Assumptions!$B$8,0,$C$1),SUMPRODUCT(OFFSET(AP$346,0,0,1,-OFFSET(Assumptions!$B$67,0,$C$1)),OFFSET(AP$16,0,0,1,-OFFSET(Assumptions!$B$67,0,$C$1)))/OFFSET(Assumptions!$B$67,0,$C$1)-AP$346/AP$14,(AP$346/AP$14-AO$346/AO$14)/AP$2),0))*AQ$14</f>
        <v>73.974504633338782</v>
      </c>
      <c r="AR346" s="7">
        <f ca="1">(AQ$346/AQ$14+ IF(AR$2&gt;0,AR$2*IF(AR$6=OFFSET(Assumptions!$B$8,0,$C$1),SUMPRODUCT(OFFSET(AQ$346,0,0,1,-OFFSET(Assumptions!$B$67,0,$C$1)),OFFSET(AQ$16,0,0,1,-OFFSET(Assumptions!$B$67,0,$C$1)))/OFFSET(Assumptions!$B$67,0,$C$1)-AQ$346/AQ$14,(AQ$346/AQ$14-AP$346/AP$14)/AQ$2),0))*AR$14</f>
        <v>76.805422818776677</v>
      </c>
      <c r="AS346" s="7">
        <f ca="1">(AR$346/AR$14+ IF(AS$2&gt;0,AS$2*IF(AS$6=OFFSET(Assumptions!$B$8,0,$C$1),SUMPRODUCT(OFFSET(AR$346,0,0,1,-OFFSET(Assumptions!$B$67,0,$C$1)),OFFSET(AR$16,0,0,1,-OFFSET(Assumptions!$B$67,0,$C$1)))/OFFSET(Assumptions!$B$67,0,$C$1)-AR$346/AR$14,(AR$346/AR$14-AQ$346/AQ$14)/AR$2),0))*AS$14</f>
        <v>79.725098409324801</v>
      </c>
      <c r="AT346" s="7">
        <f ca="1">(AS$346/AS$14+ IF(AT$2&gt;0,AT$2*IF(AT$6=OFFSET(Assumptions!$B$8,0,$C$1),SUMPRODUCT(OFFSET(AS$346,0,0,1,-OFFSET(Assumptions!$B$67,0,$C$1)),OFFSET(AS$16,0,0,1,-OFFSET(Assumptions!$B$67,0,$C$1)))/OFFSET(Assumptions!$B$67,0,$C$1)-AS$346/AS$14,(AS$346/AS$14-AR$346/AR$14)/AS$2),0))*AT$14</f>
        <v>82.735863254289796</v>
      </c>
      <c r="AU346" s="7">
        <f ca="1">(AT$346/AT$14+ IF(AU$2&gt;0,AU$2*IF(AU$6=OFFSET(Assumptions!$B$8,0,$C$1),SUMPRODUCT(OFFSET(AT$346,0,0,1,-OFFSET(Assumptions!$B$67,0,$C$1)),OFFSET(AT$16,0,0,1,-OFFSET(Assumptions!$B$67,0,$C$1)))/OFFSET(Assumptions!$B$67,0,$C$1)-AT$346/AT$14,(AT$346/AT$14-AS$346/AS$14)/AT$2),0))*AU$14</f>
        <v>85.841720998778413</v>
      </c>
      <c r="AV346" s="7">
        <f ca="1">(AU$346/AU$14+ IF(AV$2&gt;0,AV$2*IF(AV$6=OFFSET(Assumptions!$B$8,0,$C$1),SUMPRODUCT(OFFSET(AU$346,0,0,1,-OFFSET(Assumptions!$B$67,0,$C$1)),OFFSET(AU$16,0,0,1,-OFFSET(Assumptions!$B$67,0,$C$1)))/OFFSET(Assumptions!$B$67,0,$C$1)-AU$346/AU$14,(AU$346/AU$14-AT$346/AT$14)/AU$2),0))*AV$14</f>
        <v>89.052274638339938</v>
      </c>
      <c r="AW346" s="7">
        <f ca="1">(AV$346/AV$14+ IF(AW$2&gt;0,AW$2*IF(AW$6=OFFSET(Assumptions!$B$8,0,$C$1),SUMPRODUCT(OFFSET(AV$346,0,0,1,-OFFSET(Assumptions!$B$67,0,$C$1)),OFFSET(AV$16,0,0,1,-OFFSET(Assumptions!$B$67,0,$C$1)))/OFFSET(Assumptions!$B$67,0,$C$1)-AV$346/AV$14,(AV$346/AV$14-AU$346/AU$14)/AV$2),0))*AW$14</f>
        <v>92.365711635082349</v>
      </c>
    </row>
    <row r="347" spans="1:49" ht="15" x14ac:dyDescent="0.25">
      <c r="A347" s="2" t="s">
        <v>608</v>
      </c>
      <c r="B347" s="4"/>
      <c r="D347" s="40">
        <f t="shared" ref="D347:AW347" ca="1" si="218">SUM(D$345:D$346)</f>
        <v>37.090000000000003</v>
      </c>
      <c r="E347" s="39">
        <f t="shared" ca="1" si="218"/>
        <v>33.223999999999997</v>
      </c>
      <c r="F347" s="39">
        <f t="shared" ca="1" si="218"/>
        <v>36.744999999999997</v>
      </c>
      <c r="G347" s="39">
        <f t="shared" ca="1" si="218"/>
        <v>30.581</v>
      </c>
      <c r="H347" s="39">
        <f t="shared" ca="1" si="218"/>
        <v>28.079000000000001</v>
      </c>
      <c r="I347" s="39">
        <f t="shared" ca="1" si="218"/>
        <v>31.675999999999998</v>
      </c>
      <c r="J347" s="43">
        <f t="shared" ca="1" si="218"/>
        <v>34.208196540306979</v>
      </c>
      <c r="K347" s="43">
        <f t="shared" ca="1" si="218"/>
        <v>36.70445060046827</v>
      </c>
      <c r="L347" s="43">
        <f t="shared" ca="1" si="218"/>
        <v>39.35252351684052</v>
      </c>
      <c r="M347" s="43">
        <f t="shared" ca="1" si="218"/>
        <v>42.116548851430998</v>
      </c>
      <c r="N347" s="43">
        <f t="shared" ca="1" si="218"/>
        <v>44.997652209841988</v>
      </c>
      <c r="O347" s="43">
        <f t="shared" ca="1" si="218"/>
        <v>47.956454008768006</v>
      </c>
      <c r="P347" s="43">
        <f t="shared" ca="1" si="218"/>
        <v>50.95864360474215</v>
      </c>
      <c r="Q347" s="43">
        <f t="shared" ca="1" si="218"/>
        <v>53.999986366022092</v>
      </c>
      <c r="R347" s="43">
        <f t="shared" ca="1" si="218"/>
        <v>57.081460401237479</v>
      </c>
      <c r="S347" s="43">
        <f t="shared" ca="1" si="218"/>
        <v>60.219262510966246</v>
      </c>
      <c r="T347" s="43">
        <f t="shared" ca="1" si="218"/>
        <v>63.417789293633689</v>
      </c>
      <c r="U347" s="43">
        <f t="shared" ca="1" si="218"/>
        <v>66.678368304368888</v>
      </c>
      <c r="V347" s="43">
        <f t="shared" ca="1" si="218"/>
        <v>69.99992625725379</v>
      </c>
      <c r="W347" s="43">
        <f t="shared" ca="1" si="218"/>
        <v>73.382467323975789</v>
      </c>
      <c r="X347" s="43">
        <f t="shared" ca="1" si="218"/>
        <v>76.834714737650003</v>
      </c>
      <c r="Y347" s="43">
        <f t="shared" ca="1" si="218"/>
        <v>80.345185707856558</v>
      </c>
      <c r="Z347" s="43">
        <f t="shared" ca="1" si="218"/>
        <v>83.933622881794847</v>
      </c>
      <c r="AA347" s="43">
        <f t="shared" ca="1" si="218"/>
        <v>87.625928736884163</v>
      </c>
      <c r="AB347" s="43">
        <f t="shared" ca="1" si="218"/>
        <v>91.457680753525068</v>
      </c>
      <c r="AC347" s="43">
        <f t="shared" ca="1" si="218"/>
        <v>95.471762117024298</v>
      </c>
      <c r="AD347" s="43">
        <f t="shared" ca="1" si="218"/>
        <v>99.712057225915544</v>
      </c>
      <c r="AE347" s="43">
        <f t="shared" ca="1" si="218"/>
        <v>104.19729101028616</v>
      </c>
      <c r="AF347" s="43">
        <f t="shared" ca="1" si="218"/>
        <v>108.96745056586619</v>
      </c>
      <c r="AG347" s="43">
        <f t="shared" ca="1" si="218"/>
        <v>114.03296906780068</v>
      </c>
      <c r="AH347" s="43">
        <f t="shared" ca="1" si="218"/>
        <v>119.42008934316169</v>
      </c>
      <c r="AI347" s="43">
        <f t="shared" ca="1" si="218"/>
        <v>125.14267569490744</v>
      </c>
      <c r="AJ347" s="43">
        <f t="shared" ca="1" si="218"/>
        <v>131.22587940599527</v>
      </c>
      <c r="AK347" s="43">
        <f t="shared" ca="1" si="218"/>
        <v>137.67357010752022</v>
      </c>
      <c r="AL347" s="43">
        <f t="shared" ca="1" si="218"/>
        <v>144.50314670251072</v>
      </c>
      <c r="AM347" s="43">
        <f t="shared" ca="1" si="218"/>
        <v>151.73406683957086</v>
      </c>
      <c r="AN347" s="43">
        <f t="shared" ca="1" si="218"/>
        <v>159.37475634342491</v>
      </c>
      <c r="AO347" s="43">
        <f t="shared" ca="1" si="218"/>
        <v>167.40957122205592</v>
      </c>
      <c r="AP347" s="43">
        <f t="shared" ca="1" si="218"/>
        <v>175.82306157977877</v>
      </c>
      <c r="AQ347" s="43">
        <f t="shared" ca="1" si="218"/>
        <v>184.58212837905415</v>
      </c>
      <c r="AR347" s="43">
        <f t="shared" ca="1" si="218"/>
        <v>193.64382096321134</v>
      </c>
      <c r="AS347" s="43">
        <f t="shared" ca="1" si="218"/>
        <v>202.97034637083817</v>
      </c>
      <c r="AT347" s="43">
        <f t="shared" ca="1" si="218"/>
        <v>212.57750757299155</v>
      </c>
      <c r="AU347" s="43">
        <f t="shared" ca="1" si="218"/>
        <v>222.46329850448339</v>
      </c>
      <c r="AV347" s="43">
        <f t="shared" ca="1" si="218"/>
        <v>232.64684150724895</v>
      </c>
      <c r="AW347" s="43">
        <f t="shared" ca="1" si="218"/>
        <v>243.1134246520665</v>
      </c>
    </row>
    <row r="348" spans="1:49" x14ac:dyDescent="0.2">
      <c r="A348" s="1" t="s">
        <v>295</v>
      </c>
      <c r="B348" s="4" t="str">
        <f t="shared" si="217"/>
        <v>From Fiscal</v>
      </c>
      <c r="D348" s="18">
        <f>Fiscal!D$202</f>
        <v>25.789000000000001</v>
      </c>
      <c r="E348" s="19">
        <f>Fiscal!E$202</f>
        <v>25.937999999999999</v>
      </c>
      <c r="F348" s="19">
        <f>Fiscal!F$202</f>
        <v>25.821000000000002</v>
      </c>
      <c r="G348" s="19">
        <f>Fiscal!G$202</f>
        <v>26.39</v>
      </c>
      <c r="H348" s="19">
        <f>Fiscal!H$202</f>
        <v>27.196000000000002</v>
      </c>
      <c r="I348" s="19">
        <f>Fiscal!I$202</f>
        <v>28.184000000000001</v>
      </c>
      <c r="J348" s="7">
        <f>I$348*Exogenous!Q$28/Exogenous!P$28</f>
        <v>29.517135600477715</v>
      </c>
      <c r="K348" s="7">
        <f>J$348*Exogenous!R$28/Exogenous!Q$28</f>
        <v>30.852619888261898</v>
      </c>
      <c r="L348" s="7">
        <f>K$348*Exogenous!S$28/Exogenous!R$28</f>
        <v>32.212531503033112</v>
      </c>
      <c r="M348" s="7">
        <f>L$348*Exogenous!T$28/Exogenous!S$28</f>
        <v>33.600184772952197</v>
      </c>
      <c r="N348" s="7">
        <f>M$348*Exogenous!U$28/Exogenous!T$28</f>
        <v>35.038867876569725</v>
      </c>
      <c r="O348" s="7">
        <f>N$348*Exogenous!V$28/Exogenous!U$28</f>
        <v>36.569325385041282</v>
      </c>
      <c r="P348" s="7">
        <f>O$348*Exogenous!W$28/Exogenous!V$28</f>
        <v>38.135191240197578</v>
      </c>
      <c r="Q348" s="7">
        <f>P$348*Exogenous!X$28/Exogenous!W$28</f>
        <v>39.750234320626006</v>
      </c>
      <c r="R348" s="7">
        <f>Q$348*Exogenous!Y$28/Exogenous!X$28</f>
        <v>41.42316966156617</v>
      </c>
      <c r="S348" s="7">
        <f>R$348*Exogenous!Z$28/Exogenous!Y$28</f>
        <v>43.149354617119329</v>
      </c>
      <c r="T348" s="7">
        <f>S$348*Exogenous!AA$28/Exogenous!Z$28</f>
        <v>44.94063469524189</v>
      </c>
      <c r="U348" s="7">
        <f>T$348*Exogenous!AB$28/Exogenous!AA$28</f>
        <v>46.79775227563286</v>
      </c>
      <c r="V348" s="7">
        <f>U$348*Exogenous!AC$28/Exogenous!AB$28</f>
        <v>48.727017585065759</v>
      </c>
      <c r="W348" s="7">
        <f>V$348*Exogenous!AD$28/Exogenous!AC$28</f>
        <v>50.734465757756553</v>
      </c>
      <c r="X348" s="7">
        <f>W$348*Exogenous!AE$28/Exogenous!AD$28</f>
        <v>52.825051177927378</v>
      </c>
      <c r="Y348" s="7">
        <f>X$348*Exogenous!AF$28/Exogenous!AE$28</f>
        <v>54.989256973574292</v>
      </c>
      <c r="Z348" s="7">
        <f>Y$348*Exogenous!AG$28/Exogenous!AF$28</f>
        <v>57.256495171934176</v>
      </c>
      <c r="AA348" s="7">
        <f>Z$348*Exogenous!AH$28/Exogenous!AG$28</f>
        <v>59.631176491808219</v>
      </c>
      <c r="AB348" s="7">
        <f>AA$348*Exogenous!AI$28/Exogenous!AH$28</f>
        <v>62.116172354595918</v>
      </c>
      <c r="AC348" s="7">
        <f>AB$348*Exogenous!AJ$28/Exogenous!AI$28</f>
        <v>64.716107911829283</v>
      </c>
      <c r="AD348" s="7">
        <f>AC$348*Exogenous!AK$28/Exogenous!AJ$28</f>
        <v>67.463935993293759</v>
      </c>
      <c r="AE348" s="7">
        <f>AD$348*Exogenous!AL$28/Exogenous!AK$28</f>
        <v>70.363768071542339</v>
      </c>
      <c r="AF348" s="7">
        <f>AE$348*Exogenous!AM$28/Exogenous!AL$28</f>
        <v>73.414286617442158</v>
      </c>
      <c r="AG348" s="7">
        <f>AF$348*Exogenous!AN$28/Exogenous!AM$28</f>
        <v>76.641755962158598</v>
      </c>
      <c r="AH348" s="7">
        <f>AG$348*Exogenous!AO$28/Exogenous!AN$28</f>
        <v>80.051430464434446</v>
      </c>
      <c r="AI348" s="7">
        <f>AH$348*Exogenous!AP$28/Exogenous!AO$28</f>
        <v>83.642647333670553</v>
      </c>
      <c r="AJ348" s="7">
        <f>AI$348*Exogenous!AQ$28/Exogenous!AP$28</f>
        <v>87.445267157922103</v>
      </c>
      <c r="AK348" s="7">
        <f>AJ$348*Exogenous!AR$28/Exogenous!AQ$28</f>
        <v>91.472754897412798</v>
      </c>
      <c r="AL348" s="7">
        <f>AK$348*Exogenous!AS$28/Exogenous!AR$28</f>
        <v>95.739424577335598</v>
      </c>
      <c r="AM348" s="7">
        <f>AL$348*Exogenous!AT$28/Exogenous!AS$28</f>
        <v>100.26046346701983</v>
      </c>
      <c r="AN348" s="7">
        <f>AM$348*Exogenous!AU$28/Exogenous!AT$28</f>
        <v>105.0519419909246</v>
      </c>
      <c r="AO348" s="7">
        <f>AN$348*Exogenous!AV$28/Exogenous!AU$28</f>
        <v>110.13085018074766</v>
      </c>
      <c r="AP348" s="7">
        <f>AO$348*Exogenous!AW$28/Exogenous!AV$28</f>
        <v>115.51519936982338</v>
      </c>
      <c r="AQ348" s="7">
        <f>AP$348*Exogenous!AX$28/Exogenous!AW$28</f>
        <v>121.22405480963725</v>
      </c>
      <c r="AR348" s="7">
        <f>AQ$348*Exogenous!AY$28/Exogenous!AX$28</f>
        <v>127.28618610856257</v>
      </c>
      <c r="AS348" s="7">
        <f>AR$348*Exogenous!AZ$28/Exogenous!AY$28</f>
        <v>133.74086494497149</v>
      </c>
      <c r="AT348" s="7">
        <f>AS$348*Exogenous!BA$28/Exogenous!AZ$28</f>
        <v>140.3954398820768</v>
      </c>
      <c r="AU348" s="7">
        <f>AT$348*Exogenous!BB$28/Exogenous!BA$28</f>
        <v>147.38112803287169</v>
      </c>
      <c r="AV348" s="7">
        <f>AU$348*Exogenous!BC$28/Exogenous!BB$28</f>
        <v>154.71440467358579</v>
      </c>
      <c r="AW348" s="7">
        <f>AV$348*Exogenous!BD$28/Exogenous!BC$28</f>
        <v>162.41256484455252</v>
      </c>
    </row>
    <row r="349" spans="1:49" x14ac:dyDescent="0.2">
      <c r="A349" s="1" t="s">
        <v>529</v>
      </c>
      <c r="B349" s="4" t="str">
        <f t="shared" si="217"/>
        <v>From Fiscal</v>
      </c>
      <c r="D349" s="18">
        <f>Fiscal!D$203</f>
        <v>3.8119999999999998</v>
      </c>
      <c r="E349" s="19">
        <f>Fiscal!E$203</f>
        <v>3.726</v>
      </c>
      <c r="F349" s="19">
        <f>Fiscal!F$203</f>
        <v>3.5289999999999999</v>
      </c>
      <c r="G349" s="19">
        <f>Fiscal!G$203</f>
        <v>3.66</v>
      </c>
      <c r="H349" s="19">
        <f>Fiscal!H$203</f>
        <v>3.7919999999999998</v>
      </c>
      <c r="I349" s="19">
        <f>Fiscal!I$203</f>
        <v>3.984</v>
      </c>
      <c r="J349" s="7">
        <f ca="1">(I$349/I$14+ IF(J$2&gt;0,J$2*IF(J$6=OFFSET(Assumptions!$B$8,0,$C$1),SUMPRODUCT(OFFSET(I$349,0,0,1,-OFFSET(Assumptions!$B$67,0,$C$1)),OFFSET(I$16,0,0,1,-OFFSET(Assumptions!$B$67,0,$C$1)))/OFFSET(Assumptions!$B$67,0,$C$1)-I$349/I$14,(I$349/I$14-H$349/H$14)/I$2),0))*J$14</f>
        <v>4.1496679695617731</v>
      </c>
      <c r="K349" s="7">
        <f ca="1">(J$349/J$14+ IF(K$2&gt;0,K$2*IF(K$6=OFFSET(Assumptions!$B$8,0,$C$1),SUMPRODUCT(OFFSET(J$349,0,0,1,-OFFSET(Assumptions!$B$67,0,$C$1)),OFFSET(J$16,0,0,1,-OFFSET(Assumptions!$B$67,0,$C$1)))/OFFSET(Assumptions!$B$67,0,$C$1)-J$349/J$14,(J$349/J$14-I$349/I$14)/J$2),0))*K$14</f>
        <v>4.3212445210123978</v>
      </c>
      <c r="L349" s="7">
        <f ca="1">(K$349/K$14+ IF(L$2&gt;0,L$2*IF(L$6=OFFSET(Assumptions!$B$8,0,$C$1),SUMPRODUCT(OFFSET(K$349,0,0,1,-OFFSET(Assumptions!$B$67,0,$C$1)),OFFSET(K$16,0,0,1,-OFFSET(Assumptions!$B$67,0,$C$1)))/OFFSET(Assumptions!$B$67,0,$C$1)-K$349/K$14,(K$349/K$14-J$349/J$14)/K$2),0))*L$14</f>
        <v>4.5071111699105204</v>
      </c>
      <c r="M349" s="7">
        <f ca="1">(L$349/L$14+ IF(M$2&gt;0,M$2*IF(M$6=OFFSET(Assumptions!$B$8,0,$C$1),SUMPRODUCT(OFFSET(L$349,0,0,1,-OFFSET(Assumptions!$B$67,0,$C$1)),OFFSET(L$16,0,0,1,-OFFSET(Assumptions!$B$67,0,$C$1)))/OFFSET(Assumptions!$B$67,0,$C$1)-L$349/L$14,(L$349/L$14-K$349/K$14)/L$2),0))*M$14</f>
        <v>4.7008467124356805</v>
      </c>
      <c r="N349" s="7">
        <f ca="1">(M$349/M$14+ IF(N$2&gt;0,N$2*IF(N$6=OFFSET(Assumptions!$B$8,0,$C$1),SUMPRODUCT(OFFSET(M$349,0,0,1,-OFFSET(Assumptions!$B$67,0,$C$1)),OFFSET(M$16,0,0,1,-OFFSET(Assumptions!$B$67,0,$C$1)))/OFFSET(Assumptions!$B$67,0,$C$1)-M$349/M$14,(M$349/M$14-L$349/L$14)/M$2),0))*N$14</f>
        <v>4.9030604150054096</v>
      </c>
      <c r="O349" s="7">
        <f ca="1">(N$349/N$14+ IF(O$2&gt;0,O$2*IF(O$6=OFFSET(Assumptions!$B$8,0,$C$1),SUMPRODUCT(OFFSET(N$349,0,0,1,-OFFSET(Assumptions!$B$67,0,$C$1)),OFFSET(N$16,0,0,1,-OFFSET(Assumptions!$B$67,0,$C$1)))/OFFSET(Assumptions!$B$67,0,$C$1)-N$349/N$14,(N$349/N$14-M$349/M$14)/N$2),0))*O$14</f>
        <v>5.1123560462327688</v>
      </c>
      <c r="P349" s="7">
        <f ca="1">(O$349/O$14+ IF(P$2&gt;0,P$2*IF(P$6=OFFSET(Assumptions!$B$8,0,$C$1),SUMPRODUCT(OFFSET(O$349,0,0,1,-OFFSET(Assumptions!$B$67,0,$C$1)),OFFSET(O$16,0,0,1,-OFFSET(Assumptions!$B$67,0,$C$1)))/OFFSET(Assumptions!$B$67,0,$C$1)-O$349/O$14,(O$349/O$14-N$349/N$14)/O$2),0))*P$14</f>
        <v>5.3285519660839755</v>
      </c>
      <c r="Q349" s="7">
        <f ca="1">(P$349/P$14+ IF(Q$2&gt;0,Q$2*IF(Q$6=OFFSET(Assumptions!$B$8,0,$C$1),SUMPRODUCT(OFFSET(P$349,0,0,1,-OFFSET(Assumptions!$B$67,0,$C$1)),OFFSET(P$16,0,0,1,-OFFSET(Assumptions!$B$67,0,$C$1)))/OFFSET(Assumptions!$B$67,0,$C$1)-P$349/P$14,(P$349/P$14-O$349/O$14)/P$2),0))*Q$14</f>
        <v>5.5514146432679627</v>
      </c>
      <c r="R349" s="7">
        <f ca="1">(Q$349/Q$14+ IF(R$2&gt;0,R$2*IF(R$6=OFFSET(Assumptions!$B$8,0,$C$1),SUMPRODUCT(OFFSET(Q$349,0,0,1,-OFFSET(Assumptions!$B$67,0,$C$1)),OFFSET(Q$16,0,0,1,-OFFSET(Assumptions!$B$67,0,$C$1)))/OFFSET(Assumptions!$B$67,0,$C$1)-Q$349/Q$14,(Q$349/Q$14-P$349/P$14)/Q$2),0))*R$14</f>
        <v>5.7807786652041795</v>
      </c>
      <c r="S349" s="7">
        <f ca="1">(R$349/R$14+ IF(S$2&gt;0,S$2*IF(S$6=OFFSET(Assumptions!$B$8,0,$C$1),SUMPRODUCT(OFFSET(R$349,0,0,1,-OFFSET(Assumptions!$B$67,0,$C$1)),OFFSET(R$16,0,0,1,-OFFSET(Assumptions!$B$67,0,$C$1)))/OFFSET(Assumptions!$B$67,0,$C$1)-R$349/R$14,(R$349/R$14-Q$349/Q$14)/R$2),0))*S$14</f>
        <v>6.0173729414015282</v>
      </c>
      <c r="T349" s="7">
        <f ca="1">(S$349/S$14+ IF(T$2&gt;0,T$2*IF(T$6=OFFSET(Assumptions!$B$8,0,$C$1),SUMPRODUCT(OFFSET(S$349,0,0,1,-OFFSET(Assumptions!$B$67,0,$C$1)),OFFSET(S$16,0,0,1,-OFFSET(Assumptions!$B$67,0,$C$1)))/OFFSET(Assumptions!$B$67,0,$C$1)-S$349/S$14,(S$349/S$14-R$349/R$14)/S$2),0))*T$14</f>
        <v>6.2612837497822307</v>
      </c>
      <c r="U349" s="7">
        <f ca="1">(T$349/T$14+ IF(U$2&gt;0,U$2*IF(U$6=OFFSET(Assumptions!$B$8,0,$C$1),SUMPRODUCT(OFFSET(T$349,0,0,1,-OFFSET(Assumptions!$B$67,0,$C$1)),OFFSET(T$16,0,0,1,-OFFSET(Assumptions!$B$67,0,$C$1)))/OFFSET(Assumptions!$B$67,0,$C$1)-T$349/T$14,(T$349/T$14-S$349/S$14)/T$2),0))*U$14</f>
        <v>6.5133864798081555</v>
      </c>
      <c r="V349" s="7">
        <f ca="1">(U$349/U$14+ IF(V$2&gt;0,V$2*IF(V$6=OFFSET(Assumptions!$B$8,0,$C$1),SUMPRODUCT(OFFSET(U$349,0,0,1,-OFFSET(Assumptions!$B$67,0,$C$1)),OFFSET(U$16,0,0,1,-OFFSET(Assumptions!$B$67,0,$C$1)))/OFFSET(Assumptions!$B$67,0,$C$1)-U$349/U$14,(U$349/U$14-T$349/T$14)/U$2),0))*V$14</f>
        <v>6.7743034485083236</v>
      </c>
      <c r="W349" s="7">
        <f ca="1">(V$349/V$14+ IF(W$2&gt;0,W$2*IF(W$6=OFFSET(Assumptions!$B$8,0,$C$1),SUMPRODUCT(OFFSET(V$349,0,0,1,-OFFSET(Assumptions!$B$67,0,$C$1)),OFFSET(V$16,0,0,1,-OFFSET(Assumptions!$B$67,0,$C$1)))/OFFSET(Assumptions!$B$67,0,$C$1)-V$349/V$14,(V$349/V$14-U$349/U$14)/V$2),0))*W$14</f>
        <v>7.0447905981540666</v>
      </c>
      <c r="X349" s="7">
        <f ca="1">(W$349/W$14+ IF(X$2&gt;0,X$2*IF(X$6=OFFSET(Assumptions!$B$8,0,$C$1),SUMPRODUCT(OFFSET(W$349,0,0,1,-OFFSET(Assumptions!$B$67,0,$C$1)),OFFSET(W$16,0,0,1,-OFFSET(Assumptions!$B$67,0,$C$1)))/OFFSET(Assumptions!$B$67,0,$C$1)-W$349/W$14,(W$349/W$14-V$349/V$14)/W$2),0))*X$14</f>
        <v>7.3257046852501224</v>
      </c>
      <c r="Y349" s="7">
        <f ca="1">(X$349/X$14+ IF(Y$2&gt;0,Y$2*IF(Y$6=OFFSET(Assumptions!$B$8,0,$C$1),SUMPRODUCT(OFFSET(X$349,0,0,1,-OFFSET(Assumptions!$B$67,0,$C$1)),OFFSET(X$16,0,0,1,-OFFSET(Assumptions!$B$67,0,$C$1)))/OFFSET(Assumptions!$B$67,0,$C$1)-X$349/X$14,(X$349/X$14-W$349/W$14)/X$2),0))*Y$14</f>
        <v>7.6170169910754959</v>
      </c>
      <c r="Z349" s="7">
        <f ca="1">(Y$349/Y$14+ IF(Z$2&gt;0,Z$2*IF(Z$6=OFFSET(Assumptions!$B$8,0,$C$1),SUMPRODUCT(OFFSET(Y$349,0,0,1,-OFFSET(Assumptions!$B$67,0,$C$1)),OFFSET(Y$16,0,0,1,-OFFSET(Assumptions!$B$67,0,$C$1)))/OFFSET(Assumptions!$B$67,0,$C$1)-Y$349/Y$14,(Y$349/Y$14-X$349/X$14)/Y$2),0))*Z$14</f>
        <v>7.9202020343470636</v>
      </c>
      <c r="AA349" s="7">
        <f ca="1">(Z$349/Z$14+ IF(AA$2&gt;0,AA$2*IF(AA$6=OFFSET(Assumptions!$B$8,0,$C$1),SUMPRODUCT(OFFSET(Z$349,0,0,1,-OFFSET(Assumptions!$B$67,0,$C$1)),OFFSET(Z$16,0,0,1,-OFFSET(Assumptions!$B$67,0,$C$1)))/OFFSET(Assumptions!$B$67,0,$C$1)-Z$349/Z$14,(Z$349/Z$14-Y$349/Y$14)/Z$2),0))*AA$14</f>
        <v>8.235750369510372</v>
      </c>
      <c r="AB349" s="7">
        <f ca="1">(AA$349/AA$14+ IF(AB$2&gt;0,AB$2*IF(AB$6=OFFSET(Assumptions!$B$8,0,$C$1),SUMPRODUCT(OFFSET(AA$349,0,0,1,-OFFSET(Assumptions!$B$67,0,$C$1)),OFFSET(AA$16,0,0,1,-OFFSET(Assumptions!$B$67,0,$C$1)))/OFFSET(Assumptions!$B$67,0,$C$1)-AA$349/AA$14,(AA$349/AA$14-Z$349/Z$14)/AA$2),0))*AB$14</f>
        <v>8.5646096173572026</v>
      </c>
      <c r="AC349" s="7">
        <f ca="1">(AB$349/AB$14+ IF(AC$2&gt;0,AC$2*IF(AC$6=OFFSET(Assumptions!$B$8,0,$C$1),SUMPRODUCT(OFFSET(AB$349,0,0,1,-OFFSET(Assumptions!$B$67,0,$C$1)),OFFSET(AB$16,0,0,1,-OFFSET(Assumptions!$B$67,0,$C$1)))/OFFSET(Assumptions!$B$67,0,$C$1)-AB$349/AB$14,(AB$349/AB$14-AA$349/AA$14)/AB$2),0))*AC$14</f>
        <v>8.9080212661751634</v>
      </c>
      <c r="AD349" s="7">
        <f ca="1">(AC$349/AC$14+ IF(AD$2&gt;0,AD$2*IF(AD$6=OFFSET(Assumptions!$B$8,0,$C$1),SUMPRODUCT(OFFSET(AC$349,0,0,1,-OFFSET(Assumptions!$B$67,0,$C$1)),OFFSET(AC$16,0,0,1,-OFFSET(Assumptions!$B$67,0,$C$1)))/OFFSET(Assumptions!$B$67,0,$C$1)-AC$349/AC$14,(AC$349/AC$14-AB$349/AB$14)/AC$2),0))*AD$14</f>
        <v>9.2663472760783314</v>
      </c>
      <c r="AE349" s="7">
        <f ca="1">(AD$349/AD$14+ IF(AE$2&gt;0,AE$2*IF(AE$6=OFFSET(Assumptions!$B$8,0,$C$1),SUMPRODUCT(OFFSET(AD$349,0,0,1,-OFFSET(Assumptions!$B$67,0,$C$1)),OFFSET(AD$16,0,0,1,-OFFSET(Assumptions!$B$67,0,$C$1)))/OFFSET(Assumptions!$B$67,0,$C$1)-AD$349/AD$14,(AD$349/AD$14-AC$349/AC$14)/AD$2),0))*AE$14</f>
        <v>9.6392585723865913</v>
      </c>
      <c r="AF349" s="7">
        <f ca="1">(AE$349/AE$14+ IF(AF$2&gt;0,AF$2*IF(AF$6=OFFSET(Assumptions!$B$8,0,$C$1),SUMPRODUCT(OFFSET(AE$349,0,0,1,-OFFSET(Assumptions!$B$67,0,$C$1)),OFFSET(AE$16,0,0,1,-OFFSET(Assumptions!$B$67,0,$C$1)))/OFFSET(Assumptions!$B$67,0,$C$1)-AE$349/AE$14,(AE$349/AE$14-AD$349/AD$14)/AE$2),0))*AF$14</f>
        <v>10.027786851342773</v>
      </c>
      <c r="AG349" s="7">
        <f ca="1">(AF$349/AF$14+ IF(AG$2&gt;0,AG$2*IF(AG$6=OFFSET(Assumptions!$B$8,0,$C$1),SUMPRODUCT(OFFSET(AF$349,0,0,1,-OFFSET(Assumptions!$B$67,0,$C$1)),OFFSET(AF$16,0,0,1,-OFFSET(Assumptions!$B$67,0,$C$1)))/OFFSET(Assumptions!$B$67,0,$C$1)-AF$349/AF$14,(AF$349/AF$14-AE$349/AE$14)/AF$2),0))*AG$14</f>
        <v>10.432149361713998</v>
      </c>
      <c r="AH349" s="7">
        <f ca="1">(AG$349/AG$14+ IF(AH$2&gt;0,AH$2*IF(AH$6=OFFSET(Assumptions!$B$8,0,$C$1),SUMPRODUCT(OFFSET(AG$349,0,0,1,-OFFSET(Assumptions!$B$67,0,$C$1)),OFFSET(AG$16,0,0,1,-OFFSET(Assumptions!$B$67,0,$C$1)))/OFFSET(Assumptions!$B$67,0,$C$1)-AG$349/AG$14,(AG$349/AG$14-AF$349/AF$14)/AG$2),0))*AH$14</f>
        <v>10.85299452684287</v>
      </c>
      <c r="AI349" s="7">
        <f ca="1">(AH$349/AH$14+ IF(AI$2&gt;0,AI$2*IF(AI$6=OFFSET(Assumptions!$B$8,0,$C$1),SUMPRODUCT(OFFSET(AH$349,0,0,1,-OFFSET(Assumptions!$B$67,0,$C$1)),OFFSET(AH$16,0,0,1,-OFFSET(Assumptions!$B$67,0,$C$1)))/OFFSET(Assumptions!$B$67,0,$C$1)-AH$349/AH$14,(AH$349/AH$14-AG$349/AG$14)/AH$2),0))*AI$14</f>
        <v>11.289586990912024</v>
      </c>
      <c r="AJ349" s="7">
        <f ca="1">(AI$349/AI$14+ IF(AJ$2&gt;0,AJ$2*IF(AJ$6=OFFSET(Assumptions!$B$8,0,$C$1),SUMPRODUCT(OFFSET(AI$349,0,0,1,-OFFSET(Assumptions!$B$67,0,$C$1)),OFFSET(AI$16,0,0,1,-OFFSET(Assumptions!$B$67,0,$C$1)))/OFFSET(Assumptions!$B$67,0,$C$1)-AI$349/AI$14,(AI$349/AI$14-AH$349/AH$14)/AI$2),0))*AJ$14</f>
        <v>11.743325377108864</v>
      </c>
      <c r="AK349" s="7">
        <f ca="1">(AJ$349/AJ$14+ IF(AK$2&gt;0,AK$2*IF(AK$6=OFFSET(Assumptions!$B$8,0,$C$1),SUMPRODUCT(OFFSET(AJ$349,0,0,1,-OFFSET(Assumptions!$B$67,0,$C$1)),OFFSET(AJ$16,0,0,1,-OFFSET(Assumptions!$B$67,0,$C$1)))/OFFSET(Assumptions!$B$67,0,$C$1)-AJ$349/AJ$14,(AJ$349/AJ$14-AI$349/AI$14)/AJ$2),0))*AK$14</f>
        <v>12.213836426260137</v>
      </c>
      <c r="AL349" s="7">
        <f ca="1">(AK$349/AK$14+ IF(AL$2&gt;0,AL$2*IF(AL$6=OFFSET(Assumptions!$B$8,0,$C$1),SUMPRODUCT(OFFSET(AK$349,0,0,1,-OFFSET(Assumptions!$B$67,0,$C$1)),OFFSET(AK$16,0,0,1,-OFFSET(Assumptions!$B$67,0,$C$1)))/OFFSET(Assumptions!$B$67,0,$C$1)-AK$349/AK$14,(AK$349/AK$14-AJ$349/AJ$14)/AK$2),0))*AL$14</f>
        <v>12.700749503831888</v>
      </c>
      <c r="AM349" s="7">
        <f ca="1">(AL$349/AL$14+ IF(AM$2&gt;0,AM$2*IF(AM$6=OFFSET(Assumptions!$B$8,0,$C$1),SUMPRODUCT(OFFSET(AL$349,0,0,1,-OFFSET(Assumptions!$B$67,0,$C$1)),OFFSET(AL$16,0,0,1,-OFFSET(Assumptions!$B$67,0,$C$1)))/OFFSET(Assumptions!$B$67,0,$C$1)-AL$349/AL$14,(AL$349/AL$14-AK$349/AK$14)/AL$2),0))*AM$14</f>
        <v>13.204729796494039</v>
      </c>
      <c r="AN349" s="7">
        <f ca="1">(AM$349/AM$14+ IF(AN$2&gt;0,AN$2*IF(AN$6=OFFSET(Assumptions!$B$8,0,$C$1),SUMPRODUCT(OFFSET(AM$349,0,0,1,-OFFSET(Assumptions!$B$67,0,$C$1)),OFFSET(AM$16,0,0,1,-OFFSET(Assumptions!$B$67,0,$C$1)))/OFFSET(Assumptions!$B$67,0,$C$1)-AM$349/AM$14,(AM$349/AM$14-AL$349/AL$14)/AM$2),0))*AN$14</f>
        <v>13.726478335953091</v>
      </c>
      <c r="AO349" s="7">
        <f ca="1">(AN$349/AN$14+ IF(AO$2&gt;0,AO$2*IF(AO$6=OFFSET(Assumptions!$B$8,0,$C$1),SUMPRODUCT(OFFSET(AN$349,0,0,1,-OFFSET(Assumptions!$B$67,0,$C$1)),OFFSET(AN$16,0,0,1,-OFFSET(Assumptions!$B$67,0,$C$1)))/OFFSET(Assumptions!$B$67,0,$C$1)-AN$349/AN$14,(AN$349/AN$14-AM$349/AM$14)/AN$2),0))*AO$14</f>
        <v>14.263946396123599</v>
      </c>
      <c r="AP349" s="7">
        <f ca="1">(AO$349/AO$14+ IF(AP$2&gt;0,AP$2*IF(AP$6=OFFSET(Assumptions!$B$8,0,$C$1),SUMPRODUCT(OFFSET(AO$349,0,0,1,-OFFSET(Assumptions!$B$67,0,$C$1)),OFFSET(AO$16,0,0,1,-OFFSET(Assumptions!$B$67,0,$C$1)))/OFFSET(Assumptions!$B$67,0,$C$1)-AO$349/AO$14,(AO$349/AO$14-AN$349/AN$14)/AO$2),0))*AP$14</f>
        <v>14.819416332499348</v>
      </c>
      <c r="AQ349" s="7">
        <f ca="1">(AP$349/AP$14+ IF(AQ$2&gt;0,AQ$2*IF(AQ$6=OFFSET(Assumptions!$B$8,0,$C$1),SUMPRODUCT(OFFSET(AP$349,0,0,1,-OFFSET(Assumptions!$B$67,0,$C$1)),OFFSET(AP$16,0,0,1,-OFFSET(Assumptions!$B$67,0,$C$1)))/OFFSET(Assumptions!$B$67,0,$C$1)-AP$349/AP$14,(AP$349/AP$14-AO$349/AO$14)/AP$2),0))*AQ$14</f>
        <v>15.391331720071525</v>
      </c>
      <c r="AR349" s="7">
        <f ca="1">(AQ$349/AQ$14+ IF(AR$2&gt;0,AR$2*IF(AR$6=OFFSET(Assumptions!$B$8,0,$C$1),SUMPRODUCT(OFFSET(AQ$349,0,0,1,-OFFSET(Assumptions!$B$67,0,$C$1)),OFFSET(AQ$16,0,0,1,-OFFSET(Assumptions!$B$67,0,$C$1)))/OFFSET(Assumptions!$B$67,0,$C$1)-AQ$349/AQ$14,(AQ$349/AQ$14-AP$349/AP$14)/AQ$2),0))*AR$14</f>
        <v>15.980340069372735</v>
      </c>
      <c r="AS349" s="7">
        <f ca="1">(AR$349/AR$14+ IF(AS$2&gt;0,AS$2*IF(AS$6=OFFSET(Assumptions!$B$8,0,$C$1),SUMPRODUCT(OFFSET(AR$349,0,0,1,-OFFSET(Assumptions!$B$67,0,$C$1)),OFFSET(AR$16,0,0,1,-OFFSET(Assumptions!$B$67,0,$C$1)))/OFFSET(Assumptions!$B$67,0,$C$1)-AR$349/AR$14,(AR$349/AR$14-AQ$349/AQ$14)/AR$2),0))*AS$14</f>
        <v>16.587815519892608</v>
      </c>
      <c r="AT349" s="7">
        <f ca="1">(AS$349/AS$14+ IF(AT$2&gt;0,AT$2*IF(AT$6=OFFSET(Assumptions!$B$8,0,$C$1),SUMPRODUCT(OFFSET(AS$349,0,0,1,-OFFSET(Assumptions!$B$67,0,$C$1)),OFFSET(AS$16,0,0,1,-OFFSET(Assumptions!$B$67,0,$C$1)))/OFFSET(Assumptions!$B$67,0,$C$1)-AS$349/AS$14,(AS$349/AS$14-AR$349/AR$14)/AS$2),0))*AT$14</f>
        <v>17.214243242385276</v>
      </c>
      <c r="AU349" s="7">
        <f ca="1">(AT$349/AT$14+ IF(AU$2&gt;0,AU$2*IF(AU$6=OFFSET(Assumptions!$B$8,0,$C$1),SUMPRODUCT(OFFSET(AT$349,0,0,1,-OFFSET(Assumptions!$B$67,0,$C$1)),OFFSET(AT$16,0,0,1,-OFFSET(Assumptions!$B$67,0,$C$1)))/OFFSET(Assumptions!$B$67,0,$C$1)-AT$349/AT$14,(AT$349/AT$14-AS$349/AS$14)/AT$2),0))*AU$14</f>
        <v>17.860456245875046</v>
      </c>
      <c r="AV349" s="7">
        <f ca="1">(AU$349/AU$14+ IF(AV$2&gt;0,AV$2*IF(AV$6=OFFSET(Assumptions!$B$8,0,$C$1),SUMPRODUCT(OFFSET(AU$349,0,0,1,-OFFSET(Assumptions!$B$67,0,$C$1)),OFFSET(AU$16,0,0,1,-OFFSET(Assumptions!$B$67,0,$C$1)))/OFFSET(Assumptions!$B$67,0,$C$1)-AU$349/AU$14,(AU$349/AU$14-AT$349/AT$14)/AU$2),0))*AV$14</f>
        <v>18.528452555096752</v>
      </c>
      <c r="AW349" s="7">
        <f ca="1">(AV$349/AV$14+ IF(AW$2&gt;0,AW$2*IF(AW$6=OFFSET(Assumptions!$B$8,0,$C$1),SUMPRODUCT(OFFSET(AV$349,0,0,1,-OFFSET(Assumptions!$B$67,0,$C$1)),OFFSET(AV$16,0,0,1,-OFFSET(Assumptions!$B$67,0,$C$1)))/OFFSET(Assumptions!$B$67,0,$C$1)-AV$349/AV$14,(AV$349/AV$14-AU$349/AU$14)/AV$2),0))*AW$14</f>
        <v>19.217855048607145</v>
      </c>
    </row>
    <row r="350" spans="1:49" x14ac:dyDescent="0.2">
      <c r="A350" s="1" t="s">
        <v>530</v>
      </c>
      <c r="B350" s="4" t="str">
        <f t="shared" si="217"/>
        <v>From Fiscal</v>
      </c>
      <c r="D350" s="18">
        <f ca="1">Fiscal!D$116-SUM(D$347:D$349)</f>
        <v>-12.393000000000001</v>
      </c>
      <c r="E350" s="19">
        <f ca="1">Fiscal!E$116-SUM(E$347:E$349)</f>
        <v>-13.158999999999992</v>
      </c>
      <c r="F350" s="19">
        <f ca="1">Fiscal!F$116-SUM(F$347:F$349)</f>
        <v>-12.805999999999997</v>
      </c>
      <c r="G350" s="19">
        <f ca="1">Fiscal!G$116-SUM(G$347:G$349)</f>
        <v>-13.017000000000003</v>
      </c>
      <c r="H350" s="19">
        <f ca="1">Fiscal!H$116-SUM(H$347:H$349)</f>
        <v>-13.480000000000004</v>
      </c>
      <c r="I350" s="19">
        <f ca="1">Fiscal!I$116-SUM(I$347:I$349)</f>
        <v>-13.975999999999999</v>
      </c>
      <c r="J350" s="7">
        <f ca="1">IF(J$6=OFFSET(Assumptions!$B$8,0,$C$1),AVERAGE(G$350/G$348,H$350/H$348,I$350/I$348),I$350/I$348)*J$348</f>
        <v>-14.609017629826653</v>
      </c>
      <c r="K350" s="7">
        <f ca="1">IF(K$6=OFFSET(Assumptions!$B$8,0,$C$1),AVERAGE(H$350/H$348,I$350/I$348,J$350/J$348),J$350/J$348)*K$348</f>
        <v>-15.269993470052825</v>
      </c>
      <c r="L350" s="7">
        <f ca="1">IF(L$6=OFFSET(Assumptions!$B$8,0,$C$1),AVERAGE(I$350/I$348,J$350/J$348,K$350/K$348),K$350/K$348)*L$348</f>
        <v>-15.943059211393836</v>
      </c>
      <c r="M350" s="7">
        <f ca="1">IF(M$6=OFFSET(Assumptions!$B$8,0,$C$1),AVERAGE(J$350/J$348,K$350/K$348,L$350/L$348),L$350/L$348)*M$348</f>
        <v>-16.6298552257065</v>
      </c>
      <c r="N350" s="7">
        <f ca="1">IF(N$6=OFFSET(Assumptions!$B$8,0,$C$1),AVERAGE(K$350/K$348,L$350/L$348,M$350/M$348),M$350/M$348)*N$348</f>
        <v>-17.341907611444839</v>
      </c>
      <c r="O350" s="7">
        <f ca="1">IF(O$6=OFFSET(Assumptions!$B$8,0,$C$1),AVERAGE(L$350/L$348,M$350/M$348,N$350/N$348),N$350/N$348)*O$348</f>
        <v>-18.099382219604301</v>
      </c>
      <c r="P350" s="7">
        <f ca="1">IF(P$6=OFFSET(Assumptions!$B$8,0,$C$1),AVERAGE(M$350/M$348,N$350/N$348,O$350/O$348),O$350/O$348)*P$348</f>
        <v>-18.874381602794845</v>
      </c>
      <c r="Q350" s="7">
        <f ca="1">IF(Q$6=OFFSET(Assumptions!$B$8,0,$C$1),AVERAGE(N$350/N$348,O$350/O$348,P$350/P$348),P$350/P$348)*Q$348</f>
        <v>-19.673720439539103</v>
      </c>
      <c r="R350" s="7">
        <f ca="1">IF(R$6=OFFSET(Assumptions!$B$8,0,$C$1),AVERAGE(O$350/O$348,P$350/P$348,Q$350/Q$348),Q$350/Q$348)*R$348</f>
        <v>-20.501712092257581</v>
      </c>
      <c r="S350" s="7">
        <f ca="1">IF(S$6=OFFSET(Assumptions!$B$8,0,$C$1),AVERAGE(P$350/P$348,Q$350/Q$348,R$350/R$348),R$350/R$348)*S$348</f>
        <v>-21.35605876021846</v>
      </c>
      <c r="T350" s="7">
        <f ca="1">IF(T$6=OFFSET(Assumptions!$B$8,0,$C$1),AVERAGE(Q$350/Q$348,R$350/R$348,S$350/S$348),S$350/S$348)*T$348</f>
        <v>-22.242623181490632</v>
      </c>
      <c r="U350" s="7">
        <f ca="1">IF(U$6=OFFSET(Assumptions!$B$8,0,$C$1),AVERAGE(R$350/R$348,S$350/S$348,T$350/T$348),T$350/T$348)*U$348</f>
        <v>-23.161772784616542</v>
      </c>
      <c r="V350" s="7">
        <f ca="1">IF(V$6=OFFSET(Assumptions!$B$8,0,$C$1),AVERAGE(S$350/S$348,T$350/T$348,U$350/U$348),U$350/U$348)*V$348</f>
        <v>-24.116630711876329</v>
      </c>
      <c r="W350" s="7">
        <f ca="1">IF(W$6=OFFSET(Assumptions!$B$8,0,$C$1),AVERAGE(T$350/T$348,U$350/U$348,V$350/V$348),V$350/V$348)*W$348</f>
        <v>-25.110183953042743</v>
      </c>
      <c r="X350" s="7">
        <f ca="1">IF(X$6=OFFSET(Assumptions!$B$8,0,$C$1),AVERAGE(U$350/U$348,V$350/V$348,W$350/W$348),W$350/W$348)*X$348</f>
        <v>-26.144884598570144</v>
      </c>
      <c r="Y350" s="7">
        <f ca="1">IF(Y$6=OFFSET(Assumptions!$B$8,0,$C$1),AVERAGE(V$350/V$348,W$350/W$348,X$350/X$348),X$350/X$348)*Y$348</f>
        <v>-27.216022430205374</v>
      </c>
      <c r="Z350" s="7">
        <f ca="1">IF(Z$6=OFFSET(Assumptions!$B$8,0,$C$1),AVERAGE(W$350/W$348,X$350/X$348,Y$350/Y$348),Y$350/Y$348)*Z$348</f>
        <v>-28.338154443933696</v>
      </c>
      <c r="AA350" s="7">
        <f ca="1">IF(AA$6=OFFSET(Assumptions!$B$8,0,$C$1),AVERAGE(X$350/X$348,Y$350/Y$348,Z$350/Z$348),Z$350/Z$348)*AA$348</f>
        <v>-29.513463652009374</v>
      </c>
      <c r="AB350" s="7">
        <f ca="1">IF(AB$6=OFFSET(Assumptions!$B$8,0,$C$1),AVERAGE(Y$350/Y$348,Z$350/Z$348,AA$350/AA$348),AA$350/AA$348)*AB$348</f>
        <v>-30.743371216919712</v>
      </c>
      <c r="AC350" s="7">
        <f ca="1">IF(AC$6=OFFSET(Assumptions!$B$8,0,$C$1),AVERAGE(Z$350/Z$348,AA$350/AA$348,AB$350/AB$348),AB$350/AB$348)*AC$348</f>
        <v>-32.030166280849315</v>
      </c>
      <c r="AD350" s="7">
        <f ca="1">IF(AD$6=OFFSET(Assumptions!$B$8,0,$C$1),AVERAGE(AA$350/AA$348,AB$350/AB$348,AC$350/AC$348),AC$350/AC$348)*AD$348</f>
        <v>-33.390158301389327</v>
      </c>
      <c r="AE350" s="7">
        <f ca="1">IF(AE$6=OFFSET(Assumptions!$B$8,0,$C$1),AVERAGE(AB$350/AB$348,AC$350/AC$348,AD$350/AD$348),AD$350/AD$348)*AE$348</f>
        <v>-34.825382183817297</v>
      </c>
      <c r="AF350" s="7">
        <f ca="1">IF(AF$6=OFFSET(Assumptions!$B$8,0,$C$1),AVERAGE(AC$350/AC$348,AD$350/AD$348,AE$350/AE$348),AE$350/AE$348)*AF$348</f>
        <v>-36.335185838899683</v>
      </c>
      <c r="AG350" s="7">
        <f ca="1">IF(AG$6=OFFSET(Assumptions!$B$8,0,$C$1),AVERAGE(AD$350/AD$348,AE$350/AE$348,AF$350/AF$348),AF$350/AF$348)*AG$348</f>
        <v>-37.932568362559074</v>
      </c>
      <c r="AH350" s="7">
        <f ca="1">IF(AH$6=OFFSET(Assumptions!$B$8,0,$C$1),AVERAGE(AE$350/AE$348,AF$350/AF$348,AG$350/AG$348),AG$350/AG$348)*AH$348</f>
        <v>-39.620130312672963</v>
      </c>
      <c r="AI350" s="7">
        <f ca="1">IF(AI$6=OFFSET(Assumptions!$B$8,0,$C$1),AVERAGE(AF$350/AF$348,AG$350/AG$348,AH$350/AH$348),AH$350/AH$348)*AI$348</f>
        <v>-41.397543652006341</v>
      </c>
      <c r="AJ350" s="7">
        <f ca="1">IF(AJ$6=OFFSET(Assumptions!$B$8,0,$C$1),AVERAGE(AG$350/AG$348,AH$350/AH$348,AI$350/AI$348),AI$350/AI$348)*AJ$348</f>
        <v>-43.279587384295873</v>
      </c>
      <c r="AK350" s="7">
        <f ca="1">IF(AK$6=OFFSET(Assumptions!$B$8,0,$C$1),AVERAGE(AH$350/AH$348,AI$350/AI$348,AJ$350/AJ$348),AJ$350/AJ$348)*AK$348</f>
        <v>-45.272925768701235</v>
      </c>
      <c r="AL350" s="7">
        <f ca="1">IF(AL$6=OFFSET(Assumptions!$B$8,0,$C$1),AVERAGE(AI$350/AI$348,AJ$350/AJ$348,AK$350/AK$348),AK$350/AK$348)*AL$348</f>
        <v>-47.384643295032966</v>
      </c>
      <c r="AM350" s="7">
        <f ca="1">IF(AM$6=OFFSET(Assumptions!$B$8,0,$C$1),AVERAGE(AJ$350/AJ$348,AK$350/AK$348,AL$350/AL$348),AL$350/AL$348)*AM$348</f>
        <v>-49.622256650830948</v>
      </c>
      <c r="AN350" s="7">
        <f ca="1">IF(AN$6=OFFSET(Assumptions!$B$8,0,$C$1),AVERAGE(AK$350/AK$348,AL$350/AL$348,AM$350/AM$348),AM$350/AM$348)*AN$348</f>
        <v>-51.993719626646516</v>
      </c>
      <c r="AO350" s="7">
        <f ca="1">IF(AO$6=OFFSET(Assumptions!$B$8,0,$C$1),AVERAGE(AL$350/AL$348,AM$350/AM$348,AN$350/AN$348),AN$350/AN$348)*AO$348</f>
        <v>-54.507441157410334</v>
      </c>
      <c r="AP350" s="7">
        <f ca="1">IF(AP$6=OFFSET(Assumptions!$B$8,0,$C$1),AVERAGE(AM$350/AM$348,AN$350/AN$348,AO$350/AO$348),AO$350/AO$348)*AP$348</f>
        <v>-57.172335654391162</v>
      </c>
      <c r="AQ350" s="7">
        <f ca="1">IF(AQ$6=OFFSET(Assumptions!$B$8,0,$C$1),AVERAGE(AN$350/AN$348,AO$350/AO$348,AP$350/AP$348),AP$350/AP$348)*AQ$348</f>
        <v>-59.997839148199787</v>
      </c>
      <c r="AR350" s="7">
        <f ca="1">IF(AR$6=OFFSET(Assumptions!$B$8,0,$C$1),AVERAGE(AO$350/AO$348,AP$350/AP$348,AQ$350/AQ$348),AQ$350/AQ$348)*AR$348</f>
        <v>-62.99819068023973</v>
      </c>
      <c r="AS350" s="7">
        <f ca="1">IF(AS$6=OFFSET(Assumptions!$B$8,0,$C$1),AVERAGE(AP$350/AP$348,AQ$350/AQ$348,AR$350/AR$348),AR$350/AR$348)*AS$348</f>
        <v>-66.192827117605987</v>
      </c>
      <c r="AT350" s="7">
        <f ca="1">IF(AT$6=OFFSET(Assumptions!$B$8,0,$C$1),AVERAGE(AQ$350/AQ$348,AR$350/AR$348,AS$350/AS$348),AS$350/AS$348)*AT$348</f>
        <v>-69.486398820871145</v>
      </c>
      <c r="AU350" s="7">
        <f ca="1">IF(AU$6=OFFSET(Assumptions!$B$8,0,$C$1),AVERAGE(AR$350/AR$348,AS$350/AS$348,AT$350/AT$348),AT$350/AT$348)*AU$348</f>
        <v>-72.943849527903225</v>
      </c>
      <c r="AV350" s="7">
        <f ca="1">IF(AV$6=OFFSET(Assumptions!$B$8,0,$C$1),AVERAGE(AS$350/AS$348,AT$350/AT$348,AU$350/AU$348),AU$350/AU$348)*AV$348</f>
        <v>-76.573333403935379</v>
      </c>
      <c r="AW350" s="7">
        <f ca="1">IF(AW$6=OFFSET(Assumptions!$B$8,0,$C$1),AVERAGE(AT$350/AT$348,AU$350/AU$348,AV$350/AV$348),AV$350/AV$348)*AW$348</f>
        <v>-80.383410342873262</v>
      </c>
    </row>
    <row r="351" spans="1:49" ht="15" x14ac:dyDescent="0.25">
      <c r="A351" s="2" t="s">
        <v>619</v>
      </c>
      <c r="B351" s="4"/>
      <c r="D351" s="40">
        <f t="shared" ref="D351:AW351" ca="1" si="219">SUM(D$347:D$350)</f>
        <v>54.298000000000002</v>
      </c>
      <c r="E351" s="39">
        <f t="shared" ca="1" si="219"/>
        <v>49.728999999999999</v>
      </c>
      <c r="F351" s="39">
        <f t="shared" ca="1" si="219"/>
        <v>53.289000000000001</v>
      </c>
      <c r="G351" s="39">
        <f t="shared" ca="1" si="219"/>
        <v>47.613999999999997</v>
      </c>
      <c r="H351" s="39">
        <f t="shared" ca="1" si="219"/>
        <v>45.587000000000003</v>
      </c>
      <c r="I351" s="39">
        <f t="shared" ca="1" si="219"/>
        <v>49.868000000000002</v>
      </c>
      <c r="J351" s="43">
        <f t="shared" ca="1" si="219"/>
        <v>53.26598248051981</v>
      </c>
      <c r="K351" s="43">
        <f t="shared" ca="1" si="219"/>
        <v>56.608321539689754</v>
      </c>
      <c r="L351" s="43">
        <f t="shared" ca="1" si="219"/>
        <v>60.129106978390304</v>
      </c>
      <c r="M351" s="43">
        <f t="shared" ca="1" si="219"/>
        <v>63.787725111112373</v>
      </c>
      <c r="N351" s="43">
        <f t="shared" ca="1" si="219"/>
        <v>67.597672889972287</v>
      </c>
      <c r="O351" s="43">
        <f t="shared" ca="1" si="219"/>
        <v>71.538753220437741</v>
      </c>
      <c r="P351" s="43">
        <f t="shared" ca="1" si="219"/>
        <v>75.548005208228858</v>
      </c>
      <c r="Q351" s="43">
        <f t="shared" ca="1" si="219"/>
        <v>79.627914890376957</v>
      </c>
      <c r="R351" s="43">
        <f t="shared" ca="1" si="219"/>
        <v>83.783696635750246</v>
      </c>
      <c r="S351" s="43">
        <f t="shared" ca="1" si="219"/>
        <v>88.029931309268648</v>
      </c>
      <c r="T351" s="43">
        <f t="shared" ca="1" si="219"/>
        <v>92.377084557167194</v>
      </c>
      <c r="U351" s="43">
        <f t="shared" ca="1" si="219"/>
        <v>96.827734275193365</v>
      </c>
      <c r="V351" s="43">
        <f t="shared" ca="1" si="219"/>
        <v>101.38461657895154</v>
      </c>
      <c r="W351" s="43">
        <f t="shared" ca="1" si="219"/>
        <v>106.05153972684369</v>
      </c>
      <c r="X351" s="43">
        <f t="shared" ca="1" si="219"/>
        <v>110.84058600225737</v>
      </c>
      <c r="Y351" s="43">
        <f t="shared" ca="1" si="219"/>
        <v>115.73543724230099</v>
      </c>
      <c r="Z351" s="43">
        <f t="shared" ca="1" si="219"/>
        <v>120.77216564414238</v>
      </c>
      <c r="AA351" s="43">
        <f t="shared" ca="1" si="219"/>
        <v>125.97939194619339</v>
      </c>
      <c r="AB351" s="43">
        <f t="shared" ca="1" si="219"/>
        <v>131.39509150855849</v>
      </c>
      <c r="AC351" s="43">
        <f t="shared" ca="1" si="219"/>
        <v>137.06572501417941</v>
      </c>
      <c r="AD351" s="43">
        <f t="shared" ca="1" si="219"/>
        <v>143.05218219389832</v>
      </c>
      <c r="AE351" s="43">
        <f t="shared" ca="1" si="219"/>
        <v>149.37493547039776</v>
      </c>
      <c r="AF351" s="43">
        <f t="shared" ca="1" si="219"/>
        <v>156.07433819575144</v>
      </c>
      <c r="AG351" s="43">
        <f t="shared" ca="1" si="219"/>
        <v>163.17430602911423</v>
      </c>
      <c r="AH351" s="43">
        <f t="shared" ca="1" si="219"/>
        <v>170.70438402176606</v>
      </c>
      <c r="AI351" s="43">
        <f t="shared" ca="1" si="219"/>
        <v>178.67736636748367</v>
      </c>
      <c r="AJ351" s="43">
        <f t="shared" ca="1" si="219"/>
        <v>187.13488455673038</v>
      </c>
      <c r="AK351" s="43">
        <f t="shared" ca="1" si="219"/>
        <v>196.08723566249193</v>
      </c>
      <c r="AL351" s="43">
        <f t="shared" ca="1" si="219"/>
        <v>205.55867748864526</v>
      </c>
      <c r="AM351" s="43">
        <f t="shared" ca="1" si="219"/>
        <v>215.57700345225379</v>
      </c>
      <c r="AN351" s="43">
        <f t="shared" ca="1" si="219"/>
        <v>226.15945704365612</v>
      </c>
      <c r="AO351" s="43">
        <f t="shared" ca="1" si="219"/>
        <v>237.29692664151682</v>
      </c>
      <c r="AP351" s="43">
        <f t="shared" ca="1" si="219"/>
        <v>248.98534162771037</v>
      </c>
      <c r="AQ351" s="43">
        <f t="shared" ca="1" si="219"/>
        <v>261.1996757605632</v>
      </c>
      <c r="AR351" s="43">
        <f t="shared" ca="1" si="219"/>
        <v>273.91215646090689</v>
      </c>
      <c r="AS351" s="43">
        <f t="shared" ca="1" si="219"/>
        <v>287.10619971809632</v>
      </c>
      <c r="AT351" s="43">
        <f t="shared" ca="1" si="219"/>
        <v>300.70079187658251</v>
      </c>
      <c r="AU351" s="43">
        <f t="shared" ca="1" si="219"/>
        <v>314.76103325532688</v>
      </c>
      <c r="AV351" s="43">
        <f t="shared" ca="1" si="219"/>
        <v>329.31636533199617</v>
      </c>
      <c r="AW351" s="43">
        <f t="shared" ca="1" si="219"/>
        <v>344.36043420235285</v>
      </c>
    </row>
    <row r="352" spans="1:49" ht="15" x14ac:dyDescent="0.25">
      <c r="A352" s="2"/>
      <c r="B352" s="4"/>
      <c r="D352" s="55"/>
      <c r="E352" s="56"/>
      <c r="F352" s="56"/>
      <c r="G352" s="56"/>
      <c r="H352" s="56"/>
      <c r="I352" s="56"/>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row>
    <row r="353" spans="1:49" ht="15" x14ac:dyDescent="0.25">
      <c r="A353" s="22" t="s">
        <v>235</v>
      </c>
      <c r="B353" s="4"/>
      <c r="D353" s="55"/>
      <c r="E353" s="56"/>
      <c r="F353" s="56"/>
      <c r="G353" s="56"/>
      <c r="H353" s="56"/>
      <c r="I353" s="56"/>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row>
    <row r="354" spans="1:49" x14ac:dyDescent="0.2">
      <c r="A354" s="1" t="s">
        <v>631</v>
      </c>
      <c r="B354" s="4" t="str">
        <f t="shared" ref="B354:B355" si="220">$B$43</f>
        <v>From Fiscal</v>
      </c>
      <c r="D354" s="18">
        <f ca="1">MIN(ROUND((D$372-SUM(D$332,D$338,D$377))*OFFSET(Assumptions!$B$61,0,$C$1),3),Fiscal!D$170)</f>
        <v>15.353999999999999</v>
      </c>
      <c r="E354" s="19">
        <f ca="1">MIN(ROUND((E$372-SUM(E$332,E$338,E$377))*OFFSET(Assumptions!$B$61,0,$C$1),3),Fiscal!E$170)</f>
        <v>14.331</v>
      </c>
      <c r="F354" s="19">
        <f ca="1">MIN(ROUND((F$372-SUM(F$332,F$338,F$377))*OFFSET(Assumptions!$B$61,0,$C$1),3),Fiscal!F$170)</f>
        <v>15.18</v>
      </c>
      <c r="G354" s="19">
        <f ca="1">MIN(ROUND((G$372-SUM(G$332,G$338,G$377))*OFFSET(Assumptions!$B$61,0,$C$1),3),Fiscal!G$170)</f>
        <v>16.184000000000001</v>
      </c>
      <c r="H354" s="19">
        <f ca="1">MIN(ROUND((H$372-SUM(H$332,H$338,H$377))*OFFSET(Assumptions!$B$61,0,$C$1),3),Fiscal!H$170)</f>
        <v>17.247</v>
      </c>
      <c r="I354" s="19">
        <f ca="1">MIN(ROUND((I$372-SUM(I$332,I$338,I$377))*OFFSET(Assumptions!$B$61,0,$C$1),3),Fiscal!I$170)</f>
        <v>18.385000000000002</v>
      </c>
      <c r="J354" s="7">
        <f ca="1">(J$372-SUM(J$332,J$338,J$377))*OFFSET(Assumptions!$B$61,0,$C$1)</f>
        <v>21.118981061485922</v>
      </c>
      <c r="K354" s="7">
        <f ca="1">(K$372-SUM(K$332,K$338,K$377))*OFFSET(Assumptions!$B$61,0,$C$1)</f>
        <v>23.730196444606662</v>
      </c>
      <c r="L354" s="7">
        <f ca="1">(L$372-SUM(L$332,L$338,L$377))*OFFSET(Assumptions!$B$61,0,$C$1)</f>
        <v>26.445095862608049</v>
      </c>
      <c r="M354" s="7">
        <f ca="1">(M$372-SUM(M$332,M$338,M$377))*OFFSET(Assumptions!$B$61,0,$C$1)</f>
        <v>29.253304143684502</v>
      </c>
      <c r="N354" s="7">
        <f ca="1">(N$372-SUM(N$332,N$338,N$377))*OFFSET(Assumptions!$B$61,0,$C$1)</f>
        <v>32.148517009273817</v>
      </c>
      <c r="O354" s="7">
        <f ca="1">(O$372-SUM(O$332,O$338,O$377))*OFFSET(Assumptions!$B$61,0,$C$1)</f>
        <v>35.077830718371345</v>
      </c>
      <c r="P354" s="7">
        <f ca="1">(P$372-SUM(P$332,P$338,P$377))*OFFSET(Assumptions!$B$61,0,$C$1)</f>
        <v>38.02247941085983</v>
      </c>
      <c r="Q354" s="7">
        <f ca="1">(Q$372-SUM(Q$332,Q$338,Q$377))*OFFSET(Assumptions!$B$61,0,$C$1)</f>
        <v>40.977794751878129</v>
      </c>
      <c r="R354" s="7">
        <f ca="1">(R$372-SUM(R$332,R$338,R$377))*OFFSET(Assumptions!$B$61,0,$C$1)</f>
        <v>43.946436424348455</v>
      </c>
      <c r="S354" s="7">
        <f ca="1">(S$372-SUM(S$332,S$338,S$377))*OFFSET(Assumptions!$B$61,0,$C$1)</f>
        <v>46.94744465307469</v>
      </c>
      <c r="T354" s="7">
        <f ca="1">(T$372-SUM(T$332,T$338,T$377))*OFFSET(Assumptions!$B$61,0,$C$1)</f>
        <v>49.986792326501025</v>
      </c>
      <c r="U354" s="7">
        <f ca="1">(U$372-SUM(U$332,U$338,U$377))*OFFSET(Assumptions!$B$61,0,$C$1)</f>
        <v>53.060159773538437</v>
      </c>
      <c r="V354" s="7">
        <f ca="1">(V$372-SUM(V$332,V$338,V$377))*OFFSET(Assumptions!$B$61,0,$C$1)</f>
        <v>56.161450553539716</v>
      </c>
      <c r="W354" s="7">
        <f ca="1">(W$372-SUM(W$332,W$338,W$377))*OFFSET(Assumptions!$B$61,0,$C$1)</f>
        <v>59.285221058871215</v>
      </c>
      <c r="X354" s="7">
        <f ca="1">(X$372-SUM(X$332,X$338,X$377))*OFFSET(Assumptions!$B$61,0,$C$1)</f>
        <v>62.438379467246861</v>
      </c>
      <c r="Y354" s="7">
        <f ca="1">(Y$372-SUM(Y$332,Y$338,Y$377))*OFFSET(Assumptions!$B$61,0,$C$1)</f>
        <v>65.603908636832415</v>
      </c>
      <c r="Z354" s="7">
        <f ca="1">(Z$372-SUM(Z$332,Z$338,Z$377))*OFFSET(Assumptions!$B$61,0,$C$1)</f>
        <v>68.800792192044</v>
      </c>
      <c r="AA354" s="7">
        <f ca="1">(AA$372-SUM(AA$332,AA$338,AA$377))*OFFSET(Assumptions!$B$61,0,$C$1)</f>
        <v>72.064347262044038</v>
      </c>
      <c r="AB354" s="7">
        <f ca="1">(AB$372-SUM(AB$332,AB$338,AB$377))*OFFSET(Assumptions!$B$61,0,$C$1)</f>
        <v>75.441108321494198</v>
      </c>
      <c r="AC354" s="7">
        <f ca="1">(AC$372-SUM(AC$332,AC$338,AC$377))*OFFSET(Assumptions!$B$61,0,$C$1)</f>
        <v>78.986449803827355</v>
      </c>
      <c r="AD354" s="7">
        <f ca="1">(AD$372-SUM(AD$332,AD$338,AD$377))*OFFSET(Assumptions!$B$61,0,$C$1)</f>
        <v>82.763588803590366</v>
      </c>
      <c r="AE354" s="7">
        <f ca="1">(AE$372-SUM(AE$332,AE$338,AE$377))*OFFSET(Assumptions!$B$61,0,$C$1)</f>
        <v>86.802985136009994</v>
      </c>
      <c r="AF354" s="7">
        <f ca="1">(AF$372-SUM(AF$332,AF$338,AF$377))*OFFSET(Assumptions!$B$61,0,$C$1)</f>
        <v>91.157181567970824</v>
      </c>
      <c r="AG354" s="7">
        <f ca="1">(AG$372-SUM(AG$332,AG$338,AG$377))*OFFSET(Assumptions!$B$61,0,$C$1)</f>
        <v>95.840261636126755</v>
      </c>
      <c r="AH354" s="7">
        <f ca="1">(AH$372-SUM(AH$332,AH$338,AH$377))*OFFSET(Assumptions!$B$61,0,$C$1)</f>
        <v>100.88691485932358</v>
      </c>
      <c r="AI354" s="7">
        <f ca="1">(AI$372-SUM(AI$332,AI$338,AI$377))*OFFSET(Assumptions!$B$61,0,$C$1)</f>
        <v>106.32323914186419</v>
      </c>
      <c r="AJ354" s="7">
        <f ca="1">(AJ$372-SUM(AJ$332,AJ$338,AJ$377))*OFFSET(Assumptions!$B$61,0,$C$1)</f>
        <v>112.17687822051718</v>
      </c>
      <c r="AK354" s="7">
        <f ca="1">(AK$372-SUM(AK$332,AK$338,AK$377))*OFFSET(Assumptions!$B$61,0,$C$1)</f>
        <v>118.45632750424166</v>
      </c>
      <c r="AL354" s="7">
        <f ca="1">(AL$372-SUM(AL$332,AL$338,AL$377))*OFFSET(Assumptions!$B$61,0,$C$1)</f>
        <v>125.19035738790954</v>
      </c>
      <c r="AM354" s="7">
        <f ca="1">(AM$372-SUM(AM$332,AM$338,AM$377))*OFFSET(Assumptions!$B$61,0,$C$1)</f>
        <v>132.40335876968788</v>
      </c>
      <c r="AN354" s="7">
        <f ca="1">(AN$372-SUM(AN$332,AN$338,AN$377))*OFFSET(Assumptions!$B$61,0,$C$1)</f>
        <v>140.10291639190515</v>
      </c>
      <c r="AO354" s="7">
        <f ca="1">(AO$372-SUM(AO$332,AO$338,AO$377))*OFFSET(Assumptions!$B$61,0,$C$1)</f>
        <v>148.28033428449723</v>
      </c>
      <c r="AP354" s="7">
        <f ca="1">(AP$372-SUM(AP$332,AP$338,AP$377))*OFFSET(Assumptions!$B$61,0,$C$1)</f>
        <v>156.89598326585934</v>
      </c>
      <c r="AQ354" s="7">
        <f ca="1">(AQ$372-SUM(AQ$332,AQ$338,AQ$377))*OFFSET(Assumptions!$B$61,0,$C$1)</f>
        <v>165.91143561857297</v>
      </c>
      <c r="AR354" s="7">
        <f ca="1">(AR$372-SUM(AR$332,AR$338,AR$377))*OFFSET(Assumptions!$B$61,0,$C$1)</f>
        <v>175.25759721665204</v>
      </c>
      <c r="AS354" s="7">
        <f ca="1">(AS$372-SUM(AS$332,AS$338,AS$377))*OFFSET(Assumptions!$B$61,0,$C$1)</f>
        <v>184.86787194227003</v>
      </c>
      <c r="AT354" s="7">
        <f ca="1">(AT$372-SUM(AT$332,AT$338,AT$377))*OFFSET(Assumptions!$B$61,0,$C$1)</f>
        <v>194.76246647805257</v>
      </c>
      <c r="AU354" s="7">
        <f ca="1">(AU$372-SUM(AU$332,AU$338,AU$377))*OFFSET(Assumptions!$B$61,0,$C$1)</f>
        <v>204.93236625855749</v>
      </c>
      <c r="AV354" s="7">
        <f ca="1">(AV$372-SUM(AV$332,AV$338,AV$377))*OFFSET(Assumptions!$B$61,0,$C$1)</f>
        <v>215.39185030336347</v>
      </c>
      <c r="AW354" s="7">
        <f ca="1">(AW$372-SUM(AW$332,AW$338,AW$377))*OFFSET(Assumptions!$B$61,0,$C$1)</f>
        <v>226.12156952547622</v>
      </c>
    </row>
    <row r="355" spans="1:49" x14ac:dyDescent="0.2">
      <c r="A355" s="1" t="s">
        <v>632</v>
      </c>
      <c r="B355" s="4" t="str">
        <f t="shared" si="220"/>
        <v>From Fiscal</v>
      </c>
      <c r="D355" s="18">
        <f ca="1">Fiscal!D$170-D$354</f>
        <v>0</v>
      </c>
      <c r="E355" s="19">
        <f ca="1">Fiscal!E$170-E$354</f>
        <v>0</v>
      </c>
      <c r="F355" s="19">
        <f ca="1">Fiscal!F$170-F$354</f>
        <v>0</v>
      </c>
      <c r="G355" s="19">
        <f ca="1">Fiscal!G$170-G$354</f>
        <v>0</v>
      </c>
      <c r="H355" s="19">
        <f ca="1">Fiscal!H$170-H$354</f>
        <v>0</v>
      </c>
      <c r="I355" s="19">
        <f ca="1">Fiscal!I$170-I$354</f>
        <v>0</v>
      </c>
      <c r="J355" s="7">
        <f ca="1">IF(J$6=OFFSET(Assumptions!$B$8,0,$C$1),AVERAGE(G$355/G$354,H$355/H$354,I$355/I$354),I$355/I$354)*J$354</f>
        <v>0</v>
      </c>
      <c r="K355" s="7">
        <f ca="1">IF(K$6=OFFSET(Assumptions!$B$8,0,$C$1),AVERAGE(H$355/H$354,I$355/I$354,J$355/J$354),J$355/J$354)*K$354</f>
        <v>0</v>
      </c>
      <c r="L355" s="7">
        <f ca="1">IF(L$6=OFFSET(Assumptions!$B$8,0,$C$1),AVERAGE(I$355/I$354,J$355/J$354,K$355/K$354),K$355/K$354)*L$354</f>
        <v>0</v>
      </c>
      <c r="M355" s="7">
        <f ca="1">IF(M$6=OFFSET(Assumptions!$B$8,0,$C$1),AVERAGE(J$355/J$354,K$355/K$354,L$355/L$354),L$355/L$354)*M$354</f>
        <v>0</v>
      </c>
      <c r="N355" s="7">
        <f ca="1">IF(N$6=OFFSET(Assumptions!$B$8,0,$C$1),AVERAGE(K$355/K$354,L$355/L$354,M$355/M$354),M$355/M$354)*N$354</f>
        <v>0</v>
      </c>
      <c r="O355" s="7">
        <f ca="1">IF(O$6=OFFSET(Assumptions!$B$8,0,$C$1),AVERAGE(L$355/L$354,M$355/M$354,N$355/N$354),N$355/N$354)*O$354</f>
        <v>0</v>
      </c>
      <c r="P355" s="7">
        <f ca="1">IF(P$6=OFFSET(Assumptions!$B$8,0,$C$1),AVERAGE(M$355/M$354,N$355/N$354,O$355/O$354),O$355/O$354)*P$354</f>
        <v>0</v>
      </c>
      <c r="Q355" s="7">
        <f ca="1">IF(Q$6=OFFSET(Assumptions!$B$8,0,$C$1),AVERAGE(N$355/N$354,O$355/O$354,P$355/P$354),P$355/P$354)*Q$354</f>
        <v>0</v>
      </c>
      <c r="R355" s="7">
        <f ca="1">IF(R$6=OFFSET(Assumptions!$B$8,0,$C$1),AVERAGE(O$355/O$354,P$355/P$354,Q$355/Q$354),Q$355/Q$354)*R$354</f>
        <v>0</v>
      </c>
      <c r="S355" s="7">
        <f ca="1">IF(S$6=OFFSET(Assumptions!$B$8,0,$C$1),AVERAGE(P$355/P$354,Q$355/Q$354,R$355/R$354),R$355/R$354)*S$354</f>
        <v>0</v>
      </c>
      <c r="T355" s="7">
        <f ca="1">IF(T$6=OFFSET(Assumptions!$B$8,0,$C$1),AVERAGE(Q$355/Q$354,R$355/R$354,S$355/S$354),S$355/S$354)*T$354</f>
        <v>0</v>
      </c>
      <c r="U355" s="7">
        <f ca="1">IF(U$6=OFFSET(Assumptions!$B$8,0,$C$1),AVERAGE(R$355/R$354,S$355/S$354,T$355/T$354),T$355/T$354)*U$354</f>
        <v>0</v>
      </c>
      <c r="V355" s="7">
        <f ca="1">IF(V$6=OFFSET(Assumptions!$B$8,0,$C$1),AVERAGE(S$355/S$354,T$355/T$354,U$355/U$354),U$355/U$354)*V$354</f>
        <v>0</v>
      </c>
      <c r="W355" s="7">
        <f ca="1">IF(W$6=OFFSET(Assumptions!$B$8,0,$C$1),AVERAGE(T$355/T$354,U$355/U$354,V$355/V$354),V$355/V$354)*W$354</f>
        <v>0</v>
      </c>
      <c r="X355" s="7">
        <f ca="1">IF(X$6=OFFSET(Assumptions!$B$8,0,$C$1),AVERAGE(U$355/U$354,V$355/V$354,W$355/W$354),W$355/W$354)*X$354</f>
        <v>0</v>
      </c>
      <c r="Y355" s="7">
        <f ca="1">IF(Y$6=OFFSET(Assumptions!$B$8,0,$C$1),AVERAGE(V$355/V$354,W$355/W$354,X$355/X$354),X$355/X$354)*Y$354</f>
        <v>0</v>
      </c>
      <c r="Z355" s="7">
        <f ca="1">IF(Z$6=OFFSET(Assumptions!$B$8,0,$C$1),AVERAGE(W$355/W$354,X$355/X$354,Y$355/Y$354),Y$355/Y$354)*Z$354</f>
        <v>0</v>
      </c>
      <c r="AA355" s="7">
        <f ca="1">IF(AA$6=OFFSET(Assumptions!$B$8,0,$C$1),AVERAGE(X$355/X$354,Y$355/Y$354,Z$355/Z$354),Z$355/Z$354)*AA$354</f>
        <v>0</v>
      </c>
      <c r="AB355" s="7">
        <f ca="1">IF(AB$6=OFFSET(Assumptions!$B$8,0,$C$1),AVERAGE(Y$355/Y$354,Z$355/Z$354,AA$355/AA$354),AA$355/AA$354)*AB$354</f>
        <v>0</v>
      </c>
      <c r="AC355" s="7">
        <f ca="1">IF(AC$6=OFFSET(Assumptions!$B$8,0,$C$1),AVERAGE(Z$355/Z$354,AA$355/AA$354,AB$355/AB$354),AB$355/AB$354)*AC$354</f>
        <v>0</v>
      </c>
      <c r="AD355" s="7">
        <f ca="1">IF(AD$6=OFFSET(Assumptions!$B$8,0,$C$1),AVERAGE(AA$355/AA$354,AB$355/AB$354,AC$355/AC$354),AC$355/AC$354)*AD$354</f>
        <v>0</v>
      </c>
      <c r="AE355" s="7">
        <f ca="1">IF(AE$6=OFFSET(Assumptions!$B$8,0,$C$1),AVERAGE(AB$355/AB$354,AC$355/AC$354,AD$355/AD$354),AD$355/AD$354)*AE$354</f>
        <v>0</v>
      </c>
      <c r="AF355" s="7">
        <f ca="1">IF(AF$6=OFFSET(Assumptions!$B$8,0,$C$1),AVERAGE(AC$355/AC$354,AD$355/AD$354,AE$355/AE$354),AE$355/AE$354)*AF$354</f>
        <v>0</v>
      </c>
      <c r="AG355" s="7">
        <f ca="1">IF(AG$6=OFFSET(Assumptions!$B$8,0,$C$1),AVERAGE(AD$355/AD$354,AE$355/AE$354,AF$355/AF$354),AF$355/AF$354)*AG$354</f>
        <v>0</v>
      </c>
      <c r="AH355" s="7">
        <f ca="1">IF(AH$6=OFFSET(Assumptions!$B$8,0,$C$1),AVERAGE(AE$355/AE$354,AF$355/AF$354,AG$355/AG$354),AG$355/AG$354)*AH$354</f>
        <v>0</v>
      </c>
      <c r="AI355" s="7">
        <f ca="1">IF(AI$6=OFFSET(Assumptions!$B$8,0,$C$1),AVERAGE(AF$355/AF$354,AG$355/AG$354,AH$355/AH$354),AH$355/AH$354)*AI$354</f>
        <v>0</v>
      </c>
      <c r="AJ355" s="7">
        <f ca="1">IF(AJ$6=OFFSET(Assumptions!$B$8,0,$C$1),AVERAGE(AG$355/AG$354,AH$355/AH$354,AI$355/AI$354),AI$355/AI$354)*AJ$354</f>
        <v>0</v>
      </c>
      <c r="AK355" s="7">
        <f ca="1">IF(AK$6=OFFSET(Assumptions!$B$8,0,$C$1),AVERAGE(AH$355/AH$354,AI$355/AI$354,AJ$355/AJ$354),AJ$355/AJ$354)*AK$354</f>
        <v>0</v>
      </c>
      <c r="AL355" s="7">
        <f ca="1">IF(AL$6=OFFSET(Assumptions!$B$8,0,$C$1),AVERAGE(AI$355/AI$354,AJ$355/AJ$354,AK$355/AK$354),AK$355/AK$354)*AL$354</f>
        <v>0</v>
      </c>
      <c r="AM355" s="7">
        <f ca="1">IF(AM$6=OFFSET(Assumptions!$B$8,0,$C$1),AVERAGE(AJ$355/AJ$354,AK$355/AK$354,AL$355/AL$354),AL$355/AL$354)*AM$354</f>
        <v>0</v>
      </c>
      <c r="AN355" s="7">
        <f ca="1">IF(AN$6=OFFSET(Assumptions!$B$8,0,$C$1),AVERAGE(AK$355/AK$354,AL$355/AL$354,AM$355/AM$354),AM$355/AM$354)*AN$354</f>
        <v>0</v>
      </c>
      <c r="AO355" s="7">
        <f ca="1">IF(AO$6=OFFSET(Assumptions!$B$8,0,$C$1),AVERAGE(AL$355/AL$354,AM$355/AM$354,AN$355/AN$354),AN$355/AN$354)*AO$354</f>
        <v>0</v>
      </c>
      <c r="AP355" s="7">
        <f ca="1">IF(AP$6=OFFSET(Assumptions!$B$8,0,$C$1),AVERAGE(AM$355/AM$354,AN$355/AN$354,AO$355/AO$354),AO$355/AO$354)*AP$354</f>
        <v>0</v>
      </c>
      <c r="AQ355" s="7">
        <f ca="1">IF(AQ$6=OFFSET(Assumptions!$B$8,0,$C$1),AVERAGE(AN$355/AN$354,AO$355/AO$354,AP$355/AP$354),AP$355/AP$354)*AQ$354</f>
        <v>0</v>
      </c>
      <c r="AR355" s="7">
        <f ca="1">IF(AR$6=OFFSET(Assumptions!$B$8,0,$C$1),AVERAGE(AO$355/AO$354,AP$355/AP$354,AQ$355/AQ$354),AQ$355/AQ$354)*AR$354</f>
        <v>0</v>
      </c>
      <c r="AS355" s="7">
        <f ca="1">IF(AS$6=OFFSET(Assumptions!$B$8,0,$C$1),AVERAGE(AP$355/AP$354,AQ$355/AQ$354,AR$355/AR$354),AR$355/AR$354)*AS$354</f>
        <v>0</v>
      </c>
      <c r="AT355" s="7">
        <f ca="1">IF(AT$6=OFFSET(Assumptions!$B$8,0,$C$1),AVERAGE(AQ$355/AQ$354,AR$355/AR$354,AS$355/AS$354),AS$355/AS$354)*AT$354</f>
        <v>0</v>
      </c>
      <c r="AU355" s="7">
        <f ca="1">IF(AU$6=OFFSET(Assumptions!$B$8,0,$C$1),AVERAGE(AR$355/AR$354,AS$355/AS$354,AT$355/AT$354),AT$355/AT$354)*AU$354</f>
        <v>0</v>
      </c>
      <c r="AV355" s="7">
        <f ca="1">IF(AV$6=OFFSET(Assumptions!$B$8,0,$C$1),AVERAGE(AS$355/AS$354,AT$355/AT$354,AU$355/AU$354),AU$355/AU$354)*AV$354</f>
        <v>0</v>
      </c>
      <c r="AW355" s="7">
        <f ca="1">IF(AW$6=OFFSET(Assumptions!$B$8,0,$C$1),AVERAGE(AT$355/AT$354,AU$355/AU$354,AV$355/AV$354),AV$355/AV$354)*AW$354</f>
        <v>0</v>
      </c>
    </row>
    <row r="356" spans="1:49" ht="15" x14ac:dyDescent="0.25">
      <c r="A356" s="2" t="s">
        <v>633</v>
      </c>
      <c r="B356" s="4"/>
      <c r="D356" s="40">
        <f t="shared" ref="D356:AW356" ca="1" si="221">SUM(D$354:D$355)</f>
        <v>15.353999999999999</v>
      </c>
      <c r="E356" s="39">
        <f t="shared" ca="1" si="221"/>
        <v>14.331</v>
      </c>
      <c r="F356" s="39">
        <f t="shared" ca="1" si="221"/>
        <v>15.18</v>
      </c>
      <c r="G356" s="39">
        <f t="shared" ca="1" si="221"/>
        <v>16.184000000000001</v>
      </c>
      <c r="H356" s="39">
        <f t="shared" ca="1" si="221"/>
        <v>17.247</v>
      </c>
      <c r="I356" s="39">
        <f t="shared" ca="1" si="221"/>
        <v>18.385000000000002</v>
      </c>
      <c r="J356" s="43">
        <f t="shared" ca="1" si="221"/>
        <v>21.118981061485922</v>
      </c>
      <c r="K356" s="43">
        <f t="shared" ca="1" si="221"/>
        <v>23.730196444606662</v>
      </c>
      <c r="L356" s="43">
        <f t="shared" ca="1" si="221"/>
        <v>26.445095862608049</v>
      </c>
      <c r="M356" s="43">
        <f t="shared" ca="1" si="221"/>
        <v>29.253304143684502</v>
      </c>
      <c r="N356" s="43">
        <f t="shared" ca="1" si="221"/>
        <v>32.148517009273817</v>
      </c>
      <c r="O356" s="43">
        <f t="shared" ca="1" si="221"/>
        <v>35.077830718371345</v>
      </c>
      <c r="P356" s="43">
        <f t="shared" ca="1" si="221"/>
        <v>38.02247941085983</v>
      </c>
      <c r="Q356" s="43">
        <f t="shared" ca="1" si="221"/>
        <v>40.977794751878129</v>
      </c>
      <c r="R356" s="43">
        <f t="shared" ca="1" si="221"/>
        <v>43.946436424348455</v>
      </c>
      <c r="S356" s="43">
        <f t="shared" ca="1" si="221"/>
        <v>46.94744465307469</v>
      </c>
      <c r="T356" s="43">
        <f t="shared" ca="1" si="221"/>
        <v>49.986792326501025</v>
      </c>
      <c r="U356" s="43">
        <f t="shared" ca="1" si="221"/>
        <v>53.060159773538437</v>
      </c>
      <c r="V356" s="43">
        <f t="shared" ca="1" si="221"/>
        <v>56.161450553539716</v>
      </c>
      <c r="W356" s="43">
        <f t="shared" ca="1" si="221"/>
        <v>59.285221058871215</v>
      </c>
      <c r="X356" s="43">
        <f t="shared" ca="1" si="221"/>
        <v>62.438379467246861</v>
      </c>
      <c r="Y356" s="43">
        <f t="shared" ca="1" si="221"/>
        <v>65.603908636832415</v>
      </c>
      <c r="Z356" s="43">
        <f t="shared" ca="1" si="221"/>
        <v>68.800792192044</v>
      </c>
      <c r="AA356" s="43">
        <f t="shared" ca="1" si="221"/>
        <v>72.064347262044038</v>
      </c>
      <c r="AB356" s="43">
        <f t="shared" ca="1" si="221"/>
        <v>75.441108321494198</v>
      </c>
      <c r="AC356" s="43">
        <f t="shared" ca="1" si="221"/>
        <v>78.986449803827355</v>
      </c>
      <c r="AD356" s="43">
        <f t="shared" ca="1" si="221"/>
        <v>82.763588803590366</v>
      </c>
      <c r="AE356" s="43">
        <f t="shared" ca="1" si="221"/>
        <v>86.802985136009994</v>
      </c>
      <c r="AF356" s="43">
        <f t="shared" ca="1" si="221"/>
        <v>91.157181567970824</v>
      </c>
      <c r="AG356" s="43">
        <f t="shared" ca="1" si="221"/>
        <v>95.840261636126755</v>
      </c>
      <c r="AH356" s="43">
        <f t="shared" ca="1" si="221"/>
        <v>100.88691485932358</v>
      </c>
      <c r="AI356" s="43">
        <f t="shared" ca="1" si="221"/>
        <v>106.32323914186419</v>
      </c>
      <c r="AJ356" s="43">
        <f t="shared" ca="1" si="221"/>
        <v>112.17687822051718</v>
      </c>
      <c r="AK356" s="43">
        <f t="shared" ca="1" si="221"/>
        <v>118.45632750424166</v>
      </c>
      <c r="AL356" s="43">
        <f t="shared" ca="1" si="221"/>
        <v>125.19035738790954</v>
      </c>
      <c r="AM356" s="43">
        <f t="shared" ca="1" si="221"/>
        <v>132.40335876968788</v>
      </c>
      <c r="AN356" s="43">
        <f t="shared" ca="1" si="221"/>
        <v>140.10291639190515</v>
      </c>
      <c r="AO356" s="43">
        <f t="shared" ca="1" si="221"/>
        <v>148.28033428449723</v>
      </c>
      <c r="AP356" s="43">
        <f t="shared" ca="1" si="221"/>
        <v>156.89598326585934</v>
      </c>
      <c r="AQ356" s="43">
        <f t="shared" ca="1" si="221"/>
        <v>165.91143561857297</v>
      </c>
      <c r="AR356" s="43">
        <f t="shared" ca="1" si="221"/>
        <v>175.25759721665204</v>
      </c>
      <c r="AS356" s="43">
        <f t="shared" ca="1" si="221"/>
        <v>184.86787194227003</v>
      </c>
      <c r="AT356" s="43">
        <f t="shared" ca="1" si="221"/>
        <v>194.76246647805257</v>
      </c>
      <c r="AU356" s="43">
        <f t="shared" ca="1" si="221"/>
        <v>204.93236625855749</v>
      </c>
      <c r="AV356" s="43">
        <f t="shared" ca="1" si="221"/>
        <v>215.39185030336347</v>
      </c>
      <c r="AW356" s="43">
        <f t="shared" ca="1" si="221"/>
        <v>226.12156952547622</v>
      </c>
    </row>
    <row r="357" spans="1:49" x14ac:dyDescent="0.2">
      <c r="A357" s="1" t="s">
        <v>295</v>
      </c>
      <c r="B357" s="4" t="str">
        <f t="shared" ref="B357:B359" si="222">$B$43</f>
        <v>From Fiscal</v>
      </c>
      <c r="D357" s="18">
        <f>Fiscal!D$204</f>
        <v>10.454000000000001</v>
      </c>
      <c r="E357" s="19">
        <f>Fiscal!E$204</f>
        <v>11.47</v>
      </c>
      <c r="F357" s="19">
        <f>Fiscal!F$204</f>
        <v>11.804</v>
      </c>
      <c r="G357" s="19">
        <f>Fiscal!G$204</f>
        <v>12.169</v>
      </c>
      <c r="H357" s="19">
        <f>Fiscal!H$204</f>
        <v>12.577999999999999</v>
      </c>
      <c r="I357" s="19">
        <f>Fiscal!I$204</f>
        <v>12.999000000000001</v>
      </c>
      <c r="J357" s="7">
        <f>I$357*Exogenous!Q$28/Exogenous!P$28</f>
        <v>13.613867643720187</v>
      </c>
      <c r="K357" s="7">
        <f>J$357*Exogenous!R$28/Exogenous!Q$28</f>
        <v>14.22981854695985</v>
      </c>
      <c r="L357" s="7">
        <f>K$357*Exogenous!S$28/Exogenous!R$28</f>
        <v>14.857035800735435</v>
      </c>
      <c r="M357" s="7">
        <f>L$357*Exogenous!T$28/Exogenous!S$28</f>
        <v>15.497048036602528</v>
      </c>
      <c r="N357" s="7">
        <f>M$357*Exogenous!U$28/Exogenous!T$28</f>
        <v>16.16059620804463</v>
      </c>
      <c r="O357" s="7">
        <f>N$357*Exogenous!V$28/Exogenous!U$28</f>
        <v>16.866472490780289</v>
      </c>
      <c r="P357" s="7">
        <f>O$357*Exogenous!W$28/Exogenous!V$28</f>
        <v>17.588679780418975</v>
      </c>
      <c r="Q357" s="7">
        <f>P$357*Exogenous!X$28/Exogenous!W$28</f>
        <v>18.333568547183422</v>
      </c>
      <c r="R357" s="7">
        <f>Q$357*Exogenous!Y$28/Exogenous!X$28</f>
        <v>19.105158332057151</v>
      </c>
      <c r="S357" s="7">
        <f>R$357*Exogenous!Z$28/Exogenous!Y$28</f>
        <v>19.901307857931243</v>
      </c>
      <c r="T357" s="7">
        <f>S$357*Exogenous!AA$28/Exogenous!Z$28</f>
        <v>20.727480499696615</v>
      </c>
      <c r="U357" s="7">
        <f>T$357*Exogenous!AB$28/Exogenous!AA$28</f>
        <v>21.584018657073219</v>
      </c>
      <c r="V357" s="7">
        <f>U$357*Exogenous!AC$28/Exogenous!AB$28</f>
        <v>22.473832727372617</v>
      </c>
      <c r="W357" s="7">
        <f>V$357*Exogenous!AD$28/Exogenous!AC$28</f>
        <v>23.399706229955914</v>
      </c>
      <c r="X357" s="7">
        <f>W$357*Exogenous!AE$28/Exogenous!AD$28</f>
        <v>24.363924221610773</v>
      </c>
      <c r="Y357" s="7">
        <f>X$357*Exogenous!AF$28/Exogenous!AE$28</f>
        <v>25.362097338897684</v>
      </c>
      <c r="Z357" s="7">
        <f>Y$357*Exogenous!AG$28/Exogenous!AF$28</f>
        <v>26.407790971472199</v>
      </c>
      <c r="AA357" s="7">
        <f>Z$357*Exogenous!AH$28/Exogenous!AG$28</f>
        <v>27.50303942722875</v>
      </c>
      <c r="AB357" s="7">
        <f>AA$357*Exogenous!AI$28/Exogenous!AH$28</f>
        <v>28.649167060651166</v>
      </c>
      <c r="AC357" s="7">
        <f>AB$357*Exogenous!AJ$28/Exogenous!AI$28</f>
        <v>29.848307080111731</v>
      </c>
      <c r="AD357" s="7">
        <f>AC$357*Exogenous!AK$28/Exogenous!AJ$28</f>
        <v>31.115657961141988</v>
      </c>
      <c r="AE357" s="7">
        <f>AD$357*Exogenous!AL$28/Exogenous!AK$28</f>
        <v>32.453115993541694</v>
      </c>
      <c r="AF357" s="7">
        <f>AE$357*Exogenous!AM$28/Exogenous!AL$28</f>
        <v>33.860073507668567</v>
      </c>
      <c r="AG357" s="7">
        <f>AF$357*Exogenous!AN$28/Exogenous!AM$28</f>
        <v>35.348644115530085</v>
      </c>
      <c r="AH357" s="7">
        <f>AG$357*Exogenous!AO$28/Exogenous!AN$28</f>
        <v>36.921251227901777</v>
      </c>
      <c r="AI357" s="7">
        <f>AH$357*Exogenous!AP$28/Exogenous!AO$28</f>
        <v>38.577589153079188</v>
      </c>
      <c r="AJ357" s="7">
        <f>AI$357*Exogenous!AQ$28/Exogenous!AP$28</f>
        <v>40.331430165548888</v>
      </c>
      <c r="AK357" s="7">
        <f>AJ$357*Exogenous!AR$28/Exogenous!AQ$28</f>
        <v>42.188984562569878</v>
      </c>
      <c r="AL357" s="7">
        <f>AK$357*Exogenous!AS$28/Exogenous!AR$28</f>
        <v>44.156854246408813</v>
      </c>
      <c r="AM357" s="7">
        <f>AL$357*Exogenous!AT$28/Exogenous!AS$28</f>
        <v>46.24204387623444</v>
      </c>
      <c r="AN357" s="7">
        <f>AM$357*Exogenous!AU$28/Exogenous!AT$28</f>
        <v>48.451965439257371</v>
      </c>
      <c r="AO357" s="7">
        <f>AN$357*Exogenous!AV$28/Exogenous!AU$28</f>
        <v>50.79445506314007</v>
      </c>
      <c r="AP357" s="7">
        <f>AO$357*Exogenous!AW$28/Exogenous!AV$28</f>
        <v>53.27781991939878</v>
      </c>
      <c r="AQ357" s="7">
        <f>AP$357*Exogenous!AX$28/Exogenous!AW$28</f>
        <v>55.910853266763965</v>
      </c>
      <c r="AR357" s="7">
        <f>AQ$357*Exogenous!AY$28/Exogenous!AX$28</f>
        <v>58.706824199020929</v>
      </c>
      <c r="AS357" s="7">
        <f>AR$357*Exogenous!AZ$28/Exogenous!AY$28</f>
        <v>61.683845565557966</v>
      </c>
      <c r="AT357" s="7">
        <f>AS$357*Exogenous!BA$28/Exogenous!AZ$28</f>
        <v>64.753062838032861</v>
      </c>
      <c r="AU357" s="7">
        <f>AT$357*Exogenous!BB$28/Exogenous!BA$28</f>
        <v>67.974995859328018</v>
      </c>
      <c r="AV357" s="7">
        <f>AU$357*Exogenous!BC$28/Exogenous!BB$28</f>
        <v>71.357243342036043</v>
      </c>
      <c r="AW357" s="7">
        <f>AV$357*Exogenous!BD$28/Exogenous!BC$28</f>
        <v>74.907782089637394</v>
      </c>
    </row>
    <row r="358" spans="1:49" x14ac:dyDescent="0.2">
      <c r="A358" s="1" t="s">
        <v>529</v>
      </c>
      <c r="B358" s="4" t="str">
        <f t="shared" si="222"/>
        <v>From Fiscal</v>
      </c>
      <c r="D358" s="18">
        <f>Fiscal!D$205</f>
        <v>5.8000000000000003E-2</v>
      </c>
      <c r="E358" s="19">
        <f>Fiscal!E$205</f>
        <v>6.4000000000000001E-2</v>
      </c>
      <c r="F358" s="19">
        <f>Fiscal!F$205</f>
        <v>6.4000000000000001E-2</v>
      </c>
      <c r="G358" s="19">
        <f>Fiscal!G$205</f>
        <v>6.4000000000000001E-2</v>
      </c>
      <c r="H358" s="19">
        <f>Fiscal!H$205</f>
        <v>6.4000000000000001E-2</v>
      </c>
      <c r="I358" s="19">
        <f>Fiscal!I$205</f>
        <v>6.4000000000000001E-2</v>
      </c>
      <c r="J358" s="7">
        <f ca="1">(I$358/I$14+ IF(J$2&gt;0,J$2*IF(J$6=OFFSET(Assumptions!$B$8,0,$C$1),SUMPRODUCT(OFFSET(I$358,0,0,1,-OFFSET(Assumptions!$B$67,0,$C$1)),OFFSET(I$16,0,0,1,-OFFSET(Assumptions!$B$67,0,$C$1)))/OFFSET(Assumptions!$B$67,0,$C$1)-I$358/I$14,(I$358/I$14-H$358/H$14)/I$2),0))*J$14</f>
        <v>6.7692072935136974E-2</v>
      </c>
      <c r="K358" s="7">
        <f ca="1">(J$358/J$14+ IF(K$2&gt;0,K$2*IF(K$6=OFFSET(Assumptions!$B$8,0,$C$1),SUMPRODUCT(OFFSET(J$358,0,0,1,-OFFSET(Assumptions!$B$67,0,$C$1)),OFFSET(J$16,0,0,1,-OFFSET(Assumptions!$B$67,0,$C$1)))/OFFSET(Assumptions!$B$67,0,$C$1)-J$358/J$14,(J$358/J$14-I$358/I$14)/J$2),0))*K$14</f>
        <v>7.1350449527495641E-2</v>
      </c>
      <c r="L358" s="7">
        <f ca="1">(K$358/K$14+ IF(L$2&gt;0,L$2*IF(L$6=OFFSET(Assumptions!$B$8,0,$C$1),SUMPRODUCT(OFFSET(K$358,0,0,1,-OFFSET(Assumptions!$B$67,0,$C$1)),OFFSET(K$16,0,0,1,-OFFSET(Assumptions!$B$67,0,$C$1)))/OFFSET(Assumptions!$B$67,0,$C$1)-K$358/K$14,(K$358/K$14-J$358/J$14)/K$2),0))*L$14</f>
        <v>7.509225566885297E-2</v>
      </c>
      <c r="M358" s="7">
        <f ca="1">(L$358/L$14+ IF(M$2&gt;0,M$2*IF(M$6=OFFSET(Assumptions!$B$8,0,$C$1),SUMPRODUCT(OFFSET(L$358,0,0,1,-OFFSET(Assumptions!$B$67,0,$C$1)),OFFSET(L$16,0,0,1,-OFFSET(Assumptions!$B$67,0,$C$1)))/OFFSET(Assumptions!$B$67,0,$C$1)-L$358/L$14,(L$358/L$14-K$358/K$14)/L$2),0))*M$14</f>
        <v>7.8788156076010099E-2</v>
      </c>
      <c r="N358" s="7">
        <f ca="1">(M$358/M$14+ IF(N$2&gt;0,N$2*IF(N$6=OFFSET(Assumptions!$B$8,0,$C$1),SUMPRODUCT(OFFSET(M$358,0,0,1,-OFFSET(Assumptions!$B$67,0,$C$1)),OFFSET(M$16,0,0,1,-OFFSET(Assumptions!$B$67,0,$C$1)))/OFFSET(Assumptions!$B$67,0,$C$1)-M$358/M$14,(M$358/M$14-L$358/L$14)/M$2),0))*N$14</f>
        <v>8.2421540122473352E-2</v>
      </c>
      <c r="O358" s="7">
        <f ca="1">(N$358/N$14+ IF(O$2&gt;0,O$2*IF(O$6=OFFSET(Assumptions!$B$8,0,$C$1),SUMPRODUCT(OFFSET(N$358,0,0,1,-OFFSET(Assumptions!$B$67,0,$C$1)),OFFSET(N$16,0,0,1,-OFFSET(Assumptions!$B$67,0,$C$1)))/OFFSET(Assumptions!$B$67,0,$C$1)-N$358/N$14,(N$358/N$14-M$358/M$14)/N$2),0))*O$14</f>
        <v>8.593984640600813E-2</v>
      </c>
      <c r="P358" s="7">
        <f ca="1">(O$358/O$14+ IF(P$2&gt;0,P$2*IF(P$6=OFFSET(Assumptions!$B$8,0,$C$1),SUMPRODUCT(OFFSET(O$358,0,0,1,-OFFSET(Assumptions!$B$67,0,$C$1)),OFFSET(O$16,0,0,1,-OFFSET(Assumptions!$B$67,0,$C$1)))/OFFSET(Assumptions!$B$67,0,$C$1)-O$358/O$14,(O$358/O$14-N$358/N$14)/O$2),0))*P$14</f>
        <v>8.9574148081711963E-2</v>
      </c>
      <c r="Q358" s="7">
        <f ca="1">(P$358/P$14+ IF(Q$2&gt;0,Q$2*IF(Q$6=OFFSET(Assumptions!$B$8,0,$C$1),SUMPRODUCT(OFFSET(P$358,0,0,1,-OFFSET(Assumptions!$B$67,0,$C$1)),OFFSET(P$16,0,0,1,-OFFSET(Assumptions!$B$67,0,$C$1)))/OFFSET(Assumptions!$B$67,0,$C$1)-P$358/P$14,(P$358/P$14-O$358/O$14)/P$2),0))*Q$14</f>
        <v>9.3320519436449104E-2</v>
      </c>
      <c r="R358" s="7">
        <f ca="1">(Q$358/Q$14+ IF(R$2&gt;0,R$2*IF(R$6=OFFSET(Assumptions!$B$8,0,$C$1),SUMPRODUCT(OFFSET(Q$358,0,0,1,-OFFSET(Assumptions!$B$67,0,$C$1)),OFFSET(Q$16,0,0,1,-OFFSET(Assumptions!$B$67,0,$C$1)))/OFFSET(Assumptions!$B$67,0,$C$1)-Q$358/Q$14,(Q$358/Q$14-P$358/P$14)/Q$2),0))*R$14</f>
        <v>9.7176179847814223E-2</v>
      </c>
      <c r="S358" s="7">
        <f ca="1">(R$358/R$14+ IF(S$2&gt;0,S$2*IF(S$6=OFFSET(Assumptions!$B$8,0,$C$1),SUMPRODUCT(OFFSET(R$358,0,0,1,-OFFSET(Assumptions!$B$67,0,$C$1)),OFFSET(R$16,0,0,1,-OFFSET(Assumptions!$B$67,0,$C$1)))/OFFSET(Assumptions!$B$67,0,$C$1)-R$358/R$14,(R$358/R$14-Q$358/Q$14)/R$2),0))*S$14</f>
        <v>0.10115338244737179</v>
      </c>
      <c r="T358" s="7">
        <f ca="1">(S$358/S$14+ IF(T$2&gt;0,T$2*IF(T$6=OFFSET(Assumptions!$B$8,0,$C$1),SUMPRODUCT(OFFSET(S$358,0,0,1,-OFFSET(Assumptions!$B$67,0,$C$1)),OFFSET(S$16,0,0,1,-OFFSET(Assumptions!$B$67,0,$C$1)))/OFFSET(Assumptions!$B$67,0,$C$1)-S$358/S$14,(S$358/S$14-R$358/R$14)/S$2),0))*T$14</f>
        <v>0.10525357758625482</v>
      </c>
      <c r="U358" s="7">
        <f ca="1">(T$358/T$14+ IF(U$2&gt;0,U$2*IF(U$6=OFFSET(Assumptions!$B$8,0,$C$1),SUMPRODUCT(OFFSET(T$358,0,0,1,-OFFSET(Assumptions!$B$67,0,$C$1)),OFFSET(T$16,0,0,1,-OFFSET(Assumptions!$B$67,0,$C$1)))/OFFSET(Assumptions!$B$67,0,$C$1)-T$358/T$14,(T$358/T$14-S$358/S$14)/T$2),0))*U$14</f>
        <v>0.10949148075673694</v>
      </c>
      <c r="V358" s="7">
        <f ca="1">(U$358/U$14+ IF(V$2&gt;0,V$2*IF(V$6=OFFSET(Assumptions!$B$8,0,$C$1),SUMPRODUCT(OFFSET(U$358,0,0,1,-OFFSET(Assumptions!$B$67,0,$C$1)),OFFSET(U$16,0,0,1,-OFFSET(Assumptions!$B$67,0,$C$1)))/OFFSET(Assumptions!$B$67,0,$C$1)-U$358/U$14,(U$358/U$14-T$358/T$14)/U$2),0))*V$14</f>
        <v>0.11387755324700043</v>
      </c>
      <c r="W358" s="7">
        <f ca="1">(V$358/V$14+ IF(W$2&gt;0,W$2*IF(W$6=OFFSET(Assumptions!$B$8,0,$C$1),SUMPRODUCT(OFFSET(V$358,0,0,1,-OFFSET(Assumptions!$B$67,0,$C$1)),OFFSET(V$16,0,0,1,-OFFSET(Assumptions!$B$67,0,$C$1)))/OFFSET(Assumptions!$B$67,0,$C$1)-V$358/V$14,(V$358/V$14-U$358/U$14)/V$2),0))*W$14</f>
        <v>0.11842450261538087</v>
      </c>
      <c r="X358" s="7">
        <f ca="1">(W$358/W$14+ IF(X$2&gt;0,X$2*IF(X$6=OFFSET(Assumptions!$B$8,0,$C$1),SUMPRODUCT(OFFSET(W$358,0,0,1,-OFFSET(Assumptions!$B$67,0,$C$1)),OFFSET(W$16,0,0,1,-OFFSET(Assumptions!$B$67,0,$C$1)))/OFFSET(Assumptions!$B$67,0,$C$1)-W$358/W$14,(W$358/W$14-V$358/V$14)/W$2),0))*X$14</f>
        <v>0.12314673112998301</v>
      </c>
      <c r="Y358" s="7">
        <f ca="1">(X$358/X$14+ IF(Y$2&gt;0,Y$2*IF(Y$6=OFFSET(Assumptions!$B$8,0,$C$1),SUMPRODUCT(OFFSET(X$358,0,0,1,-OFFSET(Assumptions!$B$67,0,$C$1)),OFFSET(X$16,0,0,1,-OFFSET(Assumptions!$B$67,0,$C$1)))/OFFSET(Assumptions!$B$67,0,$C$1)-X$358/X$14,(X$358/X$14-W$358/W$14)/X$2),0))*Y$14</f>
        <v>0.1280437560226958</v>
      </c>
      <c r="Z358" s="7">
        <f ca="1">(Y$358/Y$14+ IF(Z$2&gt;0,Z$2*IF(Z$6=OFFSET(Assumptions!$B$8,0,$C$1),SUMPRODUCT(OFFSET(Y$358,0,0,1,-OFFSET(Assumptions!$B$67,0,$C$1)),OFFSET(Y$16,0,0,1,-OFFSET(Assumptions!$B$67,0,$C$1)))/OFFSET(Assumptions!$B$67,0,$C$1)-Y$358/Y$14,(Y$358/Y$14-X$358/X$14)/Y$2),0))*Z$14</f>
        <v>0.13314036428231762</v>
      </c>
      <c r="AA358" s="7">
        <f ca="1">(Z$358/Z$14+ IF(AA$2&gt;0,AA$2*IF(AA$6=OFFSET(Assumptions!$B$8,0,$C$1),SUMPRODUCT(OFFSET(Z$358,0,0,1,-OFFSET(Assumptions!$B$67,0,$C$1)),OFFSET(Z$16,0,0,1,-OFFSET(Assumptions!$B$67,0,$C$1)))/OFFSET(Assumptions!$B$67,0,$C$1)-Z$358/Z$14,(Z$358/Z$14-Y$358/Y$14)/Z$2),0))*AA$14</f>
        <v>0.13844480223858818</v>
      </c>
      <c r="AB358" s="7">
        <f ca="1">(AA$358/AA$14+ IF(AB$2&gt;0,AB$2*IF(AB$6=OFFSET(Assumptions!$B$8,0,$C$1),SUMPRODUCT(OFFSET(AA$358,0,0,1,-OFFSET(Assumptions!$B$67,0,$C$1)),OFFSET(AA$16,0,0,1,-OFFSET(Assumptions!$B$67,0,$C$1)))/OFFSET(Assumptions!$B$67,0,$C$1)-AA$358/AA$14,(AA$358/AA$14-Z$358/Z$14)/AA$2),0))*AB$14</f>
        <v>0.14397299960856166</v>
      </c>
      <c r="AC358" s="7">
        <f ca="1">(AB$358/AB$14+ IF(AC$2&gt;0,AC$2*IF(AC$6=OFFSET(Assumptions!$B$8,0,$C$1),SUMPRODUCT(OFFSET(AB$358,0,0,1,-OFFSET(Assumptions!$B$67,0,$C$1)),OFFSET(AB$16,0,0,1,-OFFSET(Assumptions!$B$67,0,$C$1)))/OFFSET(Assumptions!$B$67,0,$C$1)-AB$358/AB$14,(AB$358/AB$14-AA$358/AA$14)/AB$2),0))*AC$14</f>
        <v>0.14974582608749934</v>
      </c>
      <c r="AD358" s="7">
        <f ca="1">(AC$358/AC$14+ IF(AD$2&gt;0,AD$2*IF(AD$6=OFFSET(Assumptions!$B$8,0,$C$1),SUMPRODUCT(OFFSET(AC$358,0,0,1,-OFFSET(Assumptions!$B$67,0,$C$1)),OFFSET(AC$16,0,0,1,-OFFSET(Assumptions!$B$67,0,$C$1)))/OFFSET(Assumptions!$B$67,0,$C$1)-AC$358/AC$14,(AC$358/AC$14-AB$358/AB$14)/AC$2),0))*AD$14</f>
        <v>0.15576936630572186</v>
      </c>
      <c r="AE358" s="7">
        <f ca="1">(AD$358/AD$14+ IF(AE$2&gt;0,AE$2*IF(AE$6=OFFSET(Assumptions!$B$8,0,$C$1),SUMPRODUCT(OFFSET(AD$358,0,0,1,-OFFSET(Assumptions!$B$67,0,$C$1)),OFFSET(AD$16,0,0,1,-OFFSET(Assumptions!$B$67,0,$C$1)))/OFFSET(Assumptions!$B$67,0,$C$1)-AD$358/AD$14,(AD$358/AD$14-AC$358/AC$14)/AD$2),0))*AE$14</f>
        <v>0.16203808844439468</v>
      </c>
      <c r="AF358" s="7">
        <f ca="1">(AE$358/AE$14+ IF(AF$2&gt;0,AF$2*IF(AF$6=OFFSET(Assumptions!$B$8,0,$C$1),SUMPRODUCT(OFFSET(AE$358,0,0,1,-OFFSET(Assumptions!$B$67,0,$C$1)),OFFSET(AE$16,0,0,1,-OFFSET(Assumptions!$B$67,0,$C$1)))/OFFSET(Assumptions!$B$67,0,$C$1)-AE$358/AE$14,(AE$358/AE$14-AD$358/AD$14)/AE$2),0))*AF$14</f>
        <v>0.16856933554767295</v>
      </c>
      <c r="AG358" s="7">
        <f ca="1">(AF$358/AF$14+ IF(AG$2&gt;0,AG$2*IF(AG$6=OFFSET(Assumptions!$B$8,0,$C$1),SUMPRODUCT(OFFSET(AF$358,0,0,1,-OFFSET(Assumptions!$B$67,0,$C$1)),OFFSET(AF$16,0,0,1,-OFFSET(Assumptions!$B$67,0,$C$1)))/OFFSET(Assumptions!$B$67,0,$C$1)-AF$358/AF$14,(AF$358/AF$14-AE$358/AE$14)/AF$2),0))*AG$14</f>
        <v>0.17536675961583004</v>
      </c>
      <c r="AH358" s="7">
        <f ca="1">(AG$358/AG$14+ IF(AH$2&gt;0,AH$2*IF(AH$6=OFFSET(Assumptions!$B$8,0,$C$1),SUMPRODUCT(OFFSET(AG$358,0,0,1,-OFFSET(Assumptions!$B$67,0,$C$1)),OFFSET(AG$16,0,0,1,-OFFSET(Assumptions!$B$67,0,$C$1)))/OFFSET(Assumptions!$B$67,0,$C$1)-AG$358/AG$14,(AG$358/AG$14-AF$358/AF$14)/AG$2),0))*AH$14</f>
        <v>0.18244126079000736</v>
      </c>
      <c r="AI358" s="7">
        <f ca="1">(AH$358/AH$14+ IF(AI$2&gt;0,AI$2*IF(AI$6=OFFSET(Assumptions!$B$8,0,$C$1),SUMPRODUCT(OFFSET(AH$358,0,0,1,-OFFSET(Assumptions!$B$67,0,$C$1)),OFFSET(AH$16,0,0,1,-OFFSET(Assumptions!$B$67,0,$C$1)))/OFFSET(Assumptions!$B$67,0,$C$1)-AH$358/AH$14,(AH$358/AH$14-AG$358/AG$14)/AH$2),0))*AI$14</f>
        <v>0.18978047757475622</v>
      </c>
      <c r="AJ358" s="7">
        <f ca="1">(AI$358/AI$14+ IF(AJ$2&gt;0,AJ$2*IF(AJ$6=OFFSET(Assumptions!$B$8,0,$C$1),SUMPRODUCT(OFFSET(AI$358,0,0,1,-OFFSET(Assumptions!$B$67,0,$C$1)),OFFSET(AI$16,0,0,1,-OFFSET(Assumptions!$B$67,0,$C$1)))/OFFSET(Assumptions!$B$67,0,$C$1)-AI$358/AI$14,(AI$358/AI$14-AH$358/AH$14)/AI$2),0))*AJ$14</f>
        <v>0.19740792113808173</v>
      </c>
      <c r="AK358" s="7">
        <f ca="1">(AJ$358/AJ$14+ IF(AK$2&gt;0,AK$2*IF(AK$6=OFFSET(Assumptions!$B$8,0,$C$1),SUMPRODUCT(OFFSET(AJ$358,0,0,1,-OFFSET(Assumptions!$B$67,0,$C$1)),OFFSET(AJ$16,0,0,1,-OFFSET(Assumptions!$B$67,0,$C$1)))/OFFSET(Assumptions!$B$67,0,$C$1)-AJ$358/AJ$14,(AJ$358/AJ$14-AI$358/AI$14)/AJ$2),0))*AK$14</f>
        <v>0.20531731690995619</v>
      </c>
      <c r="AL358" s="7">
        <f ca="1">(AK$358/AK$14+ IF(AL$2&gt;0,AL$2*IF(AL$6=OFFSET(Assumptions!$B$8,0,$C$1),SUMPRODUCT(OFFSET(AK$358,0,0,1,-OFFSET(Assumptions!$B$67,0,$C$1)),OFFSET(AK$16,0,0,1,-OFFSET(Assumptions!$B$67,0,$C$1)))/OFFSET(Assumptions!$B$67,0,$C$1)-AK$358/AK$14,(AK$358/AK$14-AJ$358/AJ$14)/AK$2),0))*AL$14</f>
        <v>0.21350243444112429</v>
      </c>
      <c r="AM358" s="7">
        <f ca="1">(AL$358/AL$14+ IF(AM$2&gt;0,AM$2*IF(AM$6=OFFSET(Assumptions!$B$8,0,$C$1),SUMPRODUCT(OFFSET(AL$358,0,0,1,-OFFSET(Assumptions!$B$67,0,$C$1)),OFFSET(AL$16,0,0,1,-OFFSET(Assumptions!$B$67,0,$C$1)))/OFFSET(Assumptions!$B$67,0,$C$1)-AL$358/AL$14,(AL$358/AL$14-AK$358/AK$14)/AL$2),0))*AM$14</f>
        <v>0.22197445566800192</v>
      </c>
      <c r="AN358" s="7">
        <f ca="1">(AM$358/AM$14+ IF(AN$2&gt;0,AN$2*IF(AN$6=OFFSET(Assumptions!$B$8,0,$C$1),SUMPRODUCT(OFFSET(AM$358,0,0,1,-OFFSET(Assumptions!$B$67,0,$C$1)),OFFSET(AM$16,0,0,1,-OFFSET(Assumptions!$B$67,0,$C$1)))/OFFSET(Assumptions!$B$67,0,$C$1)-AM$358/AM$14,(AM$358/AM$14-AL$358/AL$14)/AM$2),0))*AN$14</f>
        <v>0.2307451650900719</v>
      </c>
      <c r="AO358" s="7">
        <f ca="1">(AN$358/AN$14+ IF(AO$2&gt;0,AO$2*IF(AO$6=OFFSET(Assumptions!$B$8,0,$C$1),SUMPRODUCT(OFFSET(AN$358,0,0,1,-OFFSET(Assumptions!$B$67,0,$C$1)),OFFSET(AN$16,0,0,1,-OFFSET(Assumptions!$B$67,0,$C$1)))/OFFSET(Assumptions!$B$67,0,$C$1)-AN$358/AN$14,(AN$358/AN$14-AM$358/AM$14)/AN$2),0))*AO$14</f>
        <v>0.2397801231644856</v>
      </c>
      <c r="AP358" s="7">
        <f ca="1">(AO$358/AO$14+ IF(AP$2&gt;0,AP$2*IF(AP$6=OFFSET(Assumptions!$B$8,0,$C$1),SUMPRODUCT(OFFSET(AO$358,0,0,1,-OFFSET(Assumptions!$B$67,0,$C$1)),OFFSET(AO$16,0,0,1,-OFFSET(Assumptions!$B$67,0,$C$1)))/OFFSET(Assumptions!$B$67,0,$C$1)-AO$358/AO$14,(AO$358/AO$14-AN$358/AN$14)/AO$2),0))*AP$14</f>
        <v>0.24911769679660065</v>
      </c>
      <c r="AQ358" s="7">
        <f ca="1">(AP$358/AP$14+ IF(AQ$2&gt;0,AQ$2*IF(AQ$6=OFFSET(Assumptions!$B$8,0,$C$1),SUMPRODUCT(OFFSET(AP$358,0,0,1,-OFFSET(Assumptions!$B$67,0,$C$1)),OFFSET(AP$16,0,0,1,-OFFSET(Assumptions!$B$67,0,$C$1)))/OFFSET(Assumptions!$B$67,0,$C$1)-AP$358/AP$14,(AP$358/AP$14-AO$358/AO$14)/AP$2),0))*AQ$14</f>
        <v>0.25873172213456663</v>
      </c>
      <c r="AR358" s="7">
        <f ca="1">(AQ$358/AQ$14+ IF(AR$2&gt;0,AR$2*IF(AR$6=OFFSET(Assumptions!$B$8,0,$C$1),SUMPRODUCT(OFFSET(AQ$358,0,0,1,-OFFSET(Assumptions!$B$67,0,$C$1)),OFFSET(AQ$16,0,0,1,-OFFSET(Assumptions!$B$67,0,$C$1)))/OFFSET(Assumptions!$B$67,0,$C$1)-AQ$358/AQ$14,(AQ$358/AQ$14-AP$358/AP$14)/AQ$2),0))*AR$14</f>
        <v>0.26863308397498525</v>
      </c>
      <c r="AS358" s="7">
        <f ca="1">(AR$358/AR$14+ IF(AS$2&gt;0,AS$2*IF(AS$6=OFFSET(Assumptions!$B$8,0,$C$1),SUMPRODUCT(OFFSET(AR$358,0,0,1,-OFFSET(Assumptions!$B$67,0,$C$1)),OFFSET(AR$16,0,0,1,-OFFSET(Assumptions!$B$67,0,$C$1)))/OFFSET(Assumptions!$B$67,0,$C$1)-AR$358/AR$14,(AR$358/AR$14-AQ$358/AQ$14)/AR$2),0))*AS$14</f>
        <v>0.2788448819094364</v>
      </c>
      <c r="AT358" s="7">
        <f ca="1">(AS$358/AS$14+ IF(AT$2&gt;0,AT$2*IF(AT$6=OFFSET(Assumptions!$B$8,0,$C$1),SUMPRODUCT(OFFSET(AS$358,0,0,1,-OFFSET(Assumptions!$B$67,0,$C$1)),OFFSET(AS$16,0,0,1,-OFFSET(Assumptions!$B$67,0,$C$1)))/OFFSET(Assumptions!$B$67,0,$C$1)-AS$358/AS$14,(AS$358/AS$14-AR$358/AR$14)/AS$2),0))*AT$14</f>
        <v>0.28937527176660527</v>
      </c>
      <c r="AU358" s="7">
        <f ca="1">(AT$358/AT$14+ IF(AU$2&gt;0,AU$2*IF(AU$6=OFFSET(Assumptions!$B$8,0,$C$1),SUMPRODUCT(OFFSET(AT$358,0,0,1,-OFFSET(Assumptions!$B$67,0,$C$1)),OFFSET(AT$16,0,0,1,-OFFSET(Assumptions!$B$67,0,$C$1)))/OFFSET(Assumptions!$B$67,0,$C$1)-AT$358/AT$14,(AT$358/AT$14-AS$358/AS$14)/AT$2),0))*AU$14</f>
        <v>0.30023825661414916</v>
      </c>
      <c r="AV358" s="7">
        <f ca="1">(AU$358/AU$14+ IF(AV$2&gt;0,AV$2*IF(AV$6=OFFSET(Assumptions!$B$8,0,$C$1),SUMPRODUCT(OFFSET(AU$358,0,0,1,-OFFSET(Assumptions!$B$67,0,$C$1)),OFFSET(AU$16,0,0,1,-OFFSET(Assumptions!$B$67,0,$C$1)))/OFFSET(Assumptions!$B$67,0,$C$1)-AU$358/AU$14,(AU$358/AU$14-AT$358/AT$14)/AU$2),0))*AV$14</f>
        <v>0.31146742369389446</v>
      </c>
      <c r="AW358" s="7">
        <f ca="1">(AV$358/AV$14+ IF(AW$2&gt;0,AW$2*IF(AW$6=OFFSET(Assumptions!$B$8,0,$C$1),SUMPRODUCT(OFFSET(AV$358,0,0,1,-OFFSET(Assumptions!$B$67,0,$C$1)),OFFSET(AV$16,0,0,1,-OFFSET(Assumptions!$B$67,0,$C$1)))/OFFSET(Assumptions!$B$67,0,$C$1)-AV$358/AV$14,(AV$358/AV$14-AU$358/AU$14)/AV$2),0))*AW$14</f>
        <v>0.32305643351019253</v>
      </c>
    </row>
    <row r="359" spans="1:49" x14ac:dyDescent="0.2">
      <c r="A359" s="1" t="s">
        <v>530</v>
      </c>
      <c r="B359" s="4" t="str">
        <f t="shared" si="222"/>
        <v>From Fiscal</v>
      </c>
      <c r="D359" s="18">
        <f ca="1">Fiscal!D$117-SUM(D$356:D$358)</f>
        <v>-0.45799999999999841</v>
      </c>
      <c r="E359" s="19">
        <f ca="1">Fiscal!E$117-SUM(E$356:E$358)</f>
        <v>-0.4220000000000006</v>
      </c>
      <c r="F359" s="19">
        <f ca="1">Fiscal!F$117-SUM(F$356:F$358)</f>
        <v>-0.43100000000000094</v>
      </c>
      <c r="G359" s="19">
        <f ca="1">Fiscal!G$117-SUM(G$356:G$358)</f>
        <v>-0.44200000000000017</v>
      </c>
      <c r="H359" s="19">
        <f ca="1">Fiscal!H$117-SUM(H$356:H$358)</f>
        <v>-0.45199999999999818</v>
      </c>
      <c r="I359" s="19">
        <f ca="1">Fiscal!I$117-SUM(I$356:I$358)</f>
        <v>-0.46300000000000097</v>
      </c>
      <c r="J359" s="7">
        <f ca="1">IF(J$6=OFFSET(Assumptions!$B$8,0,$C$1),AVERAGE(G$359/G$357,H$359/H$357,I$359/I$357),I$359/I$357)*J$357</f>
        <v>-0.48953510654809823</v>
      </c>
      <c r="K359" s="7">
        <f ca="1">IF(K$6=OFFSET(Assumptions!$B$8,0,$C$1),AVERAGE(H$359/H$357,I$359/I$357,J$359/J$357),J$359/J$357)*K$357</f>
        <v>-0.51168381541885877</v>
      </c>
      <c r="L359" s="7">
        <f ca="1">IF(L$6=OFFSET(Assumptions!$B$8,0,$C$1),AVERAGE(I$359/I$357,J$359/J$357,K$359/K$357),K$359/K$357)*L$357</f>
        <v>-0.53423764605621415</v>
      </c>
      <c r="M359" s="7">
        <f ca="1">IF(M$6=OFFSET(Assumptions!$B$8,0,$C$1),AVERAGE(J$359/J$357,K$359/K$357,L$359/L$357),L$359/L$357)*M$357</f>
        <v>-0.55725156585304769</v>
      </c>
      <c r="N359" s="7">
        <f ca="1">IF(N$6=OFFSET(Assumptions!$B$8,0,$C$1),AVERAGE(K$359/K$357,L$359/L$357,M$359/M$357),M$359/M$357)*N$357</f>
        <v>-0.58111180405336127</v>
      </c>
      <c r="O359" s="7">
        <f ca="1">IF(O$6=OFFSET(Assumptions!$B$8,0,$C$1),AVERAGE(L$359/L$357,M$359/M$357,N$359/N$357),N$359/N$357)*O$357</f>
        <v>-0.60649410027674</v>
      </c>
      <c r="P359" s="7">
        <f ca="1">IF(P$6=OFFSET(Assumptions!$B$8,0,$C$1),AVERAGE(M$359/M$357,N$359/N$357,O$359/O$357),O$359/O$357)*P$357</f>
        <v>-0.63246363602774835</v>
      </c>
      <c r="Q359" s="7">
        <f ca="1">IF(Q$6=OFFSET(Assumptions!$B$8,0,$C$1),AVERAGE(N$359/N$357,O$359/O$357,P$359/P$357),P$359/P$357)*Q$357</f>
        <v>-0.65924876508493591</v>
      </c>
      <c r="R359" s="7">
        <f ca="1">IF(R$6=OFFSET(Assumptions!$B$8,0,$C$1),AVERAGE(O$359/O$357,P$359/P$357,Q$359/Q$357),Q$359/Q$357)*R$357</f>
        <v>-0.68699402436280321</v>
      </c>
      <c r="S359" s="7">
        <f ca="1">IF(S$6=OFFSET(Assumptions!$B$8,0,$C$1),AVERAGE(P$359/P$357,Q$359/Q$357,R$359/R$357),R$359/R$357)*S$357</f>
        <v>-0.71562241661522619</v>
      </c>
      <c r="T359" s="7">
        <f ca="1">IF(T$6=OFFSET(Assumptions!$B$8,0,$C$1),AVERAGE(Q$359/Q$357,R$359/R$357,S$359/S$357),S$359/S$357)*T$357</f>
        <v>-0.74533039694808156</v>
      </c>
      <c r="U359" s="7">
        <f ca="1">IF(U$6=OFFSET(Assumptions!$B$8,0,$C$1),AVERAGE(R$359/R$357,S$359/S$357,T$359/T$357),T$359/T$357)*U$357</f>
        <v>-0.7761302775629989</v>
      </c>
      <c r="V359" s="7">
        <f ca="1">IF(V$6=OFFSET(Assumptions!$B$8,0,$C$1),AVERAGE(S$359/S$357,T$359/T$357,U$359/U$357),U$359/U$357)*V$357</f>
        <v>-0.80812671216275378</v>
      </c>
      <c r="W359" s="7">
        <f ca="1">IF(W$6=OFFSET(Assumptions!$B$8,0,$C$1),AVERAGE(T$359/T$357,U$359/U$357,V$359/V$357),V$359/V$357)*W$357</f>
        <v>-0.84141979210144779</v>
      </c>
      <c r="X359" s="7">
        <f ca="1">IF(X$6=OFFSET(Assumptions!$B$8,0,$C$1),AVERAGE(U$359/U$357,V$359/V$357,W$359/W$357),W$359/W$357)*X$357</f>
        <v>-0.87609168473572707</v>
      </c>
      <c r="Y359" s="7">
        <f ca="1">IF(Y$6=OFFSET(Assumptions!$B$8,0,$C$1),AVERAGE(V$359/V$357,W$359/W$357,X$359/X$357),X$359/X$357)*Y$357</f>
        <v>-0.91198455486730168</v>
      </c>
      <c r="Z359" s="7">
        <f ca="1">IF(Z$6=OFFSET(Assumptions!$B$8,0,$C$1),AVERAGE(W$359/W$357,X$359/X$357,Y$359/Y$357),Y$359/Y$357)*Z$357</f>
        <v>-0.94958619440396674</v>
      </c>
      <c r="AA359" s="7">
        <f ca="1">IF(AA$6=OFFSET(Assumptions!$B$8,0,$C$1),AVERAGE(X$359/X$357,Y$359/Y$357,Z$359/Z$357),Z$359/Z$357)*AA$357</f>
        <v>-0.98896975413269261</v>
      </c>
      <c r="AB359" s="7">
        <f ca="1">IF(AB$6=OFFSET(Assumptions!$B$8,0,$C$1),AVERAGE(Y$359/Y$357,Z$359/Z$357,AA$359/AA$357),AA$359/AA$357)*AB$357</f>
        <v>-1.0301828559365707</v>
      </c>
      <c r="AC359" s="7">
        <f ca="1">IF(AC$6=OFFSET(Assumptions!$B$8,0,$C$1),AVERAGE(Z$359/Z$357,AA$359/AA$357,AB$359/AB$357),AB$359/AB$357)*AC$357</f>
        <v>-1.0733022069215568</v>
      </c>
      <c r="AD359" s="7">
        <f ca="1">IF(AD$6=OFFSET(Assumptions!$B$8,0,$C$1),AVERAGE(AA$359/AA$357,AB$359/AB$357,AC$359/AC$357),AC$359/AC$357)*AD$357</f>
        <v>-1.1188743224155073</v>
      </c>
      <c r="AE359" s="7">
        <f ca="1">IF(AE$6=OFFSET(Assumptions!$B$8,0,$C$1),AVERAGE(AB$359/AB$357,AC$359/AC$357,AD$359/AD$357),AD$359/AD$357)*AE$357</f>
        <v>-1.1669673902731499</v>
      </c>
      <c r="AF359" s="7">
        <f ca="1">IF(AF$6=OFFSET(Assumptions!$B$8,0,$C$1),AVERAGE(AC$359/AC$357,AD$359/AD$357,AE$359/AE$357),AE$359/AE$357)*AF$357</f>
        <v>-1.2175595595678512</v>
      </c>
      <c r="AG359" s="7">
        <f ca="1">IF(AG$6=OFFSET(Assumptions!$B$8,0,$C$1),AVERAGE(AD$359/AD$357,AE$359/AE$357,AF$359/AF$357),AF$359/AF$357)*AG$357</f>
        <v>-1.2710864183705364</v>
      </c>
      <c r="AH359" s="7">
        <f ca="1">IF(AH$6=OFFSET(Assumptions!$B$8,0,$C$1),AVERAGE(AE$359/AE$357,AF$359/AF$357,AG$359/AG$357),AG$359/AG$357)*AH$357</f>
        <v>-1.3276351090483314</v>
      </c>
      <c r="AI359" s="7">
        <f ca="1">IF(AI$6=OFFSET(Assumptions!$B$8,0,$C$1),AVERAGE(AF$359/AF$357,AG$359/AG$357,AH$359/AH$357),AH$359/AH$357)*AI$357</f>
        <v>-1.3871946393670649</v>
      </c>
      <c r="AJ359" s="7">
        <f ca="1">IF(AJ$6=OFFSET(Assumptions!$B$8,0,$C$1),AVERAGE(AG$359/AG$357,AH$359/AH$357,AI$359/AI$357),AI$359/AI$357)*AJ$357</f>
        <v>-1.4502602405155982</v>
      </c>
      <c r="AK359" s="7">
        <f ca="1">IF(AK$6=OFFSET(Assumptions!$B$8,0,$C$1),AVERAGE(AH$359/AH$357,AI$359/AI$357,AJ$359/AJ$357),AJ$359/AJ$357)*AK$357</f>
        <v>-1.5170552258542442</v>
      </c>
      <c r="AL359" s="7">
        <f ca="1">IF(AL$6=OFFSET(Assumptions!$B$8,0,$C$1),AVERAGE(AI$359/AI$357,AJ$359/AJ$357,AK$359/AK$357),AK$359/AK$357)*AL$357</f>
        <v>-1.587816990296345</v>
      </c>
      <c r="AM359" s="7">
        <f ca="1">IF(AM$6=OFFSET(Assumptions!$B$8,0,$C$1),AVERAGE(AJ$359/AJ$357,AK$359/AK$357,AL$359/AL$357),AL$359/AL$357)*AM$357</f>
        <v>-1.6627974113143607</v>
      </c>
      <c r="AN359" s="7">
        <f ca="1">IF(AN$6=OFFSET(Assumptions!$B$8,0,$C$1),AVERAGE(AK$359/AK$357,AL$359/AL$357,AM$359/AM$357),AM$359/AM$357)*AN$357</f>
        <v>-1.7422630133114829</v>
      </c>
      <c r="AO359" s="7">
        <f ca="1">IF(AO$6=OFFSET(Assumptions!$B$8,0,$C$1),AVERAGE(AL$359/AL$357,AM$359/AM$357,AN$359/AN$357),AN$359/AN$357)*AO$357</f>
        <v>-1.8264955721717269</v>
      </c>
      <c r="AP359" s="7">
        <f ca="1">IF(AP$6=OFFSET(Assumptions!$B$8,0,$C$1),AVERAGE(AM$359/AM$357,AN$359/AN$357,AO$359/AO$357),AO$359/AO$357)*AP$357</f>
        <v>-1.9157938018388256</v>
      </c>
      <c r="AQ359" s="7">
        <f ca="1">IF(AQ$6=OFFSET(Assumptions!$B$8,0,$C$1),AVERAGE(AN$359/AN$357,AO$359/AO$357,AP$359/AP$357),AP$359/AP$357)*AQ$357</f>
        <v>-2.0104738952538432</v>
      </c>
      <c r="AR359" s="7">
        <f ca="1">IF(AR$6=OFFSET(Assumptions!$B$8,0,$C$1),AVERAGE(AO$359/AO$357,AP$359/AP$357,AQ$359/AQ$357),AQ$359/AQ$357)*AR$357</f>
        <v>-2.1110129899510923</v>
      </c>
      <c r="AS359" s="7">
        <f ca="1">IF(AS$6=OFFSET(Assumptions!$B$8,0,$C$1),AVERAGE(AP$359/AP$357,AQ$359/AQ$357,AR$359/AR$357),AR$359/AR$357)*AS$357</f>
        <v>-2.2180623979520524</v>
      </c>
      <c r="AT359" s="7">
        <f ca="1">IF(AT$6=OFFSET(Assumptions!$B$8,0,$C$1),AVERAGE(AQ$359/AQ$357,AR$359/AR$357,AS$359/AS$357),AS$359/AS$357)*AT$357</f>
        <v>-2.3284270381719336</v>
      </c>
      <c r="AU359" s="7">
        <f ca="1">IF(AU$6=OFFSET(Assumptions!$B$8,0,$C$1),AVERAGE(AR$359/AR$357,AS$359/AS$357,AT$359/AT$357),AT$359/AT$357)*AU$357</f>
        <v>-2.4442831171457966</v>
      </c>
      <c r="AV359" s="7">
        <f ca="1">IF(AV$6=OFFSET(Assumptions!$B$8,0,$C$1),AVERAGE(AS$359/AS$357,AT$359/AT$357,AU$359/AU$357),AU$359/AU$357)*AV$357</f>
        <v>-2.565903873653097</v>
      </c>
      <c r="AW359" s="7">
        <f ca="1">IF(AW$6=OFFSET(Assumptions!$B$8,0,$C$1),AVERAGE(AT$359/AT$357,AU$359/AU$357,AV$359/AV$357),AV$359/AV$357)*AW$357</f>
        <v>-2.6935761420780024</v>
      </c>
    </row>
    <row r="360" spans="1:49" ht="15" x14ac:dyDescent="0.25">
      <c r="A360" s="2" t="s">
        <v>634</v>
      </c>
      <c r="B360" s="4"/>
      <c r="D360" s="40">
        <f t="shared" ref="D360:AW360" ca="1" si="223">SUM(D$356:D$359)</f>
        <v>25.408000000000001</v>
      </c>
      <c r="E360" s="39">
        <f t="shared" ca="1" si="223"/>
        <v>25.443000000000001</v>
      </c>
      <c r="F360" s="39">
        <f t="shared" ca="1" si="223"/>
        <v>26.617000000000001</v>
      </c>
      <c r="G360" s="39">
        <f t="shared" ca="1" si="223"/>
        <v>27.975000000000001</v>
      </c>
      <c r="H360" s="39">
        <f t="shared" ca="1" si="223"/>
        <v>29.437000000000001</v>
      </c>
      <c r="I360" s="39">
        <f t="shared" ca="1" si="223"/>
        <v>30.984999999999999</v>
      </c>
      <c r="J360" s="43">
        <f t="shared" ca="1" si="223"/>
        <v>34.311005671593151</v>
      </c>
      <c r="K360" s="43">
        <f t="shared" ca="1" si="223"/>
        <v>37.519681625675148</v>
      </c>
      <c r="L360" s="43">
        <f t="shared" ca="1" si="223"/>
        <v>40.842986272956132</v>
      </c>
      <c r="M360" s="43">
        <f t="shared" ca="1" si="223"/>
        <v>44.271888770509989</v>
      </c>
      <c r="N360" s="43">
        <f t="shared" ca="1" si="223"/>
        <v>47.810422953387558</v>
      </c>
      <c r="O360" s="43">
        <f t="shared" ca="1" si="223"/>
        <v>51.4237489552809</v>
      </c>
      <c r="P360" s="43">
        <f t="shared" ca="1" si="223"/>
        <v>55.06826970333276</v>
      </c>
      <c r="Q360" s="43">
        <f t="shared" ca="1" si="223"/>
        <v>58.745435053413061</v>
      </c>
      <c r="R360" s="43">
        <f t="shared" ca="1" si="223"/>
        <v>62.461776911890617</v>
      </c>
      <c r="S360" s="43">
        <f t="shared" ca="1" si="223"/>
        <v>66.234283476838073</v>
      </c>
      <c r="T360" s="43">
        <f t="shared" ca="1" si="223"/>
        <v>70.07419600683582</v>
      </c>
      <c r="U360" s="43">
        <f t="shared" ca="1" si="223"/>
        <v>73.977539633805392</v>
      </c>
      <c r="V360" s="43">
        <f t="shared" ca="1" si="223"/>
        <v>77.941034121996566</v>
      </c>
      <c r="W360" s="43">
        <f t="shared" ca="1" si="223"/>
        <v>81.961931999341061</v>
      </c>
      <c r="X360" s="43">
        <f t="shared" ca="1" si="223"/>
        <v>86.049358735251886</v>
      </c>
      <c r="Y360" s="43">
        <f t="shared" ca="1" si="223"/>
        <v>90.182065176885487</v>
      </c>
      <c r="Z360" s="43">
        <f t="shared" ca="1" si="223"/>
        <v>94.392137333394544</v>
      </c>
      <c r="AA360" s="43">
        <f t="shared" ca="1" si="223"/>
        <v>98.716861737378665</v>
      </c>
      <c r="AB360" s="43">
        <f t="shared" ca="1" si="223"/>
        <v>103.20406552581736</v>
      </c>
      <c r="AC360" s="43">
        <f t="shared" ca="1" si="223"/>
        <v>107.91120050310504</v>
      </c>
      <c r="AD360" s="43">
        <f t="shared" ca="1" si="223"/>
        <v>112.91614180862257</v>
      </c>
      <c r="AE360" s="43">
        <f t="shared" ca="1" si="223"/>
        <v>118.25117182772294</v>
      </c>
      <c r="AF360" s="43">
        <f t="shared" ca="1" si="223"/>
        <v>123.96826485161921</v>
      </c>
      <c r="AG360" s="43">
        <f t="shared" ca="1" si="223"/>
        <v>130.09318609290213</v>
      </c>
      <c r="AH360" s="43">
        <f t="shared" ca="1" si="223"/>
        <v>136.662972238967</v>
      </c>
      <c r="AI360" s="43">
        <f t="shared" ca="1" si="223"/>
        <v>143.70341413315106</v>
      </c>
      <c r="AJ360" s="43">
        <f t="shared" ca="1" si="223"/>
        <v>151.25545606668854</v>
      </c>
      <c r="AK360" s="43">
        <f t="shared" ca="1" si="223"/>
        <v>159.33357415786725</v>
      </c>
      <c r="AL360" s="43">
        <f t="shared" ca="1" si="223"/>
        <v>167.97289707846312</v>
      </c>
      <c r="AM360" s="43">
        <f t="shared" ca="1" si="223"/>
        <v>177.20457969027598</v>
      </c>
      <c r="AN360" s="43">
        <f t="shared" ca="1" si="223"/>
        <v>187.04336398294112</v>
      </c>
      <c r="AO360" s="43">
        <f t="shared" ca="1" si="223"/>
        <v>197.48807389863006</v>
      </c>
      <c r="AP360" s="43">
        <f t="shared" ca="1" si="223"/>
        <v>208.50712708021589</v>
      </c>
      <c r="AQ360" s="43">
        <f t="shared" ca="1" si="223"/>
        <v>220.07054671221766</v>
      </c>
      <c r="AR360" s="43">
        <f t="shared" ca="1" si="223"/>
        <v>232.12204150969686</v>
      </c>
      <c r="AS360" s="43">
        <f t="shared" ca="1" si="223"/>
        <v>244.61249999178537</v>
      </c>
      <c r="AT360" s="43">
        <f t="shared" ca="1" si="223"/>
        <v>257.47647754968017</v>
      </c>
      <c r="AU360" s="43">
        <f t="shared" ca="1" si="223"/>
        <v>270.76331725735383</v>
      </c>
      <c r="AV360" s="43">
        <f t="shared" ca="1" si="223"/>
        <v>284.49465719544031</v>
      </c>
      <c r="AW360" s="43">
        <f t="shared" ca="1" si="223"/>
        <v>298.6588319065458</v>
      </c>
    </row>
    <row r="361" spans="1:49" ht="15" x14ac:dyDescent="0.25">
      <c r="A361" s="2"/>
      <c r="B361" s="4"/>
      <c r="D361" s="55"/>
      <c r="E361" s="56"/>
      <c r="F361" s="56"/>
      <c r="G361" s="56"/>
      <c r="H361" s="56"/>
      <c r="I361" s="56"/>
      <c r="J361" s="57"/>
      <c r="K361" s="57"/>
      <c r="L361" s="57"/>
      <c r="M361" s="57"/>
      <c r="N361" s="57"/>
      <c r="O361" s="57"/>
      <c r="P361" s="57"/>
      <c r="Q361" s="57"/>
      <c r="R361" s="57"/>
      <c r="S361" s="57"/>
    </row>
    <row r="362" spans="1:49" x14ac:dyDescent="0.2">
      <c r="A362" s="22" t="s">
        <v>443</v>
      </c>
    </row>
    <row r="363" spans="1:49" x14ac:dyDescent="0.2">
      <c r="A363" s="1" t="s">
        <v>405</v>
      </c>
      <c r="B363" s="4" t="str">
        <f t="shared" ref="B363:B369" si="224">$B$43</f>
        <v>From Fiscal</v>
      </c>
      <c r="D363" s="18">
        <f>Fiscal!D$336</f>
        <v>0.76</v>
      </c>
      <c r="E363" s="19">
        <f>Fiscal!E$336</f>
        <v>0.73699999999999999</v>
      </c>
      <c r="F363" s="19">
        <f>Fiscal!F$336</f>
        <v>0.8</v>
      </c>
      <c r="G363" s="19">
        <f>Fiscal!G$336</f>
        <v>0.86299999999999999</v>
      </c>
      <c r="H363" s="19">
        <f>Fiscal!H$336</f>
        <v>0.93</v>
      </c>
      <c r="I363" s="19">
        <f>Fiscal!I$336</f>
        <v>1.0009999999999999</v>
      </c>
      <c r="J363" s="7">
        <f ca="1">IF(J$6=OFFSET(Assumptions!$B$8,0,$C$1),AVERAGE(G$363/(G$363-G$365+G$366),H$363/(H$363-H$365+H$366),I$363/(I$363-I$365+I$366)),(I$363-Exogenous!P$10)/(I$363-Exogenous!P$10-I$365+I$366))*Exogenous!Q$7 +Exogenous!Q$10</f>
        <v>0.88983354439123574</v>
      </c>
      <c r="K363" s="7">
        <f ca="1">IF(K$6=OFFSET(Assumptions!$B$8,0,$C$1),AVERAGE(H$363/(H$363-H$365+H$366),I$363/(I$363-I$365+I$366),J$363/(J$363-J$365+J$366)),(J$363-Exogenous!Q$10)/(J$363-Exogenous!Q$10-J$365+J$366))*Exogenous!R$7 +Exogenous!R$10</f>
        <v>1.0325165598499659</v>
      </c>
      <c r="L363" s="7">
        <f ca="1">IF(L$6=OFFSET(Assumptions!$B$8,0,$C$1),AVERAGE(I$363/(I$363-I$365+I$366),J$363/(J$363-J$365+J$366),K$363/(K$363-K$365+K$366)),(K$363-Exogenous!R$10)/(K$363-Exogenous!R$10-K$365+K$366))*Exogenous!S$7 +Exogenous!S$10</f>
        <v>1.1868220094680972</v>
      </c>
      <c r="M363" s="7">
        <f ca="1">IF(M$6=OFFSET(Assumptions!$B$8,0,$C$1),AVERAGE(J$363/(J$363-J$365+J$366),K$363/(K$363-K$365+K$366),L$363/(L$363-L$365+L$366)),(L$363-Exogenous!S$10)/(L$363-Exogenous!S$10-L$365+L$366))*Exogenous!T$7 +Exogenous!T$10</f>
        <v>1.3525778376383204</v>
      </c>
      <c r="N363" s="7">
        <f ca="1">IF(N$6=OFFSET(Assumptions!$B$8,0,$C$1),AVERAGE(K$363/(K$363-K$365+K$366),L$363/(L$363-L$365+L$366),M$363/(M$363-M$365+M$366)),(M$363-Exogenous!T$10)/(M$363-Exogenous!T$10-M$365+M$366))*Exogenous!U$7 +Exogenous!U$10</f>
        <v>1.5201236225619263</v>
      </c>
      <c r="O363" s="7">
        <f ca="1">IF(O$6=OFFSET(Assumptions!$B$8,0,$C$1),AVERAGE(L$363/(L$363-L$365+L$366),M$363/(M$363-M$365+M$366),N$363/(N$363-N$365+N$366)),(N$363-Exogenous!U$10)/(N$363-Exogenous!U$10-N$365+N$366))*Exogenous!V$7 +Exogenous!V$10</f>
        <v>1.664607348741596</v>
      </c>
      <c r="P363" s="7">
        <f ca="1">IF(P$6=OFFSET(Assumptions!$B$8,0,$C$1),AVERAGE(M$363/(M$363-M$365+M$366),N$363/(N$363-N$365+N$366),O$363/(O$363-O$365+O$366)),(O$363-Exogenous!V$10)/(O$363-Exogenous!V$10-O$365+O$366))*Exogenous!W$7 +Exogenous!W$10</f>
        <v>1.8103400446471285</v>
      </c>
      <c r="Q363" s="7">
        <f ca="1">IF(Q$6=OFFSET(Assumptions!$B$8,0,$C$1),AVERAGE(N$363/(N$363-N$365+N$366),O$363/(O$363-O$365+O$366),P$363/(P$363-P$365+P$366)),(P$363-Exogenous!W$10)/(P$363-Exogenous!W$10-P$365+P$366))*Exogenous!X$7 +Exogenous!X$10</f>
        <v>1.9567234718813273</v>
      </c>
      <c r="R363" s="7">
        <f ca="1">IF(R$6=OFFSET(Assumptions!$B$8,0,$C$1),AVERAGE(O$363/(O$363-O$365+O$366),P$363/(P$363-P$365+P$366),Q$363/(Q$363-Q$365+Q$366)),(Q$363-Exogenous!X$10)/(Q$363-Exogenous!X$10-Q$365+Q$366))*Exogenous!Y$7 +Exogenous!Y$10</f>
        <v>2.1036990753207552</v>
      </c>
      <c r="S363" s="7">
        <f ca="1">IF(S$6=OFFSET(Assumptions!$B$8,0,$C$1),AVERAGE(P$363/(P$363-P$365+P$366),Q$363/(Q$363-Q$365+Q$366),R$363/(R$363-R$365+R$366)),(R$363-Exogenous!Y$10)/(R$363-Exogenous!Y$10-R$365+R$366))*Exogenous!Z$7 +Exogenous!Z$10</f>
        <v>2.2517858164661502</v>
      </c>
      <c r="T363" s="7">
        <f ca="1">IF(T$6=OFFSET(Assumptions!$B$8,0,$C$1),AVERAGE(Q$363/(Q$363-Q$365+Q$366),R$363/(R$363-R$365+R$366),S$363/(S$363-S$365+S$366)),(S$363-Exogenous!Z$10)/(S$363-Exogenous!Z$10-S$365+S$366))*Exogenous!AA$7 +Exogenous!AA$10</f>
        <v>2.4016198864141249</v>
      </c>
      <c r="U363" s="7">
        <f ca="1">IF(U$6=OFFSET(Assumptions!$B$8,0,$C$1),AVERAGE(R$363/(R$363-R$365+R$366),S$363/(S$363-S$365+S$366),T$363/(T$363-T$365+T$366)),(T$363-Exogenous!AA$10)/(T$363-Exogenous!AA$10-T$365+T$366))*Exogenous!AB$7 +Exogenous!AB$10</f>
        <v>2.5532545462480902</v>
      </c>
      <c r="V363" s="7">
        <f ca="1">IF(V$6=OFFSET(Assumptions!$B$8,0,$C$1),AVERAGE(S$363/(S$363-S$365+S$366),T$363/(T$363-T$365+T$366),U$363/(U$363-U$365+U$366)),(U$363-Exogenous!AB$10)/(U$363-Exogenous!AB$10-U$365+U$366))*Exogenous!AC$7 +Exogenous!AC$10</f>
        <v>2.7064334533509511</v>
      </c>
      <c r="W363" s="7">
        <f ca="1">IF(W$6=OFFSET(Assumptions!$B$8,0,$C$1),AVERAGE(T$363/(T$363-T$365+T$366),U$363/(U$363-U$365+U$366),V$363/(V$363-V$365+V$366)),(V$363-Exogenous!AC$10)/(V$363-Exogenous!AC$10-V$365+V$366))*Exogenous!AD$7 +Exogenous!AD$10</f>
        <v>2.8608694875730265</v>
      </c>
      <c r="X363" s="7">
        <f ca="1">IF(X$6=OFFSET(Assumptions!$B$8,0,$C$1),AVERAGE(U$363/(U$363-U$365+U$366),V$363/(V$363-V$365+V$366),W$363/(W$363-W$365+W$366)),(W$363-Exogenous!AD$10)/(W$363-Exogenous!AD$10-W$365+W$366))*Exogenous!AE$7 +Exogenous!AE$10</f>
        <v>3.0165843008591633</v>
      </c>
      <c r="Y363" s="7">
        <f ca="1">IF(Y$6=OFFSET(Assumptions!$B$8,0,$C$1),AVERAGE(V$363/(V$363-V$365+V$366),W$363/(W$363-W$365+W$366),X$363/(X$363-X$365+X$366)),(X$363-Exogenous!AE$10)/(X$363-Exogenous!AE$10-X$365+X$366))*Exogenous!AF$7 +Exogenous!AF$10</f>
        <v>3.173355510496056</v>
      </c>
      <c r="Z363" s="7">
        <f ca="1">IF(Z$6=OFFSET(Assumptions!$B$8,0,$C$1),AVERAGE(W$363/(W$363-W$365+W$366),X$363/(X$363-X$365+X$366),Y$363/(Y$363-Y$365+Y$366)),(Y$363-Exogenous!AF$10)/(Y$363-Exogenous!AF$10-Y$365+Y$366))*Exogenous!AG$7 +Exogenous!AG$10</f>
        <v>3.3311890994912892</v>
      </c>
      <c r="AA363" s="7">
        <f ca="1">IF(AA$6=OFFSET(Assumptions!$B$8,0,$C$1),AVERAGE(X$363/(X$363-X$365+X$366),Y$363/(Y$363-Y$365+Y$366),Z$363/(Z$363-Z$365+Z$366)),(Z$363-Exogenous!AG$10)/(Z$363-Exogenous!AG$10-Z$365+Z$366))*Exogenous!AH$7 +Exogenous!AH$10</f>
        <v>3.4914130117505491</v>
      </c>
      <c r="AB363" s="7">
        <f ca="1">IF(AB$6=OFFSET(Assumptions!$B$8,0,$C$1),AVERAGE(Y$363/(Y$363-Y$365+Y$366),Z$363/(Z$363-Z$365+Z$366),AA$363/(AA$363-AA$365+AA$366)),(AA$363-Exogenous!AH$10)/(AA$363-Exogenous!AH$10-AA$365+AA$366))*Exogenous!AI$7 +Exogenous!AI$10</f>
        <v>3.6560448958866019</v>
      </c>
      <c r="AC363" s="7">
        <f ca="1">IF(AC$6=OFFSET(Assumptions!$B$8,0,$C$1),AVERAGE(Z$363/(Z$363-Z$365+Z$366),AA$363/(AA$363-AA$365+AA$366),AB$363/(AB$363-AB$365+AB$366)),(AB$363-Exogenous!AI$10)/(AB$363-Exogenous!AI$10-AB$365+AB$366))*Exogenous!AJ$7 +Exogenous!AJ$10</f>
        <v>3.8276029105804397</v>
      </c>
      <c r="AD363" s="7">
        <f ca="1">IF(AD$6=OFFSET(Assumptions!$B$8,0,$C$1),AVERAGE(AA$363/(AA$363-AA$365+AA$366),AB$363/(AB$363-AB$365+AB$366),AC$363/(AC$363-AC$365+AC$366)),(AC$363-Exogenous!AJ$10)/(AC$363-Exogenous!AJ$10-AC$365+AC$366))*Exogenous!AK$7 +Exogenous!AK$10</f>
        <v>4.0090203471879402</v>
      </c>
      <c r="AE363" s="7">
        <f ca="1">IF(AE$6=OFFSET(Assumptions!$B$8,0,$C$1),AVERAGE(AB$363/(AB$363-AB$365+AB$366),AC$363/(AC$363-AC$365+AC$366),AD$363/(AD$363-AD$365+AD$366)),(AD$363-Exogenous!AK$10)/(AD$363-Exogenous!AK$10-AD$365+AD$366))*Exogenous!AL$7 +Exogenous!AL$10</f>
        <v>4.202660570035186</v>
      </c>
      <c r="AF363" s="7">
        <f ca="1">IF(AF$6=OFFSET(Assumptions!$B$8,0,$C$1),AVERAGE(AC$363/(AC$363-AC$365+AC$366),AD$363/(AD$363-AD$365+AD$366),AE$363/(AE$363-AE$365+AE$366)),(AE$363-Exogenous!AL$10)/(AE$363-Exogenous!AL$10-AE$365+AE$366))*Exogenous!AM$7 +Exogenous!AM$10</f>
        <v>4.4105568658464724</v>
      </c>
      <c r="AG363" s="7">
        <f ca="1">IF(AG$6=OFFSET(Assumptions!$B$8,0,$C$1),AVERAGE(AD$363/(AD$363-AD$365+AD$366),AE$363/(AE$363-AE$365+AE$366),AF$363/(AF$363-AF$365+AF$366)),(AF$363-Exogenous!AM$10)/(AF$363-Exogenous!AM$10-AF$365+AF$366))*Exogenous!AN$7 +Exogenous!AN$10</f>
        <v>4.6344081715119527</v>
      </c>
      <c r="AH363" s="7">
        <f ca="1">IF(AH$6=OFFSET(Assumptions!$B$8,0,$C$1),AVERAGE(AE$363/(AE$363-AE$365+AE$366),AF$363/(AF$363-AF$365+AF$366),AG$363/(AG$363-AG$365+AG$366)),(AG$363-Exogenous!AN$10)/(AG$363-Exogenous!AN$10-AG$365+AG$366))*Exogenous!AO$7 +Exogenous!AO$10</f>
        <v>4.8754001911309555</v>
      </c>
      <c r="AI363" s="7">
        <f ca="1">IF(AI$6=OFFSET(Assumptions!$B$8,0,$C$1),AVERAGE(AF$363/(AF$363-AF$365+AF$366),AG$363/(AG$363-AG$365+AG$366),AH$363/(AH$363-AH$365+AH$366)),(AH$363-Exogenous!AO$10)/(AH$363-Exogenous!AO$10-AH$365+AH$366))*Exogenous!AP$7 +Exogenous!AP$10</f>
        <v>5.1350514631532373</v>
      </c>
      <c r="AJ363" s="7">
        <f ca="1">IF(AJ$6=OFFSET(Assumptions!$B$8,0,$C$1),AVERAGE(AG$363/(AG$363-AG$365+AG$366),AH$363/(AH$363-AH$365+AH$366),AI$363/(AI$363-AI$365+AI$366)),(AI$363-Exogenous!AP$10)/(AI$363-Exogenous!AP$10-AI$365+AI$366))*Exogenous!AQ$7 +Exogenous!AQ$10</f>
        <v>5.4146936434154771</v>
      </c>
      <c r="AK363" s="7">
        <f ca="1">IF(AK$6=OFFSET(Assumptions!$B$8,0,$C$1),AVERAGE(AH$363/(AH$363-AH$365+AH$366),AI$363/(AI$363-AI$365+AI$366),AJ$363/(AJ$363-AJ$365+AJ$366)),(AJ$363-Exogenous!AQ$10)/(AJ$363-Exogenous!AQ$10-AJ$365+AJ$366))*Exogenous!AR$7 +Exogenous!AR$10</f>
        <v>5.7152462252312519</v>
      </c>
      <c r="AL363" s="7">
        <f ca="1">IF(AL$6=OFFSET(Assumptions!$B$8,0,$C$1),AVERAGE(AI$363/(AI$363-AI$365+AI$366),AJ$363/(AJ$363-AJ$365+AJ$366),AK$363/(AK$363-AK$365+AK$366)),(AK$363-Exogenous!AR$10)/(AK$363-Exogenous!AR$10-AK$365+AK$366))*Exogenous!AS$7 +Exogenous!AS$10</f>
        <v>6.0376097762853158</v>
      </c>
      <c r="AM363" s="7">
        <f ca="1">IF(AM$6=OFFSET(Assumptions!$B$8,0,$C$1),AVERAGE(AJ$363/(AJ$363-AJ$365+AJ$366),AK$363/(AK$363-AK$365+AK$366),AL$363/(AL$363-AL$365+AL$366)),(AL$363-Exogenous!AS$10)/(AL$363-Exogenous!AS$10-AL$365+AL$366))*Exogenous!AT$7 +Exogenous!AT$10</f>
        <v>6.3831085984973788</v>
      </c>
      <c r="AN363" s="7">
        <f ca="1">IF(AN$6=OFFSET(Assumptions!$B$8,0,$C$1),AVERAGE(AK$363/(AK$363-AK$365+AK$366),AL$363/(AL$363-AL$365+AL$366),AM$363/(AM$363-AM$365+AM$366)),(AM$363-Exogenous!AT$10)/(AM$363-Exogenous!AT$10-AM$365+AM$366))*Exogenous!AU$7 +Exogenous!AU$10</f>
        <v>6.7525560906446547</v>
      </c>
      <c r="AO363" s="7">
        <f ca="1">IF(AO$6=OFFSET(Assumptions!$B$8,0,$C$1),AVERAGE(AL$363/(AL$363-AL$365+AL$366),AM$363/(AM$363-AM$365+AM$366),AN$363/(AN$363-AN$365+AN$366)),(AN$363-Exogenous!AU$10)/(AN$363-Exogenous!AU$10-AN$365+AN$366))*Exogenous!AV$7 +Exogenous!AV$10</f>
        <v>7.1459440404893888</v>
      </c>
      <c r="AP363" s="7">
        <f ca="1">IF(AP$6=OFFSET(Assumptions!$B$8,0,$C$1),AVERAGE(AM$363/(AM$363-AM$365+AM$366),AN$363/(AN$363-AN$365+AN$366),AO$363/(AO$363-AO$365+AO$366)),(AO$363-Exogenous!AV$10)/(AO$363-Exogenous!AV$10-AO$365+AO$366))*Exogenous!AW$7 +Exogenous!AW$10</f>
        <v>7.5621101387377125</v>
      </c>
      <c r="AQ363" s="7">
        <f ca="1">IF(AQ$6=OFFSET(Assumptions!$B$8,0,$C$1),AVERAGE(AN$363/(AN$363-AN$365+AN$366),AO$363/(AO$363-AO$365+AO$366),AP$363/(AP$363-AP$365+AP$366)),(AP$363-Exogenous!AW$10)/(AP$363-Exogenous!AW$10-AP$365+AP$366))*Exogenous!AX$7 +Exogenous!AX$10</f>
        <v>7.9991161267706206</v>
      </c>
      <c r="AR363" s="7">
        <f ca="1">IF(AR$6=OFFSET(Assumptions!$B$8,0,$C$1),AVERAGE(AO$363/(AO$363-AO$365+AO$366),AP$363/(AP$363-AP$365+AP$366),AQ$363/(AQ$363-AQ$365+AQ$366)),(AQ$363-Exogenous!AX$10)/(AQ$363-Exogenous!AX$10-AQ$365+AQ$366))*Exogenous!AY$7 +Exogenous!AY$10</f>
        <v>8.4543305274525604</v>
      </c>
      <c r="AS363" s="7">
        <f ca="1">IF(AS$6=OFFSET(Assumptions!$B$8,0,$C$1),AVERAGE(AP$363/(AP$363-AP$365+AP$366),AQ$363/(AQ$363-AQ$365+AQ$366),AR$363/(AR$363-AR$365+AR$366)),(AR$363-Exogenous!AY$10)/(AR$363-Exogenous!AY$10-AR$365+AR$366))*Exogenous!AZ$7 +Exogenous!AZ$10</f>
        <v>8.92438348118284</v>
      </c>
      <c r="AT363" s="7">
        <f ca="1">IF(AT$6=OFFSET(Assumptions!$B$8,0,$C$1),AVERAGE(AQ$363/(AQ$363-AQ$365+AQ$366),AR$363/(AR$363-AR$365+AR$366),AS$363/(AS$363-AS$365+AS$366)),(AS$363-Exogenous!AZ$10)/(AS$363-Exogenous!AZ$10-AS$365+AS$366))*Exogenous!BA$7 +Exogenous!BA$10</f>
        <v>9.4080207002752214</v>
      </c>
      <c r="AU363" s="7">
        <f ca="1">IF(AU$6=OFFSET(Assumptions!$B$8,0,$C$1),AVERAGE(AR$363/(AR$363-AR$365+AR$366),AS$363/(AS$363-AS$365+AS$366),AT$363/(AT$363-AT$365+AT$366)),(AT$363-Exogenous!BA$10)/(AT$363-Exogenous!BA$10-AT$365+AT$366))*Exogenous!BB$7 +Exogenous!BB$10</f>
        <v>9.9055546446626366</v>
      </c>
      <c r="AV363" s="7">
        <f ca="1">IF(AV$6=OFFSET(Assumptions!$B$8,0,$C$1),AVERAGE(AS$363/(AS$363-AS$365+AS$366),AT$363/(AT$363-AT$365+AT$366),AU$363/(AU$363-AU$365+AU$366)),(AU$363-Exogenous!BB$10)/(AU$363-Exogenous!BB$10-AU$365+AU$366))*Exogenous!BC$7 +Exogenous!BC$10</f>
        <v>10.417088241229017</v>
      </c>
      <c r="AW363" s="7">
        <f ca="1">IF(AW$6=OFFSET(Assumptions!$B$8,0,$C$1),AVERAGE(AT$363/(AT$363-AT$365+AT$366),AU$363/(AU$363-AU$365+AU$366),AV$363/(AV$363-AV$365+AV$366)),(AV$363-Exogenous!BC$10)/(AV$363-Exogenous!BC$10-AV$365+AV$366))*Exogenous!BD$7 +Exogenous!BD$10</f>
        <v>10.942535676034531</v>
      </c>
    </row>
    <row r="364" spans="1:49" x14ac:dyDescent="0.2">
      <c r="A364" s="1" t="s">
        <v>406</v>
      </c>
      <c r="B364" s="4" t="str">
        <f t="shared" si="224"/>
        <v>From Fiscal</v>
      </c>
      <c r="D364" s="18">
        <f>Fiscal!D$337</f>
        <v>4.5999999999999999E-2</v>
      </c>
      <c r="E364" s="19">
        <f>Fiscal!E$337</f>
        <v>0.128</v>
      </c>
      <c r="F364" s="19">
        <f>Fiscal!F$337</f>
        <v>0.61</v>
      </c>
      <c r="G364" s="19">
        <f>Fiscal!G$337</f>
        <v>0.65400000000000003</v>
      </c>
      <c r="H364" s="19">
        <f>Fiscal!H$337</f>
        <v>0.70099999999999996</v>
      </c>
      <c r="I364" s="19">
        <f>Fiscal!I$337</f>
        <v>0.752</v>
      </c>
      <c r="J364" s="7">
        <f>Exogenous!Q$8</f>
        <v>0.65361089933916705</v>
      </c>
      <c r="K364" s="7">
        <f>Exogenous!R$8</f>
        <v>0.75841608975060126</v>
      </c>
      <c r="L364" s="7">
        <f>Exogenous!S$8</f>
        <v>0.87175832587279645</v>
      </c>
      <c r="M364" s="7">
        <f>Exogenous!T$8</f>
        <v>0.99351122741705833</v>
      </c>
      <c r="N364" s="7">
        <f>Exogenous!U$8</f>
        <v>1.1165789088442899</v>
      </c>
      <c r="O364" s="7">
        <f>Exogenous!V$8</f>
        <v>1.2227067782681997</v>
      </c>
      <c r="P364" s="7">
        <f>Exogenous!W$8</f>
        <v>1.3297520554824922</v>
      </c>
      <c r="Q364" s="7">
        <f>Exogenous!X$8</f>
        <v>1.4372753154516931</v>
      </c>
      <c r="R364" s="7">
        <f>Exogenous!Y$8</f>
        <v>1.5452335475845158</v>
      </c>
      <c r="S364" s="7">
        <f>Exogenous!Z$8</f>
        <v>1.6540079455270724</v>
      </c>
      <c r="T364" s="7">
        <f>Exogenous!AA$8</f>
        <v>1.7640658117736667</v>
      </c>
      <c r="U364" s="7">
        <f>Exogenous!AB$8</f>
        <v>1.8754462682756425</v>
      </c>
      <c r="V364" s="7">
        <f>Exogenous!AC$8</f>
        <v>1.9879610232681466</v>
      </c>
      <c r="W364" s="7">
        <f>Exogenous!AD$8</f>
        <v>2.1013991779146117</v>
      </c>
      <c r="X364" s="7">
        <f>Exogenous!AE$8</f>
        <v>2.2157766362537572</v>
      </c>
      <c r="Y364" s="7">
        <f>Exogenous!AF$8</f>
        <v>2.3309300511448074</v>
      </c>
      <c r="Z364" s="7">
        <f>Exogenous!AG$8</f>
        <v>2.4468638172961832</v>
      </c>
      <c r="AA364" s="7">
        <f>Exogenous!AH$8</f>
        <v>2.5645533515326786</v>
      </c>
      <c r="AB364" s="7">
        <f>Exogenous!AI$8</f>
        <v>2.6854806806138534</v>
      </c>
      <c r="AC364" s="7">
        <f>Exogenous!AJ$8</f>
        <v>2.8114954717842573</v>
      </c>
      <c r="AD364" s="7">
        <f>Exogenous!AK$8</f>
        <v>2.9447523203760428</v>
      </c>
      <c r="AE364" s="7">
        <f>Exogenous!AL$8</f>
        <v>3.0869871922812293</v>
      </c>
      <c r="AF364" s="7">
        <f>Exogenous!AM$8</f>
        <v>3.239693600947199</v>
      </c>
      <c r="AG364" s="7">
        <f>Exogenous!AN$8</f>
        <v>3.40411946928683</v>
      </c>
      <c r="AH364" s="7">
        <f>Exogenous!AO$8</f>
        <v>3.5811357344856209</v>
      </c>
      <c r="AI364" s="7">
        <f>Exogenous!AP$8</f>
        <v>3.7718578110928216</v>
      </c>
      <c r="AJ364" s="7">
        <f>Exogenous!AQ$8</f>
        <v>3.977263842464017</v>
      </c>
      <c r="AK364" s="7">
        <f>Exogenous!AR$8</f>
        <v>4.1980292255376694</v>
      </c>
      <c r="AL364" s="7">
        <f>Exogenous!AS$8</f>
        <v>4.4348154557789234</v>
      </c>
      <c r="AM364" s="7">
        <f>Exogenous!AT$8</f>
        <v>4.6885952748586162</v>
      </c>
      <c r="AN364" s="7">
        <f>Exogenous!AU$8</f>
        <v>4.9599661499206276</v>
      </c>
      <c r="AO364" s="7">
        <f>Exogenous!AV$8</f>
        <v>5.2489220488164312</v>
      </c>
      <c r="AP364" s="7">
        <f>Exogenous!AW$8</f>
        <v>5.5546092185855258</v>
      </c>
      <c r="AQ364" s="7">
        <f>Exogenous!AX$8</f>
        <v>5.875603946931264</v>
      </c>
      <c r="AR364" s="7">
        <f>Exogenous!AY$8</f>
        <v>6.2099733306179798</v>
      </c>
      <c r="AS364" s="7">
        <f>Exogenous!AZ$8</f>
        <v>6.5552421011214195</v>
      </c>
      <c r="AT364" s="7">
        <f>Exogenous!BA$8</f>
        <v>6.9104889444410054</v>
      </c>
      <c r="AU364" s="7">
        <f>Exogenous!BB$8</f>
        <v>7.2759433722860427</v>
      </c>
      <c r="AV364" s="7">
        <f>Exogenous!BC$8</f>
        <v>7.6516809877101579</v>
      </c>
      <c r="AW364" s="7">
        <f>Exogenous!BD$8</f>
        <v>8.0376387576587458</v>
      </c>
    </row>
    <row r="365" spans="1:49" x14ac:dyDescent="0.2">
      <c r="A365" s="1" t="s">
        <v>407</v>
      </c>
      <c r="B365" s="4" t="str">
        <f t="shared" si="224"/>
        <v>From Fiscal</v>
      </c>
      <c r="D365" s="18">
        <f>Fiscal!D$338</f>
        <v>0.19800000000000001</v>
      </c>
      <c r="E365" s="19">
        <f>Fiscal!E$338</f>
        <v>0.54600000000000004</v>
      </c>
      <c r="F365" s="19">
        <f>Fiscal!F$338</f>
        <v>0.17</v>
      </c>
      <c r="G365" s="19">
        <f>Fiscal!G$338</f>
        <v>0.186</v>
      </c>
      <c r="H365" s="19">
        <f>Fiscal!H$338</f>
        <v>0.2</v>
      </c>
      <c r="I365" s="19">
        <f>Fiscal!I$338</f>
        <v>0.21299999999999999</v>
      </c>
      <c r="J365" s="7">
        <f ca="1">IF(J$6=OFFSET(Assumptions!$B$8,0,$C$1),AVERAGE(G$365/(G$363-G$365+G$366),H$365/(H$363-H$365+H$366),I$365/(I$363-I$365+I$366)),I$365/(I$363-Exogenous!P$10-I$365+I$366))*Exogenous!Q$7</f>
        <v>0.18542497899728058</v>
      </c>
      <c r="K365" s="7">
        <f ca="1">IF(K$6=OFFSET(Assumptions!$B$8,0,$C$1),AVERAGE(H$365/(H$363-H$365+H$366),I$365/(I$363-I$365+I$366),J$365/(J$363-J$365+J$366)),J$365/(J$363-Exogenous!Q$10-J$365+J$366))*Exogenous!R$7</f>
        <v>0.21515750067109968</v>
      </c>
      <c r="L365" s="7">
        <f ca="1">IF(L$6=OFFSET(Assumptions!$B$8,0,$C$1),AVERAGE(I$365/(I$363-I$365+I$366),J$365/(J$363-J$365+J$366),K$365/(K$363-K$365+K$366)),K$365/(K$363-Exogenous!R$10-K$365+K$366))*Exogenous!S$7</f>
        <v>0.24731192431016621</v>
      </c>
      <c r="M365" s="7">
        <f ca="1">IF(M$6=OFFSET(Assumptions!$B$8,0,$C$1),AVERAGE(J$365/(J$363-J$365+J$366),K$365/(K$363-K$365+K$366),L$365/(L$363-L$365+L$366)),L$365/(L$363-Exogenous!S$10-L$365+L$366))*Exogenous!T$7</f>
        <v>0.28185239668375761</v>
      </c>
      <c r="N365" s="7">
        <f ca="1">IF(N$6=OFFSET(Assumptions!$B$8,0,$C$1),AVERAGE(K$365/(K$363-K$365+K$366),L$365/(L$363-L$365+L$366),M$365/(M$363-M$365+M$366)),M$365/(M$363-Exogenous!T$10-M$365+M$366))*Exogenous!U$7</f>
        <v>0.31676586319259392</v>
      </c>
      <c r="O365" s="7">
        <f ca="1">IF(O$6=OFFSET(Assumptions!$B$8,0,$C$1),AVERAGE(L$365/(L$363-L$365+L$366),M$365/(M$363-M$365+M$366),N$365/(N$363-N$365+N$366)),N$365/(N$363-Exogenous!U$10-N$365+N$366))*Exogenous!V$7</f>
        <v>0.34687361993112265</v>
      </c>
      <c r="P365" s="7">
        <f ca="1">IF(P$6=OFFSET(Assumptions!$B$8,0,$C$1),AVERAGE(M$365/(M$363-M$365+M$366),N$365/(N$363-N$365+N$366),O$365/(O$363-O$365+O$366)),O$365/(O$363-Exogenous!V$10-O$365+O$366))*Exogenous!W$7</f>
        <v>0.37724163903742342</v>
      </c>
      <c r="Q365" s="7">
        <f ca="1">IF(Q$6=OFFSET(Assumptions!$B$8,0,$C$1),AVERAGE(N$365/(N$363-N$365+N$366),O$365/(O$363-O$365+O$366),P$365/(P$363-P$365+P$366)),P$365/(P$363-Exogenous!W$10-P$365+P$366))*Exogenous!X$7</f>
        <v>0.40774525860935218</v>
      </c>
      <c r="R365" s="7">
        <f ca="1">IF(R$6=OFFSET(Assumptions!$B$8,0,$C$1),AVERAGE(O$365/(O$363-O$365+O$366),P$365/(P$363-P$365+P$366),Q$365/(Q$363-Q$365+Q$366)),Q$365/(Q$363-Exogenous!X$10-Q$365+Q$366))*Exogenous!Y$7</f>
        <v>0.4383722768338823</v>
      </c>
      <c r="S365" s="7">
        <f ca="1">IF(S$6=OFFSET(Assumptions!$B$8,0,$C$1),AVERAGE(P$365/(P$363-P$365+P$366),Q$365/(Q$363-Q$365+Q$366),R$365/(R$363-R$365+R$366)),R$365/(R$363-Exogenous!Y$10-R$365+R$366))*Exogenous!Z$7</f>
        <v>0.46923083576295277</v>
      </c>
      <c r="T365" s="7">
        <f ca="1">IF(T$6=OFFSET(Assumptions!$B$8,0,$C$1),AVERAGE(Q$365/(Q$363-Q$365+Q$366),R$365/(R$363-R$365+R$366),S$365/(S$363-S$365+S$366)),S$365/(S$363-Exogenous!Z$10-S$365+S$366))*Exogenous!AA$7</f>
        <v>0.50045350594469729</v>
      </c>
      <c r="U365" s="7">
        <f ca="1">IF(U$6=OFFSET(Assumptions!$B$8,0,$C$1),AVERAGE(R$365/(R$363-R$365+R$366),S$365/(S$363-S$365+S$366),T$365/(T$363-T$365+T$366)),T$365/(T$363-Exogenous!AA$10-T$365+T$366))*Exogenous!AB$7</f>
        <v>0.53205138601136592</v>
      </c>
      <c r="V365" s="7">
        <f ca="1">IF(V$6=OFFSET(Assumptions!$B$8,0,$C$1),AVERAGE(S$365/(S$363-S$365+S$366),T$365/(T$363-T$365+T$366),U$365/(U$363-U$365+U$366)),U$365/(U$363-Exogenous!AB$10-U$365+U$366))*Exogenous!AC$7</f>
        <v>0.563971058866367</v>
      </c>
      <c r="W365" s="7">
        <f ca="1">IF(W$6=OFFSET(Assumptions!$B$8,0,$C$1),AVERAGE(T$365/(T$363-T$365+T$366),U$365/(U$363-U$365+U$366),V$365/(V$363-V$365+V$366)),V$365/(V$363-Exogenous!AC$10-V$365+V$366))*Exogenous!AD$7</f>
        <v>0.59615269394019732</v>
      </c>
      <c r="X365" s="7">
        <f ca="1">IF(X$6=OFFSET(Assumptions!$B$8,0,$C$1),AVERAGE(U$365/(U$363-U$365+U$366),V$365/(V$363-V$365+V$366),W$365/(W$363-W$365+W$366)),W$365/(W$363-Exogenous!AD$10-W$365+W$366))*Exogenous!AE$7</f>
        <v>0.62860080310077149</v>
      </c>
      <c r="Y365" s="7">
        <f ca="1">IF(Y$6=OFFSET(Assumptions!$B$8,0,$C$1),AVERAGE(V$365/(V$363-V$365+V$366),W$365/(W$363-W$365+W$366),X$365/(X$363-X$365+X$366)),X$365/(X$363-Exogenous!AE$10-X$365+X$366))*Exogenous!AF$7</f>
        <v>0.66126904587216118</v>
      </c>
      <c r="Z365" s="7">
        <f ca="1">IF(Z$6=OFFSET(Assumptions!$B$8,0,$C$1),AVERAGE(W$365/(W$363-W$365+W$366),X$365/(X$363-X$365+X$366),Y$365/(Y$363-Y$365+Y$366)),Y$365/(Y$363-Exogenous!AF$10-Y$365+Y$366))*Exogenous!AG$7</f>
        <v>0.69415866900333756</v>
      </c>
      <c r="AA365" s="7">
        <f ca="1">IF(AA$6=OFFSET(Assumptions!$B$8,0,$C$1),AVERAGE(X$365/(X$363-X$365+X$366),Y$365/(Y$363-Y$365+Y$366),Z$365/(Z$363-Z$365+Z$366)),Z$365/(Z$363-Exogenous!AG$10-Z$365+Z$366))*Exogenous!AH$7</f>
        <v>0.72754639163168666</v>
      </c>
      <c r="AB365" s="7">
        <f ca="1">IF(AB$6=OFFSET(Assumptions!$B$8,0,$C$1),AVERAGE(Y$365/(Y$363-Y$365+Y$366),Z$365/(Z$363-Z$365+Z$366),AA$365/(AA$363-AA$365+AA$366)),AA$365/(AA$363-Exogenous!AH$10-AA$365+AA$366))*Exogenous!AI$7</f>
        <v>0.76185265469698249</v>
      </c>
      <c r="AC365" s="7">
        <f ca="1">IF(AC$6=OFFSET(Assumptions!$B$8,0,$C$1),AVERAGE(Z$365/(Z$363-Z$365+Z$366),AA$365/(AA$363-AA$365+AA$366),AB$365/(AB$363-AB$365+AB$366)),AB$365/(AB$363-Exogenous!AI$10-AB$365+AB$366))*Exogenous!AJ$7</f>
        <v>0.79760219625105266</v>
      </c>
      <c r="AD365" s="7">
        <f ca="1">IF(AD$6=OFFSET(Assumptions!$B$8,0,$C$1),AVERAGE(AA$365/(AA$363-AA$365+AA$366),AB$365/(AB$363-AB$365+AB$366),AC$365/(AC$363-AC$365+AC$366)),AC$365/(AC$363-Exogenous!AJ$10-AC$365+AC$366))*Exogenous!AK$7</f>
        <v>0.83540626037598975</v>
      </c>
      <c r="AE365" s="7">
        <f ca="1">IF(AE$6=OFFSET(Assumptions!$B$8,0,$C$1),AVERAGE(AB$365/(AB$363-AB$365+AB$366),AC$365/(AC$363-AC$365+AC$366),AD$365/(AD$363-AD$365+AD$366)),AD$365/(AD$363-Exogenous!AK$10-AD$365+AD$366))*Exogenous!AL$7</f>
        <v>0.87575732882109281</v>
      </c>
      <c r="AF365" s="7">
        <f ca="1">IF(AF$6=OFFSET(Assumptions!$B$8,0,$C$1),AVERAGE(AC$365/(AC$363-AC$365+AC$366),AD$365/(AD$363-AD$365+AD$366),AE$365/(AE$363-AE$365+AE$366)),AE$365/(AE$363-Exogenous!AL$10-AE$365+AE$366))*Exogenous!AM$7</f>
        <v>0.91907910122156244</v>
      </c>
      <c r="AG365" s="7">
        <f ca="1">IF(AG$6=OFFSET(Assumptions!$B$8,0,$C$1),AVERAGE(AD$365/(AD$363-AD$365+AD$366),AE$365/(AE$363-AE$365+AE$366),AF$365/(AF$363-AF$365+AF$366)),AF$365/(AF$363-Exogenous!AM$10-AF$365+AF$366))*Exogenous!AN$7</f>
        <v>0.96572560484368897</v>
      </c>
      <c r="AH365" s="7">
        <f ca="1">IF(AH$6=OFFSET(Assumptions!$B$8,0,$C$1),AVERAGE(AE$365/(AE$363-AE$365+AE$366),AF$365/(AF$363-AF$365+AF$366),AG$365/(AG$363-AG$365+AG$366)),AG$365/(AG$363-Exogenous!AN$10-AG$365+AG$366))*Exogenous!AO$7</f>
        <v>1.0159439186598276</v>
      </c>
      <c r="AI365" s="7">
        <f ca="1">IF(AI$6=OFFSET(Assumptions!$B$8,0,$C$1),AVERAGE(AF$365/(AF$363-AF$365+AF$366),AG$365/(AG$363-AG$365+AG$366),AH$365/(AH$363-AH$365+AH$366)),AH$365/(AH$363-Exogenous!AO$10-AH$365+AH$366))*Exogenous!AP$7</f>
        <v>1.0700504782122517</v>
      </c>
      <c r="AJ365" s="7">
        <f ca="1">IF(AJ$6=OFFSET(Assumptions!$B$8,0,$C$1),AVERAGE(AG$365/(AG$363-AG$365+AG$366),AH$365/(AH$363-AH$365+AH$366),AI$365/(AI$363-AI$365+AI$366)),AI$365/(AI$363-Exogenous!AP$10-AI$365+AI$366))*Exogenous!AQ$7</f>
        <v>1.128322776136639</v>
      </c>
      <c r="AK365" s="7">
        <f ca="1">IF(AK$6=OFFSET(Assumptions!$B$8,0,$C$1),AVERAGE(AH$365/(AH$363-AH$365+AH$366),AI$365/(AI$363-AI$365+AI$366),AJ$365/(AJ$363-AJ$365+AJ$366)),AJ$365/(AJ$363-Exogenous!AQ$10-AJ$365+AJ$366))*Exogenous!AR$7</f>
        <v>1.1909524179635216</v>
      </c>
      <c r="AL365" s="7">
        <f ca="1">IF(AL$6=OFFSET(Assumptions!$B$8,0,$C$1),AVERAGE(AI$365/(AI$363-AI$365+AI$366),AJ$365/(AJ$363-AJ$365+AJ$366),AK$365/(AK$363-AK$365+AK$366)),AK$365/(AK$363-Exogenous!AR$10-AK$365+AK$366))*Exogenous!AS$7</f>
        <v>1.2581270654697383</v>
      </c>
      <c r="AM365" s="7">
        <f ca="1">IF(AM$6=OFFSET(Assumptions!$B$8,0,$C$1),AVERAGE(AJ$365/(AJ$363-AJ$365+AJ$366),AK$365/(AK$363-AK$365+AK$366),AL$365/(AL$363-AL$365+AL$366)),AL$365/(AL$363-Exogenous!AS$10-AL$365+AL$366))*Exogenous!AT$7</f>
        <v>1.3301226788696414</v>
      </c>
      <c r="AN365" s="7">
        <f ca="1">IF(AN$6=OFFSET(Assumptions!$B$8,0,$C$1),AVERAGE(AK$365/(AK$363-AK$365+AK$366),AL$365/(AL$363-AL$365+AL$366),AM$365/(AM$363-AM$365+AM$366)),AM$365/(AM$363-Exogenous!AT$10-AM$365+AM$366))*Exogenous!AU$7</f>
        <v>1.4071087555396022</v>
      </c>
      <c r="AO365" s="7">
        <f ca="1">IF(AO$6=OFFSET(Assumptions!$B$8,0,$C$1),AVERAGE(AL$365/(AL$363-AL$365+AL$366),AM$365/(AM$363-AM$365+AM$366),AN$365/(AN$363-AN$365+AN$366)),AN$365/(AN$363-Exogenous!AU$10-AN$365+AN$366))*Exogenous!AV$7</f>
        <v>1.489083584199997</v>
      </c>
      <c r="AP365" s="7">
        <f ca="1">IF(AP$6=OFFSET(Assumptions!$B$8,0,$C$1),AVERAGE(AM$365/(AM$363-AM$365+AM$366),AN$365/(AN$363-AN$365+AN$366),AO$365/(AO$363-AO$365+AO$366)),AO$365/(AO$363-Exogenous!AV$10-AO$365+AO$366))*Exogenous!AW$7</f>
        <v>1.5758049609265494</v>
      </c>
      <c r="AQ365" s="7">
        <f ca="1">IF(AQ$6=OFFSET(Assumptions!$B$8,0,$C$1),AVERAGE(AN$365/(AN$363-AN$365+AN$366),AO$365/(AO$363-AO$365+AO$366),AP$365/(AP$363-AP$365+AP$366)),AP$365/(AP$363-Exogenous!AW$10-AP$365+AP$366))*Exogenous!AX$7</f>
        <v>1.6668689881970928</v>
      </c>
      <c r="AR365" s="7">
        <f ca="1">IF(AR$6=OFFSET(Assumptions!$B$8,0,$C$1),AVERAGE(AO$365/(AO$363-AO$365+AO$366),AP$365/(AP$363-AP$365+AP$366),AQ$365/(AQ$363-AQ$365+AQ$366)),AQ$365/(AQ$363-Exogenous!AX$10-AQ$365+AQ$366))*Exogenous!AY$7</f>
        <v>1.7617273144736718</v>
      </c>
      <c r="AS365" s="7">
        <f ca="1">IF(AS$6=OFFSET(Assumptions!$B$8,0,$C$1),AVERAGE(AP$365/(AP$363-AP$365+AP$366),AQ$365/(AQ$363-AQ$365+AQ$366),AR$365/(AR$363-AR$365+AR$366)),AR$365/(AR$363-Exogenous!AY$10-AR$365+AR$366))*Exogenous!AZ$7</f>
        <v>1.8596777228645753</v>
      </c>
      <c r="AT365" s="7">
        <f ca="1">IF(AT$6=OFFSET(Assumptions!$B$8,0,$C$1),AVERAGE(AQ$365/(AQ$363-AQ$365+AQ$366),AR$365/(AR$363-AR$365+AR$366),AS$365/(AS$363-AS$365+AS$366)),AS$365/(AS$363-Exogenous!AZ$10-AS$365+AS$366))*Exogenous!BA$7</f>
        <v>1.9604588428366934</v>
      </c>
      <c r="AU365" s="7">
        <f ca="1">IF(AU$6=OFFSET(Assumptions!$B$8,0,$C$1),AVERAGE(AR$365/(AR$363-AR$365+AR$366),AS$365/(AS$363-AS$365+AS$366),AT$365/(AT$363-AT$365+AT$366)),AT$365/(AT$363-Exogenous!BA$10-AT$365+AT$366))*Exogenous!BB$7</f>
        <v>2.0641357853052824</v>
      </c>
      <c r="AV365" s="7">
        <f ca="1">IF(AV$6=OFFSET(Assumptions!$B$8,0,$C$1),AVERAGE(AS$365/(AS$363-AS$365+AS$366),AT$365/(AT$363-AT$365+AT$366),AU$365/(AU$363-AU$365+AU$366)),AU$365/(AU$363-Exogenous!BB$10-AU$365+AU$366))*Exogenous!BC$7</f>
        <v>2.1707299983438744</v>
      </c>
      <c r="AW365" s="7">
        <f ca="1">IF(AW$6=OFFSET(Assumptions!$B$8,0,$C$1),AVERAGE(AT$365/(AT$363-AT$365+AT$366),AU$365/(AU$363-AU$365+AU$366),AV$365/(AV$363-AV$365+AV$366)),AV$365/(AV$363-Exogenous!BC$10-AV$365+AV$366))*Exogenous!BD$7</f>
        <v>2.2802235999024032</v>
      </c>
    </row>
    <row r="366" spans="1:49" x14ac:dyDescent="0.2">
      <c r="A366" s="1" t="s">
        <v>417</v>
      </c>
      <c r="B366" s="4" t="str">
        <f t="shared" si="224"/>
        <v>From Fiscal</v>
      </c>
      <c r="D366" s="18">
        <f>Fiscal!D$339</f>
        <v>3.1560000000000001</v>
      </c>
      <c r="E366" s="19">
        <f>Fiscal!E$339</f>
        <v>-0.57299999999999995</v>
      </c>
      <c r="F366" s="19">
        <f>Fiscal!F$339</f>
        <v>1.927</v>
      </c>
      <c r="G366" s="19">
        <f>Fiscal!G$339</f>
        <v>2.0569999999999999</v>
      </c>
      <c r="H366" s="19">
        <f>Fiscal!H$339</f>
        <v>2.198</v>
      </c>
      <c r="I366" s="19">
        <f>Fiscal!I$339</f>
        <v>2.3479999999999999</v>
      </c>
      <c r="J366" s="7">
        <f ca="1">IF(J$6=OFFSET(Assumptions!$B$8,0,$C$1),AVERAGE(G$366/(G$363-G$365+G$366),H$366/(H$363-H$365+H$366),I$366/(I$363-I$365+I$366)),I$366/(I$363-Exogenous!P$10-I$365+I$366))*Exogenous!Q$7</f>
        <v>2.0441544878698412</v>
      </c>
      <c r="K366" s="7">
        <f ca="1">IF(K$6=OFFSET(Assumptions!$B$8,0,$C$1),AVERAGE(H$366/(H$363-H$365+H$366),I$366/(I$363-I$365+I$366),J$366/(J$363-J$365+J$366)),J$366/(J$363-Exogenous!Q$10-J$365+J$366))*Exogenous!R$7</f>
        <v>2.3719305401789321</v>
      </c>
      <c r="L366" s="7">
        <f ca="1">IF(L$6=OFFSET(Assumptions!$B$8,0,$C$1),AVERAGE(I$366/(I$363-I$365+I$366),J$366/(J$363-J$365+J$366),K$366/(K$363-K$365+K$366)),K$366/(K$363-Exogenous!R$10-K$365+K$366))*Exogenous!S$7</f>
        <v>2.7264060253164004</v>
      </c>
      <c r="M366" s="7">
        <f ca="1">IF(M$6=OFFSET(Assumptions!$B$8,0,$C$1),AVERAGE(J$366/(J$363-J$365+J$366),K$366/(K$363-K$365+K$366),L$366/(L$363-L$365+L$366)),L$366/(L$363-Exogenous!S$10-L$365+L$366))*Exogenous!T$7</f>
        <v>3.1071856915589766</v>
      </c>
      <c r="N366" s="7">
        <f ca="1">IF(N$6=OFFSET(Assumptions!$B$8,0,$C$1),AVERAGE(K$366/(K$363-K$365+K$366),L$366/(L$363-L$365+L$366),M$366/(M$363-M$365+M$366)),M$366/(M$363-Exogenous!T$10-M$365+M$366))*Exogenous!U$7</f>
        <v>3.49207730452865</v>
      </c>
      <c r="O366" s="7">
        <f ca="1">IF(O$6=OFFSET(Assumptions!$B$8,0,$C$1),AVERAGE(L$366/(L$363-L$365+L$366),M$366/(M$363-M$365+M$366),N$366/(N$363-N$365+N$366)),N$366/(N$363-Exogenous!U$10-N$365+N$366))*Exogenous!V$7</f>
        <v>3.82399000792801</v>
      </c>
      <c r="P366" s="7">
        <f ca="1">IF(P$6=OFFSET(Assumptions!$B$8,0,$C$1),AVERAGE(M$366/(M$363-M$365+M$366),N$366/(N$363-N$365+N$366),O$366/(O$363-O$365+O$366)),O$366/(O$363-Exogenous!V$10-O$365+O$366))*Exogenous!W$7</f>
        <v>4.1587718851031035</v>
      </c>
      <c r="Q366" s="7">
        <f ca="1">IF(Q$6=OFFSET(Assumptions!$B$8,0,$C$1),AVERAGE(N$366/(N$363-N$365+N$366),O$366/(O$363-O$365+O$366),P$366/(P$363-P$365+P$366)),P$366/(P$363-Exogenous!W$10-P$365+P$366))*Exogenous!X$7</f>
        <v>4.4950486433986887</v>
      </c>
      <c r="R366" s="7">
        <f ca="1">IF(R$6=OFFSET(Assumptions!$B$8,0,$C$1),AVERAGE(O$366/(O$363-O$365+O$366),P$366/(P$363-P$365+P$366),Q$366/(Q$363-Q$365+Q$366)),Q$366/(Q$363-Exogenous!X$10-Q$365+Q$366))*Exogenous!Y$7</f>
        <v>4.8326857680854491</v>
      </c>
      <c r="S366" s="7">
        <f ca="1">IF(S$6=OFFSET(Assumptions!$B$8,0,$C$1),AVERAGE(P$366/(P$363-P$365+P$366),Q$366/(Q$363-Q$365+Q$366),R$366/(R$363-R$365+R$366)),R$366/(R$363-Exogenous!Y$10-R$365+R$366))*Exogenous!Z$7</f>
        <v>5.1728754343600256</v>
      </c>
      <c r="T366" s="7">
        <f ca="1">IF(T$6=OFFSET(Assumptions!$B$8,0,$C$1),AVERAGE(Q$366/(Q$363-Q$365+Q$366),R$366/(R$363-R$365+R$366),S$366/(S$363-S$365+S$366)),S$366/(S$363-Exogenous!Z$10-S$365+S$366))*Exogenous!AA$7</f>
        <v>5.5170791210500969</v>
      </c>
      <c r="U366" s="7">
        <f ca="1">IF(U$6=OFFSET(Assumptions!$B$8,0,$C$1),AVERAGE(R$366/(R$363-R$365+R$366),S$366/(S$363-S$365+S$366),T$366/(T$363-T$365+T$366)),T$366/(T$363-Exogenous!AA$10-T$365+T$366))*Exogenous!AB$7</f>
        <v>5.8654191812444729</v>
      </c>
      <c r="V366" s="7">
        <f ca="1">IF(V$6=OFFSET(Assumptions!$B$8,0,$C$1),AVERAGE(S$366/(S$363-S$365+S$366),T$366/(T$363-T$365+T$366),U$366/(U$363-U$365+U$366)),U$366/(U$363-Exogenous!AB$10-U$365+U$366))*Exogenous!AC$7</f>
        <v>6.2173067363663996</v>
      </c>
      <c r="W366" s="7">
        <f ca="1">IF(W$6=OFFSET(Assumptions!$B$8,0,$C$1),AVERAGE(T$366/(T$363-T$365+T$366),U$366/(U$363-U$365+U$366),V$366/(V$363-V$365+V$366)),V$366/(V$363-Exogenous!AC$10-V$365+V$366))*Exogenous!AD$7</f>
        <v>6.5720822046927267</v>
      </c>
      <c r="X366" s="7">
        <f ca="1">IF(X$6=OFFSET(Assumptions!$B$8,0,$C$1),AVERAGE(U$366/(U$363-U$365+U$366),V$366/(V$363-V$365+V$366),W$366/(W$363-W$365+W$366)),W$366/(W$363-Exogenous!AD$10-W$365+W$366))*Exogenous!AE$7</f>
        <v>6.9297953257736307</v>
      </c>
      <c r="Y366" s="7">
        <f ca="1">IF(Y$6=OFFSET(Assumptions!$B$8,0,$C$1),AVERAGE(V$366/(V$363-V$365+V$366),W$366/(W$363-W$365+W$366),X$366/(X$363-X$365+X$366)),X$366/(X$363-Exogenous!AE$10-X$365+X$366))*Exogenous!AF$7</f>
        <v>7.2899352348251343</v>
      </c>
      <c r="Z366" s="7">
        <f ca="1">IF(Z$6=OFFSET(Assumptions!$B$8,0,$C$1),AVERAGE(W$366/(W$363-W$365+W$366),X$366/(X$363-X$365+X$366),Y$366/(Y$363-Y$365+Y$366)),Y$366/(Y$363-Exogenous!AF$10-Y$365+Y$366))*Exogenous!AG$7</f>
        <v>7.6525156762063782</v>
      </c>
      <c r="AA366" s="7">
        <f ca="1">IF(AA$6=OFFSET(Assumptions!$B$8,0,$C$1),AVERAGE(X$366/(X$363-X$365+X$366),Y$366/(Y$363-Y$365+Y$366),Z$366/(Z$363-Z$365+Z$366)),Z$366/(Z$363-Exogenous!AG$10-Z$365+Z$366))*Exogenous!AH$7</f>
        <v>8.0205872457412148</v>
      </c>
      <c r="AB366" s="7">
        <f ca="1">IF(AB$6=OFFSET(Assumptions!$B$8,0,$C$1),AVERAGE(Y$366/(Y$363-Y$365+Y$366),Z$366/(Z$363-Z$365+Z$366),AA$366/(AA$363-AA$365+AA$366)),AA$366/(AA$363-Exogenous!AH$10-AA$365+AA$366))*Exogenous!AI$7</f>
        <v>8.3987849512833392</v>
      </c>
      <c r="AC366" s="7">
        <f ca="1">IF(AC$6=OFFSET(Assumptions!$B$8,0,$C$1),AVERAGE(Z$366/(Z$363-Z$365+Z$366),AA$366/(AA$363-AA$365+AA$366),AB$366/(AB$363-AB$365+AB$366)),AB$366/(AB$363-Exogenous!AI$10-AB$365+AB$366))*Exogenous!AJ$7</f>
        <v>8.7928935886536781</v>
      </c>
      <c r="AD366" s="7">
        <f ca="1">IF(AD$6=OFFSET(Assumptions!$B$8,0,$C$1),AVERAGE(AA$366/(AA$363-AA$365+AA$366),AB$366/(AB$363-AB$365+AB$366),AC$366/(AC$363-AC$365+AC$366)),AC$366/(AC$363-Exogenous!AJ$10-AC$365+AC$366))*Exogenous!AK$7</f>
        <v>9.2096516099224459</v>
      </c>
      <c r="AE366" s="7">
        <f ca="1">IF(AE$6=OFFSET(Assumptions!$B$8,0,$C$1),AVERAGE(AB$366/(AB$363-AB$365+AB$366),AC$366/(AC$363-AC$365+AC$366),AD$366/(AD$363-AD$365+AD$366)),AD$366/(AD$363-Exogenous!AK$10-AD$365+AD$366))*Exogenous!AL$7</f>
        <v>9.6544882122963358</v>
      </c>
      <c r="AF366" s="7">
        <f ca="1">IF(AF$6=OFFSET(Assumptions!$B$8,0,$C$1),AVERAGE(AC$366/(AC$363-AC$365+AC$366),AD$366/(AD$363-AD$365+AD$366),AE$366/(AE$363-AE$365+AE$366)),AE$366/(AE$363-Exogenous!AL$10-AE$365+AE$366))*Exogenous!AM$7</f>
        <v>10.132074328006206</v>
      </c>
      <c r="AG366" s="7">
        <f ca="1">IF(AG$6=OFFSET(Assumptions!$B$8,0,$C$1),AVERAGE(AD$366/(AD$363-AD$365+AD$366),AE$366/(AE$363-AE$365+AE$366),AF$366/(AF$363-AF$365+AF$366)),AF$366/(AF$363-Exogenous!AM$10-AF$365+AF$366))*Exogenous!AN$7</f>
        <v>10.646312809996301</v>
      </c>
      <c r="AH366" s="7">
        <f ca="1">IF(AH$6=OFFSET(Assumptions!$B$8,0,$C$1),AVERAGE(AE$366/(AE$363-AE$365+AE$366),AF$366/(AF$363-AF$365+AF$366),AG$366/(AG$363-AG$365+AG$366)),AG$366/(AG$363-Exogenous!AN$10-AG$365+AG$366))*Exogenous!AO$7</f>
        <v>11.199927496192496</v>
      </c>
      <c r="AI366" s="7">
        <f ca="1">IF(AI$6=OFFSET(Assumptions!$B$8,0,$C$1),AVERAGE(AF$366/(AF$363-AF$365+AF$366),AG$366/(AG$363-AG$365+AG$366),AH$366/(AH$363-AH$365+AH$366)),AH$366/(AH$363-Exogenous!AO$10-AH$365+AH$366))*Exogenous!AP$7</f>
        <v>11.796406822388922</v>
      </c>
      <c r="AJ366" s="7">
        <f ca="1">IF(AJ$6=OFFSET(Assumptions!$B$8,0,$C$1),AVERAGE(AG$366/(AG$363-AG$365+AG$366),AH$366/(AH$363-AH$365+AH$366),AI$366/(AI$363-AI$365+AI$366)),AI$366/(AI$363-Exogenous!AP$10-AI$365+AI$366))*Exogenous!AQ$7</f>
        <v>12.438809911577739</v>
      </c>
      <c r="AK366" s="7">
        <f ca="1">IF(AK$6=OFFSET(Assumptions!$B$8,0,$C$1),AVERAGE(AH$366/(AH$363-AH$365+AH$366),AI$366/(AI$363-AI$365+AI$366),AJ$366/(AJ$363-AJ$365+AJ$366)),AJ$366/(AJ$363-Exogenous!AQ$10-AJ$365+AJ$366))*Exogenous!AR$7</f>
        <v>13.129249053630874</v>
      </c>
      <c r="AL366" s="7">
        <f ca="1">IF(AL$6=OFFSET(Assumptions!$B$8,0,$C$1),AVERAGE(AI$366/(AI$363-AI$365+AI$366),AJ$366/(AJ$363-AJ$365+AJ$366),AK$366/(AK$363-AK$365+AK$366)),AK$366/(AK$363-Exogenous!AR$10-AK$365+AK$366))*Exogenous!AS$7</f>
        <v>13.869793061851693</v>
      </c>
      <c r="AM366" s="7">
        <f ca="1">IF(AM$6=OFFSET(Assumptions!$B$8,0,$C$1),AVERAGE(AJ$366/(AJ$363-AJ$365+AJ$366),AK$366/(AK$363-AK$365+AK$366),AL$366/(AL$363-AL$365+AL$366)),AL$366/(AL$363-Exogenous!AS$10-AL$365+AL$366))*Exogenous!AT$7</f>
        <v>14.663484165575708</v>
      </c>
      <c r="AN366" s="7">
        <f ca="1">IF(AN$6=OFFSET(Assumptions!$B$8,0,$C$1),AVERAGE(AK$366/(AK$363-AK$365+AK$366),AL$366/(AL$363-AL$365+AL$366),AM$366/(AM$363-AM$365+AM$366)),AM$366/(AM$363-Exogenous!AT$10-AM$365+AM$366))*Exogenous!AU$7</f>
        <v>15.512190930863788</v>
      </c>
      <c r="AO366" s="7">
        <f ca="1">IF(AO$6=OFFSET(Assumptions!$B$8,0,$C$1),AVERAGE(AL$366/(AL$363-AL$365+AL$366),AM$366/(AM$363-AM$365+AM$366),AN$366/(AN$363-AN$365+AN$366)),AN$366/(AN$363-Exogenous!AU$10-AN$365+AN$366))*Exogenous!AV$7</f>
        <v>16.415894492296925</v>
      </c>
      <c r="AP366" s="7">
        <f ca="1">IF(AP$6=OFFSET(Assumptions!$B$8,0,$C$1),AVERAGE(AM$366/(AM$363-AM$365+AM$366),AN$366/(AN$363-AN$365+AN$366),AO$366/(AO$363-AO$365+AO$366)),AO$366/(AO$363-Exogenous!AV$10-AO$365+AO$366))*Exogenous!AW$7</f>
        <v>17.371924755255364</v>
      </c>
      <c r="AQ366" s="7">
        <f ca="1">IF(AQ$6=OFFSET(Assumptions!$B$8,0,$C$1),AVERAGE(AN$366/(AN$363-AN$365+AN$366),AO$366/(AO$363-AO$365+AO$366),AP$366/(AP$363-AP$365+AP$366)),AP$366/(AP$363-Exogenous!AW$10-AP$365+AP$366))*Exogenous!AX$7</f>
        <v>18.375829089154806</v>
      </c>
      <c r="AR366" s="7">
        <f ca="1">IF(AR$6=OFFSET(Assumptions!$B$8,0,$C$1),AVERAGE(AO$366/(AO$363-AO$365+AO$366),AP$366/(AP$363-AP$365+AP$366),AQ$366/(AQ$363-AQ$365+AQ$366)),AQ$366/(AQ$363-Exogenous!AX$10-AQ$365+AQ$366))*Exogenous!AY$7</f>
        <v>19.42156237934401</v>
      </c>
      <c r="AS366" s="7">
        <f ca="1">IF(AS$6=OFFSET(Assumptions!$B$8,0,$C$1),AVERAGE(AP$366/(AP$363-AP$365+AP$366),AQ$366/(AQ$363-AQ$365+AQ$366),AR$366/(AR$363-AR$365+AR$366)),AR$366/(AR$363-Exogenous!AY$10-AR$365+AR$366))*Exogenous!AZ$7</f>
        <v>20.501383275016789</v>
      </c>
      <c r="AT366" s="7">
        <f ca="1">IF(AT$6=OFFSET(Assumptions!$B$8,0,$C$1),AVERAGE(AQ$366/(AQ$363-AQ$365+AQ$366),AR$366/(AR$363-AR$365+AR$366),AS$366/(AS$363-AS$365+AS$366)),AS$366/(AS$363-Exogenous!AZ$10-AS$365+AS$366))*Exogenous!BA$7</f>
        <v>21.612410385806292</v>
      </c>
      <c r="AU366" s="7">
        <f ca="1">IF(AU$6=OFFSET(Assumptions!$B$8,0,$C$1),AVERAGE(AR$366/(AR$363-AR$365+AR$366),AS$366/(AS$363-AS$365+AS$366),AT$366/(AT$363-AT$365+AT$366)),AT$366/(AT$363-Exogenous!BA$10-AT$365+AT$366))*Exogenous!BB$7</f>
        <v>22.755361504807887</v>
      </c>
      <c r="AV366" s="7">
        <f ca="1">IF(AV$6=OFFSET(Assumptions!$B$8,0,$C$1),AVERAGE(AS$366/(AS$363-AS$365+AS$366),AT$366/(AT$363-AT$365+AT$366),AU$366/(AU$363-AU$365+AU$366)),AU$366/(AU$363-Exogenous!BB$10-AU$365+AU$366))*Exogenous!BC$7</f>
        <v>23.930473078998691</v>
      </c>
      <c r="AW366" s="7">
        <f ca="1">IF(AW$6=OFFSET(Assumptions!$B$8,0,$C$1),AVERAGE(AT$366/(AT$363-AT$365+AT$366),AU$366/(AU$363-AU$365+AU$366),AV$366/(AV$363-AV$365+AV$366)),AV$366/(AV$363-Exogenous!BC$10-AV$365+AV$366))*Exogenous!BD$7</f>
        <v>25.137547973811976</v>
      </c>
    </row>
    <row r="367" spans="1:49" ht="15" x14ac:dyDescent="0.25">
      <c r="A367" s="2" t="s">
        <v>553</v>
      </c>
      <c r="D367" s="40">
        <f t="shared" ref="D367:I367" si="225">SUM(D$363,D$366)-SUM(D$364,D$365)</f>
        <v>3.6720000000000006</v>
      </c>
      <c r="E367" s="39">
        <f t="shared" si="225"/>
        <v>-0.51</v>
      </c>
      <c r="F367" s="39">
        <f t="shared" si="225"/>
        <v>1.9470000000000003</v>
      </c>
      <c r="G367" s="39">
        <f t="shared" si="225"/>
        <v>2.08</v>
      </c>
      <c r="H367" s="39">
        <f t="shared" si="225"/>
        <v>2.2270000000000003</v>
      </c>
      <c r="I367" s="39">
        <f t="shared" si="225"/>
        <v>2.3839999999999999</v>
      </c>
      <c r="J367" s="43">
        <f t="shared" ref="J367:AW367" ca="1" si="226">SUM(J$363,J$366)-SUM(J$364,J$365)</f>
        <v>2.0949521539246292</v>
      </c>
      <c r="K367" s="43">
        <f t="shared" ca="1" si="226"/>
        <v>2.4308735096071974</v>
      </c>
      <c r="L367" s="43">
        <f t="shared" ca="1" si="226"/>
        <v>2.7941577846015351</v>
      </c>
      <c r="M367" s="43">
        <f t="shared" ca="1" si="226"/>
        <v>3.1843999050964813</v>
      </c>
      <c r="N367" s="43">
        <f t="shared" ca="1" si="226"/>
        <v>3.578856155053693</v>
      </c>
      <c r="O367" s="43">
        <f t="shared" ca="1" si="226"/>
        <v>3.9190169584702836</v>
      </c>
      <c r="P367" s="43">
        <f t="shared" ca="1" si="226"/>
        <v>4.2621182352303162</v>
      </c>
      <c r="Q367" s="43">
        <f t="shared" ca="1" si="226"/>
        <v>4.606751541218971</v>
      </c>
      <c r="R367" s="43">
        <f t="shared" ca="1" si="226"/>
        <v>4.9527790189878056</v>
      </c>
      <c r="S367" s="43">
        <f t="shared" ca="1" si="226"/>
        <v>5.3014224695361509</v>
      </c>
      <c r="T367" s="43">
        <f t="shared" ca="1" si="226"/>
        <v>5.6541796897458578</v>
      </c>
      <c r="U367" s="43">
        <f t="shared" ca="1" si="226"/>
        <v>6.0111760732055561</v>
      </c>
      <c r="V367" s="43">
        <f t="shared" ca="1" si="226"/>
        <v>6.3718081075828366</v>
      </c>
      <c r="W367" s="43">
        <f t="shared" ca="1" si="226"/>
        <v>6.7353998204109438</v>
      </c>
      <c r="X367" s="43">
        <f t="shared" ca="1" si="226"/>
        <v>7.1020021872782655</v>
      </c>
      <c r="Y367" s="43">
        <f t="shared" ca="1" si="226"/>
        <v>7.4710916483042222</v>
      </c>
      <c r="Z367" s="43">
        <f t="shared" ca="1" si="226"/>
        <v>7.8426822893981463</v>
      </c>
      <c r="AA367" s="43">
        <f t="shared" ca="1" si="226"/>
        <v>8.2199005143273993</v>
      </c>
      <c r="AB367" s="43">
        <f t="shared" ca="1" si="226"/>
        <v>8.6074965118591056</v>
      </c>
      <c r="AC367" s="43">
        <f t="shared" ca="1" si="226"/>
        <v>9.0113988311988074</v>
      </c>
      <c r="AD367" s="43">
        <f t="shared" ca="1" si="226"/>
        <v>9.4385133763583546</v>
      </c>
      <c r="AE367" s="43">
        <f t="shared" ca="1" si="226"/>
        <v>9.894404261229198</v>
      </c>
      <c r="AF367" s="43">
        <f t="shared" ca="1" si="226"/>
        <v>10.383858491683917</v>
      </c>
      <c r="AG367" s="43">
        <f t="shared" ca="1" si="226"/>
        <v>10.910875907377733</v>
      </c>
      <c r="AH367" s="43">
        <f t="shared" ca="1" si="226"/>
        <v>11.478248034178002</v>
      </c>
      <c r="AI367" s="43">
        <f t="shared" ca="1" si="226"/>
        <v>12.089549996237086</v>
      </c>
      <c r="AJ367" s="43">
        <f t="shared" ca="1" si="226"/>
        <v>12.747916936392562</v>
      </c>
      <c r="AK367" s="43">
        <f t="shared" ca="1" si="226"/>
        <v>13.455513635360935</v>
      </c>
      <c r="AL367" s="43">
        <f t="shared" ca="1" si="226"/>
        <v>14.214460316888349</v>
      </c>
      <c r="AM367" s="43">
        <f t="shared" ca="1" si="226"/>
        <v>15.027874810344828</v>
      </c>
      <c r="AN367" s="43">
        <f t="shared" ca="1" si="226"/>
        <v>15.897672116048211</v>
      </c>
      <c r="AO367" s="43">
        <f t="shared" ca="1" si="226"/>
        <v>16.823832899769886</v>
      </c>
      <c r="AP367" s="43">
        <f t="shared" ca="1" si="226"/>
        <v>17.803620714480999</v>
      </c>
      <c r="AQ367" s="43">
        <f t="shared" ca="1" si="226"/>
        <v>18.83247228079707</v>
      </c>
      <c r="AR367" s="43">
        <f t="shared" ca="1" si="226"/>
        <v>19.904192261704921</v>
      </c>
      <c r="AS367" s="43">
        <f t="shared" ca="1" si="226"/>
        <v>21.010846932213632</v>
      </c>
      <c r="AT367" s="43">
        <f t="shared" ca="1" si="226"/>
        <v>22.149483298803816</v>
      </c>
      <c r="AU367" s="43">
        <f t="shared" ca="1" si="226"/>
        <v>23.320836991879197</v>
      </c>
      <c r="AV367" s="43">
        <f t="shared" ca="1" si="226"/>
        <v>24.525150334173681</v>
      </c>
      <c r="AW367" s="43">
        <f t="shared" ca="1" si="226"/>
        <v>25.762221292285361</v>
      </c>
    </row>
    <row r="368" spans="1:49" x14ac:dyDescent="0.2">
      <c r="A368" s="1" t="s">
        <v>554</v>
      </c>
      <c r="B368" s="4" t="str">
        <f t="shared" si="224"/>
        <v>From Fiscal</v>
      </c>
      <c r="D368" s="18">
        <f>Fiscal!D$340</f>
        <v>0</v>
      </c>
      <c r="E368" s="19">
        <f>Fiscal!E$340</f>
        <v>0</v>
      </c>
      <c r="F368" s="19">
        <f>Fiscal!F$340</f>
        <v>0</v>
      </c>
      <c r="G368" s="19">
        <f>Fiscal!G$340</f>
        <v>0</v>
      </c>
      <c r="H368" s="19">
        <f>Fiscal!H$340</f>
        <v>0</v>
      </c>
      <c r="I368" s="19">
        <f>Fiscal!I$340</f>
        <v>0</v>
      </c>
      <c r="J368" s="7">
        <f>Exogenous!Q$9</f>
        <v>2.964</v>
      </c>
      <c r="K368" s="7">
        <f>Exogenous!R$9</f>
        <v>2.8650000000000002</v>
      </c>
      <c r="L368" s="7">
        <f>Exogenous!S$9</f>
        <v>2.7120000000000002</v>
      </c>
      <c r="M368" s="7">
        <f>Exogenous!T$9</f>
        <v>2.5110000000000001</v>
      </c>
      <c r="N368" s="7">
        <f>Exogenous!U$9</f>
        <v>2.2930000000000001</v>
      </c>
      <c r="O368" s="7">
        <f>Exogenous!V$9</f>
        <v>2.0219999999999998</v>
      </c>
      <c r="P368" s="7">
        <f>Exogenous!W$9</f>
        <v>1.71</v>
      </c>
      <c r="Q368" s="7">
        <f>Exogenous!X$9</f>
        <v>1.387</v>
      </c>
      <c r="R368" s="7">
        <f>Exogenous!Y$9</f>
        <v>1.0680000000000001</v>
      </c>
      <c r="S368" s="7">
        <f>Exogenous!Z$9</f>
        <v>0.78500000000000003</v>
      </c>
      <c r="T368" s="7">
        <f>Exogenous!AA$9</f>
        <v>0.51</v>
      </c>
      <c r="U368" s="7">
        <f>Exogenous!AB$9</f>
        <v>0.222</v>
      </c>
      <c r="V368" s="7">
        <f>Exogenous!AC$9</f>
        <v>-8.2000000000000003E-2</v>
      </c>
      <c r="W368" s="7">
        <f>Exogenous!AD$9</f>
        <v>-0.4</v>
      </c>
      <c r="X368" s="7">
        <f>Exogenous!AE$9</f>
        <v>-0.70699999999999996</v>
      </c>
      <c r="Y368" s="7">
        <f>Exogenous!AF$9</f>
        <v>-1.0509999999999999</v>
      </c>
      <c r="Z368" s="7">
        <f>Exogenous!AG$9</f>
        <v>-1.359</v>
      </c>
      <c r="AA368" s="7">
        <f>Exogenous!AH$9</f>
        <v>-1.601</v>
      </c>
      <c r="AB368" s="7">
        <f>Exogenous!AI$9</f>
        <v>-1.7589999999999999</v>
      </c>
      <c r="AC368" s="7">
        <f>Exogenous!AJ$9</f>
        <v>-1.821</v>
      </c>
      <c r="AD368" s="7">
        <f>Exogenous!AK$9</f>
        <v>-1.778</v>
      </c>
      <c r="AE368" s="7">
        <f>Exogenous!AL$9</f>
        <v>-1.702</v>
      </c>
      <c r="AF368" s="7">
        <f>Exogenous!AM$9</f>
        <v>-1.5529999999999999</v>
      </c>
      <c r="AG368" s="7">
        <f>Exogenous!AN$9</f>
        <v>-1.413</v>
      </c>
      <c r="AH368" s="7">
        <f>Exogenous!AO$9</f>
        <v>-1.2430000000000001</v>
      </c>
      <c r="AI368" s="7">
        <f>Exogenous!AP$9</f>
        <v>-1.0640000000000001</v>
      </c>
      <c r="AJ368" s="7">
        <f>Exogenous!AQ$9</f>
        <v>-0.876</v>
      </c>
      <c r="AK368" s="7">
        <f>Exogenous!AR$9</f>
        <v>-0.72</v>
      </c>
      <c r="AL368" s="7">
        <f>Exogenous!AS$9</f>
        <v>-0.55700000000000005</v>
      </c>
      <c r="AM368" s="7">
        <f>Exogenous!AT$9</f>
        <v>-0.39900000000000002</v>
      </c>
      <c r="AN368" s="7">
        <f>Exogenous!AU$9</f>
        <v>-0.28199999999999997</v>
      </c>
      <c r="AO368" s="7">
        <f>Exogenous!AV$9</f>
        <v>-0.23899999999999999</v>
      </c>
      <c r="AP368" s="7">
        <f>Exogenous!AW$9</f>
        <v>-0.33</v>
      </c>
      <c r="AQ368" s="7">
        <f>Exogenous!AX$9</f>
        <v>-0.54800000000000004</v>
      </c>
      <c r="AR368" s="7">
        <f>Exogenous!AY$9</f>
        <v>-0.94899999999999995</v>
      </c>
      <c r="AS368" s="7">
        <f>Exogenous!AZ$9</f>
        <v>-1.52</v>
      </c>
      <c r="AT368" s="7">
        <f>Exogenous!BA$9</f>
        <v>-2.0819999999999999</v>
      </c>
      <c r="AU368" s="7">
        <f>Exogenous!BB$9</f>
        <v>-2.6949999999999998</v>
      </c>
      <c r="AV368" s="7">
        <f>Exogenous!BC$9</f>
        <v>-3.3119999999999998</v>
      </c>
      <c r="AW368" s="7">
        <f>Exogenous!BD$9</f>
        <v>-4.0010000000000003</v>
      </c>
    </row>
    <row r="369" spans="1:49" x14ac:dyDescent="0.2">
      <c r="A369" s="1" t="s">
        <v>86</v>
      </c>
      <c r="B369" s="4" t="str">
        <f t="shared" si="224"/>
        <v>From Fiscal</v>
      </c>
      <c r="D369" s="18">
        <f>Fiscal!D$341</f>
        <v>4.1000000000000002E-2</v>
      </c>
      <c r="E369" s="19">
        <f>Fiscal!E$341</f>
        <v>0.03</v>
      </c>
      <c r="F369" s="19">
        <f>Fiscal!F$341</f>
        <v>1.7000000000000001E-2</v>
      </c>
      <c r="G369" s="19">
        <f>Fiscal!G$341</f>
        <v>2.1999999999999999E-2</v>
      </c>
      <c r="H369" s="19">
        <f>Fiscal!H$341</f>
        <v>2.5000000000000001E-2</v>
      </c>
      <c r="I369" s="19">
        <f>Fiscal!I$341</f>
        <v>2.9000000000000001E-2</v>
      </c>
      <c r="J369" s="7">
        <f ca="1">IF(J$6=OFFSET(Assumptions!$B$8,0,$C$1),0,I$369)</f>
        <v>0</v>
      </c>
      <c r="K369" s="7">
        <f ca="1">IF(K$6=OFFSET(Assumptions!$B$8,0,$C$1),0,J$369)</f>
        <v>0</v>
      </c>
      <c r="L369" s="7">
        <f ca="1">IF(L$6=OFFSET(Assumptions!$B$8,0,$C$1),0,K$369)</f>
        <v>0</v>
      </c>
      <c r="M369" s="7">
        <f ca="1">IF(M$6=OFFSET(Assumptions!$B$8,0,$C$1),0,L$369)</f>
        <v>0</v>
      </c>
      <c r="N369" s="7">
        <f ca="1">IF(N$6=OFFSET(Assumptions!$B$8,0,$C$1),0,M$369)</f>
        <v>0</v>
      </c>
      <c r="O369" s="7">
        <f ca="1">IF(O$6=OFFSET(Assumptions!$B$8,0,$C$1),0,N$369)</f>
        <v>0</v>
      </c>
      <c r="P369" s="7">
        <f ca="1">IF(P$6=OFFSET(Assumptions!$B$8,0,$C$1),0,O$369)</f>
        <v>0</v>
      </c>
      <c r="Q369" s="7">
        <f ca="1">IF(Q$6=OFFSET(Assumptions!$B$8,0,$C$1),0,P$369)</f>
        <v>0</v>
      </c>
      <c r="R369" s="7">
        <f ca="1">IF(R$6=OFFSET(Assumptions!$B$8,0,$C$1),0,Q$369)</f>
        <v>0</v>
      </c>
      <c r="S369" s="7">
        <f ca="1">IF(S$6=OFFSET(Assumptions!$B$8,0,$C$1),0,R$369)</f>
        <v>0</v>
      </c>
      <c r="T369" s="7">
        <f ca="1">IF(T$6=OFFSET(Assumptions!$B$8,0,$C$1),0,S$369)</f>
        <v>0</v>
      </c>
      <c r="U369" s="7">
        <f ca="1">IF(U$6=OFFSET(Assumptions!$B$8,0,$C$1),0,T$369)</f>
        <v>0</v>
      </c>
      <c r="V369" s="7">
        <f ca="1">IF(V$6=OFFSET(Assumptions!$B$8,0,$C$1),0,U$369)</f>
        <v>0</v>
      </c>
      <c r="W369" s="7">
        <f ca="1">IF(W$6=OFFSET(Assumptions!$B$8,0,$C$1),0,V$369)</f>
        <v>0</v>
      </c>
      <c r="X369" s="7">
        <f ca="1">IF(X$6=OFFSET(Assumptions!$B$8,0,$C$1),0,W$369)</f>
        <v>0</v>
      </c>
      <c r="Y369" s="7">
        <f ca="1">IF(Y$6=OFFSET(Assumptions!$B$8,0,$C$1),0,X$369)</f>
        <v>0</v>
      </c>
      <c r="Z369" s="7">
        <f ca="1">IF(Z$6=OFFSET(Assumptions!$B$8,0,$C$1),0,Y$369)</f>
        <v>0</v>
      </c>
      <c r="AA369" s="7">
        <f ca="1">IF(AA$6=OFFSET(Assumptions!$B$8,0,$C$1),0,Z$369)</f>
        <v>0</v>
      </c>
      <c r="AB369" s="7">
        <f ca="1">IF(AB$6=OFFSET(Assumptions!$B$8,0,$C$1),0,AA$369)</f>
        <v>0</v>
      </c>
      <c r="AC369" s="7">
        <f ca="1">IF(AC$6=OFFSET(Assumptions!$B$8,0,$C$1),0,AB$369)</f>
        <v>0</v>
      </c>
      <c r="AD369" s="7">
        <f ca="1">IF(AD$6=OFFSET(Assumptions!$B$8,0,$C$1),0,AC$369)</f>
        <v>0</v>
      </c>
      <c r="AE369" s="7">
        <f ca="1">IF(AE$6=OFFSET(Assumptions!$B$8,0,$C$1),0,AD$369)</f>
        <v>0</v>
      </c>
      <c r="AF369" s="7">
        <f ca="1">IF(AF$6=OFFSET(Assumptions!$B$8,0,$C$1),0,AE$369)</f>
        <v>0</v>
      </c>
      <c r="AG369" s="7">
        <f ca="1">IF(AG$6=OFFSET(Assumptions!$B$8,0,$C$1),0,AF$369)</f>
        <v>0</v>
      </c>
      <c r="AH369" s="7">
        <f ca="1">IF(AH$6=OFFSET(Assumptions!$B$8,0,$C$1),0,AG$369)</f>
        <v>0</v>
      </c>
      <c r="AI369" s="7">
        <f ca="1">IF(AI$6=OFFSET(Assumptions!$B$8,0,$C$1),0,AH$369)</f>
        <v>0</v>
      </c>
      <c r="AJ369" s="7">
        <f ca="1">IF(AJ$6=OFFSET(Assumptions!$B$8,0,$C$1),0,AI$369)</f>
        <v>0</v>
      </c>
      <c r="AK369" s="7">
        <f ca="1">IF(AK$6=OFFSET(Assumptions!$B$8,0,$C$1),0,AJ$369)</f>
        <v>0</v>
      </c>
      <c r="AL369" s="7">
        <f ca="1">IF(AL$6=OFFSET(Assumptions!$B$8,0,$C$1),0,AK$369)</f>
        <v>0</v>
      </c>
      <c r="AM369" s="7">
        <f ca="1">IF(AM$6=OFFSET(Assumptions!$B$8,0,$C$1),0,AL$369)</f>
        <v>0</v>
      </c>
      <c r="AN369" s="7">
        <f ca="1">IF(AN$6=OFFSET(Assumptions!$B$8,0,$C$1),0,AM$369)</f>
        <v>0</v>
      </c>
      <c r="AO369" s="7">
        <f ca="1">IF(AO$6=OFFSET(Assumptions!$B$8,0,$C$1),0,AN$369)</f>
        <v>0</v>
      </c>
      <c r="AP369" s="7">
        <f ca="1">IF(AP$6=OFFSET(Assumptions!$B$8,0,$C$1),0,AO$369)</f>
        <v>0</v>
      </c>
      <c r="AQ369" s="7">
        <f ca="1">IF(AQ$6=OFFSET(Assumptions!$B$8,0,$C$1),0,AP$369)</f>
        <v>0</v>
      </c>
      <c r="AR369" s="7">
        <f ca="1">IF(AR$6=OFFSET(Assumptions!$B$8,0,$C$1),0,AQ$369)</f>
        <v>0</v>
      </c>
      <c r="AS369" s="7">
        <f ca="1">IF(AS$6=OFFSET(Assumptions!$B$8,0,$C$1),0,AR$369)</f>
        <v>0</v>
      </c>
      <c r="AT369" s="7">
        <f ca="1">IF(AT$6=OFFSET(Assumptions!$B$8,0,$C$1),0,AS$369)</f>
        <v>0</v>
      </c>
      <c r="AU369" s="7">
        <f ca="1">IF(AU$6=OFFSET(Assumptions!$B$8,0,$C$1),0,AT$369)</f>
        <v>0</v>
      </c>
      <c r="AV369" s="7">
        <f ca="1">IF(AV$6=OFFSET(Assumptions!$B$8,0,$C$1),0,AU$369)</f>
        <v>0</v>
      </c>
      <c r="AW369" s="7">
        <f ca="1">IF(AW$6=OFFSET(Assumptions!$B$8,0,$C$1),0,AV$369)</f>
        <v>0</v>
      </c>
    </row>
    <row r="370" spans="1:49" ht="15" x14ac:dyDescent="0.25">
      <c r="A370" s="2" t="s">
        <v>410</v>
      </c>
      <c r="C370" s="69">
        <f>Fiscal!C$342</f>
        <v>25.809000000000001</v>
      </c>
      <c r="D370" s="40">
        <f>SUM(C$370,D$367:D$369)</f>
        <v>29.522000000000002</v>
      </c>
      <c r="E370" s="39">
        <f t="shared" ref="E370:I370" si="227">SUM(D$370,E$367:E$369)</f>
        <v>29.042000000000002</v>
      </c>
      <c r="F370" s="39">
        <f t="shared" si="227"/>
        <v>31.006</v>
      </c>
      <c r="G370" s="39">
        <f t="shared" si="227"/>
        <v>33.107999999999997</v>
      </c>
      <c r="H370" s="39">
        <f t="shared" si="227"/>
        <v>35.359999999999992</v>
      </c>
      <c r="I370" s="39">
        <f t="shared" si="227"/>
        <v>37.772999999999996</v>
      </c>
      <c r="J370" s="43">
        <f t="shared" ref="J370:AW370" ca="1" si="228">SUM(I$370,J$367:J$369)</f>
        <v>42.831952153924625</v>
      </c>
      <c r="K370" s="43">
        <f t="shared" ca="1" si="228"/>
        <v>48.127825663531823</v>
      </c>
      <c r="L370" s="43">
        <f t="shared" ca="1" si="228"/>
        <v>53.633983448133364</v>
      </c>
      <c r="M370" s="43">
        <f t="shared" ca="1" si="228"/>
        <v>59.329383353229851</v>
      </c>
      <c r="N370" s="43">
        <f t="shared" ca="1" si="228"/>
        <v>65.20123950828355</v>
      </c>
      <c r="O370" s="43">
        <f t="shared" ca="1" si="228"/>
        <v>71.142256466753835</v>
      </c>
      <c r="P370" s="43">
        <f t="shared" ca="1" si="228"/>
        <v>77.114374701984147</v>
      </c>
      <c r="Q370" s="43">
        <f t="shared" ca="1" si="228"/>
        <v>83.108126243203117</v>
      </c>
      <c r="R370" s="43">
        <f t="shared" ca="1" si="228"/>
        <v>89.128905262190926</v>
      </c>
      <c r="S370" s="43">
        <f t="shared" ca="1" si="228"/>
        <v>95.215327731727072</v>
      </c>
      <c r="T370" s="43">
        <f t="shared" ca="1" si="228"/>
        <v>101.37950742147294</v>
      </c>
      <c r="U370" s="43">
        <f t="shared" ca="1" si="228"/>
        <v>107.61268349467849</v>
      </c>
      <c r="V370" s="43">
        <f t="shared" ca="1" si="228"/>
        <v>113.90249160226134</v>
      </c>
      <c r="W370" s="43">
        <f t="shared" ca="1" si="228"/>
        <v>120.23789142267228</v>
      </c>
      <c r="X370" s="43">
        <f t="shared" ca="1" si="228"/>
        <v>126.63289360995054</v>
      </c>
      <c r="Y370" s="43">
        <f t="shared" ca="1" si="228"/>
        <v>133.05298525825478</v>
      </c>
      <c r="Z370" s="43">
        <f t="shared" ca="1" si="228"/>
        <v>139.53666754765291</v>
      </c>
      <c r="AA370" s="43">
        <f t="shared" ca="1" si="228"/>
        <v>146.15556806198032</v>
      </c>
      <c r="AB370" s="43">
        <f t="shared" ca="1" si="228"/>
        <v>153.00406457383943</v>
      </c>
      <c r="AC370" s="43">
        <f t="shared" ca="1" si="228"/>
        <v>160.19446340503825</v>
      </c>
      <c r="AD370" s="43">
        <f t="shared" ca="1" si="228"/>
        <v>167.8549767813966</v>
      </c>
      <c r="AE370" s="43">
        <f t="shared" ca="1" si="228"/>
        <v>176.0473810426258</v>
      </c>
      <c r="AF370" s="43">
        <f t="shared" ca="1" si="228"/>
        <v>184.87823953430973</v>
      </c>
      <c r="AG370" s="43">
        <f t="shared" ca="1" si="228"/>
        <v>194.37611544168746</v>
      </c>
      <c r="AH370" s="43">
        <f t="shared" ca="1" si="228"/>
        <v>204.61136347586546</v>
      </c>
      <c r="AI370" s="43">
        <f t="shared" ca="1" si="228"/>
        <v>215.63691347210255</v>
      </c>
      <c r="AJ370" s="43">
        <f t="shared" ca="1" si="228"/>
        <v>227.5088304084951</v>
      </c>
      <c r="AK370" s="43">
        <f t="shared" ca="1" si="228"/>
        <v>240.24434404385605</v>
      </c>
      <c r="AL370" s="43">
        <f t="shared" ca="1" si="228"/>
        <v>253.90180436074442</v>
      </c>
      <c r="AM370" s="43">
        <f t="shared" ca="1" si="228"/>
        <v>268.53067917108928</v>
      </c>
      <c r="AN370" s="43">
        <f t="shared" ca="1" si="228"/>
        <v>284.14635128713752</v>
      </c>
      <c r="AO370" s="43">
        <f t="shared" ca="1" si="228"/>
        <v>300.73118418690746</v>
      </c>
      <c r="AP370" s="43">
        <f t="shared" ca="1" si="228"/>
        <v>318.20480490138846</v>
      </c>
      <c r="AQ370" s="43">
        <f t="shared" ca="1" si="228"/>
        <v>336.4892771821855</v>
      </c>
      <c r="AR370" s="43">
        <f t="shared" ca="1" si="228"/>
        <v>355.4444694438904</v>
      </c>
      <c r="AS370" s="43">
        <f t="shared" ca="1" si="228"/>
        <v>374.93531637610403</v>
      </c>
      <c r="AT370" s="43">
        <f t="shared" ca="1" si="228"/>
        <v>395.00279967490786</v>
      </c>
      <c r="AU370" s="43">
        <f t="shared" ca="1" si="228"/>
        <v>415.62863666678709</v>
      </c>
      <c r="AV370" s="43">
        <f t="shared" ca="1" si="228"/>
        <v>436.84178700096078</v>
      </c>
      <c r="AW370" s="43">
        <f t="shared" ca="1" si="228"/>
        <v>458.60300829324615</v>
      </c>
    </row>
    <row r="371" spans="1:49" x14ac:dyDescent="0.2">
      <c r="A371" s="4" t="s">
        <v>557</v>
      </c>
    </row>
    <row r="372" spans="1:49" x14ac:dyDescent="0.2">
      <c r="A372" s="1" t="s">
        <v>411</v>
      </c>
      <c r="B372" s="4" t="str">
        <f t="shared" ref="B372:B377" si="229">$B$43</f>
        <v>From Fiscal</v>
      </c>
      <c r="D372" s="18">
        <f>Fiscal!D$343</f>
        <v>31.274000000000001</v>
      </c>
      <c r="E372" s="19">
        <f>Fiscal!E$343</f>
        <v>30.513999999999999</v>
      </c>
      <c r="F372" s="19">
        <f>Fiscal!F$343</f>
        <v>32.759</v>
      </c>
      <c r="G372" s="19">
        <f>Fiscal!G$343</f>
        <v>34.863999999999997</v>
      </c>
      <c r="H372" s="19">
        <f>Fiscal!H$343</f>
        <v>37.118000000000002</v>
      </c>
      <c r="I372" s="19">
        <f>Fiscal!I$343</f>
        <v>39.533000000000001</v>
      </c>
      <c r="J372" s="7">
        <f ca="1">IF(J$6=OFFSET(Assumptions!$B$8,0,$C$1),AVERAGE(G$372/G$370,H$372/H$370,I$372/I$370),I$372/I$370)*J$370</f>
        <v>44.96426755197038</v>
      </c>
      <c r="K372" s="7">
        <f ca="1">IF(K$6=OFFSET(Assumptions!$B$8,0,$C$1),AVERAGE(H$372/H$370,I$372/I$370,J$372/J$370),J$372/J$370)*K$370</f>
        <v>50.523787056279303</v>
      </c>
      <c r="L372" s="7">
        <f ca="1">IF(L$6=OFFSET(Assumptions!$B$8,0,$C$1),AVERAGE(I$372/I$370,J$372/J$370,K$372/K$370),K$372/K$370)*L$370</f>
        <v>56.304059478149355</v>
      </c>
      <c r="M372" s="7">
        <f ca="1">IF(M$6=OFFSET(Assumptions!$B$8,0,$C$1),AVERAGE(J$372/J$370,K$372/K$370,L$372/L$370),L$372/L$370)*M$370</f>
        <v>62.282995115449282</v>
      </c>
      <c r="N372" s="7">
        <f ca="1">IF(N$6=OFFSET(Assumptions!$B$8,0,$C$1),AVERAGE(K$372/K$370,L$372/L$370,M$372/M$370),M$372/M$370)*N$370</f>
        <v>68.447171574969502</v>
      </c>
      <c r="O372" s="7">
        <f ca="1">IF(O$6=OFFSET(Assumptions!$B$8,0,$C$1),AVERAGE(L$372/L$370,M$372/M$370,N$372/N$370),N$372/N$370)*O$370</f>
        <v>74.683951890082326</v>
      </c>
      <c r="P372" s="7">
        <f ca="1">IF(P$6=OFFSET(Assumptions!$B$8,0,$C$1),AVERAGE(M$372/M$370,N$372/N$370,O$372/O$370),O$372/O$370)*P$370</f>
        <v>80.953381805764835</v>
      </c>
      <c r="Q372" s="7">
        <f ca="1">IF(Q$6=OFFSET(Assumptions!$B$8,0,$C$1),AVERAGE(N$372/N$370,O$372/O$370,P$372/P$370),P$372/P$370)*Q$370</f>
        <v>87.245522004532546</v>
      </c>
      <c r="R372" s="7">
        <f ca="1">IF(R$6=OFFSET(Assumptions!$B$8,0,$C$1),AVERAGE(O$372/O$370,P$372/P$370,Q$372/Q$370),Q$372/Q$370)*R$370</f>
        <v>93.566035197771441</v>
      </c>
      <c r="S372" s="7">
        <f ca="1">IF(S$6=OFFSET(Assumptions!$B$8,0,$C$1),AVERAGE(P$372/P$370,Q$372/Q$370,R$372/R$370),R$372/R$370)*S$370</f>
        <v>99.955459788344797</v>
      </c>
      <c r="T372" s="7">
        <f ca="1">IF(T$6=OFFSET(Assumptions!$B$8,0,$C$1),AVERAGE(Q$372/Q$370,R$372/R$370,S$372/S$370),S$372/S$370)*T$370</f>
        <v>106.42651260919453</v>
      </c>
      <c r="U372" s="7">
        <f ca="1">IF(U$6=OFFSET(Assumptions!$B$8,0,$C$1),AVERAGE(R$372/R$370,S$372/S$370,T$372/T$370),T$372/T$370)*U$370</f>
        <v>112.96999668031395</v>
      </c>
      <c r="V372" s="7">
        <f ca="1">IF(V$6=OFFSET(Assumptions!$B$8,0,$C$1),AVERAGE(S$372/S$370,T$372/T$370,U$372/U$370),U$372/U$370)*V$370</f>
        <v>119.5729321146727</v>
      </c>
      <c r="W372" s="7">
        <f ca="1">IF(W$6=OFFSET(Assumptions!$B$8,0,$C$1),AVERAGE(T$372/T$370,U$372/U$370,V$372/V$370),V$372/V$370)*W$370</f>
        <v>126.2237289672173</v>
      </c>
      <c r="X372" s="7">
        <f ca="1">IF(X$6=OFFSET(Assumptions!$B$8,0,$C$1),AVERAGE(U$372/U$370,V$372/V$370,W$372/W$370),W$372/W$370)*X$370</f>
        <v>132.93709538840827</v>
      </c>
      <c r="Y372" s="7">
        <f ca="1">IF(Y$6=OFFSET(Assumptions!$B$8,0,$C$1),AVERAGE(V$372/V$370,W$372/W$370,X$372/X$370),X$372/X$370)*Y$370</f>
        <v>139.67680030648242</v>
      </c>
      <c r="Z372" s="7">
        <f ca="1">IF(Z$6=OFFSET(Assumptions!$B$8,0,$C$1),AVERAGE(W$372/W$370,X$372/X$370,Y$372/Y$370),Y$372/Y$370)*Z$370</f>
        <v>146.48326161683286</v>
      </c>
      <c r="AA372" s="7">
        <f ca="1">IF(AA$6=OFFSET(Assumptions!$B$8,0,$C$1),AVERAGE(X$372/X$370,Y$372/Y$370,Z$372/Z$370),Z$372/Z$370)*AA$370</f>
        <v>153.43167275991036</v>
      </c>
      <c r="AB372" s="7">
        <f ca="1">IF(AB$6=OFFSET(Assumptions!$B$8,0,$C$1),AVERAGE(Y$372/Y$370,Z$372/Z$370,AA$372/AA$370),AA$372/AA$370)*AB$370</f>
        <v>160.62110994412595</v>
      </c>
      <c r="AC372" s="7">
        <f ca="1">IF(AC$6=OFFSET(Assumptions!$B$8,0,$C$1),AVERAGE(Z$372/Z$370,AA$372/AA$370,AB$372/AB$370),AB$372/AB$370)*AC$370</f>
        <v>168.16947046921993</v>
      </c>
      <c r="AD372" s="7">
        <f ca="1">IF(AD$6=OFFSET(Assumptions!$B$8,0,$C$1),AVERAGE(AA$372/AA$370,AB$372/AB$370,AC$372/AC$370),AC$372/AC$370)*AD$370</f>
        <v>176.21134938714042</v>
      </c>
      <c r="AE372" s="7">
        <f ca="1">IF(AE$6=OFFSET(Assumptions!$B$8,0,$C$1),AVERAGE(AB$372/AB$370,AC$372/AC$370,AD$372/AD$370),AD$372/AD$370)*AE$370</f>
        <v>184.81159846689334</v>
      </c>
      <c r="AF372" s="7">
        <f ca="1">IF(AF$6=OFFSET(Assumptions!$B$8,0,$C$1),AVERAGE(AC$372/AC$370,AD$372/AD$370,AE$372/AE$370),AE$372/AE$370)*AF$370</f>
        <v>194.08208612775712</v>
      </c>
      <c r="AG372" s="7">
        <f ca="1">IF(AG$6=OFFSET(Assumptions!$B$8,0,$C$1),AVERAGE(AD$372/AD$370,AE$372/AE$370,AF$372/AF$370),AF$372/AF$370)*AG$370</f>
        <v>204.05279752423999</v>
      </c>
      <c r="AH372" s="7">
        <f ca="1">IF(AH$6=OFFSET(Assumptions!$B$8,0,$C$1),AVERAGE(AE$372/AE$370,AF$372/AF$370,AG$372/AG$370),AG$372/AG$370)*AH$370</f>
        <v>214.7975898562745</v>
      </c>
      <c r="AI372" s="7">
        <f ca="1">IF(AI$6=OFFSET(Assumptions!$B$8,0,$C$1),AVERAGE(AF$372/AF$370,AG$372/AG$370,AH$372/AH$370),AH$372/AH$370)*AI$370</f>
        <v>226.37202798033758</v>
      </c>
      <c r="AJ372" s="7">
        <f ca="1">IF(AJ$6=OFFSET(Assumptions!$B$8,0,$C$1),AVERAGE(AG$372/AG$370,AH$372/AH$370,AI$372/AI$370),AI$372/AI$370)*AJ$370</f>
        <v>238.83496797346163</v>
      </c>
      <c r="AK372" s="7">
        <f ca="1">IF(AK$6=OFFSET(Assumptions!$B$8,0,$C$1),AVERAGE(AH$372/AH$370,AI$372/AI$370,AJ$372/AJ$370),AJ$372/AJ$370)*AK$370</f>
        <v>252.20449734850007</v>
      </c>
      <c r="AL372" s="7">
        <f ca="1">IF(AL$6=OFFSET(Assumptions!$B$8,0,$C$1),AVERAGE(AI$372/AI$370,AJ$372/AJ$370,AK$372/AK$370),AK$372/AK$370)*AL$370</f>
        <v>266.54187094198261</v>
      </c>
      <c r="AM372" s="7">
        <f ca="1">IF(AM$6=OFFSET(Assumptions!$B$8,0,$C$1),AVERAGE(AJ$372/AJ$370,AK$372/AK$370,AL$372/AL$370),AL$372/AL$370)*AM$370</f>
        <v>281.89901923615292</v>
      </c>
      <c r="AN372" s="7">
        <f ca="1">IF(AN$6=OFFSET(Assumptions!$B$8,0,$C$1),AVERAGE(AK$372/AK$370,AL$372/AL$370,AM$372/AM$370),AM$372/AM$370)*AN$370</f>
        <v>298.29209085022597</v>
      </c>
      <c r="AO372" s="7">
        <f ca="1">IF(AO$6=OFFSET(Assumptions!$B$8,0,$C$1),AVERAGE(AL$372/AL$370,AM$372/AM$370,AN$372/AN$370),AN$372/AN$370)*AO$370</f>
        <v>315.70257125817176</v>
      </c>
      <c r="AP372" s="7">
        <f ca="1">IF(AP$6=OFFSET(Assumptions!$B$8,0,$C$1),AVERAGE(AM$372/AM$370,AN$372/AN$370,AO$372/AO$370),AO$372/AO$370)*AP$370</f>
        <v>334.0460862603378</v>
      </c>
      <c r="AQ372" s="7">
        <f ca="1">IF(AQ$6=OFFSET(Assumptions!$B$8,0,$C$1),AVERAGE(AN$372/AN$370,AO$372/AO$370,AP$372/AP$370),AP$372/AP$370)*AQ$370</f>
        <v>353.24081968565082</v>
      </c>
      <c r="AR372" s="7">
        <f ca="1">IF(AR$6=OFFSET(Assumptions!$B$8,0,$C$1),AVERAGE(AO$372/AO$370,AP$372/AP$370,AQ$372/AQ$370),AQ$372/AQ$370)*AR$370</f>
        <v>373.13966373766635</v>
      </c>
      <c r="AS372" s="7">
        <f ca="1">IF(AS$6=OFFSET(Assumptions!$B$8,0,$C$1),AVERAGE(AP$372/AP$370,AQ$372/AQ$370,AR$372/AR$370),AR$372/AR$370)*AS$370</f>
        <v>393.60082911077563</v>
      </c>
      <c r="AT372" s="7">
        <f ca="1">IF(AT$6=OFFSET(Assumptions!$B$8,0,$C$1),AVERAGE(AQ$372/AQ$370,AR$372/AR$370,AS$372/AS$370),AS$372/AS$370)*AT$370</f>
        <v>414.66733770462764</v>
      </c>
      <c r="AU372" s="7">
        <f ca="1">IF(AU$6=OFFSET(Assumptions!$B$8,0,$C$1),AVERAGE(AR$372/AR$370,AS$372/AS$370,AT$372/AT$370),AT$372/AT$370)*AU$370</f>
        <v>436.31999667411168</v>
      </c>
      <c r="AV372" s="7">
        <f ca="1">IF(AV$6=OFFSET(Assumptions!$B$8,0,$C$1),AVERAGE(AS$372/AS$370,AT$372/AT$370,AU$372/AU$370),AU$372/AU$370)*AV$370</f>
        <v>458.58920737499625</v>
      </c>
      <c r="AW372" s="7">
        <f ca="1">IF(AW$6=OFFSET(Assumptions!$B$8,0,$C$1),AVERAGE(AT$372/AT$370,AU$372/AU$370,AV$372/AV$370),AV$372/AV$370)*AW$370</f>
        <v>481.43377380819578</v>
      </c>
    </row>
    <row r="373" spans="1:49" x14ac:dyDescent="0.2">
      <c r="A373" s="1" t="s">
        <v>558</v>
      </c>
      <c r="B373" s="4" t="str">
        <f t="shared" si="229"/>
        <v>From Fiscal</v>
      </c>
      <c r="D373" s="18">
        <f>-Fiscal!D$344</f>
        <v>3.145</v>
      </c>
      <c r="E373" s="19">
        <f>-Fiscal!E$344</f>
        <v>2.4790000000000001</v>
      </c>
      <c r="F373" s="19">
        <f>-Fiscal!F$344</f>
        <v>2.827</v>
      </c>
      <c r="G373" s="19">
        <f>-Fiscal!G$344</f>
        <v>2.89</v>
      </c>
      <c r="H373" s="19">
        <f>-Fiscal!H$344</f>
        <v>2.9540000000000002</v>
      </c>
      <c r="I373" s="19">
        <f>-Fiscal!I$344</f>
        <v>3.0219999999999998</v>
      </c>
      <c r="J373" s="7">
        <f ca="1">IF(J$6=OFFSET(Assumptions!$B$8,0,$C$1),AVERAGE(G$373/G$370,H$373/H$370,I$373/I$370),I$373/I$370)*J$370</f>
        <v>3.5812514881047282</v>
      </c>
      <c r="K373" s="7">
        <f ca="1">IF(K$6=OFFSET(Assumptions!$B$8,0,$C$1),AVERAGE(H$373/H$370,I$373/I$370,J$373/J$370),J$373/J$370)*K$370</f>
        <v>4.0240483706502133</v>
      </c>
      <c r="L373" s="7">
        <f ca="1">IF(L$6=OFFSET(Assumptions!$B$8,0,$C$1),AVERAGE(I$373/I$370,J$373/J$370,K$373/K$370),K$373/K$370)*L$370</f>
        <v>4.4844274747587543</v>
      </c>
      <c r="M373" s="7">
        <f ca="1">IF(M$6=OFFSET(Assumptions!$B$8,0,$C$1),AVERAGE(J$373/J$370,K$373/K$370,L$373/L$370),L$373/L$370)*M$370</f>
        <v>4.960629430536514</v>
      </c>
      <c r="N373" s="7">
        <f ca="1">IF(N$6=OFFSET(Assumptions!$B$8,0,$C$1),AVERAGE(K$373/K$370,L$373/L$370,M$373/M$370),M$373/M$370)*N$370</f>
        <v>5.4515851898643355</v>
      </c>
      <c r="O373" s="7">
        <f ca="1">IF(O$6=OFFSET(Assumptions!$B$8,0,$C$1),AVERAGE(L$373/L$370,M$373/M$370,N$373/N$370),N$373/N$370)*O$370</f>
        <v>5.9483236001734632</v>
      </c>
      <c r="P373" s="7">
        <f ca="1">IF(P$6=OFFSET(Assumptions!$B$8,0,$C$1),AVERAGE(M$373/M$370,N$373/N$370,O$373/O$370),O$373/O$370)*P$370</f>
        <v>6.4476624404905092</v>
      </c>
      <c r="Q373" s="7">
        <f ca="1">IF(Q$6=OFFSET(Assumptions!$B$8,0,$C$1),AVERAGE(N$373/N$370,O$373/O$370,P$373/P$370),P$373/P$370)*Q$370</f>
        <v>6.9488100778706947</v>
      </c>
      <c r="R373" s="7">
        <f ca="1">IF(R$6=OFFSET(Assumptions!$B$8,0,$C$1),AVERAGE(O$373/O$370,P$373/P$370,Q$373/Q$370),Q$373/Q$370)*R$370</f>
        <v>7.4522175280801317</v>
      </c>
      <c r="S373" s="7">
        <f ca="1">IF(S$6=OFFSET(Assumptions!$B$8,0,$C$1),AVERAGE(P$373/P$370,Q$373/Q$370,R$373/R$370),R$373/R$370)*S$370</f>
        <v>7.9611135374875195</v>
      </c>
      <c r="T373" s="7">
        <f ca="1">IF(T$6=OFFSET(Assumptions!$B$8,0,$C$1),AVERAGE(Q$373/Q$370,R$373/R$370,S$373/S$370),S$373/S$370)*T$370</f>
        <v>8.4765109587284417</v>
      </c>
      <c r="U373" s="7">
        <f ca="1">IF(U$6=OFFSET(Assumptions!$B$8,0,$C$1),AVERAGE(R$373/R$370,S$373/S$370,T$373/T$370),T$373/T$370)*U$370</f>
        <v>8.9976772835218082</v>
      </c>
      <c r="V373" s="7">
        <f ca="1">IF(V$6=OFFSET(Assumptions!$B$8,0,$C$1),AVERAGE(S$373/S$370,T$373/T$370,U$373/U$370),U$373/U$370)*V$370</f>
        <v>9.5235787078656049</v>
      </c>
      <c r="W373" s="7">
        <f ca="1">IF(W$6=OFFSET(Assumptions!$B$8,0,$C$1),AVERAGE(T$373/T$370,U$373/U$370,V$373/V$370),V$373/V$370)*W$370</f>
        <v>10.05329213192457</v>
      </c>
      <c r="X373" s="7">
        <f ca="1">IF(X$6=OFFSET(Assumptions!$B$8,0,$C$1),AVERAGE(U$373/U$370,V$373/V$370,W$373/W$370),W$373/W$370)*X$370</f>
        <v>10.587989010024364</v>
      </c>
      <c r="Y373" s="7">
        <f ca="1">IF(Y$6=OFFSET(Assumptions!$B$8,0,$C$1),AVERAGE(V$373/V$370,W$373/W$370,X$373/X$370),X$373/X$370)*Y$370</f>
        <v>11.124783660117183</v>
      </c>
      <c r="Z373" s="7">
        <f ca="1">IF(Z$6=OFFSET(Assumptions!$B$8,0,$C$1),AVERAGE(W$373/W$370,X$373/X$370,Y$373/Y$370),Y$373/Y$370)*Z$370</f>
        <v>11.666895230560225</v>
      </c>
      <c r="AA373" s="7">
        <f ca="1">IF(AA$6=OFFSET(Assumptions!$B$8,0,$C$1),AVERAGE(X$373/X$370,Y$373/Y$370,Z$373/Z$370),Z$373/Z$370)*AA$370</f>
        <v>12.220312623990429</v>
      </c>
      <c r="AB373" s="7">
        <f ca="1">IF(AB$6=OFFSET(Assumptions!$B$8,0,$C$1),AVERAGE(Y$373/Y$370,Z$373/Z$370,AA$373/AA$370),AA$373/AA$370)*AB$370</f>
        <v>12.792926924553617</v>
      </c>
      <c r="AC373" s="7">
        <f ca="1">IF(AC$6=OFFSET(Assumptions!$B$8,0,$C$1),AVERAGE(Z$373/Z$370,AA$373/AA$370,AB$373/AB$370),AB$373/AB$370)*AC$370</f>
        <v>13.39412825251919</v>
      </c>
      <c r="AD373" s="7">
        <f ca="1">IF(AD$6=OFFSET(Assumptions!$B$8,0,$C$1),AVERAGE(AA$373/AA$370,AB$373/AB$370,AC$373/AC$370),AC$373/AC$370)*AD$370</f>
        <v>14.034636647516912</v>
      </c>
      <c r="AE373" s="7">
        <f ca="1">IF(AE$6=OFFSET(Assumptions!$B$8,0,$C$1),AVERAGE(AB$373/AB$370,AC$373/AC$370,AD$373/AD$370),AD$373/AD$370)*AE$370</f>
        <v>14.71961733310993</v>
      </c>
      <c r="AF373" s="7">
        <f ca="1">IF(AF$6=OFFSET(Assumptions!$B$8,0,$C$1),AVERAGE(AC$373/AC$370,AD$373/AD$370,AE$373/AE$370),AE$373/AE$370)*AF$370</f>
        <v>15.457980249675888</v>
      </c>
      <c r="AG373" s="7">
        <f ca="1">IF(AG$6=OFFSET(Assumptions!$B$8,0,$C$1),AVERAGE(AD$373/AD$370,AE$373/AE$370,AF$373/AF$370),AF$373/AF$370)*AG$370</f>
        <v>16.252113613126003</v>
      </c>
      <c r="AH373" s="7">
        <f ca="1">IF(AH$6=OFFSET(Assumptions!$B$8,0,$C$1),AVERAGE(AE$373/AE$370,AF$373/AF$370,AG$373/AG$370),AG$373/AG$370)*AH$370</f>
        <v>17.107899899069601</v>
      </c>
      <c r="AI373" s="7">
        <f ca="1">IF(AI$6=OFFSET(Assumptions!$B$8,0,$C$1),AVERAGE(AF$373/AF$370,AG$373/AG$370,AH$373/AH$370),AH$373/AH$370)*AI$370</f>
        <v>18.029764659968183</v>
      </c>
      <c r="AJ373" s="7">
        <f ca="1">IF(AJ$6=OFFSET(Assumptions!$B$8,0,$C$1),AVERAGE(AG$373/AG$370,AH$373/AH$370,AI$373/AI$370),AI$373/AI$370)*AJ$370</f>
        <v>19.022395582843732</v>
      </c>
      <c r="AK373" s="7">
        <f ca="1">IF(AK$6=OFFSET(Assumptions!$B$8,0,$C$1),AVERAGE(AH$373/AH$370,AI$373/AI$370,AJ$373/AJ$370),AJ$373/AJ$370)*AK$370</f>
        <v>20.087233276780953</v>
      </c>
      <c r="AL373" s="7">
        <f ca="1">IF(AL$6=OFFSET(Assumptions!$B$8,0,$C$1),AVERAGE(AI$373/AI$370,AJ$373/AJ$370,AK$373/AK$370),AK$373/AK$370)*AL$370</f>
        <v>21.229156481864337</v>
      </c>
      <c r="AM373" s="7">
        <f ca="1">IF(AM$6=OFFSET(Assumptions!$B$8,0,$C$1),AVERAGE(AJ$373/AJ$370,AK$373/AK$370,AL$373/AL$370),AL$373/AL$370)*AM$370</f>
        <v>22.452301284967714</v>
      </c>
      <c r="AN373" s="7">
        <f ca="1">IF(AN$6=OFFSET(Assumptions!$B$8,0,$C$1),AVERAGE(AK$373/AK$370,AL$373/AL$370,AM$373/AM$370),AM$373/AM$370)*AN$370</f>
        <v>23.757953868870057</v>
      </c>
      <c r="AO373" s="7">
        <f ca="1">IF(AO$6=OFFSET(Assumptions!$B$8,0,$C$1),AVERAGE(AL$373/AL$370,AM$373/AM$370,AN$373/AN$370),AN$373/AN$370)*AO$370</f>
        <v>25.144639614334665</v>
      </c>
      <c r="AP373" s="7">
        <f ca="1">IF(AP$6=OFFSET(Assumptions!$B$8,0,$C$1),AVERAGE(AM$373/AM$370,AN$373/AN$370,AO$373/AO$370),AO$373/AO$370)*AP$370</f>
        <v>26.605638402375636</v>
      </c>
      <c r="AQ373" s="7">
        <f ca="1">IF(AQ$6=OFFSET(Assumptions!$B$8,0,$C$1),AVERAGE(AN$373/AN$370,AO$373/AO$370,AP$373/AP$370),AP$373/AP$370)*AQ$370</f>
        <v>28.13443385231205</v>
      </c>
      <c r="AR373" s="7">
        <f ca="1">IF(AR$6=OFFSET(Assumptions!$B$8,0,$C$1),AVERAGE(AO$373/AO$370,AP$373/AP$370,AQ$373/AQ$370),AQ$373/AQ$370)*AR$370</f>
        <v>29.719309326831414</v>
      </c>
      <c r="AS373" s="7">
        <f ca="1">IF(AS$6=OFFSET(Assumptions!$B$8,0,$C$1),AVERAGE(AP$373/AP$370,AQ$373/AQ$370,AR$373/AR$370),AR$373/AR$370)*AS$370</f>
        <v>31.348971788387367</v>
      </c>
      <c r="AT373" s="7">
        <f ca="1">IF(AT$6=OFFSET(Assumptions!$B$8,0,$C$1),AVERAGE(AQ$373/AQ$370,AR$373/AR$370,AS$373/AS$370),AS$373/AS$370)*AT$370</f>
        <v>33.026847785448894</v>
      </c>
      <c r="AU373" s="7">
        <f ca="1">IF(AU$6=OFFSET(Assumptions!$B$8,0,$C$1),AVERAGE(AR$373/AR$370,AS$373/AS$370,AT$373/AT$370),AT$373/AT$370)*AU$370</f>
        <v>34.751408672963912</v>
      </c>
      <c r="AV373" s="7">
        <f ca="1">IF(AV$6=OFFSET(Assumptions!$B$8,0,$C$1),AVERAGE(AS$373/AS$370,AT$373/AT$370,AU$373/AU$370),AU$373/AU$370)*AV$370</f>
        <v>36.525075815863161</v>
      </c>
      <c r="AW373" s="7">
        <f ca="1">IF(AW$6=OFFSET(Assumptions!$B$8,0,$C$1),AVERAGE(AT$373/AT$370,AU$373/AU$370,AV$373/AV$370),AV$373/AV$370)*AW$370</f>
        <v>38.344568092467988</v>
      </c>
    </row>
    <row r="374" spans="1:49" x14ac:dyDescent="0.2">
      <c r="A374" s="1" t="s">
        <v>413</v>
      </c>
      <c r="B374" s="4" t="str">
        <f t="shared" si="229"/>
        <v>From Fiscal</v>
      </c>
      <c r="D374" s="18">
        <f>Fiscal!D$345</f>
        <v>1.393</v>
      </c>
      <c r="E374" s="19">
        <f>Fiscal!E$345</f>
        <v>1.0069999999999999</v>
      </c>
      <c r="F374" s="19">
        <f>Fiscal!F$345</f>
        <v>1.0740000000000001</v>
      </c>
      <c r="G374" s="19">
        <f>Fiscal!G$345</f>
        <v>1.1339999999999999</v>
      </c>
      <c r="H374" s="19">
        <f>Fiscal!H$345</f>
        <v>1.196</v>
      </c>
      <c r="I374" s="19">
        <f>Fiscal!I$345</f>
        <v>1.262</v>
      </c>
      <c r="J374" s="7">
        <f ca="1">IF(J$6=OFFSET(Assumptions!$B$8,0,$C$1),AVERAGE(G$374/G$370,H$374/H$370,I$374/I$370),I$374/I$370)*J$370</f>
        <v>1.4489360900589778</v>
      </c>
      <c r="K374" s="7">
        <f ca="1">IF(K$6=OFFSET(Assumptions!$B$8,0,$C$1),AVERAGE(H$374/H$370,I$374/I$370,J$374/J$370),J$374/J$370)*K$370</f>
        <v>1.6280869779027407</v>
      </c>
      <c r="L374" s="7">
        <f ca="1">IF(L$6=OFFSET(Assumptions!$B$8,0,$C$1),AVERAGE(I$374/I$370,J$374/J$370,K$374/K$370),K$374/K$370)*L$370</f>
        <v>1.8143514447427687</v>
      </c>
      <c r="M374" s="7">
        <f ca="1">IF(M$6=OFFSET(Assumptions!$B$8,0,$C$1),AVERAGE(J$374/J$370,K$374/K$370,L$374/L$370),L$374/L$370)*M$370</f>
        <v>2.0070176683170926</v>
      </c>
      <c r="N374" s="7">
        <f ca="1">IF(N$6=OFFSET(Assumptions!$B$8,0,$C$1),AVERAGE(K$374/K$370,L$374/L$370,M$374/M$370),M$374/M$370)*N$370</f>
        <v>2.2056531231783922</v>
      </c>
      <c r="O374" s="7">
        <f ca="1">IF(O$6=OFFSET(Assumptions!$B$8,0,$C$1),AVERAGE(L$374/L$370,M$374/M$370,N$374/N$370),N$374/N$370)*O$370</f>
        <v>2.4066281768449871</v>
      </c>
      <c r="P374" s="7">
        <f ca="1">IF(P$6=OFFSET(Assumptions!$B$8,0,$C$1),AVERAGE(M$374/M$370,N$374/N$370,O$374/O$370),O$374/O$370)*P$370</f>
        <v>2.6086553367098366</v>
      </c>
      <c r="Q374" s="7">
        <f ca="1">IF(Q$6=OFFSET(Assumptions!$B$8,0,$C$1),AVERAGE(N$374/N$370,O$374/O$370,P$374/P$370),P$374/P$370)*Q$370</f>
        <v>2.8114143165412764</v>
      </c>
      <c r="R374" s="7">
        <f ca="1">IF(R$6=OFFSET(Assumptions!$B$8,0,$C$1),AVERAGE(O$374/O$370,P$374/P$370,Q$374/Q$370),Q$374/Q$370)*R$370</f>
        <v>3.0150875924996305</v>
      </c>
      <c r="S374" s="7">
        <f ca="1">IF(S$6=OFFSET(Assumptions!$B$8,0,$C$1),AVERAGE(P$374/P$370,Q$374/Q$370,R$374/R$370),R$374/R$370)*S$370</f>
        <v>3.2209814808698054</v>
      </c>
      <c r="T374" s="7">
        <f ca="1">IF(T$6=OFFSET(Assumptions!$B$8,0,$C$1),AVERAGE(Q$374/Q$370,R$374/R$370,S$374/S$370),S$374/S$370)*T$370</f>
        <v>3.4295057710068577</v>
      </c>
      <c r="U374" s="7">
        <f ca="1">IF(U$6=OFFSET(Assumptions!$B$8,0,$C$1),AVERAGE(R$374/R$370,S$374/S$370,T$374/T$370),T$374/T$370)*U$370</f>
        <v>3.6403640978863647</v>
      </c>
      <c r="V374" s="7">
        <f ca="1">IF(V$6=OFFSET(Assumptions!$B$8,0,$C$1),AVERAGE(S$374/S$370,T$374/T$370,U$374/U$370),U$374/U$370)*V$370</f>
        <v>3.8531381954542545</v>
      </c>
      <c r="W374" s="7">
        <f ca="1">IF(W$6=OFFSET(Assumptions!$B$8,0,$C$1),AVERAGE(T$374/T$370,U$374/U$370,V$374/V$370),V$374/V$370)*W$370</f>
        <v>4.0674545873795633</v>
      </c>
      <c r="X374" s="7">
        <f ca="1">IF(X$6=OFFSET(Assumptions!$B$8,0,$C$1),AVERAGE(U$374/U$370,V$374/V$370,W$374/W$370),W$374/W$370)*X$370</f>
        <v>4.2837872315666568</v>
      </c>
      <c r="Y374" s="7">
        <f ca="1">IF(Y$6=OFFSET(Assumptions!$B$8,0,$C$1),AVERAGE(V$374/V$370,W$374/W$370,X$374/X$370),X$374/X$370)*Y$370</f>
        <v>4.5009686118895678</v>
      </c>
      <c r="Z374" s="7">
        <f ca="1">IF(Z$6=OFFSET(Assumptions!$B$8,0,$C$1),AVERAGE(W$374/W$370,X$374/X$370,Y$374/Y$370),Y$374/Y$370)*Z$370</f>
        <v>4.7203011613802959</v>
      </c>
      <c r="AA374" s="7">
        <f ca="1">IF(AA$6=OFFSET(Assumptions!$B$8,0,$C$1),AVERAGE(X$374/X$370,Y$374/Y$370,Z$374/Z$370),Z$374/Z$370)*AA$370</f>
        <v>4.9442079260604146</v>
      </c>
      <c r="AB374" s="7">
        <f ca="1">IF(AB$6=OFFSET(Assumptions!$B$8,0,$C$1),AVERAGE(Y$374/Y$370,Z$374/Z$370,AA$374/AA$370),AA$374/AA$370)*AB$370</f>
        <v>5.1758815542671188</v>
      </c>
      <c r="AC374" s="7">
        <f ca="1">IF(AC$6=OFFSET(Assumptions!$B$8,0,$C$1),AVERAGE(Z$374/Z$370,AA$374/AA$370,AB$374/AB$370),AB$374/AB$370)*AC$370</f>
        <v>5.4191211883375274</v>
      </c>
      <c r="AD374" s="7">
        <f ca="1">IF(AD$6=OFFSET(Assumptions!$B$8,0,$C$1),AVERAGE(AA$374/AA$370,AB$374/AB$370,AC$374/AC$370),AC$374/AC$370)*AD$370</f>
        <v>5.6782640417731285</v>
      </c>
      <c r="AE374" s="7">
        <f ca="1">IF(AE$6=OFFSET(Assumptions!$B$8,0,$C$1),AVERAGE(AB$374/AB$370,AC$374/AC$370,AD$374/AD$370),AD$374/AD$370)*AE$370</f>
        <v>5.955399908842411</v>
      </c>
      <c r="AF374" s="7">
        <f ca="1">IF(AF$6=OFFSET(Assumptions!$B$8,0,$C$1),AVERAGE(AC$374/AC$370,AD$374/AD$370,AE$374/AE$370),AE$374/AE$370)*AF$370</f>
        <v>6.2541336562285252</v>
      </c>
      <c r="AG374" s="7">
        <f ca="1">IF(AG$6=OFFSET(Assumptions!$B$8,0,$C$1),AVERAGE(AD$374/AD$370,AE$374/AE$370,AF$374/AF$370),AF$374/AF$370)*AG$370</f>
        <v>6.5754315305734909</v>
      </c>
      <c r="AH374" s="7">
        <f ca="1">IF(AH$6=OFFSET(Assumptions!$B$8,0,$C$1),AVERAGE(AE$374/AE$370,AF$374/AF$370,AG$374/AG$370),AG$374/AG$370)*AH$370</f>
        <v>6.9216735186605742</v>
      </c>
      <c r="AI374" s="7">
        <f ca="1">IF(AI$6=OFFSET(Assumptions!$B$8,0,$C$1),AVERAGE(AF$374/AF$370,AG$374/AG$370,AH$374/AH$370),AH$374/AH$370)*AI$370</f>
        <v>7.2946501517331752</v>
      </c>
      <c r="AJ374" s="7">
        <f ca="1">IF(AJ$6=OFFSET(Assumptions!$B$8,0,$C$1),AVERAGE(AG$374/AG$370,AH$374/AH$370,AI$374/AI$370),AI$374/AI$370)*AJ$370</f>
        <v>7.6962580178772226</v>
      </c>
      <c r="AK374" s="7">
        <f ca="1">IF(AK$6=OFFSET(Assumptions!$B$8,0,$C$1),AVERAGE(AH$374/AH$370,AI$374/AI$370,AJ$374/AJ$370),AJ$374/AJ$370)*AK$370</f>
        <v>8.1270799721369436</v>
      </c>
      <c r="AL374" s="7">
        <f ca="1">IF(AL$6=OFFSET(Assumptions!$B$8,0,$C$1),AVERAGE(AI$374/AI$370,AJ$374/AJ$370,AK$374/AK$370),AK$374/AK$370)*AL$370</f>
        <v>8.589089900626151</v>
      </c>
      <c r="AM374" s="7">
        <f ca="1">IF(AM$6=OFFSET(Assumptions!$B$8,0,$C$1),AVERAGE(AJ$374/AJ$370,AK$374/AK$370,AL$374/AL$370),AL$374/AL$370)*AM$370</f>
        <v>9.0839612199041166</v>
      </c>
      <c r="AN374" s="7">
        <f ca="1">IF(AN$6=OFFSET(Assumptions!$B$8,0,$C$1),AVERAGE(AK$374/AK$370,AL$374/AL$370,AM$374/AM$370),AM$374/AM$370)*AN$370</f>
        <v>9.6122143057816594</v>
      </c>
      <c r="AO374" s="7">
        <f ca="1">IF(AO$6=OFFSET(Assumptions!$B$8,0,$C$1),AVERAGE(AL$374/AL$370,AM$374/AM$370,AN$374/AN$370),AN$374/AN$370)*AO$370</f>
        <v>10.173252543070413</v>
      </c>
      <c r="AP374" s="7">
        <f ca="1">IF(AP$6=OFFSET(Assumptions!$B$8,0,$C$1),AVERAGE(AM$374/AM$370,AN$374/AN$370,AO$374/AO$370),AO$374/AO$370)*AP$370</f>
        <v>10.764357043426319</v>
      </c>
      <c r="AQ374" s="7">
        <f ca="1">IF(AQ$6=OFFSET(Assumptions!$B$8,0,$C$1),AVERAGE(AN$374/AN$370,AO$374/AO$370,AP$374/AP$370),AP$374/AP$370)*AQ$370</f>
        <v>11.382891348846773</v>
      </c>
      <c r="AR374" s="7">
        <f ca="1">IF(AR$6=OFFSET(Assumptions!$B$8,0,$C$1),AVERAGE(AO$374/AO$370,AP$374/AP$370,AQ$374/AQ$370),AQ$374/AQ$370)*AR$370</f>
        <v>12.024115033055486</v>
      </c>
      <c r="AS374" s="7">
        <f ca="1">IF(AS$6=OFFSET(Assumptions!$B$8,0,$C$1),AVERAGE(AP$374/AP$370,AQ$374/AQ$370,AR$374/AR$370),AR$374/AR$370)*AS$370</f>
        <v>12.683459053715817</v>
      </c>
      <c r="AT374" s="7">
        <f ca="1">IF(AT$6=OFFSET(Assumptions!$B$8,0,$C$1),AVERAGE(AQ$374/AQ$370,AR$374/AR$370,AS$374/AS$370),AS$374/AS$370)*AT$370</f>
        <v>13.362309755729138</v>
      </c>
      <c r="AU374" s="7">
        <f ca="1">IF(AU$6=OFFSET(Assumptions!$B$8,0,$C$1),AVERAGE(AR$374/AR$370,AS$374/AS$370,AT$374/AT$370),AT$374/AT$370)*AU$370</f>
        <v>14.060048665639387</v>
      </c>
      <c r="AV374" s="7">
        <f ca="1">IF(AV$6=OFFSET(Assumptions!$B$8,0,$C$1),AVERAGE(AS$374/AS$370,AT$374/AT$370,AU$374/AU$370),AU$374/AU$370)*AV$370</f>
        <v>14.777655441827722</v>
      </c>
      <c r="AW374" s="7">
        <f ca="1">IF(AW$6=OFFSET(Assumptions!$B$8,0,$C$1),AVERAGE(AT$374/AT$370,AU$374/AU$370,AV$374/AV$370),AV$374/AV$370)*AW$370</f>
        <v>15.51380257751841</v>
      </c>
    </row>
    <row r="375" spans="1:49" x14ac:dyDescent="0.2">
      <c r="B375" s="4"/>
      <c r="D375" s="18"/>
      <c r="E375" s="19"/>
      <c r="F375" s="19"/>
      <c r="G375" s="19"/>
      <c r="H375" s="19"/>
      <c r="I375" s="19"/>
      <c r="J375" s="19"/>
      <c r="K375" s="19"/>
      <c r="L375" s="19"/>
      <c r="M375" s="19"/>
      <c r="N375" s="19"/>
      <c r="O375" s="19"/>
      <c r="P375" s="19"/>
      <c r="Q375" s="19"/>
      <c r="R375" s="19"/>
      <c r="S375" s="19"/>
    </row>
    <row r="376" spans="1:49" x14ac:dyDescent="0.2">
      <c r="A376" s="22" t="s">
        <v>236</v>
      </c>
      <c r="B376" s="4"/>
      <c r="D376" s="18"/>
      <c r="E376" s="19"/>
      <c r="F376" s="19"/>
      <c r="G376" s="19"/>
      <c r="H376" s="19"/>
      <c r="I376" s="19"/>
      <c r="J376" s="19"/>
      <c r="K376" s="19"/>
      <c r="L376" s="19"/>
      <c r="M376" s="19"/>
      <c r="N376" s="19"/>
      <c r="O376" s="19"/>
      <c r="P376" s="19"/>
      <c r="Q376" s="19"/>
      <c r="R376" s="19"/>
      <c r="S376" s="19"/>
    </row>
    <row r="377" spans="1:49" x14ac:dyDescent="0.2">
      <c r="A377" s="1" t="s">
        <v>635</v>
      </c>
      <c r="B377" s="4" t="str">
        <f t="shared" si="229"/>
        <v>From Fiscal</v>
      </c>
      <c r="D377" s="18">
        <f>Fiscal!D$171-D$80</f>
        <v>0.96799999999999997</v>
      </c>
      <c r="E377" s="19">
        <f>Fiscal!E$171-E$80</f>
        <v>1.2750000000000004</v>
      </c>
      <c r="F377" s="19">
        <f>Fiscal!F$171-F$80</f>
        <v>1.2750000000000004</v>
      </c>
      <c r="G377" s="19">
        <f>Fiscal!G$171-G$80</f>
        <v>1.2749999999999986</v>
      </c>
      <c r="H377" s="19">
        <f>Fiscal!H$171-H$80</f>
        <v>1.2739999999999991</v>
      </c>
      <c r="I377" s="19">
        <f>Fiscal!I$171-I$80</f>
        <v>1.2739999999999991</v>
      </c>
      <c r="J377" s="7">
        <f ca="1">IF(J$6=OFFSET(Assumptions!$B$8,0,$C$1),AVERAGE(G$377/G$372,H$377/H$372,I$377/I$372),I$377/I$372)*J$372</f>
        <v>1.5455700476656296</v>
      </c>
      <c r="K377" s="7">
        <f ca="1">IF(K$6=OFFSET(Assumptions!$B$8,0,$C$1),AVERAGE(H$377/H$372,I$377/I$372,J$377/J$372),J$377/J$372)*K$372</f>
        <v>1.7366690534559777</v>
      </c>
      <c r="L377" s="7">
        <f ca="1">IF(L$6=OFFSET(Assumptions!$B$8,0,$C$1),AVERAGE(I$377/I$372,J$377/J$372,K$377/K$372),K$377/K$372)*L$372</f>
        <v>1.935356064475654</v>
      </c>
      <c r="M377" s="7">
        <f ca="1">IF(M$6=OFFSET(Assumptions!$B$8,0,$C$1),AVERAGE(J$377/J$372,K$377/K$372,L$377/L$372),L$377/L$372)*M$372</f>
        <v>2.1408717848696459</v>
      </c>
      <c r="N377" s="7">
        <f ca="1">IF(N$6=OFFSET(Assumptions!$B$8,0,$C$1),AVERAGE(K$377/K$372,L$377/L$372,M$377/M$372),M$377/M$372)*N$372</f>
        <v>2.3527548427521827</v>
      </c>
      <c r="O377" s="7">
        <f ca="1">IF(O$6=OFFSET(Assumptions!$B$8,0,$C$1),AVERAGE(L$377/L$372,M$377/M$372,N$377/N$372),N$377/N$372)*O$372</f>
        <v>2.5671335344047854</v>
      </c>
      <c r="P377" s="7">
        <f ca="1">IF(P$6=OFFSET(Assumptions!$B$8,0,$C$1),AVERAGE(M$377/M$372,N$377/N$372,O$377/O$372),O$377/O$372)*P$372</f>
        <v>2.7826345004200346</v>
      </c>
      <c r="Q377" s="7">
        <f ca="1">IF(Q$6=OFFSET(Assumptions!$B$8,0,$C$1),AVERAGE(N$377/N$372,O$377/O$372,P$377/P$372),P$377/P$372)*Q$372</f>
        <v>2.9989160937027006</v>
      </c>
      <c r="R377" s="7">
        <f ca="1">IF(R$6=OFFSET(Assumptions!$B$8,0,$C$1),AVERAGE(O$377/O$372,P$377/P$372,Q$377/Q$372),Q$377/Q$372)*R$372</f>
        <v>3.2161729603035978</v>
      </c>
      <c r="S377" s="7">
        <f ca="1">IF(S$6=OFFSET(Assumptions!$B$8,0,$C$1),AVERAGE(P$377/P$372,Q$377/Q$372,R$377/R$372),R$377/R$372)*S$372</f>
        <v>3.4357985387163761</v>
      </c>
      <c r="T377" s="7">
        <f ca="1">IF(T$6=OFFSET(Assumptions!$B$8,0,$C$1),AVERAGE(Q$377/Q$372,R$377/R$372,S$377/S$372),S$377/S$372)*T$372</f>
        <v>3.6582299483953546</v>
      </c>
      <c r="U377" s="7">
        <f ca="1">IF(U$6=OFFSET(Assumptions!$B$8,0,$C$1),AVERAGE(R$377/R$372,S$377/S$372,T$377/T$372),T$377/T$372)*U$372</f>
        <v>3.8831510588306597</v>
      </c>
      <c r="V377" s="7">
        <f ca="1">IF(V$6=OFFSET(Assumptions!$B$8,0,$C$1),AVERAGE(S$377/S$372,T$377/T$372,U$377/U$372),U$377/U$372)*V$372</f>
        <v>4.1101157085321027</v>
      </c>
      <c r="W377" s="7">
        <f ca="1">IF(W$6=OFFSET(Assumptions!$B$8,0,$C$1),AVERAGE(T$377/T$372,U$377/U$372,V$377/V$372),V$377/V$372)*W$372</f>
        <v>4.3387255128955529</v>
      </c>
      <c r="X377" s="7">
        <f ca="1">IF(X$6=OFFSET(Assumptions!$B$8,0,$C$1),AVERAGE(U$377/U$372,V$377/V$372,W$377/W$372),W$377/W$372)*X$372</f>
        <v>4.5694860395204833</v>
      </c>
      <c r="Y377" s="7">
        <f ca="1">IF(Y$6=OFFSET(Assumptions!$B$8,0,$C$1),AVERAGE(V$377/V$372,W$377/W$372,X$377/X$372),X$377/X$372)*Y$372</f>
        <v>4.8011519070772133</v>
      </c>
      <c r="Z377" s="7">
        <f ca="1">IF(Z$6=OFFSET(Assumptions!$B$8,0,$C$1),AVERAGE(W$377/W$372,X$377/X$372,Y$377/Y$372),Y$377/Y$372)*Z$372</f>
        <v>5.0351124118205322</v>
      </c>
      <c r="AA377" s="7">
        <f ca="1">IF(AA$6=OFFSET(Assumptions!$B$8,0,$C$1),AVERAGE(X$377/X$372,Y$377/Y$372,Z$377/Z$372),Z$377/Z$372)*AA$372</f>
        <v>5.2739522000856045</v>
      </c>
      <c r="AB377" s="7">
        <f ca="1">IF(AB$6=OFFSET(Assumptions!$B$8,0,$C$1),AVERAGE(Y$377/Y$372,Z$377/Z$372,AA$377/AA$372),AA$377/AA$372)*AB$372</f>
        <v>5.5210768476438901</v>
      </c>
      <c r="AC377" s="7">
        <f ca="1">IF(AC$6=OFFSET(Assumptions!$B$8,0,$C$1),AVERAGE(Z$377/Z$372,AA$377/AA$372,AB$377/AB$372),AB$377/AB$372)*AC$372</f>
        <v>5.7805388731974592</v>
      </c>
      <c r="AD377" s="7">
        <f ca="1">IF(AD$6=OFFSET(Assumptions!$B$8,0,$C$1),AVERAGE(AA$377/AA$372,AB$377/AB$372,AC$377/AC$372),AC$377/AC$372)*AD$372</f>
        <v>6.0569647522162962</v>
      </c>
      <c r="AE377" s="7">
        <f ca="1">IF(AE$6=OFFSET(Assumptions!$B$8,0,$C$1),AVERAGE(AB$377/AB$372,AC$377/AC$372,AD$377/AD$372),AD$377/AD$372)*AE$372</f>
        <v>6.3525836537088338</v>
      </c>
      <c r="AF377" s="7">
        <f ca="1">IF(AF$6=OFFSET(Assumptions!$B$8,0,$C$1),AVERAGE(AC$377/AC$372,AD$377/AD$372,AE$377/AE$372),AE$377/AE$372)*AF$372</f>
        <v>6.6712408638885421</v>
      </c>
      <c r="AG377" s="7">
        <f ca="1">IF(AG$6=OFFSET(Assumptions!$B$8,0,$C$1),AVERAGE(AD$377/AD$372,AE$377/AE$372,AF$377/AF$372),AF$377/AF$372)*AG$372</f>
        <v>7.0139670713267179</v>
      </c>
      <c r="AH377" s="7">
        <f ca="1">IF(AH$6=OFFSET(Assumptions!$B$8,0,$C$1),AVERAGE(AE$377/AE$372,AF$377/AF$372,AG$377/AG$372),AG$377/AG$372)*AH$372</f>
        <v>7.3833009913685705</v>
      </c>
      <c r="AI377" s="7">
        <f ca="1">IF(AI$6=OFFSET(Assumptions!$B$8,0,$C$1),AVERAGE(AF$377/AF$372,AG$377/AG$372,AH$377/AH$372),AH$377/AH$372)*AI$372</f>
        <v>7.7811525712355065</v>
      </c>
      <c r="AJ377" s="7">
        <f ca="1">IF(AJ$6=OFFSET(Assumptions!$B$8,0,$C$1),AVERAGE(AG$377/AG$372,AH$377/AH$372,AI$377/AI$372),AI$377/AI$372)*AJ$372</f>
        <v>8.2095448882450732</v>
      </c>
      <c r="AK377" s="7">
        <f ca="1">IF(AK$6=OFFSET(Assumptions!$B$8,0,$C$1),AVERAGE(AH$377/AH$372,AI$377/AI$372,AJ$377/AJ$372),AJ$377/AJ$372)*AK$372</f>
        <v>8.6690996698182836</v>
      </c>
      <c r="AL377" s="7">
        <f ca="1">IF(AL$6=OFFSET(Assumptions!$B$8,0,$C$1),AVERAGE(AI$377/AI$372,AJ$377/AJ$372,AK$377/AK$372),AK$377/AK$372)*AL$372</f>
        <v>9.1619224465413023</v>
      </c>
      <c r="AM377" s="7">
        <f ca="1">IF(AM$6=OFFSET(Assumptions!$B$8,0,$C$1),AVERAGE(AJ$377/AJ$372,AK$377/AK$372,AL$377/AL$372),AL$377/AL$372)*AM$372</f>
        <v>9.6897982402166924</v>
      </c>
      <c r="AN377" s="7">
        <f ca="1">IF(AN$6=OFFSET(Assumptions!$B$8,0,$C$1),AVERAGE(AK$377/AK$372,AL$377/AL$372,AM$377/AM$372),AM$377/AM$372)*AN$372</f>
        <v>10.253282132101832</v>
      </c>
      <c r="AO377" s="7">
        <f ca="1">IF(AO$6=OFFSET(Assumptions!$B$8,0,$C$1),AVERAGE(AL$377/AL$372,AM$377/AM$372,AN$377/AN$372),AN$377/AN$372)*AO$372</f>
        <v>10.851737716925678</v>
      </c>
      <c r="AP377" s="7">
        <f ca="1">IF(AP$6=OFFSET(Assumptions!$B$8,0,$C$1),AVERAGE(AM$377/AM$372,AN$377/AN$372,AO$377/AO$372),AO$377/AO$372)*AP$372</f>
        <v>11.482264775405708</v>
      </c>
      <c r="AQ377" s="7">
        <f ca="1">IF(AQ$6=OFFSET(Assumptions!$B$8,0,$C$1),AVERAGE(AN$377/AN$372,AO$377/AO$372,AP$377/AP$372),AP$377/AP$372)*AQ$372</f>
        <v>12.142051016131207</v>
      </c>
      <c r="AR377" s="7">
        <f ca="1">IF(AR$6=OFFSET(Assumptions!$B$8,0,$C$1),AVERAGE(AO$377/AO$372,AP$377/AP$372,AQ$377/AQ$372),AQ$377/AQ$372)*AR$372</f>
        <v>12.826039859370285</v>
      </c>
      <c r="AS377" s="7">
        <f ca="1">IF(AS$6=OFFSET(Assumptions!$B$8,0,$C$1),AVERAGE(AP$377/AP$372,AQ$377/AQ$372,AR$377/AR$372),AR$377/AR$372)*AS$372</f>
        <v>13.529357539447229</v>
      </c>
      <c r="AT377" s="7">
        <f ca="1">IF(AT$6=OFFSET(Assumptions!$B$8,0,$C$1),AVERAGE(AQ$377/AQ$372,AR$377/AR$372,AS$377/AS$372),AS$377/AS$372)*AT$372</f>
        <v>14.253482860824146</v>
      </c>
      <c r="AU377" s="7">
        <f ca="1">IF(AU$6=OFFSET(Assumptions!$B$8,0,$C$1),AVERAGE(AR$377/AR$372,AS$377/AS$372,AT$377/AT$372),AT$377/AT$372)*AU$372</f>
        <v>14.997756102167907</v>
      </c>
      <c r="AV377" s="7">
        <f ca="1">IF(AV$6=OFFSET(Assumptions!$B$8,0,$C$1),AVERAGE(AS$377/AS$372,AT$377/AT$372,AU$377/AU$372),AU$377/AU$372)*AV$372</f>
        <v>15.76322225825864</v>
      </c>
      <c r="AW377" s="7">
        <f ca="1">IF(AW$6=OFFSET(Assumptions!$B$8,0,$C$1),AVERAGE(AT$377/AT$372,AU$377/AU$372,AV$377/AV$372),AV$377/AV$372)*AW$372</f>
        <v>16.548465286853546</v>
      </c>
    </row>
    <row r="378" spans="1:49" x14ac:dyDescent="0.2">
      <c r="A378" s="1" t="s">
        <v>548</v>
      </c>
      <c r="B378" s="4"/>
      <c r="D378" s="18">
        <f t="shared" ref="D378:I378" si="230">D$392</f>
        <v>8.8639999999999972</v>
      </c>
      <c r="E378" s="19">
        <f t="shared" si="230"/>
        <v>9.096999999999996</v>
      </c>
      <c r="F378" s="19">
        <f t="shared" si="230"/>
        <v>9.2599999999999962</v>
      </c>
      <c r="G378" s="19">
        <f t="shared" si="230"/>
        <v>9.394999999999996</v>
      </c>
      <c r="H378" s="19">
        <f t="shared" si="230"/>
        <v>9.4629999999999956</v>
      </c>
      <c r="I378" s="19">
        <f t="shared" si="230"/>
        <v>9.5079999999999938</v>
      </c>
      <c r="J378" s="7">
        <f t="shared" ref="J378:AW378" ca="1" si="231">J$392</f>
        <v>9.7379999999999924</v>
      </c>
      <c r="K378" s="7">
        <f t="shared" ca="1" si="231"/>
        <v>9.9619999999999926</v>
      </c>
      <c r="L378" s="7">
        <f t="shared" ca="1" si="231"/>
        <v>10.179999999999993</v>
      </c>
      <c r="M378" s="7">
        <f t="shared" ca="1" si="231"/>
        <v>10.406999999999993</v>
      </c>
      <c r="N378" s="7">
        <f t="shared" ca="1" si="231"/>
        <v>10.627999999999993</v>
      </c>
      <c r="O378" s="7">
        <f t="shared" ca="1" si="231"/>
        <v>10.850999999999994</v>
      </c>
      <c r="P378" s="7">
        <f t="shared" ca="1" si="231"/>
        <v>11.080999999999994</v>
      </c>
      <c r="Q378" s="7">
        <f t="shared" ca="1" si="231"/>
        <v>11.317999999999994</v>
      </c>
      <c r="R378" s="7">
        <f t="shared" ca="1" si="231"/>
        <v>11.560999999999996</v>
      </c>
      <c r="S378" s="7">
        <f t="shared" ca="1" si="231"/>
        <v>11.808999999999996</v>
      </c>
      <c r="T378" s="7">
        <f t="shared" ca="1" si="231"/>
        <v>12.060999999999995</v>
      </c>
      <c r="U378" s="7">
        <f t="shared" ca="1" si="231"/>
        <v>12.322329999999994</v>
      </c>
      <c r="V378" s="7">
        <f t="shared" ca="1" si="231"/>
        <v>12.588999899999996</v>
      </c>
      <c r="W378" s="7">
        <f t="shared" ca="1" si="231"/>
        <v>12.861019896999995</v>
      </c>
      <c r="X378" s="7">
        <f t="shared" ca="1" si="231"/>
        <v>13.128400493909995</v>
      </c>
      <c r="Y378" s="7">
        <f t="shared" ca="1" si="231"/>
        <v>13.393152508727294</v>
      </c>
      <c r="Z378" s="7">
        <f t="shared" ca="1" si="231"/>
        <v>13.660287083989111</v>
      </c>
      <c r="AA378" s="7">
        <f t="shared" ca="1" si="231"/>
        <v>13.947815696508785</v>
      </c>
      <c r="AB378" s="7">
        <f t="shared" ca="1" si="231"/>
        <v>14.254750167404051</v>
      </c>
      <c r="AC378" s="7">
        <f t="shared" ca="1" si="231"/>
        <v>14.580102672426172</v>
      </c>
      <c r="AD378" s="7">
        <f t="shared" ca="1" si="231"/>
        <v>14.926885752598958</v>
      </c>
      <c r="AE378" s="7">
        <f t="shared" ca="1" si="231"/>
        <v>15.305112325176928</v>
      </c>
      <c r="AF378" s="7">
        <f t="shared" ca="1" si="231"/>
        <v>15.718795694932234</v>
      </c>
      <c r="AG378" s="7">
        <f t="shared" ca="1" si="231"/>
        <v>16.152949565780201</v>
      </c>
      <c r="AH378" s="7">
        <f t="shared" ca="1" si="231"/>
        <v>16.587588052753606</v>
      </c>
      <c r="AI378" s="7">
        <f t="shared" ca="1" si="231"/>
        <v>17.015725694336211</v>
      </c>
      <c r="AJ378" s="7">
        <f t="shared" ca="1" si="231"/>
        <v>17.457377465166296</v>
      </c>
      <c r="AK378" s="7">
        <f t="shared" ca="1" si="231"/>
        <v>17.915558789121285</v>
      </c>
      <c r="AL378" s="7">
        <f t="shared" ca="1" si="231"/>
        <v>18.385285552794922</v>
      </c>
      <c r="AM378" s="7">
        <f t="shared" ca="1" si="231"/>
        <v>18.864574119378773</v>
      </c>
      <c r="AN378" s="7">
        <f t="shared" ca="1" si="231"/>
        <v>19.333441342960136</v>
      </c>
      <c r="AO378" s="7">
        <f t="shared" ca="1" si="231"/>
        <v>19.818904583248944</v>
      </c>
      <c r="AP378" s="7">
        <f t="shared" ca="1" si="231"/>
        <v>20.316981720746412</v>
      </c>
      <c r="AQ378" s="7">
        <f t="shared" ca="1" si="231"/>
        <v>20.816691172368806</v>
      </c>
      <c r="AR378" s="7">
        <f t="shared" ca="1" si="231"/>
        <v>21.328051907539873</v>
      </c>
      <c r="AS378" s="7">
        <f t="shared" ca="1" si="231"/>
        <v>21.865083464766073</v>
      </c>
      <c r="AT378" s="7">
        <f t="shared" ca="1" si="231"/>
        <v>22.401805968709056</v>
      </c>
      <c r="AU378" s="7">
        <f t="shared" ca="1" si="231"/>
        <v>22.930240147770323</v>
      </c>
      <c r="AV378" s="7">
        <f t="shared" ca="1" si="231"/>
        <v>23.465407352203435</v>
      </c>
      <c r="AW378" s="7">
        <f t="shared" ca="1" si="231"/>
        <v>24.033329572769539</v>
      </c>
    </row>
    <row r="379" spans="1:49" x14ac:dyDescent="0.2">
      <c r="A379" s="1" t="s">
        <v>636</v>
      </c>
      <c r="B379" s="4"/>
      <c r="D379" s="18">
        <f t="shared" ref="D379:I379" si="232">D$80-D$392</f>
        <v>5.2760000000000034</v>
      </c>
      <c r="E379" s="19">
        <f t="shared" si="232"/>
        <v>5.0550000000000033</v>
      </c>
      <c r="F379" s="19">
        <f t="shared" si="232"/>
        <v>5.3120000000000029</v>
      </c>
      <c r="G379" s="19">
        <f t="shared" si="232"/>
        <v>5.3780000000000037</v>
      </c>
      <c r="H379" s="19">
        <f t="shared" si="232"/>
        <v>5.3840000000000039</v>
      </c>
      <c r="I379" s="19">
        <f t="shared" si="232"/>
        <v>5.2780000000000058</v>
      </c>
      <c r="J379" s="7">
        <f ca="1">(I$379/I$14+ IF(J$2&gt;0,J$2*IF(J$6=OFFSET(Assumptions!$B$8,0,$C$1),SUMPRODUCT(OFFSET(I$379,0,0,1,-OFFSET(Assumptions!$B$67,0,$C$1)),OFFSET(I$16,0,0,1,-OFFSET(Assumptions!$B$67,0,$C$1)))/OFFSET(Assumptions!$B$67,0,$C$1)-I$379/I$14,(I$379/I$14-H$379/H$14)/I$2),0))*J$14</f>
        <v>5.6079175285410328</v>
      </c>
      <c r="K379" s="7">
        <f ca="1">(J$379/J$14+ IF(K$2&gt;0,K$2*IF(K$6=OFFSET(Assumptions!$B$8,0,$C$1),SUMPRODUCT(OFFSET(J$379,0,0,1,-OFFSET(Assumptions!$B$67,0,$C$1)),OFFSET(J$16,0,0,1,-OFFSET(Assumptions!$B$67,0,$C$1)))/OFFSET(Assumptions!$B$67,0,$C$1)-J$379/J$14,(J$379/J$14-I$379/I$14)/J$2),0))*K$14</f>
        <v>5.9318822067544659</v>
      </c>
      <c r="L379" s="7">
        <f ca="1">(K$379/K$14+ IF(L$2&gt;0,L$2*IF(L$6=OFFSET(Assumptions!$B$8,0,$C$1),SUMPRODUCT(OFFSET(K$379,0,0,1,-OFFSET(Assumptions!$B$67,0,$C$1)),OFFSET(K$16,0,0,1,-OFFSET(Assumptions!$B$67,0,$C$1)))/OFFSET(Assumptions!$B$67,0,$C$1)-K$379/K$14,(K$379/K$14-J$379/J$14)/K$2),0))*L$14</f>
        <v>6.2591209729291561</v>
      </c>
      <c r="M379" s="7">
        <f ca="1">(L$379/L$14+ IF(M$2&gt;0,M$2*IF(M$6=OFFSET(Assumptions!$B$8,0,$C$1),SUMPRODUCT(OFFSET(L$379,0,0,1,-OFFSET(Assumptions!$B$67,0,$C$1)),OFFSET(L$16,0,0,1,-OFFSET(Assumptions!$B$67,0,$C$1)))/OFFSET(Assumptions!$B$67,0,$C$1)-L$379/L$14,(L$379/L$14-K$379/K$14)/L$2),0))*M$14</f>
        <v>6.5783215463909785</v>
      </c>
      <c r="N379" s="7">
        <f ca="1">(M$379/M$14+ IF(N$2&gt;0,N$2*IF(N$6=OFFSET(Assumptions!$B$8,0,$C$1),SUMPRODUCT(OFFSET(M$379,0,0,1,-OFFSET(Assumptions!$B$67,0,$C$1)),OFFSET(M$16,0,0,1,-OFFSET(Assumptions!$B$67,0,$C$1)))/OFFSET(Assumptions!$B$67,0,$C$1)-M$379/M$14,(M$379/M$14-L$379/L$14)/M$2),0))*N$14</f>
        <v>6.8874626114425208</v>
      </c>
      <c r="O379" s="7">
        <f ca="1">(N$379/N$14+ IF(O$2&gt;0,O$2*IF(O$6=OFFSET(Assumptions!$B$8,0,$C$1),SUMPRODUCT(OFFSET(N$379,0,0,1,-OFFSET(Assumptions!$B$67,0,$C$1)),OFFSET(N$16,0,0,1,-OFFSET(Assumptions!$B$67,0,$C$1)))/OFFSET(Assumptions!$B$67,0,$C$1)-N$379/N$14,(N$379/N$14-M$379/M$14)/N$2),0))*O$14</f>
        <v>7.1814658895594006</v>
      </c>
      <c r="P379" s="7">
        <f ca="1">(O$379/O$14+ IF(P$2&gt;0,P$2*IF(P$6=OFFSET(Assumptions!$B$8,0,$C$1),SUMPRODUCT(OFFSET(O$379,0,0,1,-OFFSET(Assumptions!$B$67,0,$C$1)),OFFSET(O$16,0,0,1,-OFFSET(Assumptions!$B$67,0,$C$1)))/OFFSET(Assumptions!$B$67,0,$C$1)-O$379/O$14,(O$379/O$14-N$379/N$14)/O$2),0))*P$14</f>
        <v>7.485162191192666</v>
      </c>
      <c r="Q379" s="7">
        <f ca="1">(P$379/P$14+ IF(Q$2&gt;0,Q$2*IF(Q$6=OFFSET(Assumptions!$B$8,0,$C$1),SUMPRODUCT(OFFSET(P$379,0,0,1,-OFFSET(Assumptions!$B$67,0,$C$1)),OFFSET(P$16,0,0,1,-OFFSET(Assumptions!$B$67,0,$C$1)))/OFFSET(Assumptions!$B$67,0,$C$1)-P$379/P$14,(P$379/P$14-O$379/O$14)/P$2),0))*Q$14</f>
        <v>7.7982234685722167</v>
      </c>
      <c r="R379" s="7">
        <f ca="1">(Q$379/Q$14+ IF(R$2&gt;0,R$2*IF(R$6=OFFSET(Assumptions!$B$8,0,$C$1),SUMPRODUCT(OFFSET(Q$379,0,0,1,-OFFSET(Assumptions!$B$67,0,$C$1)),OFFSET(Q$16,0,0,1,-OFFSET(Assumptions!$B$67,0,$C$1)))/OFFSET(Assumptions!$B$67,0,$C$1)-Q$379/Q$14,(Q$379/Q$14-P$379/P$14)/Q$2),0))*R$14</f>
        <v>8.1204173621373705</v>
      </c>
      <c r="S379" s="7">
        <f ca="1">(R$379/R$14+ IF(S$2&gt;0,S$2*IF(S$6=OFFSET(Assumptions!$B$8,0,$C$1),SUMPRODUCT(OFFSET(R$379,0,0,1,-OFFSET(Assumptions!$B$67,0,$C$1)),OFFSET(R$16,0,0,1,-OFFSET(Assumptions!$B$67,0,$C$1)))/OFFSET(Assumptions!$B$67,0,$C$1)-R$379/R$14,(R$379/R$14-Q$379/Q$14)/R$2),0))*S$14</f>
        <v>8.4527677909437315</v>
      </c>
      <c r="T379" s="7">
        <f ca="1">(S$379/S$14+ IF(T$2&gt;0,T$2*IF(T$6=OFFSET(Assumptions!$B$8,0,$C$1),SUMPRODUCT(OFFSET(S$379,0,0,1,-OFFSET(Assumptions!$B$67,0,$C$1)),OFFSET(S$16,0,0,1,-OFFSET(Assumptions!$B$67,0,$C$1)))/OFFSET(Assumptions!$B$67,0,$C$1)-S$379/S$14,(S$379/S$14-R$379/R$14)/S$2),0))*T$14</f>
        <v>8.7953959519403888</v>
      </c>
      <c r="U379" s="7">
        <f ca="1">(T$379/T$14+ IF(U$2&gt;0,U$2*IF(U$6=OFFSET(Assumptions!$B$8,0,$C$1),SUMPRODUCT(OFFSET(T$379,0,0,1,-OFFSET(Assumptions!$B$67,0,$C$1)),OFFSET(T$16,0,0,1,-OFFSET(Assumptions!$B$67,0,$C$1)))/OFFSET(Assumptions!$B$67,0,$C$1)-T$379/T$14,(T$379/T$14-S$379/S$14)/T$2),0))*U$14</f>
        <v>9.1495315285655909</v>
      </c>
      <c r="V379" s="7">
        <f ca="1">(U$379/U$14+ IF(V$2&gt;0,V$2*IF(V$6=OFFSET(Assumptions!$B$8,0,$C$1),SUMPRODUCT(OFFSET(U$379,0,0,1,-OFFSET(Assumptions!$B$67,0,$C$1)),OFFSET(U$16,0,0,1,-OFFSET(Assumptions!$B$67,0,$C$1)))/OFFSET(Assumptions!$B$67,0,$C$1)-U$379/U$14,(U$379/U$14-T$379/T$14)/U$2),0))*V$14</f>
        <v>9.5160487065129775</v>
      </c>
      <c r="W379" s="7">
        <f ca="1">(V$379/V$14+ IF(W$2&gt;0,W$2*IF(W$6=OFFSET(Assumptions!$B$8,0,$C$1),SUMPRODUCT(OFFSET(V$379,0,0,1,-OFFSET(Assumptions!$B$67,0,$C$1)),OFFSET(V$16,0,0,1,-OFFSET(Assumptions!$B$67,0,$C$1)))/OFFSET(Assumptions!$B$67,0,$C$1)-V$379/V$14,(V$379/V$14-U$379/U$14)/V$2),0))*W$14</f>
        <v>9.8960093784963892</v>
      </c>
      <c r="X379" s="7">
        <f ca="1">(W$379/W$14+ IF(X$2&gt;0,X$2*IF(X$6=OFFSET(Assumptions!$B$8,0,$C$1),SUMPRODUCT(OFFSET(W$379,0,0,1,-OFFSET(Assumptions!$B$67,0,$C$1)),OFFSET(W$16,0,0,1,-OFFSET(Assumptions!$B$67,0,$C$1)))/OFFSET(Assumptions!$B$67,0,$C$1)-W$379/W$14,(W$379/W$14-V$379/V$14)/W$2),0))*X$14</f>
        <v>10.290617053731298</v>
      </c>
      <c r="Y379" s="7">
        <f ca="1">(X$379/X$14+ IF(Y$2&gt;0,Y$2*IF(Y$6=OFFSET(Assumptions!$B$8,0,$C$1),SUMPRODUCT(OFFSET(X$379,0,0,1,-OFFSET(Assumptions!$B$67,0,$C$1)),OFFSET(X$16,0,0,1,-OFFSET(Assumptions!$B$67,0,$C$1)))/OFFSET(Assumptions!$B$67,0,$C$1)-X$379/X$14,(X$379/X$14-W$379/W$14)/X$2),0))*Y$14</f>
        <v>10.699831390247514</v>
      </c>
      <c r="Z379" s="7">
        <f ca="1">(Y$379/Y$14+ IF(Z$2&gt;0,Z$2*IF(Z$6=OFFSET(Assumptions!$B$8,0,$C$1),SUMPRODUCT(OFFSET(Y$379,0,0,1,-OFFSET(Assumptions!$B$67,0,$C$1)),OFFSET(Y$16,0,0,1,-OFFSET(Assumptions!$B$67,0,$C$1)))/OFFSET(Assumptions!$B$67,0,$C$1)-Y$379/Y$14,(Y$379/Y$14-X$379/X$14)/Y$2),0))*Z$14</f>
        <v>11.125723684678727</v>
      </c>
      <c r="AA379" s="7">
        <f ca="1">(Z$379/Z$14+ IF(AA$2&gt;0,AA$2*IF(AA$6=OFFSET(Assumptions!$B$8,0,$C$1),SUMPRODUCT(OFFSET(Z$379,0,0,1,-OFFSET(Assumptions!$B$67,0,$C$1)),OFFSET(Z$16,0,0,1,-OFFSET(Assumptions!$B$67,0,$C$1)))/OFFSET(Assumptions!$B$67,0,$C$1)-Z$379/Z$14,(Z$379/Z$14-Y$379/Y$14)/Z$2),0))*AA$14</f>
        <v>11.568983032226013</v>
      </c>
      <c r="AB379" s="7">
        <f ca="1">(AA$379/AA$14+ IF(AB$2&gt;0,AB$2*IF(AB$6=OFFSET(Assumptions!$B$8,0,$C$1),SUMPRODUCT(OFFSET(AA$379,0,0,1,-OFFSET(Assumptions!$B$67,0,$C$1)),OFFSET(AA$16,0,0,1,-OFFSET(Assumptions!$B$67,0,$C$1)))/OFFSET(Assumptions!$B$67,0,$C$1)-AA$379/AA$14,(AA$379/AA$14-Z$379/Z$14)/AA$2),0))*AB$14</f>
        <v>12.030940581645616</v>
      </c>
      <c r="AC379" s="7">
        <f ca="1">(AB$379/AB$14+ IF(AC$2&gt;0,AC$2*IF(AC$6=OFFSET(Assumptions!$B$8,0,$C$1),SUMPRODUCT(OFFSET(AB$379,0,0,1,-OFFSET(Assumptions!$B$67,0,$C$1)),OFFSET(AB$16,0,0,1,-OFFSET(Assumptions!$B$67,0,$C$1)))/OFFSET(Assumptions!$B$67,0,$C$1)-AB$379/AB$14,(AB$379/AB$14-AA$379/AA$14)/AB$2),0))*AC$14</f>
        <v>12.513340285375339</v>
      </c>
      <c r="AD379" s="7">
        <f ca="1">(AC$379/AC$14+ IF(AD$2&gt;0,AD$2*IF(AD$6=OFFSET(Assumptions!$B$8,0,$C$1),SUMPRODUCT(OFFSET(AC$379,0,0,1,-OFFSET(Assumptions!$B$67,0,$C$1)),OFFSET(AC$16,0,0,1,-OFFSET(Assumptions!$B$67,0,$C$1)))/OFFSET(Assumptions!$B$67,0,$C$1)-AC$379/AC$14,(AC$379/AC$14-AB$379/AB$14)/AC$2),0))*AD$14</f>
        <v>13.016690598653648</v>
      </c>
      <c r="AE379" s="7">
        <f ca="1">(AD$379/AD$14+ IF(AE$2&gt;0,AE$2*IF(AE$6=OFFSET(Assumptions!$B$8,0,$C$1),SUMPRODUCT(OFFSET(AD$379,0,0,1,-OFFSET(Assumptions!$B$67,0,$C$1)),OFFSET(AD$16,0,0,1,-OFFSET(Assumptions!$B$67,0,$C$1)))/OFFSET(Assumptions!$B$67,0,$C$1)-AD$379/AD$14,(AD$379/AD$14-AC$379/AC$14)/AD$2),0))*AE$14</f>
        <v>13.540529261307546</v>
      </c>
      <c r="AF379" s="7">
        <f ca="1">(AE$379/AE$14+ IF(AF$2&gt;0,AF$2*IF(AF$6=OFFSET(Assumptions!$B$8,0,$C$1),SUMPRODUCT(OFFSET(AE$379,0,0,1,-OFFSET(Assumptions!$B$67,0,$C$1)),OFFSET(AE$16,0,0,1,-OFFSET(Assumptions!$B$67,0,$C$1)))/OFFSET(Assumptions!$B$67,0,$C$1)-AE$379/AE$14,(AE$379/AE$14-AD$379/AD$14)/AE$2),0))*AF$14</f>
        <v>14.086305525171072</v>
      </c>
      <c r="AG379" s="7">
        <f ca="1">(AF$379/AF$14+ IF(AG$2&gt;0,AG$2*IF(AG$6=OFFSET(Assumptions!$B$8,0,$C$1),SUMPRODUCT(OFFSET(AF$379,0,0,1,-OFFSET(Assumptions!$B$67,0,$C$1)),OFFSET(AF$16,0,0,1,-OFFSET(Assumptions!$B$67,0,$C$1)))/OFFSET(Assumptions!$B$67,0,$C$1)-AF$379/AF$14,(AF$379/AF$14-AE$379/AE$14)/AF$2),0))*AG$14</f>
        <v>14.654324565509123</v>
      </c>
      <c r="AH379" s="7">
        <f ca="1">(AG$379/AG$14+ IF(AH$2&gt;0,AH$2*IF(AH$6=OFFSET(Assumptions!$B$8,0,$C$1),SUMPRODUCT(OFFSET(AG$379,0,0,1,-OFFSET(Assumptions!$B$67,0,$C$1)),OFFSET(AG$16,0,0,1,-OFFSET(Assumptions!$B$67,0,$C$1)))/OFFSET(Assumptions!$B$67,0,$C$1)-AG$379/AG$14,(AG$379/AG$14-AF$379/AF$14)/AG$2),0))*AH$14</f>
        <v>15.245497240265623</v>
      </c>
      <c r="AI379" s="7">
        <f ca="1">(AH$379/AH$14+ IF(AI$2&gt;0,AI$2*IF(AI$6=OFFSET(Assumptions!$B$8,0,$C$1),SUMPRODUCT(OFFSET(AH$379,0,0,1,-OFFSET(Assumptions!$B$67,0,$C$1)),OFFSET(AH$16,0,0,1,-OFFSET(Assumptions!$B$67,0,$C$1)))/OFFSET(Assumptions!$B$67,0,$C$1)-AH$379/AH$14,(AH$379/AH$14-AG$379/AG$14)/AH$2),0))*AI$14</f>
        <v>15.858790575079761</v>
      </c>
      <c r="AJ379" s="7">
        <f ca="1">(AI$379/AI$14+ IF(AJ$2&gt;0,AJ$2*IF(AJ$6=OFFSET(Assumptions!$B$8,0,$C$1),SUMPRODUCT(OFFSET(AI$379,0,0,1,-OFFSET(Assumptions!$B$67,0,$C$1)),OFFSET(AI$16,0,0,1,-OFFSET(Assumptions!$B$67,0,$C$1)))/OFFSET(Assumptions!$B$67,0,$C$1)-AI$379/AI$14,(AI$379/AI$14-AH$379/AH$14)/AI$2),0))*AJ$14</f>
        <v>16.496169254066231</v>
      </c>
      <c r="AK379" s="7">
        <f ca="1">(AJ$379/AJ$14+ IF(AK$2&gt;0,AK$2*IF(AK$6=OFFSET(Assumptions!$B$8,0,$C$1),SUMPRODUCT(OFFSET(AJ$379,0,0,1,-OFFSET(Assumptions!$B$67,0,$C$1)),OFFSET(AJ$16,0,0,1,-OFFSET(Assumptions!$B$67,0,$C$1)))/OFFSET(Assumptions!$B$67,0,$C$1)-AJ$379/AJ$14,(AJ$379/AJ$14-AI$379/AI$14)/AJ$2),0))*AK$14</f>
        <v>17.157108949890151</v>
      </c>
      <c r="AL379" s="7">
        <f ca="1">(AK$379/AK$14+ IF(AL$2&gt;0,AL$2*IF(AL$6=OFFSET(Assumptions!$B$8,0,$C$1),SUMPRODUCT(OFFSET(AK$379,0,0,1,-OFFSET(Assumptions!$B$67,0,$C$1)),OFFSET(AK$16,0,0,1,-OFFSET(Assumptions!$B$67,0,$C$1)))/OFFSET(Assumptions!$B$67,0,$C$1)-AK$379/AK$14,(AK$379/AK$14-AJ$379/AJ$14)/AK$2),0))*AL$14</f>
        <v>17.841089022119011</v>
      </c>
      <c r="AM379" s="7">
        <f ca="1">(AL$379/AL$14+ IF(AM$2&gt;0,AM$2*IF(AM$6=OFFSET(Assumptions!$B$8,0,$C$1),SUMPRODUCT(OFFSET(AL$379,0,0,1,-OFFSET(Assumptions!$B$67,0,$C$1)),OFFSET(AL$16,0,0,1,-OFFSET(Assumptions!$B$67,0,$C$1)))/OFFSET(Assumptions!$B$67,0,$C$1)-AL$379/AL$14,(AL$379/AL$14-AK$379/AK$14)/AL$2),0))*AM$14</f>
        <v>18.549043876599544</v>
      </c>
      <c r="AN379" s="7">
        <f ca="1">(AM$379/AM$14+ IF(AN$2&gt;0,AN$2*IF(AN$6=OFFSET(Assumptions!$B$8,0,$C$1),SUMPRODUCT(OFFSET(AM$379,0,0,1,-OFFSET(Assumptions!$B$67,0,$C$1)),OFFSET(AM$16,0,0,1,-OFFSET(Assumptions!$B$67,0,$C$1)))/OFFSET(Assumptions!$B$67,0,$C$1)-AM$379/AM$14,(AM$379/AM$14-AL$379/AL$14)/AM$2),0))*AN$14</f>
        <v>19.281958271678441</v>
      </c>
      <c r="AO379" s="7">
        <f ca="1">(AN$379/AN$14+ IF(AO$2&gt;0,AO$2*IF(AO$6=OFFSET(Assumptions!$B$8,0,$C$1),SUMPRODUCT(OFFSET(AN$379,0,0,1,-OFFSET(Assumptions!$B$67,0,$C$1)),OFFSET(AN$16,0,0,1,-OFFSET(Assumptions!$B$67,0,$C$1)))/OFFSET(Assumptions!$B$67,0,$C$1)-AN$379/AN$14,(AN$379/AN$14-AM$379/AM$14)/AN$2),0))*AO$14</f>
        <v>20.036954305979766</v>
      </c>
      <c r="AP379" s="7">
        <f ca="1">(AO$379/AO$14+ IF(AP$2&gt;0,AP$2*IF(AP$6=OFFSET(Assumptions!$B$8,0,$C$1),SUMPRODUCT(OFFSET(AO$379,0,0,1,-OFFSET(Assumptions!$B$67,0,$C$1)),OFFSET(AO$16,0,0,1,-OFFSET(Assumptions!$B$67,0,$C$1)))/OFFSET(Assumptions!$B$67,0,$C$1)-AO$379/AO$14,(AO$379/AO$14-AN$379/AN$14)/AO$2),0))*AP$14</f>
        <v>20.817238066477568</v>
      </c>
      <c r="AQ379" s="7">
        <f ca="1">(AP$379/AP$14+ IF(AQ$2&gt;0,AQ$2*IF(AQ$6=OFFSET(Assumptions!$B$8,0,$C$1),SUMPRODUCT(OFFSET(AP$379,0,0,1,-OFFSET(Assumptions!$B$67,0,$C$1)),OFFSET(AP$16,0,0,1,-OFFSET(Assumptions!$B$67,0,$C$1)))/OFFSET(Assumptions!$B$67,0,$C$1)-AP$379/AP$14,(AP$379/AP$14-AO$379/AO$14)/AP$2),0))*AQ$14</f>
        <v>21.620623200537288</v>
      </c>
      <c r="AR379" s="7">
        <f ca="1">(AQ$379/AQ$14+ IF(AR$2&gt;0,AR$2*IF(AR$6=OFFSET(Assumptions!$B$8,0,$C$1),SUMPRODUCT(OFFSET(AQ$379,0,0,1,-OFFSET(Assumptions!$B$67,0,$C$1)),OFFSET(AQ$16,0,0,1,-OFFSET(Assumptions!$B$67,0,$C$1)))/OFFSET(Assumptions!$B$67,0,$C$1)-AQ$379/AQ$14,(AQ$379/AQ$14-AP$379/AP$14)/AQ$2),0))*AR$14</f>
        <v>22.448019283853768</v>
      </c>
      <c r="AS379" s="7">
        <f ca="1">(AR$379/AR$14+ IF(AS$2&gt;0,AS$2*IF(AS$6=OFFSET(Assumptions!$B$8,0,$C$1),SUMPRODUCT(OFFSET(AR$379,0,0,1,-OFFSET(Assumptions!$B$67,0,$C$1)),OFFSET(AR$16,0,0,1,-OFFSET(Assumptions!$B$67,0,$C$1)))/OFFSET(Assumptions!$B$67,0,$C$1)-AR$379/AR$14,(AR$379/AR$14-AQ$379/AQ$14)/AR$2),0))*AS$14</f>
        <v>23.301356607624076</v>
      </c>
      <c r="AT379" s="7">
        <f ca="1">(AS$379/AS$14+ IF(AT$2&gt;0,AT$2*IF(AT$6=OFFSET(Assumptions!$B$8,0,$C$1),SUMPRODUCT(OFFSET(AS$379,0,0,1,-OFFSET(Assumptions!$B$67,0,$C$1)),OFFSET(AS$16,0,0,1,-OFFSET(Assumptions!$B$67,0,$C$1)))/OFFSET(Assumptions!$B$67,0,$C$1)-AS$379/AS$14,(AS$379/AS$14-AR$379/AR$14)/AS$2),0))*AT$14</f>
        <v>24.1813167044312</v>
      </c>
      <c r="AU379" s="7">
        <f ca="1">(AT$379/AT$14+ IF(AU$2&gt;0,AU$2*IF(AU$6=OFFSET(Assumptions!$B$8,0,$C$1),SUMPRODUCT(OFFSET(AT$379,0,0,1,-OFFSET(Assumptions!$B$67,0,$C$1)),OFFSET(AT$16,0,0,1,-OFFSET(Assumptions!$B$67,0,$C$1)))/OFFSET(Assumptions!$B$67,0,$C$1)-AT$379/AT$14,(AT$379/AT$14-AS$379/AS$14)/AT$2),0))*AU$14</f>
        <v>25.089069724757557</v>
      </c>
      <c r="AV379" s="7">
        <f ca="1">(AU$379/AU$14+ IF(AV$2&gt;0,AV$2*IF(AV$6=OFFSET(Assumptions!$B$8,0,$C$1),SUMPRODUCT(OFFSET(AU$379,0,0,1,-OFFSET(Assumptions!$B$67,0,$C$1)),OFFSET(AU$16,0,0,1,-OFFSET(Assumptions!$B$67,0,$C$1)))/OFFSET(Assumptions!$B$67,0,$C$1)-AU$379/AU$14,(AU$379/AU$14-AT$379/AT$14)/AU$2),0))*AV$14</f>
        <v>26.027422348409864</v>
      </c>
      <c r="AW379" s="7">
        <f ca="1">(AV$379/AV$14+ IF(AW$2&gt;0,AW$2*IF(AW$6=OFFSET(Assumptions!$B$8,0,$C$1),SUMPRODUCT(OFFSET(AV$379,0,0,1,-OFFSET(Assumptions!$B$67,0,$C$1)),OFFSET(AV$16,0,0,1,-OFFSET(Assumptions!$B$67,0,$C$1)))/OFFSET(Assumptions!$B$67,0,$C$1)-AV$379/AV$14,(AV$379/AV$14-AU$379/AU$14)/AV$2),0))*AW$14</f>
        <v>26.9958448226173</v>
      </c>
    </row>
    <row r="380" spans="1:49" ht="15" x14ac:dyDescent="0.25">
      <c r="A380" s="2" t="s">
        <v>637</v>
      </c>
      <c r="B380" s="4"/>
      <c r="D380" s="40">
        <f t="shared" ref="D380:I380" si="233">SUM(D$377:D$379)</f>
        <v>15.108000000000001</v>
      </c>
      <c r="E380" s="39">
        <f t="shared" si="233"/>
        <v>15.427</v>
      </c>
      <c r="F380" s="39">
        <f t="shared" si="233"/>
        <v>15.847</v>
      </c>
      <c r="G380" s="39">
        <f t="shared" si="233"/>
        <v>16.047999999999998</v>
      </c>
      <c r="H380" s="39">
        <f t="shared" si="233"/>
        <v>16.120999999999999</v>
      </c>
      <c r="I380" s="39">
        <f t="shared" si="233"/>
        <v>16.059999999999999</v>
      </c>
      <c r="J380" s="43">
        <f t="shared" ref="J380:AW380" ca="1" si="234">SUM(J$377:J$379)</f>
        <v>16.891487576206654</v>
      </c>
      <c r="K380" s="43">
        <f t="shared" ca="1" si="234"/>
        <v>17.630551260210439</v>
      </c>
      <c r="L380" s="43">
        <f t="shared" ca="1" si="234"/>
        <v>18.374477037404802</v>
      </c>
      <c r="M380" s="43">
        <f t="shared" ca="1" si="234"/>
        <v>19.126193331260616</v>
      </c>
      <c r="N380" s="43">
        <f t="shared" ca="1" si="234"/>
        <v>19.868217454194699</v>
      </c>
      <c r="O380" s="43">
        <f t="shared" ca="1" si="234"/>
        <v>20.599599423964179</v>
      </c>
      <c r="P380" s="43">
        <f t="shared" ca="1" si="234"/>
        <v>21.348796691612694</v>
      </c>
      <c r="Q380" s="43">
        <f t="shared" ca="1" si="234"/>
        <v>22.115139562274912</v>
      </c>
      <c r="R380" s="43">
        <f t="shared" ca="1" si="234"/>
        <v>22.897590322440966</v>
      </c>
      <c r="S380" s="43">
        <f t="shared" ca="1" si="234"/>
        <v>23.697566329660106</v>
      </c>
      <c r="T380" s="43">
        <f t="shared" ca="1" si="234"/>
        <v>24.514625900335737</v>
      </c>
      <c r="U380" s="43">
        <f t="shared" ca="1" si="234"/>
        <v>25.355012587396246</v>
      </c>
      <c r="V380" s="43">
        <f t="shared" ca="1" si="234"/>
        <v>26.215164315045072</v>
      </c>
      <c r="W380" s="43">
        <f t="shared" ca="1" si="234"/>
        <v>27.095754788391936</v>
      </c>
      <c r="X380" s="43">
        <f t="shared" ca="1" si="234"/>
        <v>27.988503587161773</v>
      </c>
      <c r="Y380" s="43">
        <f t="shared" ca="1" si="234"/>
        <v>28.89413580605202</v>
      </c>
      <c r="Z380" s="43">
        <f t="shared" ca="1" si="234"/>
        <v>29.821123180488371</v>
      </c>
      <c r="AA380" s="43">
        <f t="shared" ca="1" si="234"/>
        <v>30.790750928820401</v>
      </c>
      <c r="AB380" s="43">
        <f t="shared" ca="1" si="234"/>
        <v>31.806767596693557</v>
      </c>
      <c r="AC380" s="43">
        <f t="shared" ca="1" si="234"/>
        <v>32.873981830998972</v>
      </c>
      <c r="AD380" s="43">
        <f t="shared" ca="1" si="234"/>
        <v>34.000541103468905</v>
      </c>
      <c r="AE380" s="43">
        <f t="shared" ca="1" si="234"/>
        <v>35.19822524019331</v>
      </c>
      <c r="AF380" s="43">
        <f t="shared" ca="1" si="234"/>
        <v>36.476342083991845</v>
      </c>
      <c r="AG380" s="43">
        <f t="shared" ca="1" si="234"/>
        <v>37.821241202616044</v>
      </c>
      <c r="AH380" s="43">
        <f t="shared" ca="1" si="234"/>
        <v>39.216386284387802</v>
      </c>
      <c r="AI380" s="43">
        <f t="shared" ca="1" si="234"/>
        <v>40.655668840651479</v>
      </c>
      <c r="AJ380" s="43">
        <f t="shared" ca="1" si="234"/>
        <v>42.163091607477597</v>
      </c>
      <c r="AK380" s="43">
        <f t="shared" ca="1" si="234"/>
        <v>43.741767408829716</v>
      </c>
      <c r="AL380" s="43">
        <f t="shared" ca="1" si="234"/>
        <v>45.38829702145523</v>
      </c>
      <c r="AM380" s="43">
        <f t="shared" ca="1" si="234"/>
        <v>47.10341623619501</v>
      </c>
      <c r="AN380" s="43">
        <f t="shared" ca="1" si="234"/>
        <v>48.868681746740407</v>
      </c>
      <c r="AO380" s="43">
        <f t="shared" ca="1" si="234"/>
        <v>50.707596606154382</v>
      </c>
      <c r="AP380" s="43">
        <f t="shared" ca="1" si="234"/>
        <v>52.616484562629694</v>
      </c>
      <c r="AQ380" s="43">
        <f t="shared" ca="1" si="234"/>
        <v>54.579365389037299</v>
      </c>
      <c r="AR380" s="43">
        <f t="shared" ca="1" si="234"/>
        <v>56.602111050763924</v>
      </c>
      <c r="AS380" s="43">
        <f t="shared" ca="1" si="234"/>
        <v>58.695797611837378</v>
      </c>
      <c r="AT380" s="43">
        <f t="shared" ca="1" si="234"/>
        <v>60.836605533964402</v>
      </c>
      <c r="AU380" s="43">
        <f t="shared" ca="1" si="234"/>
        <v>63.01706597469579</v>
      </c>
      <c r="AV380" s="43">
        <f t="shared" ca="1" si="234"/>
        <v>65.25605195887195</v>
      </c>
      <c r="AW380" s="43">
        <f t="shared" ca="1" si="234"/>
        <v>67.577639682240388</v>
      </c>
    </row>
    <row r="381" spans="1:49" x14ac:dyDescent="0.2">
      <c r="A381" s="1" t="s">
        <v>639</v>
      </c>
      <c r="B381" s="4" t="str">
        <f t="shared" ref="B381:B382" si="235">$B$43</f>
        <v>From Fiscal</v>
      </c>
      <c r="D381" s="18">
        <f>Fiscal!D$303</f>
        <v>15.598000000000001</v>
      </c>
      <c r="E381" s="19">
        <f>Fiscal!E$303</f>
        <v>16.64</v>
      </c>
      <c r="F381" s="19">
        <f>Fiscal!F$303</f>
        <v>17.753</v>
      </c>
      <c r="G381" s="19">
        <f>Fiscal!G$303</f>
        <v>18.959</v>
      </c>
      <c r="H381" s="19">
        <f>Fiscal!H$303</f>
        <v>20.207999999999998</v>
      </c>
      <c r="I381" s="19">
        <f>Fiscal!I$303</f>
        <v>21.507000000000001</v>
      </c>
      <c r="J381" s="7">
        <f ca="1">IF(J$6=OFFSET(Assumptions!$B$8,0,$C$1),AVERAGE(G$381/G$14,H$381/H$14,I$381/I$14),I$381/I$14) *J$14</f>
        <v>21.979120709134591</v>
      </c>
      <c r="K381" s="7">
        <f ca="1">IF(K$6=OFFSET(Assumptions!$B$8,0,$C$1),AVERAGE(H$381/H$14,I$381/I$14,J$381/J$14),J$381/J$14) *K$14</f>
        <v>22.897632500958881</v>
      </c>
      <c r="L381" s="7">
        <f ca="1">IF(L$6=OFFSET(Assumptions!$B$8,0,$C$1),AVERAGE(I$381/I$14,J$381/J$14,K$381/K$14),K$381/K$14) *L$14</f>
        <v>23.890137029313305</v>
      </c>
      <c r="M381" s="7">
        <f ca="1">IF(M$6=OFFSET(Assumptions!$B$8,0,$C$1),AVERAGE(J$381/J$14,K$381/K$14,L$381/L$14),L$381/L$14) *M$14</f>
        <v>24.922345128631324</v>
      </c>
      <c r="N381" s="7">
        <f ca="1">IF(N$6=OFFSET(Assumptions!$B$8,0,$C$1),AVERAGE(K$381/K$14,L$381/L$14,M$381/M$14),M$381/M$14) *N$14</f>
        <v>25.997182982885004</v>
      </c>
      <c r="O381" s="7">
        <f ca="1">IF(O$6=OFFSET(Assumptions!$B$8,0,$C$1),AVERAGE(L$381/L$14,M$381/M$14,N$381/N$14),N$381/N$14) *O$14</f>
        <v>27.106917793796988</v>
      </c>
      <c r="P381" s="7">
        <f ca="1">IF(P$6=OFFSET(Assumptions!$B$8,0,$C$1),AVERAGE(M$381/M$14,N$381/N$14,O$381/O$14),O$381/O$14) *P$14</f>
        <v>28.253239562813729</v>
      </c>
      <c r="Q381" s="7">
        <f ca="1">IF(Q$6=OFFSET(Assumptions!$B$8,0,$C$1),AVERAGE(N$381/N$14,O$381/O$14,P$381/P$14),P$381/P$14) *Q$14</f>
        <v>29.434910051938505</v>
      </c>
      <c r="R381" s="7">
        <f ca="1">IF(R$6=OFFSET(Assumptions!$B$8,0,$C$1),AVERAGE(O$381/O$14,P$381/P$14,Q$381/Q$14),Q$381/Q$14) *R$14</f>
        <v>30.651052204647367</v>
      </c>
      <c r="S381" s="7">
        <f ca="1">IF(S$6=OFFSET(Assumptions!$B$8,0,$C$1),AVERAGE(P$381/P$14,Q$381/Q$14,R$381/R$14),R$381/R$14) *S$14</f>
        <v>31.905530871110816</v>
      </c>
      <c r="T381" s="7">
        <f ca="1">IF(T$6=OFFSET(Assumptions!$B$8,0,$C$1),AVERAGE(Q$381/Q$14,R$381/R$14,S$381/S$14),S$381/S$14) *T$14</f>
        <v>33.198803517225976</v>
      </c>
      <c r="U381" s="7">
        <f ca="1">IF(U$6=OFFSET(Assumptions!$B$8,0,$C$1),AVERAGE(R$381/R$14,S$381/S$14,T$381/T$14),T$381/T$14) *U$14</f>
        <v>34.535511664429499</v>
      </c>
      <c r="V381" s="7">
        <f ca="1">IF(V$6=OFFSET(Assumptions!$B$8,0,$C$1),AVERAGE(S$381/S$14,T$381/T$14,U$381/U$14),U$381/U$14) *V$14</f>
        <v>35.918954984417731</v>
      </c>
      <c r="W381" s="7">
        <f ca="1">IF(W$6=OFFSET(Assumptions!$B$8,0,$C$1),AVERAGE(T$381/T$14,U$381/U$14,V$381/V$14),V$381/V$14) *W$14</f>
        <v>37.353141661444759</v>
      </c>
      <c r="X381" s="7">
        <f ca="1">IF(X$6=OFFSET(Assumptions!$B$8,0,$C$1),AVERAGE(U$381/U$14,V$381/V$14,W$381/W$14),W$381/W$14) *X$14</f>
        <v>38.842614420612911</v>
      </c>
      <c r="Y381" s="7">
        <f ca="1">IF(Y$6=OFFSET(Assumptions!$B$8,0,$C$1),AVERAGE(V$381/V$14,W$381/W$14,X$381/X$14),X$381/X$14) *Y$14</f>
        <v>40.387220988488544</v>
      </c>
      <c r="Z381" s="7">
        <f ca="1">IF(Z$6=OFFSET(Assumptions!$B$8,0,$C$1),AVERAGE(W$381/W$14,X$381/X$14,Y$381/Y$14),Y$381/Y$14) *Z$14</f>
        <v>41.994779611156702</v>
      </c>
      <c r="AA381" s="7">
        <f ca="1">IF(AA$6=OFFSET(Assumptions!$B$8,0,$C$1),AVERAGE(X$381/X$14,Y$381/Y$14,Z$381/Z$14),Z$381/Z$14) *AA$14</f>
        <v>43.667891324012523</v>
      </c>
      <c r="AB381" s="7">
        <f ca="1">IF(AB$6=OFFSET(Assumptions!$B$8,0,$C$1),AVERAGE(Y$381/Y$14,Z$381/Z$14,AA$381/AA$14),AA$381/AA$14) *AB$14</f>
        <v>45.411580636043681</v>
      </c>
      <c r="AC381" s="7">
        <f ca="1">IF(AC$6=OFFSET(Assumptions!$B$8,0,$C$1),AVERAGE(Z$381/Z$14,AA$381/AA$14,AB$381/AB$14),AB$381/AB$14) *AC$14</f>
        <v>47.232430211025914</v>
      </c>
      <c r="AD381" s="7">
        <f ca="1">IF(AD$6=OFFSET(Assumptions!$B$8,0,$C$1),AVERAGE(AA$381/AA$14,AB$381/AB$14,AC$381/AC$14),AC$381/AC$14) *AD$14</f>
        <v>49.132359246872696</v>
      </c>
      <c r="AE381" s="7">
        <f ca="1">IF(AE$6=OFFSET(Assumptions!$B$8,0,$C$1),AVERAGE(AB$381/AB$14,AC$381/AC$14,AD$381/AD$14),AD$381/AD$14) *AE$14</f>
        <v>51.109622911999274</v>
      </c>
      <c r="AF381" s="7">
        <f ca="1">IF(AF$6=OFFSET(Assumptions!$B$8,0,$C$1),AVERAGE(AC$381/AC$14,AD$381/AD$14,AE$381/AE$14),AE$381/AE$14) *AF$14</f>
        <v>53.16969150326873</v>
      </c>
      <c r="AG381" s="7">
        <f ca="1">IF(AG$6=OFFSET(Assumptions!$B$8,0,$C$1),AVERAGE(AD$381/AD$14,AE$381/AE$14,AF$381/AF$14),AF$381/AF$14) *AG$14</f>
        <v>55.313716924894685</v>
      </c>
      <c r="AH381" s="7">
        <f ca="1">IF(AH$6=OFFSET(Assumptions!$B$8,0,$C$1),AVERAGE(AE$381/AE$14,AF$381/AF$14,AG$381/AG$14),AG$381/AG$14) *AH$14</f>
        <v>57.545137270406713</v>
      </c>
      <c r="AI381" s="7">
        <f ca="1">IF(AI$6=OFFSET(Assumptions!$B$8,0,$C$1),AVERAGE(AF$381/AF$14,AG$381/AG$14,AH$381/AH$14),AH$381/AH$14) *AI$14</f>
        <v>59.860053509786141</v>
      </c>
      <c r="AJ381" s="7">
        <f ca="1">IF(AJ$6=OFFSET(Assumptions!$B$8,0,$C$1),AVERAGE(AG$381/AG$14,AH$381/AH$14,AI$381/AI$14),AI$381/AI$14) *AJ$14</f>
        <v>62.265881473116501</v>
      </c>
      <c r="AK381" s="7">
        <f ca="1">IF(AK$6=OFFSET(Assumptions!$B$8,0,$C$1),AVERAGE(AH$381/AH$14,AI$381/AI$14,AJ$381/AJ$14),AJ$381/AJ$14) *AK$14</f>
        <v>64.760642052207061</v>
      </c>
      <c r="AL381" s="7">
        <f ca="1">IF(AL$6=OFFSET(Assumptions!$B$8,0,$C$1),AVERAGE(AI$381/AI$14,AJ$381/AJ$14,AK$381/AK$14),AK$381/AK$14) *AL$14</f>
        <v>67.342370055323769</v>
      </c>
      <c r="AM381" s="7">
        <f ca="1">IF(AM$6=OFFSET(Assumptions!$B$8,0,$C$1),AVERAGE(AJ$381/AJ$14,AK$381/AK$14,AL$381/AL$14),AL$381/AL$14) *AM$14</f>
        <v>70.014592459112251</v>
      </c>
      <c r="AN381" s="7">
        <f ca="1">IF(AN$6=OFFSET(Assumptions!$B$8,0,$C$1),AVERAGE(AK$381/AK$14,AL$381/AL$14,AM$381/AM$14),AM$381/AM$14) *AN$14</f>
        <v>72.781026299058112</v>
      </c>
      <c r="AO381" s="7">
        <f ca="1">IF(AO$6=OFFSET(Assumptions!$B$8,0,$C$1),AVERAGE(AL$381/AL$14,AM$381/AM$14,AN$381/AN$14),AN$381/AN$14) *AO$14</f>
        <v>75.630808746149071</v>
      </c>
      <c r="AP381" s="7">
        <f ca="1">IF(AP$6=OFFSET(Assumptions!$B$8,0,$C$1),AVERAGE(AM$381/AM$14,AN$381/AN$14,AO$381/AO$14),AO$381/AO$14) *AP$14</f>
        <v>78.576041387635073</v>
      </c>
      <c r="AQ381" s="7">
        <f ca="1">IF(AQ$6=OFFSET(Assumptions!$B$8,0,$C$1),AVERAGE(AN$381/AN$14,AO$381/AO$14,AP$381/AP$14),AP$381/AP$14) *AQ$14</f>
        <v>81.608471690949031</v>
      </c>
      <c r="AR381" s="7">
        <f ca="1">IF(AR$6=OFFSET(Assumptions!$B$8,0,$C$1),AVERAGE(AO$381/AO$14,AP$381/AP$14,AQ$381/AQ$14),AQ$381/AQ$14) *AR$14</f>
        <v>84.731532909686578</v>
      </c>
      <c r="AS381" s="7">
        <f ca="1">IF(AS$6=OFFSET(Assumptions!$B$8,0,$C$1),AVERAGE(AP$381/AP$14,AQ$381/AQ$14,AR$381/AR$14),AR$381/AR$14) *AS$14</f>
        <v>87.95251105558981</v>
      </c>
      <c r="AT381" s="7">
        <f ca="1">IF(AT$6=OFFSET(Assumptions!$B$8,0,$C$1),AVERAGE(AQ$381/AQ$14,AR$381/AR$14,AS$381/AS$14),AS$381/AS$14) *AT$14</f>
        <v>91.273978618451949</v>
      </c>
      <c r="AU381" s="7">
        <f ca="1">IF(AU$6=OFFSET(Assumptions!$B$8,0,$C$1),AVERAGE(AR$381/AR$14,AS$381/AS$14,AT$381/AT$14),AT$381/AT$14) *AU$14</f>
        <v>94.700352408631872</v>
      </c>
      <c r="AV381" s="7">
        <f ca="1">IF(AV$6=OFFSET(Assumptions!$B$8,0,$C$1),AVERAGE(AS$381/AS$14,AT$381/AT$14,AU$381/AU$14),AU$381/AU$14) *AV$14</f>
        <v>98.242226424620185</v>
      </c>
      <c r="AW381" s="7">
        <f ca="1">IF(AW$6=OFFSET(Assumptions!$B$8,0,$C$1),AVERAGE(AT$381/AT$14,AU$381/AU$14,AV$381/AV$14),AV$381/AV$14) *AW$14</f>
        <v>101.89760107955948</v>
      </c>
    </row>
    <row r="382" spans="1:49" x14ac:dyDescent="0.2">
      <c r="A382" s="1" t="s">
        <v>640</v>
      </c>
      <c r="B382" s="4" t="str">
        <f t="shared" si="235"/>
        <v>From Fiscal</v>
      </c>
      <c r="D382" s="18">
        <f>Fiscal!D$118-SUM(D$380:D$381)</f>
        <v>-4.2090000000000032</v>
      </c>
      <c r="E382" s="19">
        <f>Fiscal!E$118-SUM(E$380:E$381)</f>
        <v>-4.5629999999999988</v>
      </c>
      <c r="F382" s="19">
        <f>Fiscal!F$118-SUM(F$380:F$381)</f>
        <v>-4.8210000000000015</v>
      </c>
      <c r="G382" s="19">
        <f>Fiscal!G$118-SUM(G$380:G$381)</f>
        <v>-4.8559999999999981</v>
      </c>
      <c r="H382" s="19">
        <f>Fiscal!H$118-SUM(H$380:H$381)</f>
        <v>-4.8739999999999952</v>
      </c>
      <c r="I382" s="19">
        <f>Fiscal!I$118-SUM(I$380:I$381)</f>
        <v>-4.7590000000000003</v>
      </c>
      <c r="J382" s="7">
        <f ca="1">IF(J$6=OFFSET(Assumptions!$B$8,0,$C$1),AVERAGE(G$382/G$381,H$382/H$381,I$382/I$381),I$382/I$381) *J$381</f>
        <v>-5.2647324384204524</v>
      </c>
      <c r="K382" s="7">
        <f ca="1">IF(K$6=OFFSET(Assumptions!$B$8,0,$C$1),AVERAGE(H$382/H$381,I$382/I$381,J$382/J$381),J$382/J$381) *K$381</f>
        <v>-5.484746645971498</v>
      </c>
      <c r="L382" s="7">
        <f ca="1">IF(L$6=OFFSET(Assumptions!$B$8,0,$C$1),AVERAGE(I$382/I$381,J$382/J$381,K$382/K$381),K$382/K$381) *L$381</f>
        <v>-5.7224845816631236</v>
      </c>
      <c r="M382" s="7">
        <f ca="1">IF(M$6=OFFSET(Assumptions!$B$8,0,$C$1),AVERAGE(J$382/J$381,K$382/K$381,L$382/L$381),L$382/L$381) *M$381</f>
        <v>-5.9697328467596149</v>
      </c>
      <c r="N382" s="7">
        <f ca="1">IF(N$6=OFFSET(Assumptions!$B$8,0,$C$1),AVERAGE(K$382/K$381,L$382/L$381,M$382/M$381),M$382/M$381) *N$381</f>
        <v>-6.2271923599138326</v>
      </c>
      <c r="O382" s="7">
        <f ca="1">IF(O$6=OFFSET(Assumptions!$B$8,0,$C$1),AVERAGE(L$382/L$381,M$382/M$381,N$382/N$381),N$382/N$381) *O$381</f>
        <v>-6.4930108580407646</v>
      </c>
      <c r="P382" s="7">
        <f ca="1">IF(P$6=OFFSET(Assumptions!$B$8,0,$C$1),AVERAGE(M$382/M$381,N$382/N$381,O$382/O$381),O$382/O$381) *P$381</f>
        <v>-6.7675931528502993</v>
      </c>
      <c r="Q382" s="7">
        <f ca="1">IF(Q$6=OFFSET(Assumptions!$B$8,0,$C$1),AVERAGE(N$382/N$381,O$382/O$381,P$382/P$381),P$382/P$381) *Q$381</f>
        <v>-7.0506426450455821</v>
      </c>
      <c r="R382" s="7">
        <f ca="1">IF(R$6=OFFSET(Assumptions!$B$8,0,$C$1),AVERAGE(O$382/O$381,P$382/P$381,Q$382/Q$381),Q$382/Q$381) *R$381</f>
        <v>-7.3419492503382981</v>
      </c>
      <c r="S382" s="7">
        <f ca="1">IF(S$6=OFFSET(Assumptions!$B$8,0,$C$1),AVERAGE(P$382/P$381,Q$382/Q$381,R$382/R$381),R$382/R$381) *S$381</f>
        <v>-7.6424387292414142</v>
      </c>
      <c r="T382" s="7">
        <f ca="1">IF(T$6=OFFSET(Assumptions!$B$8,0,$C$1),AVERAGE(Q$382/Q$381,R$382/R$381,S$382/S$381),S$382/S$381) *T$381</f>
        <v>-7.9522206600942988</v>
      </c>
      <c r="U382" s="7">
        <f ca="1">IF(U$6=OFFSET(Assumptions!$B$8,0,$C$1),AVERAGE(R$382/R$381,S$382/S$381,T$382/T$381),T$382/T$381) *U$381</f>
        <v>-8.2724068420810291</v>
      </c>
      <c r="V382" s="7">
        <f ca="1">IF(V$6=OFFSET(Assumptions!$B$8,0,$C$1),AVERAGE(S$382/S$381,T$382/T$381,U$382/U$381),U$382/U$381) *V$381</f>
        <v>-8.6037876566206712</v>
      </c>
      <c r="W382" s="7">
        <f ca="1">IF(W$6=OFFSET(Assumptions!$B$8,0,$C$1),AVERAGE(T$382/T$381,U$382/U$381,V$382/V$381),V$382/V$381) *W$381</f>
        <v>-8.947323197519566</v>
      </c>
      <c r="X382" s="7">
        <f ca="1">IF(X$6=OFFSET(Assumptions!$B$8,0,$C$1),AVERAGE(U$382/U$381,V$382/V$381,W$382/W$381),W$382/W$381) *X$381</f>
        <v>-9.3041015989447491</v>
      </c>
      <c r="Y382" s="7">
        <f ca="1">IF(Y$6=OFFSET(Assumptions!$B$8,0,$C$1),AVERAGE(V$382/V$381,W$382/W$381,X$382/X$381),X$382/X$381) *Y$381</f>
        <v>-9.674086386330373</v>
      </c>
      <c r="Z382" s="7">
        <f ca="1">IF(Z$6=OFFSET(Assumptions!$B$8,0,$C$1),AVERAGE(W$382/W$381,X$382/X$381,Y$382/Y$381),Y$382/Y$381) *Z$381</f>
        <v>-10.059150290361172</v>
      </c>
      <c r="AA382" s="7">
        <f ca="1">IF(AA$6=OFFSET(Assumptions!$B$8,0,$C$1),AVERAGE(X$382/X$381,Y$382/Y$381,Z$382/Z$381),Z$382/Z$381) *AA$381</f>
        <v>-10.45991634576176</v>
      </c>
      <c r="AB382" s="7">
        <f ca="1">IF(AB$6=OFFSET(Assumptions!$B$8,0,$C$1),AVERAGE(Y$382/Y$381,Z$382/Z$381,AA$382/AA$381),AA$382/AA$381) *AB$381</f>
        <v>-10.877588090007754</v>
      </c>
      <c r="AC382" s="7">
        <f ca="1">IF(AC$6=OFFSET(Assumptions!$B$8,0,$C$1),AVERAGE(Z$382/Z$381,AA$382/AA$381,AB$382/AB$381),AB$382/AB$381) *AC$381</f>
        <v>-11.313742290612737</v>
      </c>
      <c r="AD382" s="7">
        <f ca="1">IF(AD$6=OFFSET(Assumptions!$B$8,0,$C$1),AVERAGE(AA$382/AA$381,AB$382/AB$381,AC$382/AC$381),AC$382/AC$381) *AD$381</f>
        <v>-11.768838659484414</v>
      </c>
      <c r="AE382" s="7">
        <f ca="1">IF(AE$6=OFFSET(Assumptions!$B$8,0,$C$1),AVERAGE(AB$382/AB$381,AC$382/AC$381,AD$382/AD$381),AD$382/AD$381) *AE$381</f>
        <v>-12.242459251266126</v>
      </c>
      <c r="AF382" s="7">
        <f ca="1">IF(AF$6=OFFSET(Assumptions!$B$8,0,$C$1),AVERAGE(AC$382/AC$381,AD$382/AD$381,AE$382/AE$381),AE$382/AE$381) *AF$381</f>
        <v>-12.73591438449718</v>
      </c>
      <c r="AG382" s="7">
        <f ca="1">IF(AG$6=OFFSET(Assumptions!$B$8,0,$C$1),AVERAGE(AD$382/AD$381,AE$382/AE$381,AF$382/AF$381),AF$382/AF$381) *AG$381</f>
        <v>-13.249479978654048</v>
      </c>
      <c r="AH382" s="7">
        <f ca="1">IF(AH$6=OFFSET(Assumptions!$B$8,0,$C$1),AVERAGE(AE$382/AE$381,AF$382/AF$381,AG$382/AG$381),AG$382/AG$381) *AH$381</f>
        <v>-13.78397957180138</v>
      </c>
      <c r="AI382" s="7">
        <f ca="1">IF(AI$6=OFFSET(Assumptions!$B$8,0,$C$1),AVERAGE(AF$382/AF$381,AG$382/AG$381,AH$382/AH$381),AH$382/AH$381) *AI$381</f>
        <v>-14.338479216212635</v>
      </c>
      <c r="AJ382" s="7">
        <f ca="1">IF(AJ$6=OFFSET(Assumptions!$B$8,0,$C$1),AVERAGE(AG$382/AG$381,AH$382/AH$381,AI$382/AI$381),AI$382/AI$381) *AJ$381</f>
        <v>-14.914755250519153</v>
      </c>
      <c r="AK382" s="7">
        <f ca="1">IF(AK$6=OFFSET(Assumptions!$B$8,0,$C$1),AVERAGE(AH$382/AH$381,AI$382/AI$381,AJ$382/AJ$381),AJ$382/AJ$381) *AK$381</f>
        <v>-15.512333612303754</v>
      </c>
      <c r="AL382" s="7">
        <f ca="1">IF(AL$6=OFFSET(Assumptions!$B$8,0,$C$1),AVERAGE(AI$382/AI$381,AJ$382/AJ$381,AK$382/AK$381),AK$382/AK$381) *AL$381</f>
        <v>-16.130743572604761</v>
      </c>
      <c r="AM382" s="7">
        <f ca="1">IF(AM$6=OFFSET(Assumptions!$B$8,0,$C$1),AVERAGE(AJ$382/AJ$381,AK$382/AK$381,AL$382/AL$381),AL$382/AL$381) *AM$381</f>
        <v>-16.770829959957471</v>
      </c>
      <c r="AN382" s="7">
        <f ca="1">IF(AN$6=OFFSET(Assumptions!$B$8,0,$C$1),AVERAGE(AK$382/AK$381,AL$382/AL$381,AM$382/AM$381),AM$382/AM$381) *AN$381</f>
        <v>-17.433483128328032</v>
      </c>
      <c r="AO382" s="7">
        <f ca="1">IF(AO$6=OFFSET(Assumptions!$B$8,0,$C$1),AVERAGE(AL$382/AL$381,AM$382/AM$381,AN$382/AN$381),AN$382/AN$381) *AO$381</f>
        <v>-18.116101067880344</v>
      </c>
      <c r="AP382" s="7">
        <f ca="1">IF(AP$6=OFFSET(Assumptions!$B$8,0,$C$1),AVERAGE(AM$382/AM$381,AN$382/AN$381,AO$382/AO$381),AO$382/AO$381) *AP$381</f>
        <v>-18.821582512362415</v>
      </c>
      <c r="AQ382" s="7">
        <f ca="1">IF(AQ$6=OFFSET(Assumptions!$B$8,0,$C$1),AVERAGE(AN$382/AN$381,AO$382/AO$381,AP$382/AP$381),AP$382/AP$381) *AQ$381</f>
        <v>-19.54795070499312</v>
      </c>
      <c r="AR382" s="7">
        <f ca="1">IF(AR$6=OFFSET(Assumptions!$B$8,0,$C$1),AVERAGE(AO$382/AO$381,AP$382/AP$381,AQ$382/AQ$381),AQ$382/AQ$381) *AR$381</f>
        <v>-20.296028024511507</v>
      </c>
      <c r="AS382" s="7">
        <f ca="1">IF(AS$6=OFFSET(Assumptions!$B$8,0,$C$1),AVERAGE(AP$382/AP$381,AQ$382/AQ$381,AR$382/AR$381),AR$382/AR$381) *AS$381</f>
        <v>-21.06755971372656</v>
      </c>
      <c r="AT382" s="7">
        <f ca="1">IF(AT$6=OFFSET(Assumptions!$B$8,0,$C$1),AVERAGE(AQ$382/AQ$381,AR$382/AR$381,AS$382/AS$381),AS$382/AS$381) *AT$381</f>
        <v>-21.863161969739203</v>
      </c>
      <c r="AU382" s="7">
        <f ca="1">IF(AU$6=OFFSET(Assumptions!$B$8,0,$C$1),AVERAGE(AR$382/AR$381,AS$382/AS$381,AT$382/AT$381),AT$382/AT$381) *AU$381</f>
        <v>-22.683892765936015</v>
      </c>
      <c r="AV382" s="7">
        <f ca="1">IF(AV$6=OFFSET(Assumptions!$B$8,0,$C$1),AVERAGE(AS$382/AS$381,AT$382/AT$381,AU$382/AU$381),AU$382/AU$381) *AV$381</f>
        <v>-23.532289718277354</v>
      </c>
      <c r="AW382" s="7">
        <f ca="1">IF(AW$6=OFFSET(Assumptions!$B$8,0,$C$1),AVERAGE(AT$382/AT$381,AU$382/AU$381,AV$382/AV$381),AV$382/AV$381) *AW$381</f>
        <v>-24.407873859022384</v>
      </c>
    </row>
    <row r="383" spans="1:49" ht="15" x14ac:dyDescent="0.25">
      <c r="A383" s="2" t="s">
        <v>638</v>
      </c>
      <c r="D383" s="40">
        <f t="shared" ref="D383:I383" si="236">SUM(D$380:D$382)</f>
        <v>26.497</v>
      </c>
      <c r="E383" s="39">
        <f t="shared" si="236"/>
        <v>27.504000000000001</v>
      </c>
      <c r="F383" s="39">
        <f t="shared" si="236"/>
        <v>28.779</v>
      </c>
      <c r="G383" s="39">
        <f t="shared" si="236"/>
        <v>30.151</v>
      </c>
      <c r="H383" s="39">
        <f t="shared" si="236"/>
        <v>31.454999999999998</v>
      </c>
      <c r="I383" s="39">
        <f t="shared" si="236"/>
        <v>32.808</v>
      </c>
      <c r="J383" s="43">
        <f t="shared" ref="J383:AW383" ca="1" si="237">SUM(J$380:J$382)</f>
        <v>33.605875846920796</v>
      </c>
      <c r="K383" s="43">
        <f t="shared" ca="1" si="237"/>
        <v>35.043437115197818</v>
      </c>
      <c r="L383" s="43">
        <f t="shared" ca="1" si="237"/>
        <v>36.542129485054986</v>
      </c>
      <c r="M383" s="43">
        <f t="shared" ca="1" si="237"/>
        <v>38.078805613132332</v>
      </c>
      <c r="N383" s="43">
        <f t="shared" ca="1" si="237"/>
        <v>39.638208077165871</v>
      </c>
      <c r="O383" s="43">
        <f t="shared" ca="1" si="237"/>
        <v>41.213506359720405</v>
      </c>
      <c r="P383" s="43">
        <f t="shared" ca="1" si="237"/>
        <v>42.834443101576127</v>
      </c>
      <c r="Q383" s="43">
        <f t="shared" ca="1" si="237"/>
        <v>44.499406969167836</v>
      </c>
      <c r="R383" s="43">
        <f t="shared" ca="1" si="237"/>
        <v>46.206693276750038</v>
      </c>
      <c r="S383" s="43">
        <f t="shared" ca="1" si="237"/>
        <v>47.960658471529506</v>
      </c>
      <c r="T383" s="43">
        <f t="shared" ca="1" si="237"/>
        <v>49.761208757467415</v>
      </c>
      <c r="U383" s="43">
        <f t="shared" ca="1" si="237"/>
        <v>51.618117409744713</v>
      </c>
      <c r="V383" s="43">
        <f t="shared" ca="1" si="237"/>
        <v>53.530331642842128</v>
      </c>
      <c r="W383" s="43">
        <f t="shared" ca="1" si="237"/>
        <v>55.501573252317129</v>
      </c>
      <c r="X383" s="43">
        <f t="shared" ca="1" si="237"/>
        <v>57.52701640882993</v>
      </c>
      <c r="Y383" s="43">
        <f t="shared" ca="1" si="237"/>
        <v>59.607270408210184</v>
      </c>
      <c r="Z383" s="43">
        <f t="shared" ca="1" si="237"/>
        <v>61.756752501283898</v>
      </c>
      <c r="AA383" s="43">
        <f t="shared" ca="1" si="237"/>
        <v>63.998725907071169</v>
      </c>
      <c r="AB383" s="43">
        <f t="shared" ca="1" si="237"/>
        <v>66.340760142729494</v>
      </c>
      <c r="AC383" s="43">
        <f t="shared" ca="1" si="237"/>
        <v>68.792669751412149</v>
      </c>
      <c r="AD383" s="43">
        <f t="shared" ca="1" si="237"/>
        <v>71.364061690857184</v>
      </c>
      <c r="AE383" s="43">
        <f t="shared" ca="1" si="237"/>
        <v>74.06538890092645</v>
      </c>
      <c r="AF383" s="43">
        <f t="shared" ca="1" si="237"/>
        <v>76.910119202763397</v>
      </c>
      <c r="AG383" s="43">
        <f t="shared" ca="1" si="237"/>
        <v>79.885478148856677</v>
      </c>
      <c r="AH383" s="43">
        <f t="shared" ca="1" si="237"/>
        <v>82.977543982993126</v>
      </c>
      <c r="AI383" s="43">
        <f t="shared" ca="1" si="237"/>
        <v>86.17724313422498</v>
      </c>
      <c r="AJ383" s="43">
        <f t="shared" ca="1" si="237"/>
        <v>89.514217830074941</v>
      </c>
      <c r="AK383" s="43">
        <f t="shared" ca="1" si="237"/>
        <v>92.990075848733028</v>
      </c>
      <c r="AL383" s="43">
        <f t="shared" ca="1" si="237"/>
        <v>96.599923504174242</v>
      </c>
      <c r="AM383" s="43">
        <f t="shared" ca="1" si="237"/>
        <v>100.34717873534979</v>
      </c>
      <c r="AN383" s="43">
        <f t="shared" ca="1" si="237"/>
        <v>104.21622491747048</v>
      </c>
      <c r="AO383" s="43">
        <f t="shared" ca="1" si="237"/>
        <v>108.2223042844231</v>
      </c>
      <c r="AP383" s="43">
        <f t="shared" ca="1" si="237"/>
        <v>112.37094343790237</v>
      </c>
      <c r="AQ383" s="43">
        <f t="shared" ca="1" si="237"/>
        <v>116.63988637499321</v>
      </c>
      <c r="AR383" s="43">
        <f t="shared" ca="1" si="237"/>
        <v>121.03761593593899</v>
      </c>
      <c r="AS383" s="43">
        <f t="shared" ca="1" si="237"/>
        <v>125.58074895370063</v>
      </c>
      <c r="AT383" s="43">
        <f t="shared" ca="1" si="237"/>
        <v>130.24742218267716</v>
      </c>
      <c r="AU383" s="43">
        <f t="shared" ca="1" si="237"/>
        <v>135.03352561739166</v>
      </c>
      <c r="AV383" s="43">
        <f t="shared" ca="1" si="237"/>
        <v>139.96598866521478</v>
      </c>
      <c r="AW383" s="43">
        <f t="shared" ca="1" si="237"/>
        <v>145.06736690277748</v>
      </c>
    </row>
    <row r="384" spans="1:49" ht="15" x14ac:dyDescent="0.25">
      <c r="A384" s="2"/>
      <c r="D384" s="55"/>
      <c r="E384" s="56"/>
      <c r="F384" s="56"/>
      <c r="G384" s="56"/>
      <c r="H384" s="56"/>
      <c r="I384" s="56"/>
      <c r="J384" s="57"/>
      <c r="K384" s="57"/>
      <c r="L384" s="57"/>
      <c r="M384" s="57"/>
      <c r="N384" s="57"/>
      <c r="O384" s="57"/>
      <c r="P384" s="57"/>
      <c r="Q384" s="57"/>
      <c r="R384" s="57"/>
      <c r="S384" s="57"/>
    </row>
    <row r="385" spans="1:49" x14ac:dyDescent="0.2">
      <c r="A385" s="22" t="s">
        <v>548</v>
      </c>
    </row>
    <row r="386" spans="1:49" x14ac:dyDescent="0.2">
      <c r="A386" s="1" t="s">
        <v>89</v>
      </c>
      <c r="B386" s="4" t="str">
        <f t="shared" ref="B386:B391" si="238">$B$43</f>
        <v>From Fiscal</v>
      </c>
      <c r="D386" s="18">
        <f>Fiscal!D$305</f>
        <v>1.518</v>
      </c>
      <c r="E386" s="19">
        <f>Fiscal!E$305</f>
        <v>1.5389999999999999</v>
      </c>
      <c r="F386" s="19">
        <f>Fiscal!F$305</f>
        <v>1.58</v>
      </c>
      <c r="G386" s="19">
        <f>Fiscal!G$305</f>
        <v>1.6140000000000001</v>
      </c>
      <c r="H386" s="19">
        <f>Fiscal!H$305</f>
        <v>1.619</v>
      </c>
      <c r="I386" s="19">
        <f>Fiscal!I$305</f>
        <v>1.6459999999999999</v>
      </c>
      <c r="J386" s="7">
        <f>SUM(Exogenous!Q$14,Exogenous!Q$19)</f>
        <v>1.6969999999999998</v>
      </c>
      <c r="K386" s="7">
        <f>SUM(Exogenous!R$14,Exogenous!R$19)</f>
        <v>1.746</v>
      </c>
      <c r="L386" s="7">
        <f>SUM(Exogenous!S$14,Exogenous!S$19)</f>
        <v>1.8019999999999998</v>
      </c>
      <c r="M386" s="7">
        <f>SUM(Exogenous!T$14,Exogenous!T$19)</f>
        <v>1.86</v>
      </c>
      <c r="N386" s="7">
        <f>SUM(Exogenous!U$14,Exogenous!U$19)</f>
        <v>1.92</v>
      </c>
      <c r="O386" s="7">
        <f>SUM(Exogenous!V$14,Exogenous!V$19)</f>
        <v>1.984</v>
      </c>
      <c r="P386" s="7">
        <f>SUM(Exogenous!W$14,Exogenous!W$19)</f>
        <v>2.0500000000000003</v>
      </c>
      <c r="Q386" s="7">
        <f>SUM(Exogenous!X$14,Exogenous!X$19)</f>
        <v>2.1180000000000003</v>
      </c>
      <c r="R386" s="7">
        <f>SUM(Exogenous!Y$14,Exogenous!Y$19)</f>
        <v>2.1840000000000002</v>
      </c>
      <c r="S386" s="7">
        <f>SUM(Exogenous!Z$14,Exogenous!Z$19)</f>
        <v>2.2479999999999998</v>
      </c>
      <c r="T386" s="7">
        <f>SUM(Exogenous!AA$14,Exogenous!AA$19)</f>
        <v>2.3149999999999999</v>
      </c>
      <c r="U386" s="7">
        <f>SUM(Exogenous!AB$14,Exogenous!AB$19)</f>
        <v>2.3783300000000001</v>
      </c>
      <c r="V386" s="7">
        <f>SUM(Exogenous!AC$14,Exogenous!AC$19)</f>
        <v>2.4386698999999998</v>
      </c>
      <c r="W386" s="7">
        <f>SUM(Exogenous!AD$14,Exogenous!AD$19)</f>
        <v>2.5010199969999998</v>
      </c>
      <c r="X386" s="7">
        <f>SUM(Exogenous!AE$14,Exogenous!AE$19)</f>
        <v>2.5633805969099996</v>
      </c>
      <c r="Y386" s="7">
        <f>SUM(Exogenous!AF$14,Exogenous!AF$19)</f>
        <v>2.6297520148172997</v>
      </c>
      <c r="Z386" s="7">
        <f>SUM(Exogenous!AG$14,Exogenous!AG$19)</f>
        <v>2.7031345752618186</v>
      </c>
      <c r="AA386" s="7">
        <f>SUM(Exogenous!AH$14,Exogenous!AH$19)</f>
        <v>2.7825286125196733</v>
      </c>
      <c r="AB386" s="7">
        <f>SUM(Exogenous!AI$14,Exogenous!AI$19)</f>
        <v>2.8699344708952634</v>
      </c>
      <c r="AC386" s="7">
        <f>SUM(Exogenous!AJ$14,Exogenous!AJ$19)</f>
        <v>2.9623525050221216</v>
      </c>
      <c r="AD386" s="7">
        <f>SUM(Exogenous!AK$14,Exogenous!AK$19)</f>
        <v>3.0577830801727854</v>
      </c>
      <c r="AE386" s="7">
        <f>SUM(Exogenous!AL$14,Exogenous!AL$19)</f>
        <v>3.1572265725779691</v>
      </c>
      <c r="AF386" s="7">
        <f>SUM(Exogenous!AM$14,Exogenous!AM$19)</f>
        <v>3.2586833697553081</v>
      </c>
      <c r="AG386" s="7">
        <f>SUM(Exogenous!AN$14,Exogenous!AN$19)</f>
        <v>3.3611538708479674</v>
      </c>
      <c r="AH386" s="7">
        <f>SUM(Exogenous!AO$14,Exogenous!AO$19)</f>
        <v>3.4666384869734066</v>
      </c>
      <c r="AI386" s="7">
        <f>SUM(Exogenous!AP$14,Exogenous!AP$19)</f>
        <v>3.5721376415826085</v>
      </c>
      <c r="AJ386" s="7">
        <f>SUM(Exogenous!AQ$14,Exogenous!AQ$19)</f>
        <v>3.6786517708300868</v>
      </c>
      <c r="AK386" s="7">
        <f>SUM(Exogenous!AR$14,Exogenous!AR$19)</f>
        <v>3.7841813239549893</v>
      </c>
      <c r="AL386" s="7">
        <f>SUM(Exogenous!AS$14,Exogenous!AS$19)</f>
        <v>3.8917267636736392</v>
      </c>
      <c r="AM386" s="7">
        <f>SUM(Exogenous!AT$14,Exogenous!AT$19)</f>
        <v>4.0002885665838486</v>
      </c>
      <c r="AN386" s="7">
        <f>SUM(Exogenous!AU$14,Exogenous!AU$19)</f>
        <v>4.1118672235813643</v>
      </c>
      <c r="AO386" s="7">
        <f>SUM(Exogenous!AV$14,Exogenous!AV$19)</f>
        <v>4.227463240288805</v>
      </c>
      <c r="AP386" s="7">
        <f>SUM(Exogenous!AW$14,Exogenous!AW$19)</f>
        <v>4.3460771374974696</v>
      </c>
      <c r="AQ386" s="7">
        <f>SUM(Exogenous!AX$14,Exogenous!AX$19)</f>
        <v>4.4707094516223931</v>
      </c>
      <c r="AR386" s="7">
        <f>SUM(Exogenous!AY$14,Exogenous!AY$19)</f>
        <v>4.5993607351710653</v>
      </c>
      <c r="AS386" s="7">
        <f>SUM(Exogenous!AZ$14,Exogenous!AZ$19)</f>
        <v>4.7270315572261969</v>
      </c>
      <c r="AT386" s="7">
        <f>SUM(Exogenous!BA$14,Exogenous!BA$19)</f>
        <v>4.8567225039429829</v>
      </c>
      <c r="AU386" s="7">
        <f>SUM(Exogenous!BB$14,Exogenous!BB$19)</f>
        <v>4.9894341790612717</v>
      </c>
      <c r="AV386" s="7">
        <f>SUM(Exogenous!BC$14,Exogenous!BC$19)</f>
        <v>5.1271672044331105</v>
      </c>
      <c r="AW386" s="7">
        <f>SUM(Exogenous!BD$14,Exogenous!BD$19)</f>
        <v>5.2669222205661042</v>
      </c>
    </row>
    <row r="387" spans="1:49" x14ac:dyDescent="0.2">
      <c r="A387" s="1" t="s">
        <v>391</v>
      </c>
      <c r="B387" s="4" t="str">
        <f t="shared" si="238"/>
        <v>From Fiscal</v>
      </c>
      <c r="D387" s="18">
        <f>-Fiscal!D$306</f>
        <v>0.60199999999999998</v>
      </c>
      <c r="E387" s="19">
        <f>-Fiscal!E$306</f>
        <v>0.67</v>
      </c>
      <c r="F387" s="19">
        <f>-Fiscal!F$306</f>
        <v>0.68899999999999995</v>
      </c>
      <c r="G387" s="19">
        <f>-Fiscal!G$306</f>
        <v>0.70299999999999996</v>
      </c>
      <c r="H387" s="19">
        <f>-Fiscal!H$306</f>
        <v>0.70599999999999996</v>
      </c>
      <c r="I387" s="19">
        <f>-Fiscal!I$306</f>
        <v>0.71699999999999997</v>
      </c>
      <c r="J387" s="7">
        <f>Exogenous!Q$15</f>
        <v>0.72199999999999998</v>
      </c>
      <c r="K387" s="7">
        <f>Exogenous!R$15</f>
        <v>0.72699999999999998</v>
      </c>
      <c r="L387" s="7">
        <f>Exogenous!S$15</f>
        <v>0.74099999999999999</v>
      </c>
      <c r="M387" s="7">
        <f>Exogenous!T$15</f>
        <v>0.755</v>
      </c>
      <c r="N387" s="7">
        <f>Exogenous!U$15</f>
        <v>0.78</v>
      </c>
      <c r="O387" s="7">
        <f>Exogenous!V$15</f>
        <v>0.80200000000000005</v>
      </c>
      <c r="P387" s="7">
        <f>Exogenous!W$15</f>
        <v>0.82699999999999996</v>
      </c>
      <c r="Q387" s="7">
        <f>Exogenous!X$15</f>
        <v>0.85199999999999998</v>
      </c>
      <c r="R387" s="7">
        <f>Exogenous!Y$15</f>
        <v>0.874</v>
      </c>
      <c r="S387" s="7">
        <f>Exogenous!Z$15</f>
        <v>0.89600000000000002</v>
      </c>
      <c r="T387" s="7">
        <f>Exogenous!AA$15</f>
        <v>0.92200000000000004</v>
      </c>
      <c r="U387" s="7">
        <f>Exogenous!AB$15</f>
        <v>0.94500000000000006</v>
      </c>
      <c r="V387" s="7">
        <f>Exogenous!AC$15</f>
        <v>0.96700000000000008</v>
      </c>
      <c r="W387" s="7">
        <f>Exogenous!AD$15</f>
        <v>0.9890000000000001</v>
      </c>
      <c r="X387" s="7">
        <f>Exogenous!AE$15</f>
        <v>1.0110000000000001</v>
      </c>
      <c r="Y387" s="7">
        <f>Exogenous!AF$15</f>
        <v>1.0350000000000001</v>
      </c>
      <c r="Z387" s="7">
        <f>Exogenous!AG$15</f>
        <v>1.0640000000000001</v>
      </c>
      <c r="AA387" s="7">
        <f>Exogenous!AH$15</f>
        <v>1.0920000000000001</v>
      </c>
      <c r="AB387" s="7">
        <f>Exogenous!AI$15</f>
        <v>1.125</v>
      </c>
      <c r="AC387" s="7">
        <f>Exogenous!AJ$15</f>
        <v>1.1619999999999999</v>
      </c>
      <c r="AD387" s="7">
        <f>Exogenous!AK$15</f>
        <v>1.1949999999999998</v>
      </c>
      <c r="AE387" s="7">
        <f>Exogenous!AL$15</f>
        <v>1.2299999999999998</v>
      </c>
      <c r="AF387" s="7">
        <f>Exogenous!AM$15</f>
        <v>1.2629999999999997</v>
      </c>
      <c r="AG387" s="7">
        <f>Exogenous!AN$15</f>
        <v>1.2969999999999997</v>
      </c>
      <c r="AH387" s="7">
        <f>Exogenous!AO$15</f>
        <v>1.3399999999999996</v>
      </c>
      <c r="AI387" s="7">
        <f>Exogenous!AP$15</f>
        <v>1.3819999999999997</v>
      </c>
      <c r="AJ387" s="7">
        <f>Exogenous!AQ$15</f>
        <v>1.4199999999999997</v>
      </c>
      <c r="AK387" s="7">
        <f>Exogenous!AR$15</f>
        <v>1.4539999999999997</v>
      </c>
      <c r="AL387" s="7">
        <f>Exogenous!AS$15</f>
        <v>1.4869999999999997</v>
      </c>
      <c r="AM387" s="7">
        <f>Exogenous!AT$15</f>
        <v>1.5179999999999996</v>
      </c>
      <c r="AN387" s="7">
        <f>Exogenous!AU$15</f>
        <v>1.5549999999999995</v>
      </c>
      <c r="AO387" s="7">
        <f>Exogenous!AV$15</f>
        <v>1.5919999999999994</v>
      </c>
      <c r="AP387" s="7">
        <f>Exogenous!AW$15</f>
        <v>1.6259999999999994</v>
      </c>
      <c r="AQ387" s="7">
        <f>Exogenous!AX$15</f>
        <v>1.6659999999999995</v>
      </c>
      <c r="AR387" s="7">
        <f>Exogenous!AY$15</f>
        <v>1.7039999999999995</v>
      </c>
      <c r="AS387" s="7">
        <f>Exogenous!AZ$15</f>
        <v>1.7419999999999995</v>
      </c>
      <c r="AT387" s="7">
        <f>Exogenous!BA$15</f>
        <v>1.7829999999999995</v>
      </c>
      <c r="AU387" s="7">
        <f>Exogenous!BB$15</f>
        <v>1.8249999999999995</v>
      </c>
      <c r="AV387" s="7">
        <f>Exogenous!BC$15</f>
        <v>1.8739999999999994</v>
      </c>
      <c r="AW387" s="7">
        <f>Exogenous!BD$15</f>
        <v>1.9149999999999994</v>
      </c>
    </row>
    <row r="388" spans="1:49" x14ac:dyDescent="0.2">
      <c r="A388" s="1" t="s">
        <v>555</v>
      </c>
      <c r="B388" s="4" t="str">
        <f t="shared" si="238"/>
        <v>From Fiscal</v>
      </c>
      <c r="D388" s="18">
        <f>-Fiscal!D$307</f>
        <v>1.1140000000000001</v>
      </c>
      <c r="E388" s="19">
        <f>-Fiscal!E$307</f>
        <v>1.1910000000000001</v>
      </c>
      <c r="F388" s="19">
        <f>-Fiscal!F$307</f>
        <v>1.2470000000000001</v>
      </c>
      <c r="G388" s="19">
        <f>-Fiscal!G$307</f>
        <v>1.3029999999999999</v>
      </c>
      <c r="H388" s="19">
        <f>-Fiscal!H$307</f>
        <v>1.3779999999999999</v>
      </c>
      <c r="I388" s="19">
        <f>-Fiscal!I$307</f>
        <v>1.419</v>
      </c>
      <c r="J388" s="7">
        <f>Exogenous!Q$16</f>
        <v>1.3839999999999999</v>
      </c>
      <c r="K388" s="7">
        <f>Exogenous!R$16</f>
        <v>1.4590000000000001</v>
      </c>
      <c r="L388" s="7">
        <f>Exogenous!S$16</f>
        <v>1.5269999999999999</v>
      </c>
      <c r="M388" s="7">
        <f>Exogenous!T$16</f>
        <v>1.589</v>
      </c>
      <c r="N388" s="7">
        <f>Exogenous!U$16</f>
        <v>1.6479999999999999</v>
      </c>
      <c r="O388" s="7">
        <f>Exogenous!V$16</f>
        <v>1.7050000000000001</v>
      </c>
      <c r="P388" s="7">
        <f>Exogenous!W$16</f>
        <v>1.756</v>
      </c>
      <c r="Q388" s="7">
        <f>Exogenous!X$16</f>
        <v>1.8140000000000001</v>
      </c>
      <c r="R388" s="7">
        <f>Exogenous!Y$16</f>
        <v>1.871</v>
      </c>
      <c r="S388" s="7">
        <f>Exogenous!Z$16</f>
        <v>1.93</v>
      </c>
      <c r="T388" s="7">
        <f>Exogenous!AA$16</f>
        <v>1.9909999999999999</v>
      </c>
      <c r="U388" s="7">
        <f>Exogenous!AB$16</f>
        <v>2.0419999999999998</v>
      </c>
      <c r="V388" s="7">
        <f>Exogenous!AC$16</f>
        <v>2.0979999999999999</v>
      </c>
      <c r="W388" s="7">
        <f>Exogenous!AD$16</f>
        <v>2.1559999999999997</v>
      </c>
      <c r="X388" s="7">
        <f>Exogenous!AE$16</f>
        <v>2.2259999999999995</v>
      </c>
      <c r="Y388" s="7">
        <f>Exogenous!AF$16</f>
        <v>2.2939999999999996</v>
      </c>
      <c r="Z388" s="7">
        <f>Exogenous!AG$16</f>
        <v>2.3609999999999998</v>
      </c>
      <c r="AA388" s="7">
        <f>Exogenous!AH$16</f>
        <v>2.4149999999999996</v>
      </c>
      <c r="AB388" s="7">
        <f>Exogenous!AI$16</f>
        <v>2.4789999999999996</v>
      </c>
      <c r="AC388" s="7">
        <f>Exogenous!AJ$16</f>
        <v>2.5419999999999998</v>
      </c>
      <c r="AD388" s="7">
        <f>Exogenous!AK$16</f>
        <v>2.6139999999999999</v>
      </c>
      <c r="AE388" s="7">
        <f>Exogenous!AL$16</f>
        <v>2.6789999999999998</v>
      </c>
      <c r="AF388" s="7">
        <f>Exogenous!AM$16</f>
        <v>2.7439999999999998</v>
      </c>
      <c r="AG388" s="7">
        <f>Exogenous!AN$16</f>
        <v>2.831</v>
      </c>
      <c r="AH388" s="7">
        <f>Exogenous!AO$16</f>
        <v>2.9289999999999998</v>
      </c>
      <c r="AI388" s="7">
        <f>Exogenous!AP$16</f>
        <v>3.0369999999999999</v>
      </c>
      <c r="AJ388" s="7">
        <f>Exogenous!AQ$16</f>
        <v>3.13</v>
      </c>
      <c r="AK388" s="7">
        <f>Exogenous!AR$16</f>
        <v>3.222</v>
      </c>
      <c r="AL388" s="7">
        <f>Exogenous!AS$16</f>
        <v>3.3290000000000002</v>
      </c>
      <c r="AM388" s="7">
        <f>Exogenous!AT$16</f>
        <v>3.4340000000000002</v>
      </c>
      <c r="AN388" s="7">
        <f>Exogenous!AU$16</f>
        <v>3.5609999999999999</v>
      </c>
      <c r="AO388" s="7">
        <f>Exogenous!AV$16</f>
        <v>3.6619999999999999</v>
      </c>
      <c r="AP388" s="7">
        <f>Exogenous!AW$16</f>
        <v>3.7759999999999998</v>
      </c>
      <c r="AQ388" s="7">
        <f>Exogenous!AX$16</f>
        <v>3.8979999999999997</v>
      </c>
      <c r="AR388" s="7">
        <f>Exogenous!AY$16</f>
        <v>4.0190000000000001</v>
      </c>
      <c r="AS388" s="7">
        <f>Exogenous!AZ$16</f>
        <v>4.1230000000000002</v>
      </c>
      <c r="AT388" s="7">
        <f>Exogenous!BA$16</f>
        <v>4.2560000000000002</v>
      </c>
      <c r="AU388" s="7">
        <f>Exogenous!BB$16</f>
        <v>4.3959999999999999</v>
      </c>
      <c r="AV388" s="7">
        <f>Exogenous!BC$16</f>
        <v>4.5169999999999995</v>
      </c>
      <c r="AW388" s="7">
        <f>Exogenous!BD$16</f>
        <v>4.6259999999999994</v>
      </c>
    </row>
    <row r="389" spans="1:49" x14ac:dyDescent="0.2">
      <c r="A389" s="1" t="s">
        <v>92</v>
      </c>
      <c r="B389" s="4" t="str">
        <f t="shared" si="238"/>
        <v>From Fiscal</v>
      </c>
      <c r="D389" s="18">
        <f>Fiscal!D$308</f>
        <v>0.60399999999999998</v>
      </c>
      <c r="E389" s="19">
        <f>Fiscal!E$308</f>
        <v>0.59399999999999997</v>
      </c>
      <c r="F389" s="19">
        <f>Fiscal!F$308</f>
        <v>0.60799999999999998</v>
      </c>
      <c r="G389" s="19">
        <f>Fiscal!G$308</f>
        <v>0.61699999999999999</v>
      </c>
      <c r="H389" s="19">
        <f>Fiscal!H$308</f>
        <v>0.622</v>
      </c>
      <c r="I389" s="19">
        <f>Fiscal!I$308</f>
        <v>0.625</v>
      </c>
      <c r="J389" s="7">
        <f>Exogenous!Q$17</f>
        <v>0.63900000000000001</v>
      </c>
      <c r="K389" s="7">
        <f>Exogenous!R$17</f>
        <v>0.66400000000000003</v>
      </c>
      <c r="L389" s="7">
        <f>Exogenous!S$17</f>
        <v>0.68400000000000005</v>
      </c>
      <c r="M389" s="7">
        <f>Exogenous!T$17</f>
        <v>0.71099999999999997</v>
      </c>
      <c r="N389" s="7">
        <f>Exogenous!U$17</f>
        <v>0.72899999999999998</v>
      </c>
      <c r="O389" s="7">
        <f>Exogenous!V$17</f>
        <v>0.746</v>
      </c>
      <c r="P389" s="7">
        <f>Exogenous!W$17</f>
        <v>0.76300000000000001</v>
      </c>
      <c r="Q389" s="7">
        <f>Exogenous!X$17</f>
        <v>0.78500000000000003</v>
      </c>
      <c r="R389" s="7">
        <f>Exogenous!Y$17</f>
        <v>0.80400000000000005</v>
      </c>
      <c r="S389" s="7">
        <f>Exogenous!Z$17</f>
        <v>0.82599999999999996</v>
      </c>
      <c r="T389" s="7">
        <f>Exogenous!AA$17</f>
        <v>0.85</v>
      </c>
      <c r="U389" s="7">
        <f>Exogenous!AB$17</f>
        <v>0.87</v>
      </c>
      <c r="V389" s="7">
        <f>Exogenous!AC$17</f>
        <v>0.89300000000000002</v>
      </c>
      <c r="W389" s="7">
        <f>Exogenous!AD$17</f>
        <v>0.91600000000000004</v>
      </c>
      <c r="X389" s="7">
        <f>Exogenous!AE$17</f>
        <v>0.94100000000000006</v>
      </c>
      <c r="Y389" s="7">
        <f>Exogenous!AF$17</f>
        <v>0.96400000000000008</v>
      </c>
      <c r="Z389" s="7">
        <f>Exogenous!AG$17</f>
        <v>0.9890000000000001</v>
      </c>
      <c r="AA389" s="7">
        <f>Exogenous!AH$17</f>
        <v>1.012</v>
      </c>
      <c r="AB389" s="7">
        <f>Exogenous!AI$17</f>
        <v>1.0409999999999999</v>
      </c>
      <c r="AC389" s="7">
        <f>Exogenous!AJ$17</f>
        <v>1.0669999999999999</v>
      </c>
      <c r="AD389" s="7">
        <f>Exogenous!AK$17</f>
        <v>1.0979999999999999</v>
      </c>
      <c r="AE389" s="7">
        <f>Exogenous!AL$17</f>
        <v>1.1299999999999999</v>
      </c>
      <c r="AF389" s="7">
        <f>Exogenous!AM$17</f>
        <v>1.1619999999999999</v>
      </c>
      <c r="AG389" s="7">
        <f>Exogenous!AN$17</f>
        <v>1.2009999999999998</v>
      </c>
      <c r="AH389" s="7">
        <f>Exogenous!AO$17</f>
        <v>1.2369999999999999</v>
      </c>
      <c r="AI389" s="7">
        <f>Exogenous!AP$17</f>
        <v>1.2749999999999999</v>
      </c>
      <c r="AJ389" s="7">
        <f>Exogenous!AQ$17</f>
        <v>1.3129999999999999</v>
      </c>
      <c r="AK389" s="7">
        <f>Exogenous!AR$17</f>
        <v>1.3499999999999999</v>
      </c>
      <c r="AL389" s="7">
        <f>Exogenous!AS$17</f>
        <v>1.3939999999999999</v>
      </c>
      <c r="AM389" s="7">
        <f>Exogenous!AT$17</f>
        <v>1.4309999999999998</v>
      </c>
      <c r="AN389" s="7">
        <f>Exogenous!AU$17</f>
        <v>1.4729999999999999</v>
      </c>
      <c r="AO389" s="7">
        <f>Exogenous!AV$17</f>
        <v>1.5119999999999998</v>
      </c>
      <c r="AP389" s="7">
        <f>Exogenous!AW$17</f>
        <v>1.5539999999999998</v>
      </c>
      <c r="AQ389" s="7">
        <f>Exogenous!AX$17</f>
        <v>1.5929999999999997</v>
      </c>
      <c r="AR389" s="7">
        <f>Exogenous!AY$17</f>
        <v>1.6349999999999998</v>
      </c>
      <c r="AS389" s="7">
        <f>Exogenous!AZ$17</f>
        <v>1.6749999999999998</v>
      </c>
      <c r="AT389" s="7">
        <f>Exogenous!BA$17</f>
        <v>1.7189999999999999</v>
      </c>
      <c r="AU389" s="7">
        <f>Exogenous!BB$17</f>
        <v>1.7599999999999998</v>
      </c>
      <c r="AV389" s="7">
        <f>Exogenous!BC$17</f>
        <v>1.7989999999999997</v>
      </c>
      <c r="AW389" s="7">
        <f>Exogenous!BD$17</f>
        <v>1.8419999999999996</v>
      </c>
    </row>
    <row r="390" spans="1:49" x14ac:dyDescent="0.2">
      <c r="A390" s="1" t="s">
        <v>556</v>
      </c>
      <c r="B390" s="4" t="str">
        <f t="shared" si="238"/>
        <v>From Fiscal</v>
      </c>
      <c r="D390" s="18">
        <f>-Fiscal!D$309</f>
        <v>0.26900000000000002</v>
      </c>
      <c r="E390" s="19">
        <f>-Fiscal!E$309</f>
        <v>4.9000000000000002E-2</v>
      </c>
      <c r="F390" s="19">
        <f>-Fiscal!F$309</f>
        <v>0.1</v>
      </c>
      <c r="G390" s="19">
        <f>-Fiscal!G$309</f>
        <v>0.1</v>
      </c>
      <c r="H390" s="19">
        <f>-Fiscal!H$309</f>
        <v>0.1</v>
      </c>
      <c r="I390" s="19">
        <f>-Fiscal!I$309</f>
        <v>0.1</v>
      </c>
      <c r="J390" s="7">
        <f>Exogenous!Q$18</f>
        <v>0</v>
      </c>
      <c r="K390" s="7">
        <f>Exogenous!R$18</f>
        <v>0</v>
      </c>
      <c r="L390" s="7">
        <f>Exogenous!S$18</f>
        <v>0</v>
      </c>
      <c r="M390" s="7">
        <f>Exogenous!T$18</f>
        <v>0</v>
      </c>
      <c r="N390" s="7">
        <f>Exogenous!U$18</f>
        <v>0</v>
      </c>
      <c r="O390" s="7">
        <f>Exogenous!V$18</f>
        <v>0</v>
      </c>
      <c r="P390" s="7">
        <f>Exogenous!W$18</f>
        <v>0</v>
      </c>
      <c r="Q390" s="7">
        <f>Exogenous!X$18</f>
        <v>0</v>
      </c>
      <c r="R390" s="7">
        <f>Exogenous!Y$18</f>
        <v>0</v>
      </c>
      <c r="S390" s="7">
        <f>Exogenous!Z$18</f>
        <v>0</v>
      </c>
      <c r="T390" s="7">
        <f>Exogenous!AA$18</f>
        <v>0</v>
      </c>
      <c r="U390" s="7">
        <f>Exogenous!AB$18</f>
        <v>0</v>
      </c>
      <c r="V390" s="7">
        <f>Exogenous!AC$18</f>
        <v>0</v>
      </c>
      <c r="W390" s="7">
        <f>Exogenous!AD$18</f>
        <v>0</v>
      </c>
      <c r="X390" s="7">
        <f>Exogenous!AE$18</f>
        <v>0</v>
      </c>
      <c r="Y390" s="7">
        <f>Exogenous!AF$18</f>
        <v>0</v>
      </c>
      <c r="Z390" s="7">
        <f>Exogenous!AG$18</f>
        <v>0</v>
      </c>
      <c r="AA390" s="7">
        <f>Exogenous!AH$18</f>
        <v>0</v>
      </c>
      <c r="AB390" s="7">
        <f>Exogenous!AI$18</f>
        <v>0</v>
      </c>
      <c r="AC390" s="7">
        <f>Exogenous!AJ$18</f>
        <v>0</v>
      </c>
      <c r="AD390" s="7">
        <f>Exogenous!AK$18</f>
        <v>0</v>
      </c>
      <c r="AE390" s="7">
        <f>Exogenous!AL$18</f>
        <v>0</v>
      </c>
      <c r="AF390" s="7">
        <f>Exogenous!AM$18</f>
        <v>0</v>
      </c>
      <c r="AG390" s="7">
        <f>Exogenous!AN$18</f>
        <v>0</v>
      </c>
      <c r="AH390" s="7">
        <f>Exogenous!AO$18</f>
        <v>0</v>
      </c>
      <c r="AI390" s="7">
        <f>Exogenous!AP$18</f>
        <v>0</v>
      </c>
      <c r="AJ390" s="7">
        <f>Exogenous!AQ$18</f>
        <v>0</v>
      </c>
      <c r="AK390" s="7">
        <f>Exogenous!AR$18</f>
        <v>0</v>
      </c>
      <c r="AL390" s="7">
        <f>Exogenous!AS$18</f>
        <v>0</v>
      </c>
      <c r="AM390" s="7">
        <f>Exogenous!AT$18</f>
        <v>0</v>
      </c>
      <c r="AN390" s="7">
        <f>Exogenous!AU$18</f>
        <v>0</v>
      </c>
      <c r="AO390" s="7">
        <f>Exogenous!AV$18</f>
        <v>0</v>
      </c>
      <c r="AP390" s="7">
        <f>Exogenous!AW$18</f>
        <v>0</v>
      </c>
      <c r="AQ390" s="7">
        <f>Exogenous!AX$18</f>
        <v>0</v>
      </c>
      <c r="AR390" s="7">
        <f>Exogenous!AY$18</f>
        <v>0</v>
      </c>
      <c r="AS390" s="7">
        <f>Exogenous!AZ$18</f>
        <v>0</v>
      </c>
      <c r="AT390" s="7">
        <f>Exogenous!BA$18</f>
        <v>0</v>
      </c>
      <c r="AU390" s="7">
        <f>Exogenous!BB$18</f>
        <v>0</v>
      </c>
      <c r="AV390" s="7">
        <f>Exogenous!BC$18</f>
        <v>0</v>
      </c>
      <c r="AW390" s="7">
        <f>Exogenous!BD$18</f>
        <v>0</v>
      </c>
    </row>
    <row r="391" spans="1:49" x14ac:dyDescent="0.2">
      <c r="A391" s="1" t="s">
        <v>94</v>
      </c>
      <c r="B391" s="4" t="str">
        <f t="shared" si="238"/>
        <v>From Fiscal</v>
      </c>
      <c r="D391" s="18">
        <f>Fiscal!D$310</f>
        <v>1.0999999999999999E-2</v>
      </c>
      <c r="E391" s="19">
        <f>Fiscal!E$310</f>
        <v>0.01</v>
      </c>
      <c r="F391" s="19">
        <f>Fiscal!F$310</f>
        <v>1.0999999999999999E-2</v>
      </c>
      <c r="G391" s="19">
        <f>Fiscal!G$310</f>
        <v>0.01</v>
      </c>
      <c r="H391" s="19">
        <f>Fiscal!H$310</f>
        <v>1.0999999999999999E-2</v>
      </c>
      <c r="I391" s="19">
        <f>Fiscal!I$310</f>
        <v>0.01</v>
      </c>
      <c r="J391" s="7">
        <f ca="1">IF(J$6=OFFSET(Assumptions!$B$8,0,$C$1),0,I$391)</f>
        <v>0</v>
      </c>
      <c r="K391" s="7">
        <f ca="1">IF(K$6=OFFSET(Assumptions!$B$8,0,$C$1),0,J$391)</f>
        <v>0</v>
      </c>
      <c r="L391" s="7">
        <f ca="1">IF(L$6=OFFSET(Assumptions!$B$8,0,$C$1),0,K$391)</f>
        <v>0</v>
      </c>
      <c r="M391" s="7">
        <f ca="1">IF(M$6=OFFSET(Assumptions!$B$8,0,$C$1),0,L$391)</f>
        <v>0</v>
      </c>
      <c r="N391" s="7">
        <f ca="1">IF(N$6=OFFSET(Assumptions!$B$8,0,$C$1),0,M$391)</f>
        <v>0</v>
      </c>
      <c r="O391" s="7">
        <f ca="1">IF(O$6=OFFSET(Assumptions!$B$8,0,$C$1),0,N$391)</f>
        <v>0</v>
      </c>
      <c r="P391" s="7">
        <f ca="1">IF(P$6=OFFSET(Assumptions!$B$8,0,$C$1),0,O$391)</f>
        <v>0</v>
      </c>
      <c r="Q391" s="7">
        <f ca="1">IF(Q$6=OFFSET(Assumptions!$B$8,0,$C$1),0,P$391)</f>
        <v>0</v>
      </c>
      <c r="R391" s="7">
        <f ca="1">IF(R$6=OFFSET(Assumptions!$B$8,0,$C$1),0,Q$391)</f>
        <v>0</v>
      </c>
      <c r="S391" s="7">
        <f ca="1">IF(S$6=OFFSET(Assumptions!$B$8,0,$C$1),0,R$391)</f>
        <v>0</v>
      </c>
      <c r="T391" s="7">
        <f ca="1">IF(T$6=OFFSET(Assumptions!$B$8,0,$C$1),0,S$391)</f>
        <v>0</v>
      </c>
      <c r="U391" s="7">
        <f ca="1">IF(U$6=OFFSET(Assumptions!$B$8,0,$C$1),0,T$391)</f>
        <v>0</v>
      </c>
      <c r="V391" s="7">
        <f ca="1">IF(V$6=OFFSET(Assumptions!$B$8,0,$C$1),0,U$391)</f>
        <v>0</v>
      </c>
      <c r="W391" s="7">
        <f ca="1">IF(W$6=OFFSET(Assumptions!$B$8,0,$C$1),0,V$391)</f>
        <v>0</v>
      </c>
      <c r="X391" s="7">
        <f ca="1">IF(X$6=OFFSET(Assumptions!$B$8,0,$C$1),0,W$391)</f>
        <v>0</v>
      </c>
      <c r="Y391" s="7">
        <f ca="1">IF(Y$6=OFFSET(Assumptions!$B$8,0,$C$1),0,X$391)</f>
        <v>0</v>
      </c>
      <c r="Z391" s="7">
        <f ca="1">IF(Z$6=OFFSET(Assumptions!$B$8,0,$C$1),0,Y$391)</f>
        <v>0</v>
      </c>
      <c r="AA391" s="7">
        <f ca="1">IF(AA$6=OFFSET(Assumptions!$B$8,0,$C$1),0,Z$391)</f>
        <v>0</v>
      </c>
      <c r="AB391" s="7">
        <f ca="1">IF(AB$6=OFFSET(Assumptions!$B$8,0,$C$1),0,AA$391)</f>
        <v>0</v>
      </c>
      <c r="AC391" s="7">
        <f ca="1">IF(AC$6=OFFSET(Assumptions!$B$8,0,$C$1),0,AB$391)</f>
        <v>0</v>
      </c>
      <c r="AD391" s="7">
        <f ca="1">IF(AD$6=OFFSET(Assumptions!$B$8,0,$C$1),0,AC$391)</f>
        <v>0</v>
      </c>
      <c r="AE391" s="7">
        <f ca="1">IF(AE$6=OFFSET(Assumptions!$B$8,0,$C$1),0,AD$391)</f>
        <v>0</v>
      </c>
      <c r="AF391" s="7">
        <f ca="1">IF(AF$6=OFFSET(Assumptions!$B$8,0,$C$1),0,AE$391)</f>
        <v>0</v>
      </c>
      <c r="AG391" s="7">
        <f ca="1">IF(AG$6=OFFSET(Assumptions!$B$8,0,$C$1),0,AF$391)</f>
        <v>0</v>
      </c>
      <c r="AH391" s="7">
        <f ca="1">IF(AH$6=OFFSET(Assumptions!$B$8,0,$C$1),0,AG$391)</f>
        <v>0</v>
      </c>
      <c r="AI391" s="7">
        <f ca="1">IF(AI$6=OFFSET(Assumptions!$B$8,0,$C$1),0,AH$391)</f>
        <v>0</v>
      </c>
      <c r="AJ391" s="7">
        <f ca="1">IF(AJ$6=OFFSET(Assumptions!$B$8,0,$C$1),0,AI$391)</f>
        <v>0</v>
      </c>
      <c r="AK391" s="7">
        <f ca="1">IF(AK$6=OFFSET(Assumptions!$B$8,0,$C$1),0,AJ$391)</f>
        <v>0</v>
      </c>
      <c r="AL391" s="7">
        <f ca="1">IF(AL$6=OFFSET(Assumptions!$B$8,0,$C$1),0,AK$391)</f>
        <v>0</v>
      </c>
      <c r="AM391" s="7">
        <f ca="1">IF(AM$6=OFFSET(Assumptions!$B$8,0,$C$1),0,AL$391)</f>
        <v>0</v>
      </c>
      <c r="AN391" s="7">
        <f ca="1">IF(AN$6=OFFSET(Assumptions!$B$8,0,$C$1),0,AM$391)</f>
        <v>0</v>
      </c>
      <c r="AO391" s="7">
        <f ca="1">IF(AO$6=OFFSET(Assumptions!$B$8,0,$C$1),0,AN$391)</f>
        <v>0</v>
      </c>
      <c r="AP391" s="7">
        <f ca="1">IF(AP$6=OFFSET(Assumptions!$B$8,0,$C$1),0,AO$391)</f>
        <v>0</v>
      </c>
      <c r="AQ391" s="7">
        <f ca="1">IF(AQ$6=OFFSET(Assumptions!$B$8,0,$C$1),0,AP$391)</f>
        <v>0</v>
      </c>
      <c r="AR391" s="7">
        <f ca="1">IF(AR$6=OFFSET(Assumptions!$B$8,0,$C$1),0,AQ$391)</f>
        <v>0</v>
      </c>
      <c r="AS391" s="7">
        <f ca="1">IF(AS$6=OFFSET(Assumptions!$B$8,0,$C$1),0,AR$391)</f>
        <v>0</v>
      </c>
      <c r="AT391" s="7">
        <f ca="1">IF(AT$6=OFFSET(Assumptions!$B$8,0,$C$1),0,AS$391)</f>
        <v>0</v>
      </c>
      <c r="AU391" s="7">
        <f ca="1">IF(AU$6=OFFSET(Assumptions!$B$8,0,$C$1),0,AT$391)</f>
        <v>0</v>
      </c>
      <c r="AV391" s="7">
        <f ca="1">IF(AV$6=OFFSET(Assumptions!$B$8,0,$C$1),0,AU$391)</f>
        <v>0</v>
      </c>
      <c r="AW391" s="7">
        <f ca="1">IF(AW$6=OFFSET(Assumptions!$B$8,0,$C$1),0,AV$391)</f>
        <v>0</v>
      </c>
    </row>
    <row r="392" spans="1:49" ht="15" x14ac:dyDescent="0.25">
      <c r="A392" s="2" t="s">
        <v>549</v>
      </c>
      <c r="C392" s="69">
        <f>Fiscal!C$302</f>
        <v>8.7159999999999993</v>
      </c>
      <c r="D392" s="40">
        <f>SUM(C$392,D$386,D$389,D$391)-SUM(D$387,D$388,D$390)</f>
        <v>8.8639999999999972</v>
      </c>
      <c r="E392" s="39">
        <f t="shared" ref="E392:I392" si="239">SUM(D$392,E$386,E$389,E$391)-SUM(E$387,E$388,E$390)</f>
        <v>9.096999999999996</v>
      </c>
      <c r="F392" s="39">
        <f t="shared" si="239"/>
        <v>9.2599999999999962</v>
      </c>
      <c r="G392" s="39">
        <f t="shared" si="239"/>
        <v>9.394999999999996</v>
      </c>
      <c r="H392" s="39">
        <f t="shared" si="239"/>
        <v>9.4629999999999956</v>
      </c>
      <c r="I392" s="39">
        <f t="shared" si="239"/>
        <v>9.5079999999999938</v>
      </c>
      <c r="J392" s="43">
        <f t="shared" ref="J392:AW392" ca="1" si="240">SUM(I$392,J$386,J$389,J$391)-SUM(J$387,J$388,J$390)</f>
        <v>9.7379999999999924</v>
      </c>
      <c r="K392" s="43">
        <f t="shared" ca="1" si="240"/>
        <v>9.9619999999999926</v>
      </c>
      <c r="L392" s="43">
        <f t="shared" ca="1" si="240"/>
        <v>10.179999999999993</v>
      </c>
      <c r="M392" s="43">
        <f t="shared" ca="1" si="240"/>
        <v>10.406999999999993</v>
      </c>
      <c r="N392" s="43">
        <f t="shared" ca="1" si="240"/>
        <v>10.627999999999993</v>
      </c>
      <c r="O392" s="43">
        <f t="shared" ca="1" si="240"/>
        <v>10.850999999999994</v>
      </c>
      <c r="P392" s="43">
        <f t="shared" ca="1" si="240"/>
        <v>11.080999999999994</v>
      </c>
      <c r="Q392" s="43">
        <f t="shared" ca="1" si="240"/>
        <v>11.317999999999994</v>
      </c>
      <c r="R392" s="43">
        <f t="shared" ca="1" si="240"/>
        <v>11.560999999999996</v>
      </c>
      <c r="S392" s="43">
        <f t="shared" ca="1" si="240"/>
        <v>11.808999999999996</v>
      </c>
      <c r="T392" s="43">
        <f t="shared" ca="1" si="240"/>
        <v>12.060999999999995</v>
      </c>
      <c r="U392" s="43">
        <f t="shared" ca="1" si="240"/>
        <v>12.322329999999994</v>
      </c>
      <c r="V392" s="43">
        <f t="shared" ca="1" si="240"/>
        <v>12.588999899999996</v>
      </c>
      <c r="W392" s="43">
        <f t="shared" ca="1" si="240"/>
        <v>12.861019896999995</v>
      </c>
      <c r="X392" s="43">
        <f t="shared" ca="1" si="240"/>
        <v>13.128400493909995</v>
      </c>
      <c r="Y392" s="43">
        <f t="shared" ca="1" si="240"/>
        <v>13.393152508727294</v>
      </c>
      <c r="Z392" s="43">
        <f t="shared" ca="1" si="240"/>
        <v>13.660287083989111</v>
      </c>
      <c r="AA392" s="43">
        <f t="shared" ca="1" si="240"/>
        <v>13.947815696508785</v>
      </c>
      <c r="AB392" s="43">
        <f t="shared" ca="1" si="240"/>
        <v>14.254750167404051</v>
      </c>
      <c r="AC392" s="43">
        <f t="shared" ca="1" si="240"/>
        <v>14.580102672426172</v>
      </c>
      <c r="AD392" s="43">
        <f t="shared" ca="1" si="240"/>
        <v>14.926885752598958</v>
      </c>
      <c r="AE392" s="43">
        <f t="shared" ca="1" si="240"/>
        <v>15.305112325176928</v>
      </c>
      <c r="AF392" s="43">
        <f t="shared" ca="1" si="240"/>
        <v>15.718795694932234</v>
      </c>
      <c r="AG392" s="43">
        <f t="shared" ca="1" si="240"/>
        <v>16.152949565780201</v>
      </c>
      <c r="AH392" s="43">
        <f t="shared" ca="1" si="240"/>
        <v>16.587588052753606</v>
      </c>
      <c r="AI392" s="43">
        <f t="shared" ca="1" si="240"/>
        <v>17.015725694336211</v>
      </c>
      <c r="AJ392" s="43">
        <f t="shared" ca="1" si="240"/>
        <v>17.457377465166296</v>
      </c>
      <c r="AK392" s="43">
        <f t="shared" ca="1" si="240"/>
        <v>17.915558789121285</v>
      </c>
      <c r="AL392" s="43">
        <f t="shared" ca="1" si="240"/>
        <v>18.385285552794922</v>
      </c>
      <c r="AM392" s="43">
        <f t="shared" ca="1" si="240"/>
        <v>18.864574119378773</v>
      </c>
      <c r="AN392" s="43">
        <f t="shared" ca="1" si="240"/>
        <v>19.333441342960136</v>
      </c>
      <c r="AO392" s="43">
        <f t="shared" ca="1" si="240"/>
        <v>19.818904583248944</v>
      </c>
      <c r="AP392" s="43">
        <f t="shared" ca="1" si="240"/>
        <v>20.316981720746412</v>
      </c>
      <c r="AQ392" s="43">
        <f t="shared" ca="1" si="240"/>
        <v>20.816691172368806</v>
      </c>
      <c r="AR392" s="43">
        <f t="shared" ca="1" si="240"/>
        <v>21.328051907539873</v>
      </c>
      <c r="AS392" s="43">
        <f t="shared" ca="1" si="240"/>
        <v>21.865083464766073</v>
      </c>
      <c r="AT392" s="43">
        <f t="shared" ca="1" si="240"/>
        <v>22.401805968709056</v>
      </c>
      <c r="AU392" s="43">
        <f t="shared" ca="1" si="240"/>
        <v>22.930240147770323</v>
      </c>
      <c r="AV392" s="43">
        <f t="shared" ca="1" si="240"/>
        <v>23.465407352203435</v>
      </c>
      <c r="AW392" s="43">
        <f t="shared" ca="1" si="240"/>
        <v>24.033329572769539</v>
      </c>
    </row>
    <row r="393" spans="1:49" ht="15" x14ac:dyDescent="0.25">
      <c r="A393" s="2"/>
      <c r="D393" s="55"/>
      <c r="E393" s="56"/>
      <c r="F393" s="56"/>
      <c r="G393" s="56"/>
      <c r="H393" s="56"/>
      <c r="I393" s="56"/>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row>
    <row r="394" spans="1:49" x14ac:dyDescent="0.2">
      <c r="A394" s="22" t="s">
        <v>237</v>
      </c>
    </row>
    <row r="395" spans="1:49" ht="15" x14ac:dyDescent="0.25">
      <c r="A395" s="2" t="s">
        <v>641</v>
      </c>
      <c r="B395" s="4" t="str">
        <f t="shared" ref="B395:B400" si="241">$B$43</f>
        <v>From Fiscal</v>
      </c>
      <c r="D395" s="47">
        <f>ROUND(Fiscal!D$175*D$396/SUM(D$396,D$400),3)</f>
        <v>0.45500000000000002</v>
      </c>
      <c r="E395" s="44">
        <f>ROUND(Fiscal!E$175*E$396/SUM(E$396,E$400),3)</f>
        <v>0.49299999999999999</v>
      </c>
      <c r="F395" s="44">
        <f>ROUND(Fiscal!F$175*F$396/SUM(F$396,F$400),3)</f>
        <v>0.44600000000000001</v>
      </c>
      <c r="G395" s="44">
        <f>ROUND(Fiscal!G$175*G$396/SUM(G$396,G$400),3)</f>
        <v>0.44400000000000001</v>
      </c>
      <c r="H395" s="44">
        <f>ROUND(Fiscal!H$175*H$396/SUM(H$396,H$400),3)</f>
        <v>0.441</v>
      </c>
      <c r="I395" s="44">
        <f>ROUND(Fiscal!I$175*I$396/SUM(I$396,I$400),3)</f>
        <v>0.437</v>
      </c>
      <c r="J395" s="8">
        <f ca="1">(I$395/I$14+ IF(J$2&gt;0,J$2*IF(J$6=OFFSET(Assumptions!$B$8,0,$C$1),SUMPRODUCT(OFFSET(I$395,0,0,1,-OFFSET(Assumptions!$B$67,0,$C$1)),OFFSET(I$16,0,0,1,-OFFSET(Assumptions!$B$67,0,$C$1)))/OFFSET(Assumptions!$B$67,0,$C$1)-I$395/I$14,(I$395/I$14-H$395/H$14)/I$2),0))*J$14</f>
        <v>0.46357833028745371</v>
      </c>
      <c r="K395" s="8">
        <f ca="1">(J$395/J$14+ IF(K$2&gt;0,K$2*IF(K$6=OFFSET(Assumptions!$B$8,0,$C$1),SUMPRODUCT(OFFSET(J$395,0,0,1,-OFFSET(Assumptions!$B$67,0,$C$1)),OFFSET(J$16,0,0,1,-OFFSET(Assumptions!$B$67,0,$C$1)))/OFFSET(Assumptions!$B$67,0,$C$1)-J$395/J$14,(J$395/J$14-I$395/I$14)/J$2),0))*K$14</f>
        <v>0.48975583265693579</v>
      </c>
      <c r="L395" s="8">
        <f ca="1">(K$395/K$14+ IF(L$2&gt;0,L$2*IF(L$6=OFFSET(Assumptions!$B$8,0,$C$1),SUMPRODUCT(OFFSET(K$395,0,0,1,-OFFSET(Assumptions!$B$67,0,$C$1)),OFFSET(K$16,0,0,1,-OFFSET(Assumptions!$B$67,0,$C$1)))/OFFSET(Assumptions!$B$67,0,$C$1)-K$395/K$14,(K$395/K$14-J$395/J$14)/K$2),0))*L$14</f>
        <v>0.51630900213199316</v>
      </c>
      <c r="M395" s="8">
        <f ca="1">(L$395/L$14+ IF(M$2&gt;0,M$2*IF(M$6=OFFSET(Assumptions!$B$8,0,$C$1),SUMPRODUCT(OFFSET(L$395,0,0,1,-OFFSET(Assumptions!$B$67,0,$C$1)),OFFSET(L$16,0,0,1,-OFFSET(Assumptions!$B$67,0,$C$1)))/OFFSET(Assumptions!$B$67,0,$C$1)-L$395/L$14,(L$395/L$14-K$395/K$14)/L$2),0))*M$14</f>
        <v>0.54231996053134357</v>
      </c>
      <c r="N395" s="8">
        <f ca="1">(M$395/M$14+ IF(N$2&gt;0,N$2*IF(N$6=OFFSET(Assumptions!$B$8,0,$C$1),SUMPRODUCT(OFFSET(M$395,0,0,1,-OFFSET(Assumptions!$B$67,0,$C$1)),OFFSET(M$16,0,0,1,-OFFSET(Assumptions!$B$67,0,$C$1)))/OFFSET(Assumptions!$B$67,0,$C$1)-M$395/M$14,(M$395/M$14-L$395/L$14)/M$2),0))*N$14</f>
        <v>0.56764024278843028</v>
      </c>
      <c r="O395" s="8">
        <f ca="1">(N$395/N$14+ IF(O$2&gt;0,O$2*IF(O$6=OFFSET(Assumptions!$B$8,0,$C$1),SUMPRODUCT(OFFSET(N$395,0,0,1,-OFFSET(Assumptions!$B$67,0,$C$1)),OFFSET(N$16,0,0,1,-OFFSET(Assumptions!$B$67,0,$C$1)))/OFFSET(Assumptions!$B$67,0,$C$1)-N$395/N$14,(N$395/N$14-M$395/M$14)/N$2),0))*O$14</f>
        <v>0.591870950319764</v>
      </c>
      <c r="P395" s="8">
        <f ca="1">(O$395/O$14+ IF(P$2&gt;0,P$2*IF(P$6=OFFSET(Assumptions!$B$8,0,$C$1),SUMPRODUCT(OFFSET(O$395,0,0,1,-OFFSET(Assumptions!$B$67,0,$C$1)),OFFSET(O$16,0,0,1,-OFFSET(Assumptions!$B$67,0,$C$1)))/OFFSET(Assumptions!$B$67,0,$C$1)-O$395/O$14,(O$395/O$14-N$395/N$14)/O$2),0))*P$14</f>
        <v>0.61690052247405114</v>
      </c>
      <c r="Q395" s="8">
        <f ca="1">(P$395/P$14+ IF(Q$2&gt;0,Q$2*IF(Q$6=OFFSET(Assumptions!$B$8,0,$C$1),SUMPRODUCT(OFFSET(P$395,0,0,1,-OFFSET(Assumptions!$B$67,0,$C$1)),OFFSET(P$16,0,0,1,-OFFSET(Assumptions!$B$67,0,$C$1)))/OFFSET(Assumptions!$B$67,0,$C$1)-P$395/P$14,(P$395/P$14-O$395/O$14)/P$2),0))*Q$14</f>
        <v>0.64270192271746607</v>
      </c>
      <c r="R395" s="8">
        <f ca="1">(Q$395/Q$14+ IF(R$2&gt;0,R$2*IF(R$6=OFFSET(Assumptions!$B$8,0,$C$1),SUMPRODUCT(OFFSET(Q$395,0,0,1,-OFFSET(Assumptions!$B$67,0,$C$1)),OFFSET(Q$16,0,0,1,-OFFSET(Assumptions!$B$67,0,$C$1)))/OFFSET(Assumptions!$B$67,0,$C$1)-Q$395/Q$14,(Q$395/Q$14-P$395/P$14)/Q$2),0))*R$14</f>
        <v>0.66925600079905578</v>
      </c>
      <c r="S395" s="8">
        <f ca="1">(R$395/R$14+ IF(S$2&gt;0,S$2*IF(S$6=OFFSET(Assumptions!$B$8,0,$C$1),SUMPRODUCT(OFFSET(R$395,0,0,1,-OFFSET(Assumptions!$B$67,0,$C$1)),OFFSET(R$16,0,0,1,-OFFSET(Assumptions!$B$67,0,$C$1)))/OFFSET(Assumptions!$B$67,0,$C$1)-R$395/R$14,(R$395/R$14-Q$395/Q$14)/R$2),0))*S$14</f>
        <v>0.69664714449616394</v>
      </c>
      <c r="T395" s="8">
        <f ca="1">(S$395/S$14+ IF(T$2&gt;0,T$2*IF(T$6=OFFSET(Assumptions!$B$8,0,$C$1),SUMPRODUCT(OFFSET(S$395,0,0,1,-OFFSET(Assumptions!$B$67,0,$C$1)),OFFSET(S$16,0,0,1,-OFFSET(Assumptions!$B$67,0,$C$1)))/OFFSET(Assumptions!$B$67,0,$C$1)-S$395/S$14,(S$395/S$14-R$395/R$14)/S$2),0))*T$14</f>
        <v>0.72488534243152258</v>
      </c>
      <c r="U395" s="8">
        <f ca="1">(T$395/T$14+ IF(U$2&gt;0,U$2*IF(U$6=OFFSET(Assumptions!$B$8,0,$C$1),SUMPRODUCT(OFFSET(T$395,0,0,1,-OFFSET(Assumptions!$B$67,0,$C$1)),OFFSET(T$16,0,0,1,-OFFSET(Assumptions!$B$67,0,$C$1)))/OFFSET(Assumptions!$B$67,0,$C$1)-T$395/T$14,(T$395/T$14-S$395/S$14)/T$2),0))*U$14</f>
        <v>0.75407194075317185</v>
      </c>
      <c r="V395" s="8">
        <f ca="1">(U$395/U$14+ IF(V$2&gt;0,V$2*IF(V$6=OFFSET(Assumptions!$B$8,0,$C$1),SUMPRODUCT(OFFSET(U$395,0,0,1,-OFFSET(Assumptions!$B$67,0,$C$1)),OFFSET(U$16,0,0,1,-OFFSET(Assumptions!$B$67,0,$C$1)))/OFFSET(Assumptions!$B$67,0,$C$1)-U$395/U$14,(U$395/U$14-T$395/T$14)/U$2),0))*V$14</f>
        <v>0.78427898674577601</v>
      </c>
      <c r="W395" s="8">
        <f ca="1">(V$395/V$14+ IF(W$2&gt;0,W$2*IF(W$6=OFFSET(Assumptions!$B$8,0,$C$1),SUMPRODUCT(OFFSET(V$395,0,0,1,-OFFSET(Assumptions!$B$67,0,$C$1)),OFFSET(V$16,0,0,1,-OFFSET(Assumptions!$B$67,0,$C$1)))/OFFSET(Assumptions!$B$67,0,$C$1)-V$395/V$14,(V$395/V$14-U$395/U$14)/V$2),0))*W$14</f>
        <v>0.8155939978409209</v>
      </c>
      <c r="X395" s="8">
        <f ca="1">(W$395/W$14+ IF(X$2&gt;0,X$2*IF(X$6=OFFSET(Assumptions!$B$8,0,$C$1),SUMPRODUCT(OFFSET(W$395,0,0,1,-OFFSET(Assumptions!$B$67,0,$C$1)),OFFSET(W$16,0,0,1,-OFFSET(Assumptions!$B$67,0,$C$1)))/OFFSET(Assumptions!$B$67,0,$C$1)-W$395/W$14,(W$395/W$14-V$395/V$14)/W$2),0))*X$14</f>
        <v>0.84811616300002979</v>
      </c>
      <c r="Y395" s="8">
        <f ca="1">(X$395/X$14+ IF(Y$2&gt;0,Y$2*IF(Y$6=OFFSET(Assumptions!$B$8,0,$C$1),SUMPRODUCT(OFFSET(X$395,0,0,1,-OFFSET(Assumptions!$B$67,0,$C$1)),OFFSET(X$16,0,0,1,-OFFSET(Assumptions!$B$67,0,$C$1)))/OFFSET(Assumptions!$B$67,0,$C$1)-X$395/X$14,(X$395/X$14-W$395/W$14)/X$2),0))*Y$14</f>
        <v>0.88184215738098826</v>
      </c>
      <c r="Z395" s="8">
        <f ca="1">(Y$395/Y$14+ IF(Z$2&gt;0,Z$2*IF(Z$6=OFFSET(Assumptions!$B$8,0,$C$1),SUMPRODUCT(OFFSET(Y$395,0,0,1,-OFFSET(Assumptions!$B$67,0,$C$1)),OFFSET(Y$16,0,0,1,-OFFSET(Assumptions!$B$67,0,$C$1)))/OFFSET(Assumptions!$B$67,0,$C$1)-Y$395/Y$14,(Y$395/Y$14-X$395/X$14)/Y$2),0))*Z$14</f>
        <v>0.91694268990671357</v>
      </c>
      <c r="AA395" s="8">
        <f ca="1">(Z$395/Z$14+ IF(AA$2&gt;0,AA$2*IF(AA$6=OFFSET(Assumptions!$B$8,0,$C$1),SUMPRODUCT(OFFSET(Z$395,0,0,1,-OFFSET(Assumptions!$B$67,0,$C$1)),OFFSET(Z$16,0,0,1,-OFFSET(Assumptions!$B$67,0,$C$1)))/OFFSET(Assumptions!$B$67,0,$C$1)-Z$395/Z$14,(Z$395/Z$14-Y$395/Y$14)/Z$2),0))*AA$14</f>
        <v>0.95347455335987652</v>
      </c>
      <c r="AB395" s="8">
        <f ca="1">(AA$395/AA$14+ IF(AB$2&gt;0,AB$2*IF(AB$6=OFFSET(Assumptions!$B$8,0,$C$1),SUMPRODUCT(OFFSET(AA$395,0,0,1,-OFFSET(Assumptions!$B$67,0,$C$1)),OFFSET(AA$16,0,0,1,-OFFSET(Assumptions!$B$67,0,$C$1)))/OFFSET(Assumptions!$B$67,0,$C$1)-AA$395/AA$14,(AA$395/AA$14-Z$395/Z$14)/AA$2),0))*AB$14</f>
        <v>0.99154745630019037</v>
      </c>
      <c r="AC395" s="8">
        <f ca="1">(AB$395/AB$14+ IF(AC$2&gt;0,AC$2*IF(AC$6=OFFSET(Assumptions!$B$8,0,$C$1),SUMPRODUCT(OFFSET(AB$395,0,0,1,-OFFSET(Assumptions!$B$67,0,$C$1)),OFFSET(AB$16,0,0,1,-OFFSET(Assumptions!$B$67,0,$C$1)))/OFFSET(Assumptions!$B$67,0,$C$1)-AB$395/AB$14,(AB$395/AB$14-AA$395/AA$14)/AB$2),0))*AC$14</f>
        <v>1.0313051291028388</v>
      </c>
      <c r="AD395" s="8">
        <f ca="1">(AC$395/AC$14+ IF(AD$2&gt;0,AD$2*IF(AD$6=OFFSET(Assumptions!$B$8,0,$C$1),SUMPRODUCT(OFFSET(AC$395,0,0,1,-OFFSET(Assumptions!$B$67,0,$C$1)),OFFSET(AC$16,0,0,1,-OFFSET(Assumptions!$B$67,0,$C$1)))/OFFSET(Assumptions!$B$67,0,$C$1)-AC$395/AC$14,(AC$395/AC$14-AB$395/AB$14)/AC$2),0))*AD$14</f>
        <v>1.0727894768453945</v>
      </c>
      <c r="AE395" s="8">
        <f ca="1">(AD$395/AD$14+ IF(AE$2&gt;0,AE$2*IF(AE$6=OFFSET(Assumptions!$B$8,0,$C$1),SUMPRODUCT(OFFSET(AD$395,0,0,1,-OFFSET(Assumptions!$B$67,0,$C$1)),OFFSET(AD$16,0,0,1,-OFFSET(Assumptions!$B$67,0,$C$1)))/OFFSET(Assumptions!$B$67,0,$C$1)-AD$395/AD$14,(AD$395/AD$14-AC$395/AC$14)/AD$2),0))*AE$14</f>
        <v>1.1159624016837548</v>
      </c>
      <c r="AF395" s="8">
        <f ca="1">(AE$395/AE$14+ IF(AF$2&gt;0,AF$2*IF(AF$6=OFFSET(Assumptions!$B$8,0,$C$1),SUMPRODUCT(OFFSET(AE$395,0,0,1,-OFFSET(Assumptions!$B$67,0,$C$1)),OFFSET(AE$16,0,0,1,-OFFSET(Assumptions!$B$67,0,$C$1)))/OFFSET(Assumptions!$B$67,0,$C$1)-AE$395/AE$14,(AE$395/AE$14-AD$395/AD$14)/AE$2),0))*AF$14</f>
        <v>1.1609433458144653</v>
      </c>
      <c r="AG395" s="8">
        <f ca="1">(AF$395/AF$14+ IF(AG$2&gt;0,AG$2*IF(AG$6=OFFSET(Assumptions!$B$8,0,$C$1),SUMPRODUCT(OFFSET(AF$395,0,0,1,-OFFSET(Assumptions!$B$67,0,$C$1)),OFFSET(AF$16,0,0,1,-OFFSET(Assumptions!$B$67,0,$C$1)))/OFFSET(Assumptions!$B$67,0,$C$1)-AF$395/AF$14,(AF$395/AF$14-AE$395/AE$14)/AF$2),0))*AG$14</f>
        <v>1.2077574607005876</v>
      </c>
      <c r="AH395" s="8">
        <f ca="1">(AG$395/AG$14+ IF(AH$2&gt;0,AH$2*IF(AH$6=OFFSET(Assumptions!$B$8,0,$C$1),SUMPRODUCT(OFFSET(AG$395,0,0,1,-OFFSET(Assumptions!$B$67,0,$C$1)),OFFSET(AG$16,0,0,1,-OFFSET(Assumptions!$B$67,0,$C$1)))/OFFSET(Assumptions!$B$67,0,$C$1)-AG$395/AG$14,(AG$395/AG$14-AF$395/AF$14)/AG$2),0))*AH$14</f>
        <v>1.2564798160235999</v>
      </c>
      <c r="AI395" s="8">
        <f ca="1">(AH$395/AH$14+ IF(AI$2&gt;0,AI$2*IF(AI$6=OFFSET(Assumptions!$B$8,0,$C$1),SUMPRODUCT(OFFSET(AH$395,0,0,1,-OFFSET(Assumptions!$B$67,0,$C$1)),OFFSET(AH$16,0,0,1,-OFFSET(Assumptions!$B$67,0,$C$1)))/OFFSET(Assumptions!$B$67,0,$C$1)-AH$395/AH$14,(AH$395/AH$14-AG$395/AG$14)/AH$2),0))*AI$14</f>
        <v>1.3070252777000171</v>
      </c>
      <c r="AJ395" s="8">
        <f ca="1">(AI$395/AI$14+ IF(AJ$2&gt;0,AJ$2*IF(AJ$6=OFFSET(Assumptions!$B$8,0,$C$1),SUMPRODUCT(OFFSET(AI$395,0,0,1,-OFFSET(Assumptions!$B$67,0,$C$1)),OFFSET(AI$16,0,0,1,-OFFSET(Assumptions!$B$67,0,$C$1)))/OFFSET(Assumptions!$B$67,0,$C$1)-AI$395/AI$14,(AI$395/AI$14-AH$395/AH$14)/AI$2),0))*AJ$14</f>
        <v>1.3595557680270307</v>
      </c>
      <c r="AK395" s="8">
        <f ca="1">(AJ$395/AJ$14+ IF(AK$2&gt;0,AK$2*IF(AK$6=OFFSET(Assumptions!$B$8,0,$C$1),SUMPRODUCT(OFFSET(AJ$395,0,0,1,-OFFSET(Assumptions!$B$67,0,$C$1)),OFFSET(AJ$16,0,0,1,-OFFSET(Assumptions!$B$67,0,$C$1)))/OFFSET(Assumptions!$B$67,0,$C$1)-AJ$395/AJ$14,(AJ$395/AJ$14-AI$395/AI$14)/AJ$2),0))*AK$14</f>
        <v>1.4140280738051705</v>
      </c>
      <c r="AL395" s="8">
        <f ca="1">(AK$395/AK$14+ IF(AL$2&gt;0,AL$2*IF(AL$6=OFFSET(Assumptions!$B$8,0,$C$1),SUMPRODUCT(OFFSET(AK$395,0,0,1,-OFFSET(Assumptions!$B$67,0,$C$1)),OFFSET(AK$16,0,0,1,-OFFSET(Assumptions!$B$67,0,$C$1)))/OFFSET(Assumptions!$B$67,0,$C$1)-AK$395/AK$14,(AK$395/AK$14-AJ$395/AJ$14)/AK$2),0))*AL$14</f>
        <v>1.4703992856963839</v>
      </c>
      <c r="AM395" s="8">
        <f ca="1">(AL$395/AL$14+ IF(AM$2&gt;0,AM$2*IF(AM$6=OFFSET(Assumptions!$B$8,0,$C$1),SUMPRODUCT(OFFSET(AL$395,0,0,1,-OFFSET(Assumptions!$B$67,0,$C$1)),OFFSET(AL$16,0,0,1,-OFFSET(Assumptions!$B$67,0,$C$1)))/OFFSET(Assumptions!$B$67,0,$C$1)-AL$395/AL$14,(AL$395/AL$14-AK$395/AK$14)/AL$2),0))*AM$14</f>
        <v>1.5287464141167895</v>
      </c>
      <c r="AN395" s="8">
        <f ca="1">(AM$395/AM$14+ IF(AN$2&gt;0,AN$2*IF(AN$6=OFFSET(Assumptions!$B$8,0,$C$1),SUMPRODUCT(OFFSET(AM$395,0,0,1,-OFFSET(Assumptions!$B$67,0,$C$1)),OFFSET(AM$16,0,0,1,-OFFSET(Assumptions!$B$67,0,$C$1)))/OFFSET(Assumptions!$B$67,0,$C$1)-AM$395/AM$14,(AM$395/AM$14-AL$395/AL$14)/AM$2),0))*AN$14</f>
        <v>1.5891506193569811</v>
      </c>
      <c r="AO395" s="8">
        <f ca="1">(AN$395/AN$14+ IF(AO$2&gt;0,AO$2*IF(AO$6=OFFSET(Assumptions!$B$8,0,$C$1),SUMPRODUCT(OFFSET(AN$395,0,0,1,-OFFSET(Assumptions!$B$67,0,$C$1)),OFFSET(AN$16,0,0,1,-OFFSET(Assumptions!$B$67,0,$C$1)))/OFFSET(Assumptions!$B$67,0,$C$1)-AN$395/AN$14,(AN$395/AN$14-AM$395/AM$14)/AN$2),0))*AO$14</f>
        <v>1.6513747149917228</v>
      </c>
      <c r="AP395" s="8">
        <f ca="1">(AO$395/AO$14+ IF(AP$2&gt;0,AP$2*IF(AP$6=OFFSET(Assumptions!$B$8,0,$C$1),SUMPRODUCT(OFFSET(AO$395,0,0,1,-OFFSET(Assumptions!$B$67,0,$C$1)),OFFSET(AO$16,0,0,1,-OFFSET(Assumptions!$B$67,0,$C$1)))/OFFSET(Assumptions!$B$67,0,$C$1)-AO$395/AO$14,(AO$395/AO$14-AN$395/AN$14)/AO$2),0))*AP$14</f>
        <v>1.7156829353393719</v>
      </c>
      <c r="AQ395" s="8">
        <f ca="1">(AP$395/AP$14+ IF(AQ$2&gt;0,AQ$2*IF(AQ$6=OFFSET(Assumptions!$B$8,0,$C$1),SUMPRODUCT(OFFSET(AP$395,0,0,1,-OFFSET(Assumptions!$B$67,0,$C$1)),OFFSET(AP$16,0,0,1,-OFFSET(Assumptions!$B$67,0,$C$1)))/OFFSET(Assumptions!$B$67,0,$C$1)-AP$395/AP$14,(AP$395/AP$14-AO$395/AO$14)/AP$2),0))*AQ$14</f>
        <v>1.7818950889694536</v>
      </c>
      <c r="AR395" s="8">
        <f ca="1">(AQ$395/AQ$14+ IF(AR$2&gt;0,AR$2*IF(AR$6=OFFSET(Assumptions!$B$8,0,$C$1),SUMPRODUCT(OFFSET(AQ$395,0,0,1,-OFFSET(Assumptions!$B$67,0,$C$1)),OFFSET(AQ$16,0,0,1,-OFFSET(Assumptions!$B$67,0,$C$1)))/OFFSET(Assumptions!$B$67,0,$C$1)-AQ$395/AQ$14,(AQ$395/AQ$14-AP$395/AP$14)/AQ$2),0))*AR$14</f>
        <v>1.8500861398850239</v>
      </c>
      <c r="AS395" s="8">
        <f ca="1">(AR$395/AR$14+ IF(AS$2&gt;0,AS$2*IF(AS$6=OFFSET(Assumptions!$B$8,0,$C$1),SUMPRODUCT(OFFSET(AR$395,0,0,1,-OFFSET(Assumptions!$B$67,0,$C$1)),OFFSET(AR$16,0,0,1,-OFFSET(Assumptions!$B$67,0,$C$1)))/OFFSET(Assumptions!$B$67,0,$C$1)-AR$395/AR$14,(AR$395/AR$14-AQ$395/AQ$14)/AR$2),0))*AS$14</f>
        <v>1.9204151758409744</v>
      </c>
      <c r="AT395" s="8">
        <f ca="1">(AS$395/AS$14+ IF(AT$2&gt;0,AT$2*IF(AT$6=OFFSET(Assumptions!$B$8,0,$C$1),SUMPRODUCT(OFFSET(AS$395,0,0,1,-OFFSET(Assumptions!$B$67,0,$C$1)),OFFSET(AS$16,0,0,1,-OFFSET(Assumptions!$B$67,0,$C$1)))/OFFSET(Assumptions!$B$67,0,$C$1)-AS$395/AS$14,(AS$395/AS$14-AR$395/AR$14)/AS$2),0))*AT$14</f>
        <v>1.9929383663358136</v>
      </c>
      <c r="AU395" s="8">
        <f ca="1">(AT$395/AT$14+ IF(AU$2&gt;0,AU$2*IF(AU$6=OFFSET(Assumptions!$B$8,0,$C$1),SUMPRODUCT(OFFSET(AT$395,0,0,1,-OFFSET(Assumptions!$B$67,0,$C$1)),OFFSET(AT$16,0,0,1,-OFFSET(Assumptions!$B$67,0,$C$1)))/OFFSET(Assumptions!$B$67,0,$C$1)-AT$395/AT$14,(AT$395/AT$14-AS$395/AS$14)/AT$2),0))*AU$14</f>
        <v>2.0677521510224883</v>
      </c>
      <c r="AV395" s="8">
        <f ca="1">(AU$395/AU$14+ IF(AV$2&gt;0,AV$2*IF(AV$6=OFFSET(Assumptions!$B$8,0,$C$1),SUMPRODUCT(OFFSET(AU$395,0,0,1,-OFFSET(Assumptions!$B$67,0,$C$1)),OFFSET(AU$16,0,0,1,-OFFSET(Assumptions!$B$67,0,$C$1)))/OFFSET(Assumptions!$B$67,0,$C$1)-AU$395/AU$14,(AU$395/AU$14-AT$395/AT$14)/AU$2),0))*AV$14</f>
        <v>2.1450878464970802</v>
      </c>
      <c r="AW395" s="8">
        <f ca="1">(AV$395/AV$14+ IF(AW$2&gt;0,AW$2*IF(AW$6=OFFSET(Assumptions!$B$8,0,$C$1),SUMPRODUCT(OFFSET(AV$395,0,0,1,-OFFSET(Assumptions!$B$67,0,$C$1)),OFFSET(AV$16,0,0,1,-OFFSET(Assumptions!$B$67,0,$C$1)))/OFFSET(Assumptions!$B$67,0,$C$1)-AV$395/AV$14,(AV$395/AV$14-AU$395/AU$14)/AV$2),0))*AW$14</f>
        <v>2.2249017924149292</v>
      </c>
    </row>
    <row r="396" spans="1:49" ht="15" x14ac:dyDescent="0.25">
      <c r="A396" s="2" t="s">
        <v>642</v>
      </c>
      <c r="B396" s="4" t="str">
        <f t="shared" si="241"/>
        <v>From Fiscal</v>
      </c>
      <c r="D396" s="47">
        <f>Fiscal!D$119</f>
        <v>0.995</v>
      </c>
      <c r="E396" s="44">
        <f>Fiscal!E$119</f>
        <v>0.97899999999999998</v>
      </c>
      <c r="F396" s="44">
        <f>Fiscal!F$119</f>
        <v>0.86299999999999999</v>
      </c>
      <c r="G396" s="44">
        <f>Fiscal!G$119</f>
        <v>0.85599999999999998</v>
      </c>
      <c r="H396" s="44">
        <f>Fiscal!H$119</f>
        <v>0.84699999999999998</v>
      </c>
      <c r="I396" s="44">
        <f>Fiscal!I$119</f>
        <v>0.84499999999999997</v>
      </c>
      <c r="J396" s="8">
        <f ca="1">((I$396-I$395)/I$14+ IF(J$2&gt;0,J$2*IF(J$6=OFFSET(Assumptions!$B$8,0,$C$1),(SUMPRODUCT(OFFSET(I$396,0,0,1,-OFFSET(Assumptions!$B$67,0,$C$1)),OFFSET(I$16,0,0,1,-OFFSET(Assumptions!$B$67,0,$C$1)))-SUMPRODUCT(OFFSET(I$395,0,0,1,-OFFSET(Assumptions!$B$67,0,$C$1)),OFFSET(I$16,0,0,1,-OFFSET(Assumptions!$B$67,0,$C$1))))/OFFSET(Assumptions!$B$67,0,$C$1)-(I$396-I$395)/I$14,((I$396-I$395)/I$14-(H$396-H$395)/H$14)/I$2),0))*J$14 +J$395</f>
        <v>0.89538070952042181</v>
      </c>
      <c r="K396" s="8">
        <f ca="1">((J$396-J$395)/J$14+ IF(K$2&gt;0,K$2*IF(K$6=OFFSET(Assumptions!$B$8,0,$C$1),(SUMPRODUCT(OFFSET(J$396,0,0,1,-OFFSET(Assumptions!$B$67,0,$C$1)),OFFSET(J$16,0,0,1,-OFFSET(Assumptions!$B$67,0,$C$1)))-SUMPRODUCT(OFFSET(J$395,0,0,1,-OFFSET(Assumptions!$B$67,0,$C$1)),OFFSET(J$16,0,0,1,-OFFSET(Assumptions!$B$67,0,$C$1))))/OFFSET(Assumptions!$B$67,0,$C$1)-(J$396-J$395)/J$14,((J$396-J$395)/J$14-(I$396-I$395)/I$14)/J$2),0))*K$14 +K$395</f>
        <v>0.94511265916997389</v>
      </c>
      <c r="L396" s="8">
        <f ca="1">((K$396-K$395)/K$14+ IF(L$2&gt;0,L$2*IF(L$6=OFFSET(Assumptions!$B$8,0,$C$1),(SUMPRODUCT(OFFSET(K$396,0,0,1,-OFFSET(Assumptions!$B$67,0,$C$1)),OFFSET(K$16,0,0,1,-OFFSET(Assumptions!$B$67,0,$C$1)))-SUMPRODUCT(OFFSET(K$395,0,0,1,-OFFSET(Assumptions!$B$67,0,$C$1)),OFFSET(K$16,0,0,1,-OFFSET(Assumptions!$B$67,0,$C$1))))/OFFSET(Assumptions!$B$67,0,$C$1)-(K$396-K$395)/K$14,((K$396-K$395)/K$14-(J$396-J$395)/J$14)/K$2),0))*L$14 +L$395</f>
        <v>0.99571451094533248</v>
      </c>
      <c r="M396" s="8">
        <f ca="1">((L$396-L$395)/L$14+ IF(M$2&gt;0,M$2*IF(M$6=OFFSET(Assumptions!$B$8,0,$C$1),(SUMPRODUCT(OFFSET(L$396,0,0,1,-OFFSET(Assumptions!$B$67,0,$C$1)),OFFSET(L$16,0,0,1,-OFFSET(Assumptions!$B$67,0,$C$1)))-SUMPRODUCT(OFFSET(L$395,0,0,1,-OFFSET(Assumptions!$B$67,0,$C$1)),OFFSET(L$16,0,0,1,-OFFSET(Assumptions!$B$67,0,$C$1))))/OFFSET(Assumptions!$B$67,0,$C$1)-(L$396-L$395)/L$14,((L$396-L$395)/L$14-(K$396-K$395)/K$14)/L$2),0))*M$14 +M$395</f>
        <v>1.0454371320386355</v>
      </c>
      <c r="N396" s="8">
        <f ca="1">((M$396-M$395)/M$14+ IF(N$2&gt;0,N$2*IF(N$6=OFFSET(Assumptions!$B$8,0,$C$1),(SUMPRODUCT(OFFSET(M$396,0,0,1,-OFFSET(Assumptions!$B$67,0,$C$1)),OFFSET(M$16,0,0,1,-OFFSET(Assumptions!$B$67,0,$C$1)))-SUMPRODUCT(OFFSET(M$395,0,0,1,-OFFSET(Assumptions!$B$67,0,$C$1)),OFFSET(M$16,0,0,1,-OFFSET(Assumptions!$B$67,0,$C$1))))/OFFSET(Assumptions!$B$67,0,$C$1)-(M$396-M$395)/M$14,((M$396-M$395)/M$14-(L$396-L$395)/L$14)/M$2),0))*N$14 +N$395</f>
        <v>1.0940193671777749</v>
      </c>
      <c r="O396" s="8">
        <f ca="1">((N$396-N$395)/N$14+ IF(O$2&gt;0,O$2*IF(O$6=OFFSET(Assumptions!$B$8,0,$C$1),(SUMPRODUCT(OFFSET(N$396,0,0,1,-OFFSET(Assumptions!$B$67,0,$C$1)),OFFSET(N$16,0,0,1,-OFFSET(Assumptions!$B$67,0,$C$1)))-SUMPRODUCT(OFFSET(N$395,0,0,1,-OFFSET(Assumptions!$B$67,0,$C$1)),OFFSET(N$16,0,0,1,-OFFSET(Assumptions!$B$67,0,$C$1))))/OFFSET(Assumptions!$B$67,0,$C$1)-(N$396-N$395)/N$14,((N$396-N$395)/N$14-(M$396-M$395)/M$14)/N$2),0))*O$14 +O$395</f>
        <v>1.1407194798926161</v>
      </c>
      <c r="P396" s="8">
        <f ca="1">((O$396-O$395)/O$14+ IF(P$2&gt;0,P$2*IF(P$6=OFFSET(Assumptions!$B$8,0,$C$1),(SUMPRODUCT(OFFSET(O$396,0,0,1,-OFFSET(Assumptions!$B$67,0,$C$1)),OFFSET(O$16,0,0,1,-OFFSET(Assumptions!$B$67,0,$C$1)))-SUMPRODUCT(OFFSET(O$395,0,0,1,-OFFSET(Assumptions!$B$67,0,$C$1)),OFFSET(O$16,0,0,1,-OFFSET(Assumptions!$B$67,0,$C$1))))/OFFSET(Assumptions!$B$67,0,$C$1)-(O$396-O$395)/O$14,((O$396-O$395)/O$14-(N$396-N$395)/N$14)/O$2),0))*P$14 +P$395</f>
        <v>1.1889592532998896</v>
      </c>
      <c r="Q396" s="8">
        <f ca="1">((P$396-P$395)/P$14+ IF(Q$2&gt;0,Q$2*IF(Q$6=OFFSET(Assumptions!$B$8,0,$C$1),(SUMPRODUCT(OFFSET(P$396,0,0,1,-OFFSET(Assumptions!$B$67,0,$C$1)),OFFSET(P$16,0,0,1,-OFFSET(Assumptions!$B$67,0,$C$1)))-SUMPRODUCT(OFFSET(P$395,0,0,1,-OFFSET(Assumptions!$B$67,0,$C$1)),OFFSET(P$16,0,0,1,-OFFSET(Assumptions!$B$67,0,$C$1))))/OFFSET(Assumptions!$B$67,0,$C$1)-(P$396-P$395)/P$14,((P$396-P$395)/P$14-(O$396-O$395)/O$14)/P$2),0))*Q$14 +Q$395</f>
        <v>1.2386865795865885</v>
      </c>
      <c r="R396" s="8">
        <f ca="1">((Q$396-Q$395)/Q$14+ IF(R$2&gt;0,R$2*IF(R$6=OFFSET(Assumptions!$B$8,0,$C$1),(SUMPRODUCT(OFFSET(Q$396,0,0,1,-OFFSET(Assumptions!$B$67,0,$C$1)),OFFSET(Q$16,0,0,1,-OFFSET(Assumptions!$B$67,0,$C$1)))-SUMPRODUCT(OFFSET(Q$395,0,0,1,-OFFSET(Assumptions!$B$67,0,$C$1)),OFFSET(Q$16,0,0,1,-OFFSET(Assumptions!$B$67,0,$C$1))))/OFFSET(Assumptions!$B$67,0,$C$1)-(Q$396-Q$395)/Q$14,((Q$396-Q$395)/Q$14-(P$396-P$395)/P$14)/Q$2),0))*R$14 +R$395</f>
        <v>1.289864550260591</v>
      </c>
      <c r="S396" s="8">
        <f ca="1">((R$396-R$395)/R$14+ IF(S$2&gt;0,S$2*IF(S$6=OFFSET(Assumptions!$B$8,0,$C$1),(SUMPRODUCT(OFFSET(R$396,0,0,1,-OFFSET(Assumptions!$B$67,0,$C$1)),OFFSET(R$16,0,0,1,-OFFSET(Assumptions!$B$67,0,$C$1)))-SUMPRODUCT(OFFSET(R$395,0,0,1,-OFFSET(Assumptions!$B$67,0,$C$1)),OFFSET(R$16,0,0,1,-OFFSET(Assumptions!$B$67,0,$C$1))))/OFFSET(Assumptions!$B$67,0,$C$1)-(R$396-R$395)/R$14,((R$396-R$395)/R$14-(Q$396-Q$395)/Q$14)/R$2),0))*S$14 +S$395</f>
        <v>1.3426558068258074</v>
      </c>
      <c r="T396" s="8">
        <f ca="1">((S$396-S$395)/S$14+ IF(T$2&gt;0,T$2*IF(T$6=OFFSET(Assumptions!$B$8,0,$C$1),(SUMPRODUCT(OFFSET(S$396,0,0,1,-OFFSET(Assumptions!$B$67,0,$C$1)),OFFSET(S$16,0,0,1,-OFFSET(Assumptions!$B$67,0,$C$1)))-SUMPRODUCT(OFFSET(S$395,0,0,1,-OFFSET(Assumptions!$B$67,0,$C$1)),OFFSET(S$16,0,0,1,-OFFSET(Assumptions!$B$67,0,$C$1))))/OFFSET(Assumptions!$B$67,0,$C$1)-(S$396-S$395)/S$14,((S$396-S$395)/S$14-(R$396-R$395)/R$14)/S$2),0))*T$14 +T$395</f>
        <v>1.3970796004661681</v>
      </c>
      <c r="U396" s="8">
        <f ca="1">((T$396-T$395)/T$14+ IF(U$2&gt;0,U$2*IF(U$6=OFFSET(Assumptions!$B$8,0,$C$1),(SUMPRODUCT(OFFSET(T$396,0,0,1,-OFFSET(Assumptions!$B$67,0,$C$1)),OFFSET(T$16,0,0,1,-OFFSET(Assumptions!$B$67,0,$C$1)))-SUMPRODUCT(OFFSET(T$395,0,0,1,-OFFSET(Assumptions!$B$67,0,$C$1)),OFFSET(T$16,0,0,1,-OFFSET(Assumptions!$B$67,0,$C$1))))/OFFSET(Assumptions!$B$67,0,$C$1)-(T$396-T$395)/T$14,((T$396-T$395)/T$14-(S$396-S$395)/S$14)/T$2),0))*U$14 +U$395</f>
        <v>1.4533312567424548</v>
      </c>
      <c r="V396" s="8">
        <f ca="1">((U$396-U$395)/U$14+ IF(V$2&gt;0,V$2*IF(V$6=OFFSET(Assumptions!$B$8,0,$C$1),(SUMPRODUCT(OFFSET(U$396,0,0,1,-OFFSET(Assumptions!$B$67,0,$C$1)),OFFSET(U$16,0,0,1,-OFFSET(Assumptions!$B$67,0,$C$1)))-SUMPRODUCT(OFFSET(U$395,0,0,1,-OFFSET(Assumptions!$B$67,0,$C$1)),OFFSET(U$16,0,0,1,-OFFSET(Assumptions!$B$67,0,$C$1))))/OFFSET(Assumptions!$B$67,0,$C$1)-(U$396-U$395)/U$14,((U$396-U$395)/U$14-(T$396-T$395)/T$14)/U$2),0))*V$14 +V$395</f>
        <v>1.5115496331894818</v>
      </c>
      <c r="W396" s="8">
        <f ca="1">((V$396-V$395)/V$14+ IF(W$2&gt;0,W$2*IF(W$6=OFFSET(Assumptions!$B$8,0,$C$1),(SUMPRODUCT(OFFSET(V$396,0,0,1,-OFFSET(Assumptions!$B$67,0,$C$1)),OFFSET(V$16,0,0,1,-OFFSET(Assumptions!$B$67,0,$C$1)))-SUMPRODUCT(OFFSET(V$395,0,0,1,-OFFSET(Assumptions!$B$67,0,$C$1)),OFFSET(V$16,0,0,1,-OFFSET(Assumptions!$B$67,0,$C$1))))/OFFSET(Assumptions!$B$67,0,$C$1)-(V$396-V$395)/V$14,((V$396-V$395)/V$14-(U$396-U$395)/U$14)/V$2),0))*W$14 +W$395</f>
        <v>1.5719034031286656</v>
      </c>
      <c r="X396" s="8">
        <f ca="1">((W$396-W$395)/W$14+ IF(X$2&gt;0,X$2*IF(X$6=OFFSET(Assumptions!$B$8,0,$C$1),(SUMPRODUCT(OFFSET(W$396,0,0,1,-OFFSET(Assumptions!$B$67,0,$C$1)),OFFSET(W$16,0,0,1,-OFFSET(Assumptions!$B$67,0,$C$1)))-SUMPRODUCT(OFFSET(W$395,0,0,1,-OFFSET(Assumptions!$B$67,0,$C$1)),OFFSET(W$16,0,0,1,-OFFSET(Assumptions!$B$67,0,$C$1))))/OFFSET(Assumptions!$B$67,0,$C$1)-(W$396-W$395)/W$14,((W$396-W$395)/W$14-(V$396-V$395)/V$14)/W$2),0))*X$14 +X$395</f>
        <v>1.6345837345509757</v>
      </c>
      <c r="Y396" s="8">
        <f ca="1">((X$396-X$395)/X$14+ IF(Y$2&gt;0,Y$2*IF(Y$6=OFFSET(Assumptions!$B$8,0,$C$1),(SUMPRODUCT(OFFSET(X$396,0,0,1,-OFFSET(Assumptions!$B$67,0,$C$1)),OFFSET(X$16,0,0,1,-OFFSET(Assumptions!$B$67,0,$C$1)))-SUMPRODUCT(OFFSET(X$395,0,0,1,-OFFSET(Assumptions!$B$67,0,$C$1)),OFFSET(X$16,0,0,1,-OFFSET(Assumptions!$B$67,0,$C$1))))/OFFSET(Assumptions!$B$67,0,$C$1)-(X$396-X$395)/X$14,((X$396-X$395)/X$14-(W$396-W$395)/W$14)/X$2),0))*Y$14 +Y$395</f>
        <v>1.6995842194511441</v>
      </c>
      <c r="Z396" s="8">
        <f ca="1">((Y$396-Y$395)/Y$14+ IF(Z$2&gt;0,Z$2*IF(Z$6=OFFSET(Assumptions!$B$8,0,$C$1),(SUMPRODUCT(OFFSET(Y$396,0,0,1,-OFFSET(Assumptions!$B$67,0,$C$1)),OFFSET(Y$16,0,0,1,-OFFSET(Assumptions!$B$67,0,$C$1)))-SUMPRODUCT(OFFSET(Y$395,0,0,1,-OFFSET(Assumptions!$B$67,0,$C$1)),OFFSET(Y$16,0,0,1,-OFFSET(Assumptions!$B$67,0,$C$1))))/OFFSET(Assumptions!$B$67,0,$C$1)-(Y$396-Y$395)/Y$14,((Y$396-Y$395)/Y$14-(X$396-X$395)/X$14)/Y$2),0))*Z$14 +Z$395</f>
        <v>1.7672338670391317</v>
      </c>
      <c r="AA396" s="8">
        <f ca="1">((Z$396-Z$395)/Z$14+ IF(AA$2&gt;0,AA$2*IF(AA$6=OFFSET(Assumptions!$B$8,0,$C$1),(SUMPRODUCT(OFFSET(Z$396,0,0,1,-OFFSET(Assumptions!$B$67,0,$C$1)),OFFSET(Z$16,0,0,1,-OFFSET(Assumptions!$B$67,0,$C$1)))-SUMPRODUCT(OFFSET(Z$395,0,0,1,-OFFSET(Assumptions!$B$67,0,$C$1)),OFFSET(Z$16,0,0,1,-OFFSET(Assumptions!$B$67,0,$C$1))))/OFFSET(Assumptions!$B$67,0,$C$1)-(Z$396-Z$395)/Z$14,((Z$396-Z$395)/Z$14-(Y$396-Y$395)/Y$14)/Z$2),0))*AA$14 +AA$395</f>
        <v>1.837642134678025</v>
      </c>
      <c r="AB396" s="8">
        <f ca="1">((AA$396-AA$395)/AA$14+ IF(AB$2&gt;0,AB$2*IF(AB$6=OFFSET(Assumptions!$B$8,0,$C$1),(SUMPRODUCT(OFFSET(AA$396,0,0,1,-OFFSET(Assumptions!$B$67,0,$C$1)),OFFSET(AA$16,0,0,1,-OFFSET(Assumptions!$B$67,0,$C$1)))-SUMPRODUCT(OFFSET(AA$395,0,0,1,-OFFSET(Assumptions!$B$67,0,$C$1)),OFFSET(AA$16,0,0,1,-OFFSET(Assumptions!$B$67,0,$C$1))))/OFFSET(Assumptions!$B$67,0,$C$1)-(AA$396-AA$395)/AA$14,((AA$396-AA$395)/AA$14-(Z$396-Z$395)/Z$14)/AA$2),0))*AB$14 +AB$395</f>
        <v>1.9110204648978357</v>
      </c>
      <c r="AC396" s="8">
        <f ca="1">((AB$396-AB$395)/AB$14+ IF(AC$2&gt;0,AC$2*IF(AC$6=OFFSET(Assumptions!$B$8,0,$C$1),(SUMPRODUCT(OFFSET(AB$396,0,0,1,-OFFSET(Assumptions!$B$67,0,$C$1)),OFFSET(AB$16,0,0,1,-OFFSET(Assumptions!$B$67,0,$C$1)))-SUMPRODUCT(OFFSET(AB$395,0,0,1,-OFFSET(Assumptions!$B$67,0,$C$1)),OFFSET(AB$16,0,0,1,-OFFSET(Assumptions!$B$67,0,$C$1))))/OFFSET(Assumptions!$B$67,0,$C$1)-(AB$396-AB$395)/AB$14,((AB$396-AB$395)/AB$14-(AA$396-AA$395)/AA$14)/AB$2),0))*AC$14 +AC$395</f>
        <v>1.9876458708527587</v>
      </c>
      <c r="AD396" s="8">
        <f ca="1">((AC$396-AC$395)/AC$14+ IF(AD$2&gt;0,AD$2*IF(AD$6=OFFSET(Assumptions!$B$8,0,$C$1),(SUMPRODUCT(OFFSET(AC$396,0,0,1,-OFFSET(Assumptions!$B$67,0,$C$1)),OFFSET(AC$16,0,0,1,-OFFSET(Assumptions!$B$67,0,$C$1)))-SUMPRODUCT(OFFSET(AC$395,0,0,1,-OFFSET(Assumptions!$B$67,0,$C$1)),OFFSET(AC$16,0,0,1,-OFFSET(Assumptions!$B$67,0,$C$1))))/OFFSET(Assumptions!$B$67,0,$C$1)-(AC$396-AC$395)/AC$14,((AC$396-AC$395)/AC$14-(AB$396-AB$395)/AB$14)/AC$2),0))*AD$14 +AD$395</f>
        <v>2.0675991166658982</v>
      </c>
      <c r="AE396" s="8">
        <f ca="1">((AD$396-AD$395)/AD$14+ IF(AE$2&gt;0,AE$2*IF(AE$6=OFFSET(Assumptions!$B$8,0,$C$1),(SUMPRODUCT(OFFSET(AD$396,0,0,1,-OFFSET(Assumptions!$B$67,0,$C$1)),OFFSET(AD$16,0,0,1,-OFFSET(Assumptions!$B$67,0,$C$1)))-SUMPRODUCT(OFFSET(AD$395,0,0,1,-OFFSET(Assumptions!$B$67,0,$C$1)),OFFSET(AD$16,0,0,1,-OFFSET(Assumptions!$B$67,0,$C$1))))/OFFSET(Assumptions!$B$67,0,$C$1)-(AD$396-AD$395)/AD$14,((AD$396-AD$395)/AD$14-(AC$396-AC$395)/AC$14)/AD$2),0))*AE$14 +AE$395</f>
        <v>2.1508067759376543</v>
      </c>
      <c r="AF396" s="8">
        <f ca="1">((AE$396-AE$395)/AE$14+ IF(AF$2&gt;0,AF$2*IF(AF$6=OFFSET(Assumptions!$B$8,0,$C$1),(SUMPRODUCT(OFFSET(AE$396,0,0,1,-OFFSET(Assumptions!$B$67,0,$C$1)),OFFSET(AE$16,0,0,1,-OFFSET(Assumptions!$B$67,0,$C$1)))-SUMPRODUCT(OFFSET(AE$395,0,0,1,-OFFSET(Assumptions!$B$67,0,$C$1)),OFFSET(AE$16,0,0,1,-OFFSET(Assumptions!$B$67,0,$C$1))))/OFFSET(Assumptions!$B$67,0,$C$1)-(AE$396-AE$395)/AE$14,((AE$396-AE$395)/AE$14-(AD$396-AD$395)/AD$14)/AE$2),0))*AF$14 +AF$395</f>
        <v>2.2374990509448023</v>
      </c>
      <c r="AG396" s="8">
        <f ca="1">((AF$396-AF$395)/AF$14+ IF(AG$2&gt;0,AG$2*IF(AG$6=OFFSET(Assumptions!$B$8,0,$C$1),(SUMPRODUCT(OFFSET(AF$396,0,0,1,-OFFSET(Assumptions!$B$67,0,$C$1)),OFFSET(AF$16,0,0,1,-OFFSET(Assumptions!$B$67,0,$C$1)))-SUMPRODUCT(OFFSET(AF$395,0,0,1,-OFFSET(Assumptions!$B$67,0,$C$1)),OFFSET(AF$16,0,0,1,-OFFSET(Assumptions!$B$67,0,$C$1))))/OFFSET(Assumptions!$B$67,0,$C$1)-(AF$396-AF$395)/AF$14,((AF$396-AF$395)/AF$14-(AE$396-AE$395)/AE$14)/AF$2),0))*AG$14 +AG$395</f>
        <v>2.3277244163824538</v>
      </c>
      <c r="AH396" s="8">
        <f ca="1">((AG$396-AG$395)/AG$14+ IF(AH$2&gt;0,AH$2*IF(AH$6=OFFSET(Assumptions!$B$8,0,$C$1),(SUMPRODUCT(OFFSET(AG$396,0,0,1,-OFFSET(Assumptions!$B$67,0,$C$1)),OFFSET(AG$16,0,0,1,-OFFSET(Assumptions!$B$67,0,$C$1)))-SUMPRODUCT(OFFSET(AG$395,0,0,1,-OFFSET(Assumptions!$B$67,0,$C$1)),OFFSET(AG$16,0,0,1,-OFFSET(Assumptions!$B$67,0,$C$1))))/OFFSET(Assumptions!$B$67,0,$C$1)-(AG$396-AG$395)/AG$14,((AG$396-AG$395)/AG$14-(AF$396-AF$395)/AF$14)/AG$2),0))*AH$14 +AH$395</f>
        <v>2.4216275548844921</v>
      </c>
      <c r="AI396" s="8">
        <f ca="1">((AH$396-AH$395)/AH$14+ IF(AI$2&gt;0,AI$2*IF(AI$6=OFFSET(Assumptions!$B$8,0,$C$1),(SUMPRODUCT(OFFSET(AH$396,0,0,1,-OFFSET(Assumptions!$B$67,0,$C$1)),OFFSET(AH$16,0,0,1,-OFFSET(Assumptions!$B$67,0,$C$1)))-SUMPRODUCT(OFFSET(AH$395,0,0,1,-OFFSET(Assumptions!$B$67,0,$C$1)),OFFSET(AH$16,0,0,1,-OFFSET(Assumptions!$B$67,0,$C$1))))/OFFSET(Assumptions!$B$67,0,$C$1)-(AH$396-AH$395)/AH$14,((AH$396-AH$395)/AH$14-(AG$396-AG$395)/AG$14)/AH$2),0))*AI$14 +AI$395</f>
        <v>2.5190443865828618</v>
      </c>
      <c r="AJ396" s="8">
        <f ca="1">((AI$396-AI$395)/AI$14+ IF(AJ$2&gt;0,AJ$2*IF(AJ$6=OFFSET(Assumptions!$B$8,0,$C$1),(SUMPRODUCT(OFFSET(AI$396,0,0,1,-OFFSET(Assumptions!$B$67,0,$C$1)),OFFSET(AI$16,0,0,1,-OFFSET(Assumptions!$B$67,0,$C$1)))-SUMPRODUCT(OFFSET(AI$395,0,0,1,-OFFSET(Assumptions!$B$67,0,$C$1)),OFFSET(AI$16,0,0,1,-OFFSET(Assumptions!$B$67,0,$C$1))))/OFFSET(Assumptions!$B$67,0,$C$1)-(AI$396-AI$395)/AI$14,((AI$396-AI$395)/AI$14-(AH$396-AH$395)/AH$14)/AI$2),0))*AJ$14 +AJ$395</f>
        <v>2.620286986125822</v>
      </c>
      <c r="AK396" s="8">
        <f ca="1">((AJ$396-AJ$395)/AJ$14+ IF(AK$2&gt;0,AK$2*IF(AK$6=OFFSET(Assumptions!$B$8,0,$C$1),(SUMPRODUCT(OFFSET(AJ$396,0,0,1,-OFFSET(Assumptions!$B$67,0,$C$1)),OFFSET(AJ$16,0,0,1,-OFFSET(Assumptions!$B$67,0,$C$1)))-SUMPRODUCT(OFFSET(AJ$395,0,0,1,-OFFSET(Assumptions!$B$67,0,$C$1)),OFFSET(AJ$16,0,0,1,-OFFSET(Assumptions!$B$67,0,$C$1))))/OFFSET(Assumptions!$B$67,0,$C$1)-(AJ$396-AJ$395)/AJ$14,((AJ$396-AJ$395)/AJ$14-(AI$396-AI$395)/AI$14)/AJ$2),0))*AK$14 +AK$395</f>
        <v>2.7252720682323535</v>
      </c>
      <c r="AL396" s="8">
        <f ca="1">((AK$396-AK$395)/AK$14+ IF(AL$2&gt;0,AL$2*IF(AL$6=OFFSET(Assumptions!$B$8,0,$C$1),(SUMPRODUCT(OFFSET(AK$396,0,0,1,-OFFSET(Assumptions!$B$67,0,$C$1)),OFFSET(AK$16,0,0,1,-OFFSET(Assumptions!$B$67,0,$C$1)))-SUMPRODUCT(OFFSET(AK$395,0,0,1,-OFFSET(Assumptions!$B$67,0,$C$1)),OFFSET(AK$16,0,0,1,-OFFSET(Assumptions!$B$67,0,$C$1))))/OFFSET(Assumptions!$B$67,0,$C$1)-(AK$396-AK$395)/AK$14,((AK$396-AK$395)/AK$14-(AJ$396-AJ$395)/AJ$14)/AK$2),0))*AL$14 +AL$395</f>
        <v>2.8339169332569347</v>
      </c>
      <c r="AM396" s="8">
        <f ca="1">((AL$396-AL$395)/AL$14+ IF(AM$2&gt;0,AM$2*IF(AM$6=OFFSET(Assumptions!$B$8,0,$C$1),(SUMPRODUCT(OFFSET(AL$396,0,0,1,-OFFSET(Assumptions!$B$67,0,$C$1)),OFFSET(AL$16,0,0,1,-OFFSET(Assumptions!$B$67,0,$C$1)))-SUMPRODUCT(OFFSET(AL$395,0,0,1,-OFFSET(Assumptions!$B$67,0,$C$1)),OFFSET(AL$16,0,0,1,-OFFSET(Assumptions!$B$67,0,$C$1))))/OFFSET(Assumptions!$B$67,0,$C$1)-(AL$396-AL$395)/AL$14,((AL$396-AL$395)/AL$14-(AK$396-AK$395)/AK$14)/AL$2),0))*AM$14 +AM$395</f>
        <v>2.9463700042329544</v>
      </c>
      <c r="AN396" s="8">
        <f ca="1">((AM$396-AM$395)/AM$14+ IF(AN$2&gt;0,AN$2*IF(AN$6=OFFSET(Assumptions!$B$8,0,$C$1),(SUMPRODUCT(OFFSET(AM$396,0,0,1,-OFFSET(Assumptions!$B$67,0,$C$1)),OFFSET(AM$16,0,0,1,-OFFSET(Assumptions!$B$67,0,$C$1)))-SUMPRODUCT(OFFSET(AM$395,0,0,1,-OFFSET(Assumptions!$B$67,0,$C$1)),OFFSET(AM$16,0,0,1,-OFFSET(Assumptions!$B$67,0,$C$1))))/OFFSET(Assumptions!$B$67,0,$C$1)-(AM$396-AM$395)/AM$14,((AM$396-AM$395)/AM$14-(AL$396-AL$395)/AL$14)/AM$2),0))*AN$14 +AN$395</f>
        <v>3.0627877022931349</v>
      </c>
      <c r="AO396" s="8">
        <f ca="1">((AN$396-AN$395)/AN$14+ IF(AO$2&gt;0,AO$2*IF(AO$6=OFFSET(Assumptions!$B$8,0,$C$1),(SUMPRODUCT(OFFSET(AN$396,0,0,1,-OFFSET(Assumptions!$B$67,0,$C$1)),OFFSET(AN$16,0,0,1,-OFFSET(Assumptions!$B$67,0,$C$1)))-SUMPRODUCT(OFFSET(AN$395,0,0,1,-OFFSET(Assumptions!$B$67,0,$C$1)),OFFSET(AN$16,0,0,1,-OFFSET(Assumptions!$B$67,0,$C$1))))/OFFSET(Assumptions!$B$67,0,$C$1)-(AN$396-AN$395)/AN$14,((AN$396-AN$395)/AN$14-(AM$396-AM$395)/AM$14)/AN$2),0))*AO$14 +AO$395</f>
        <v>3.1827128953962989</v>
      </c>
      <c r="AP396" s="8">
        <f ca="1">((AO$396-AO$395)/AO$14+ IF(AP$2&gt;0,AP$2*IF(AP$6=OFFSET(Assumptions!$B$8,0,$C$1),(SUMPRODUCT(OFFSET(AO$396,0,0,1,-OFFSET(Assumptions!$B$67,0,$C$1)),OFFSET(AO$16,0,0,1,-OFFSET(Assumptions!$B$67,0,$C$1)))-SUMPRODUCT(OFFSET(AO$395,0,0,1,-OFFSET(Assumptions!$B$67,0,$C$1)),OFFSET(AO$16,0,0,1,-OFFSET(Assumptions!$B$67,0,$C$1))))/OFFSET(Assumptions!$B$67,0,$C$1)-(AO$396-AO$395)/AO$14,((AO$396-AO$395)/AO$14-(AN$396-AN$395)/AN$14)/AO$2),0))*AP$14 +AP$395</f>
        <v>3.3066548452895277</v>
      </c>
      <c r="AQ396" s="8">
        <f ca="1">((AP$396-AP$395)/AP$14+ IF(AQ$2&gt;0,AQ$2*IF(AQ$6=OFFSET(Assumptions!$B$8,0,$C$1),(SUMPRODUCT(OFFSET(AP$396,0,0,1,-OFFSET(Assumptions!$B$67,0,$C$1)),OFFSET(AP$16,0,0,1,-OFFSET(Assumptions!$B$67,0,$C$1)))-SUMPRODUCT(OFFSET(AP$395,0,0,1,-OFFSET(Assumptions!$B$67,0,$C$1)),OFFSET(AP$16,0,0,1,-OFFSET(Assumptions!$B$67,0,$C$1))))/OFFSET(Assumptions!$B$67,0,$C$1)-(AP$396-AP$395)/AP$14,((AP$396-AP$395)/AP$14-(AO$396-AO$395)/AO$14)/AP$2),0))*AQ$14 +AQ$395</f>
        <v>3.4342662670203481</v>
      </c>
      <c r="AR396" s="8">
        <f ca="1">((AQ$396-AQ$395)/AQ$14+ IF(AR$2&gt;0,AR$2*IF(AR$6=OFFSET(Assumptions!$B$8,0,$C$1),(SUMPRODUCT(OFFSET(AQ$396,0,0,1,-OFFSET(Assumptions!$B$67,0,$C$1)),OFFSET(AQ$16,0,0,1,-OFFSET(Assumptions!$B$67,0,$C$1)))-SUMPRODUCT(OFFSET(AQ$395,0,0,1,-OFFSET(Assumptions!$B$67,0,$C$1)),OFFSET(AQ$16,0,0,1,-OFFSET(Assumptions!$B$67,0,$C$1))))/OFFSET(Assumptions!$B$67,0,$C$1)-(AQ$396-AQ$395)/AQ$14,((AQ$396-AQ$395)/AQ$14-(AP$396-AP$395)/AP$14)/AQ$2),0))*AR$14 +AR$395</f>
        <v>3.5656916395474423</v>
      </c>
      <c r="AS396" s="8">
        <f ca="1">((AR$396-AR$395)/AR$14+ IF(AS$2&gt;0,AS$2*IF(AS$6=OFFSET(Assumptions!$B$8,0,$C$1),(SUMPRODUCT(OFFSET(AR$396,0,0,1,-OFFSET(Assumptions!$B$67,0,$C$1)),OFFSET(AR$16,0,0,1,-OFFSET(Assumptions!$B$67,0,$C$1)))-SUMPRODUCT(OFFSET(AR$395,0,0,1,-OFFSET(Assumptions!$B$67,0,$C$1)),OFFSET(AR$16,0,0,1,-OFFSET(Assumptions!$B$67,0,$C$1))))/OFFSET(Assumptions!$B$67,0,$C$1)-(AR$396-AR$395)/AR$14,((AR$396-AR$395)/AR$14-(AQ$396-AQ$395)/AQ$14)/AR$2),0))*AS$14 +AS$395</f>
        <v>3.7012375744740984</v>
      </c>
      <c r="AT396" s="8">
        <f ca="1">((AS$396-AS$395)/AS$14+ IF(AT$2&gt;0,AT$2*IF(AT$6=OFFSET(Assumptions!$B$8,0,$C$1),(SUMPRODUCT(OFFSET(AS$396,0,0,1,-OFFSET(Assumptions!$B$67,0,$C$1)),OFFSET(AS$16,0,0,1,-OFFSET(Assumptions!$B$67,0,$C$1)))-SUMPRODUCT(OFFSET(AS$395,0,0,1,-OFFSET(Assumptions!$B$67,0,$C$1)),OFFSET(AS$16,0,0,1,-OFFSET(Assumptions!$B$67,0,$C$1))))/OFFSET(Assumptions!$B$67,0,$C$1)-(AS$396-AS$395)/AS$14,((AS$396-AS$395)/AS$14-(AR$396-AR$395)/AR$14)/AS$2),0))*AT$14 +AT$395</f>
        <v>3.8410123279008901</v>
      </c>
      <c r="AU396" s="8">
        <f ca="1">((AT$396-AT$395)/AT$14+ IF(AU$2&gt;0,AU$2*IF(AU$6=OFFSET(Assumptions!$B$8,0,$C$1),(SUMPRODUCT(OFFSET(AT$396,0,0,1,-OFFSET(Assumptions!$B$67,0,$C$1)),OFFSET(AT$16,0,0,1,-OFFSET(Assumptions!$B$67,0,$C$1)))-SUMPRODUCT(OFFSET(AT$395,0,0,1,-OFFSET(Assumptions!$B$67,0,$C$1)),OFFSET(AT$16,0,0,1,-OFFSET(Assumptions!$B$67,0,$C$1))))/OFFSET(Assumptions!$B$67,0,$C$1)-(AT$396-AT$395)/AT$14,((AT$396-AT$395)/AT$14-(AS$396-AS$395)/AS$14)/AT$2),0))*AU$14 +AU$395</f>
        <v>3.9852017690459154</v>
      </c>
      <c r="AV396" s="8">
        <f ca="1">((AU$396-AU$395)/AU$14+ IF(AV$2&gt;0,AV$2*IF(AV$6=OFFSET(Assumptions!$B$8,0,$C$1),(SUMPRODUCT(OFFSET(AU$396,0,0,1,-OFFSET(Assumptions!$B$67,0,$C$1)),OFFSET(AU$16,0,0,1,-OFFSET(Assumptions!$B$67,0,$C$1)))-SUMPRODUCT(OFFSET(AU$395,0,0,1,-OFFSET(Assumptions!$B$67,0,$C$1)),OFFSET(AU$16,0,0,1,-OFFSET(Assumptions!$B$67,0,$C$1))))/OFFSET(Assumptions!$B$67,0,$C$1)-(AU$396-AU$395)/AU$14,((AU$396-AU$395)/AU$14-(AT$396-AT$395)/AT$14)/AU$2),0))*AV$14 +AV$395</f>
        <v>4.1342517169631927</v>
      </c>
      <c r="AW396" s="8">
        <f ca="1">((AV$396-AV$395)/AV$14+ IF(AW$2&gt;0,AW$2*IF(AW$6=OFFSET(Assumptions!$B$8,0,$C$1),(SUMPRODUCT(OFFSET(AV$396,0,0,1,-OFFSET(Assumptions!$B$67,0,$C$1)),OFFSET(AV$16,0,0,1,-OFFSET(Assumptions!$B$67,0,$C$1)))-SUMPRODUCT(OFFSET(AV$395,0,0,1,-OFFSET(Assumptions!$B$67,0,$C$1)),OFFSET(AV$16,0,0,1,-OFFSET(Assumptions!$B$67,0,$C$1))))/OFFSET(Assumptions!$B$67,0,$C$1)-(AV$396-AV$395)/AV$14,((AV$396-AV$395)/AV$14-(AU$396-AU$395)/AU$14)/AV$2),0))*AW$14 +AW$395</f>
        <v>4.2880780245837951</v>
      </c>
    </row>
    <row r="397" spans="1:49" ht="15" x14ac:dyDescent="0.25">
      <c r="A397" s="2"/>
      <c r="B397" s="4"/>
      <c r="D397" s="47"/>
      <c r="E397" s="44"/>
      <c r="F397" s="44"/>
      <c r="G397" s="44"/>
      <c r="H397" s="44"/>
      <c r="I397" s="44"/>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row>
    <row r="398" spans="1:49" x14ac:dyDescent="0.2">
      <c r="A398" s="22" t="s">
        <v>238</v>
      </c>
      <c r="E398" s="29"/>
      <c r="F398" s="29"/>
      <c r="G398" s="29"/>
      <c r="H398" s="29"/>
      <c r="I398" s="29"/>
    </row>
    <row r="399" spans="1:49" ht="15" x14ac:dyDescent="0.25">
      <c r="A399" s="2" t="s">
        <v>643</v>
      </c>
      <c r="B399" s="4" t="str">
        <f t="shared" si="241"/>
        <v>From Fiscal</v>
      </c>
      <c r="D399" s="47">
        <f>Fiscal!D$175-D$395</f>
        <v>1.0919999999999999</v>
      </c>
      <c r="E399" s="44">
        <f>Fiscal!E$175-E$395</f>
        <v>1.1819999999999999</v>
      </c>
      <c r="F399" s="44">
        <f>Fiscal!F$175-F$395</f>
        <v>1.1879999999999999</v>
      </c>
      <c r="G399" s="44">
        <f>Fiscal!G$175-G$395</f>
        <v>1.1930000000000001</v>
      </c>
      <c r="H399" s="44">
        <f>Fiscal!H$175-H$395</f>
        <v>1.1969999999999998</v>
      </c>
      <c r="I399" s="44">
        <f>Fiscal!I$175-I$395</f>
        <v>1.1989999999999998</v>
      </c>
      <c r="J399" s="8">
        <f ca="1">(I$399/I$14+ IF(J$2&gt;0,J$2*IF(J$6=OFFSET(Assumptions!$B$8,0,$C$1),SUMPRODUCT(OFFSET(I$399,0,0,1,-OFFSET(Assumptions!$B$67,0,$C$1)),OFFSET(I$16,0,0,1,-OFFSET(Assumptions!$B$67,0,$C$1)))/OFFSET(Assumptions!$B$67,0,$C$1)-I$399/I$14,(I$399/I$14-H$399/H$14)/I$2),0))*J$14</f>
        <v>1.2671679442855688</v>
      </c>
      <c r="K399" s="8">
        <f ca="1">(J$399/J$14+ IF(K$2&gt;0,K$2*IF(K$6=OFFSET(Assumptions!$B$8,0,$C$1),SUMPRODUCT(OFFSET(J$399,0,0,1,-OFFSET(Assumptions!$B$67,0,$C$1)),OFFSET(J$16,0,0,1,-OFFSET(Assumptions!$B$67,0,$C$1)))/OFFSET(Assumptions!$B$67,0,$C$1)-J$399/J$14,(J$399/J$14-I$399/I$14)/J$2),0))*K$14</f>
        <v>1.3348294779569219</v>
      </c>
      <c r="L399" s="8">
        <f ca="1">(K$399/K$14+ IF(L$2&gt;0,L$2*IF(L$6=OFFSET(Assumptions!$B$8,0,$C$1),SUMPRODUCT(OFFSET(K$399,0,0,1,-OFFSET(Assumptions!$B$67,0,$C$1)),OFFSET(K$16,0,0,1,-OFFSET(Assumptions!$B$67,0,$C$1)))/OFFSET(Assumptions!$B$67,0,$C$1)-K$399/K$14,(K$399/K$14-J$399/J$14)/K$2),0))*L$14</f>
        <v>1.4041958883926293</v>
      </c>
      <c r="M399" s="8">
        <f ca="1">(L$399/L$14+ IF(M$2&gt;0,M$2*IF(M$6=OFFSET(Assumptions!$B$8,0,$C$1),SUMPRODUCT(OFFSET(L$399,0,0,1,-OFFSET(Assumptions!$B$67,0,$C$1)),OFFSET(L$16,0,0,1,-OFFSET(Assumptions!$B$67,0,$C$1)))/OFFSET(Assumptions!$B$67,0,$C$1)-L$399/L$14,(L$399/L$14-K$399/K$14)/L$2),0))*M$14</f>
        <v>1.4728695810957009</v>
      </c>
      <c r="N399" s="8">
        <f ca="1">(M$399/M$14+ IF(N$2&gt;0,N$2*IF(N$6=OFFSET(Assumptions!$B$8,0,$C$1),SUMPRODUCT(OFFSET(M$399,0,0,1,-OFFSET(Assumptions!$B$67,0,$C$1)),OFFSET(M$16,0,0,1,-OFFSET(Assumptions!$B$67,0,$C$1)))/OFFSET(Assumptions!$B$67,0,$C$1)-M$399/M$14,(M$399/M$14-L$399/L$14)/M$2),0))*N$14</f>
        <v>1.5405649959359911</v>
      </c>
      <c r="O399" s="8">
        <f ca="1">(N$399/N$14+ IF(O$2&gt;0,O$2*IF(O$6=OFFSET(Assumptions!$B$8,0,$C$1),SUMPRODUCT(OFFSET(N$399,0,0,1,-OFFSET(Assumptions!$B$67,0,$C$1)),OFFSET(N$16,0,0,1,-OFFSET(Assumptions!$B$67,0,$C$1)))/OFFSET(Assumptions!$B$67,0,$C$1)-N$399/N$14,(N$399/N$14-M$399/M$14)/N$2),0))*O$14</f>
        <v>1.6063266827152149</v>
      </c>
      <c r="P399" s="8">
        <f ca="1">(O$399/O$14+ IF(P$2&gt;0,P$2*IF(P$6=OFFSET(Assumptions!$B$8,0,$C$1),SUMPRODUCT(OFFSET(O$399,0,0,1,-OFFSET(Assumptions!$B$67,0,$C$1)),OFFSET(O$16,0,0,1,-OFFSET(Assumptions!$B$67,0,$C$1)))/OFFSET(Assumptions!$B$67,0,$C$1)-O$399/O$14,(O$399/O$14-N$399/N$14)/O$2),0))*P$14</f>
        <v>1.6742564731309393</v>
      </c>
      <c r="Q399" s="8">
        <f ca="1">(P$399/P$14+ IF(Q$2&gt;0,Q$2*IF(Q$6=OFFSET(Assumptions!$B$8,0,$C$1),SUMPRODUCT(OFFSET(P$399,0,0,1,-OFFSET(Assumptions!$B$67,0,$C$1)),OFFSET(P$16,0,0,1,-OFFSET(Assumptions!$B$67,0,$C$1)))/OFFSET(Assumptions!$B$67,0,$C$1)-P$399/P$14,(P$399/P$14-O$399/O$14)/P$2),0))*Q$14</f>
        <v>1.7442809905363312</v>
      </c>
      <c r="R399" s="8">
        <f ca="1">(Q$399/Q$14+ IF(R$2&gt;0,R$2*IF(R$6=OFFSET(Assumptions!$B$8,0,$C$1),SUMPRODUCT(OFFSET(Q$399,0,0,1,-OFFSET(Assumptions!$B$67,0,$C$1)),OFFSET(Q$16,0,0,1,-OFFSET(Assumptions!$B$67,0,$C$1)))/OFFSET(Assumptions!$B$67,0,$C$1)-Q$399/Q$14,(Q$399/Q$14-P$399/P$14)/Q$2),0))*R$14</f>
        <v>1.8163482615086879</v>
      </c>
      <c r="S399" s="8">
        <f ca="1">(R$399/R$14+ IF(S$2&gt;0,S$2*IF(S$6=OFFSET(Assumptions!$B$8,0,$C$1),SUMPRODUCT(OFFSET(R$399,0,0,1,-OFFSET(Assumptions!$B$67,0,$C$1)),OFFSET(R$16,0,0,1,-OFFSET(Assumptions!$B$67,0,$C$1)))/OFFSET(Assumptions!$B$67,0,$C$1)-R$399/R$14,(R$399/R$14-Q$399/Q$14)/R$2),0))*S$14</f>
        <v>1.8906873128964619</v>
      </c>
      <c r="T399" s="8">
        <f ca="1">(S$399/S$14+ IF(T$2&gt;0,T$2*IF(T$6=OFFSET(Assumptions!$B$8,0,$C$1),SUMPRODUCT(OFFSET(S$399,0,0,1,-OFFSET(Assumptions!$B$67,0,$C$1)),OFFSET(S$16,0,0,1,-OFFSET(Assumptions!$B$67,0,$C$1)))/OFFSET(Assumptions!$B$67,0,$C$1)-S$399/S$14,(S$399/S$14-R$399/R$14)/S$2),0))*T$14</f>
        <v>1.9673252536348174</v>
      </c>
      <c r="U399" s="8">
        <f ca="1">(T$399/T$14+ IF(U$2&gt;0,U$2*IF(U$6=OFFSET(Assumptions!$B$8,0,$C$1),SUMPRODUCT(OFFSET(T$399,0,0,1,-OFFSET(Assumptions!$B$67,0,$C$1)),OFFSET(T$16,0,0,1,-OFFSET(Assumptions!$B$67,0,$C$1)))/OFFSET(Assumptions!$B$67,0,$C$1)-T$399/T$14,(T$399/T$14-S$399/S$14)/T$2),0))*U$14</f>
        <v>2.0465371352729131</v>
      </c>
      <c r="V399" s="8">
        <f ca="1">(U$399/U$14+ IF(V$2&gt;0,V$2*IF(V$6=OFFSET(Assumptions!$B$8,0,$C$1),SUMPRODUCT(OFFSET(U$399,0,0,1,-OFFSET(Assumptions!$B$67,0,$C$1)),OFFSET(U$16,0,0,1,-OFFSET(Assumptions!$B$67,0,$C$1)))/OFFSET(Assumptions!$B$67,0,$C$1)-U$399/U$14,(U$399/U$14-T$399/T$14)/U$2),0))*V$14</f>
        <v>2.1285184927930128</v>
      </c>
      <c r="W399" s="8">
        <f ca="1">(V$399/V$14+ IF(W$2&gt;0,W$2*IF(W$6=OFFSET(Assumptions!$B$8,0,$C$1),SUMPRODUCT(OFFSET(V$399,0,0,1,-OFFSET(Assumptions!$B$67,0,$C$1)),OFFSET(V$16,0,0,1,-OFFSET(Assumptions!$B$67,0,$C$1)))/OFFSET(Assumptions!$B$67,0,$C$1)-V$399/V$14,(V$399/V$14-U$399/U$14)/V$2),0))*W$14</f>
        <v>2.2135068468666126</v>
      </c>
      <c r="X399" s="8">
        <f ca="1">(W$399/W$14+ IF(X$2&gt;0,X$2*IF(X$6=OFFSET(Assumptions!$B$8,0,$C$1),SUMPRODUCT(OFFSET(W$399,0,0,1,-OFFSET(Assumptions!$B$67,0,$C$1)),OFFSET(W$16,0,0,1,-OFFSET(Assumptions!$B$67,0,$C$1)))/OFFSET(Assumptions!$B$67,0,$C$1)-W$399/W$14,(W$399/W$14-V$399/V$14)/W$2),0))*X$14</f>
        <v>2.3017713944787634</v>
      </c>
      <c r="Y399" s="8">
        <f ca="1">(X$399/X$14+ IF(Y$2&gt;0,Y$2*IF(Y$6=OFFSET(Assumptions!$B$8,0,$C$1),SUMPRODUCT(OFFSET(X$399,0,0,1,-OFFSET(Assumptions!$B$67,0,$C$1)),OFFSET(X$16,0,0,1,-OFFSET(Assumptions!$B$67,0,$C$1)))/OFFSET(Assumptions!$B$67,0,$C$1)-X$399/X$14,(X$399/X$14-W$399/W$14)/X$2),0))*Y$14</f>
        <v>2.3933031120701886</v>
      </c>
      <c r="Z399" s="8">
        <f ca="1">(Y$399/Y$14+ IF(Z$2&gt;0,Z$2*IF(Z$6=OFFSET(Assumptions!$B$8,0,$C$1),SUMPRODUCT(OFFSET(Y$399,0,0,1,-OFFSET(Assumptions!$B$67,0,$C$1)),OFFSET(Y$16,0,0,1,-OFFSET(Assumptions!$B$67,0,$C$1)))/OFFSET(Assumptions!$B$67,0,$C$1)-Y$399/Y$14,(Y$399/Y$14-X$399/X$14)/Y$2),0))*Z$14</f>
        <v>2.4885653004629869</v>
      </c>
      <c r="AA399" s="8">
        <f ca="1">(Z$399/Z$14+ IF(AA$2&gt;0,AA$2*IF(AA$6=OFFSET(Assumptions!$B$8,0,$C$1),SUMPRODUCT(OFFSET(Z$399,0,0,1,-OFFSET(Assumptions!$B$67,0,$C$1)),OFFSET(Z$16,0,0,1,-OFFSET(Assumptions!$B$67,0,$C$1)))/OFFSET(Assumptions!$B$67,0,$C$1)-Z$399/Z$14,(Z$399/Z$14-Y$399/Y$14)/Z$2),0))*AA$14</f>
        <v>2.5877120942064891</v>
      </c>
      <c r="AB399" s="8">
        <f ca="1">(AA$399/AA$14+ IF(AB$2&gt;0,AB$2*IF(AB$6=OFFSET(Assumptions!$B$8,0,$C$1),SUMPRODUCT(OFFSET(AA$399,0,0,1,-OFFSET(Assumptions!$B$67,0,$C$1)),OFFSET(AA$16,0,0,1,-OFFSET(Assumptions!$B$67,0,$C$1)))/OFFSET(Assumptions!$B$67,0,$C$1)-AA$399/AA$14,(AA$399/AA$14-Z$399/Z$14)/AA$2),0))*AB$14</f>
        <v>2.6910412402786381</v>
      </c>
      <c r="AC399" s="8">
        <f ca="1">(AB$399/AB$14+ IF(AC$2&gt;0,AC$2*IF(AC$6=OFFSET(Assumptions!$B$8,0,$C$1),SUMPRODUCT(OFFSET(AB$399,0,0,1,-OFFSET(Assumptions!$B$67,0,$C$1)),OFFSET(AB$16,0,0,1,-OFFSET(Assumptions!$B$67,0,$C$1)))/OFFSET(Assumptions!$B$67,0,$C$1)-AB$399/AB$14,(AB$399/AB$14-AA$399/AA$14)/AB$2),0))*AC$14</f>
        <v>2.798942820227869</v>
      </c>
      <c r="AD399" s="8">
        <f ca="1">(AC$399/AC$14+ IF(AD$2&gt;0,AD$2*IF(AD$6=OFFSET(Assumptions!$B$8,0,$C$1),SUMPRODUCT(OFFSET(AC$399,0,0,1,-OFFSET(Assumptions!$B$67,0,$C$1)),OFFSET(AC$16,0,0,1,-OFFSET(Assumptions!$B$67,0,$C$1)))/OFFSET(Assumptions!$B$67,0,$C$1)-AC$399/AC$14,(AC$399/AC$14-AB$399/AB$14)/AC$2),0))*AD$14</f>
        <v>2.9115305636504893</v>
      </c>
      <c r="AE399" s="8">
        <f ca="1">(AD$399/AD$14+ IF(AE$2&gt;0,AE$2*IF(AE$6=OFFSET(Assumptions!$B$8,0,$C$1),SUMPRODUCT(OFFSET(AD$399,0,0,1,-OFFSET(Assumptions!$B$67,0,$C$1)),OFFSET(AD$16,0,0,1,-OFFSET(Assumptions!$B$67,0,$C$1)))/OFFSET(Assumptions!$B$67,0,$C$1)-AD$399/AD$14,(AD$399/AD$14-AC$399/AC$14)/AD$2),0))*AE$14</f>
        <v>3.0287010737105788</v>
      </c>
      <c r="AF399" s="8">
        <f ca="1">(AE$399/AE$14+ IF(AF$2&gt;0,AF$2*IF(AF$6=OFFSET(Assumptions!$B$8,0,$C$1),SUMPRODUCT(OFFSET(AE$399,0,0,1,-OFFSET(Assumptions!$B$67,0,$C$1)),OFFSET(AE$16,0,0,1,-OFFSET(Assumptions!$B$67,0,$C$1)))/OFFSET(Assumptions!$B$67,0,$C$1)-AE$399/AE$14,(AE$399/AE$14-AD$399/AD$14)/AE$2),0))*AF$14</f>
        <v>3.1507785142942852</v>
      </c>
      <c r="AG399" s="8">
        <f ca="1">(AF$399/AF$14+ IF(AG$2&gt;0,AG$2*IF(AG$6=OFFSET(Assumptions!$B$8,0,$C$1),SUMPRODUCT(OFFSET(AF$399,0,0,1,-OFFSET(Assumptions!$B$67,0,$C$1)),OFFSET(AF$16,0,0,1,-OFFSET(Assumptions!$B$67,0,$C$1)))/OFFSET(Assumptions!$B$67,0,$C$1)-AF$399/AF$14,(AF$399/AF$14-AE$399/AE$14)/AF$2),0))*AG$14</f>
        <v>3.2778311460016654</v>
      </c>
      <c r="AH399" s="8">
        <f ca="1">(AG$399/AG$14+ IF(AH$2&gt;0,AH$2*IF(AH$6=OFFSET(Assumptions!$B$8,0,$C$1),SUMPRODUCT(OFFSET(AG$399,0,0,1,-OFFSET(Assumptions!$B$67,0,$C$1)),OFFSET(AG$16,0,0,1,-OFFSET(Assumptions!$B$67,0,$C$1)))/OFFSET(Assumptions!$B$67,0,$C$1)-AG$399/AG$14,(AG$399/AG$14-AF$399/AF$14)/AG$2),0))*AH$14</f>
        <v>3.4100627065433735</v>
      </c>
      <c r="AI399" s="8">
        <f ca="1">(AH$399/AH$14+ IF(AI$2&gt;0,AI$2*IF(AI$6=OFFSET(Assumptions!$B$8,0,$C$1),SUMPRODUCT(OFFSET(AH$399,0,0,1,-OFFSET(Assumptions!$B$67,0,$C$1)),OFFSET(AH$16,0,0,1,-OFFSET(Assumptions!$B$67,0,$C$1)))/OFFSET(Assumptions!$B$67,0,$C$1)-AH$399/AH$14,(AH$399/AH$14-AG$399/AG$14)/AH$2),0))*AI$14</f>
        <v>3.547242143610057</v>
      </c>
      <c r="AJ399" s="8">
        <f ca="1">(AI$399/AI$14+ IF(AJ$2&gt;0,AJ$2*IF(AJ$6=OFFSET(Assumptions!$B$8,0,$C$1),SUMPRODUCT(OFFSET(AI$399,0,0,1,-OFFSET(Assumptions!$B$67,0,$C$1)),OFFSET(AI$16,0,0,1,-OFFSET(Assumptions!$B$67,0,$C$1)))/OFFSET(Assumptions!$B$67,0,$C$1)-AI$399/AI$14,(AI$399/AI$14-AH$399/AH$14)/AI$2),0))*AJ$14</f>
        <v>3.6898089112860299</v>
      </c>
      <c r="AK399" s="8">
        <f ca="1">(AJ$399/AJ$14+ IF(AK$2&gt;0,AK$2*IF(AK$6=OFFSET(Assumptions!$B$8,0,$C$1),SUMPRODUCT(OFFSET(AJ$399,0,0,1,-OFFSET(Assumptions!$B$67,0,$C$1)),OFFSET(AJ$16,0,0,1,-OFFSET(Assumptions!$B$67,0,$C$1)))/OFFSET(Assumptions!$B$67,0,$C$1)-AJ$399/AJ$14,(AJ$399/AJ$14-AI$399/AI$14)/AJ$2),0))*AK$14</f>
        <v>3.8376457297566366</v>
      </c>
      <c r="AL399" s="8">
        <f ca="1">(AK$399/AK$14+ IF(AL$2&gt;0,AL$2*IF(AL$6=OFFSET(Assumptions!$B$8,0,$C$1),SUMPRODUCT(OFFSET(AK$399,0,0,1,-OFFSET(Assumptions!$B$67,0,$C$1)),OFFSET(AK$16,0,0,1,-OFFSET(Assumptions!$B$67,0,$C$1)))/OFFSET(Assumptions!$B$67,0,$C$1)-AK$399/AK$14,(AK$399/AK$14-AJ$399/AJ$14)/AK$2),0))*AL$14</f>
        <v>3.9906361438814191</v>
      </c>
      <c r="AM399" s="8">
        <f ca="1">(AL$399/AL$14+ IF(AM$2&gt;0,AM$2*IF(AM$6=OFFSET(Assumptions!$B$8,0,$C$1),SUMPRODUCT(OFFSET(AL$399,0,0,1,-OFFSET(Assumptions!$B$67,0,$C$1)),OFFSET(AL$16,0,0,1,-OFFSET(Assumptions!$B$67,0,$C$1)))/OFFSET(Assumptions!$B$67,0,$C$1)-AL$399/AL$14,(AL$399/AL$14-AK$399/AK$14)/AL$2),0))*AM$14</f>
        <v>4.1489891584885275</v>
      </c>
      <c r="AN399" s="8">
        <f ca="1">(AM$399/AM$14+ IF(AN$2&gt;0,AN$2*IF(AN$6=OFFSET(Assumptions!$B$8,0,$C$1),SUMPRODUCT(OFFSET(AM$399,0,0,1,-OFFSET(Assumptions!$B$67,0,$C$1)),OFFSET(AM$16,0,0,1,-OFFSET(Assumptions!$B$67,0,$C$1)))/OFFSET(Assumptions!$B$67,0,$C$1)-AM$399/AM$14,(AM$399/AM$14-AL$399/AL$14)/AM$2),0))*AN$14</f>
        <v>4.3129250410877749</v>
      </c>
      <c r="AO399" s="8">
        <f ca="1">(AN$399/AN$14+ IF(AO$2&gt;0,AO$2*IF(AO$6=OFFSET(Assumptions!$B$8,0,$C$1),SUMPRODUCT(OFFSET(AN$399,0,0,1,-OFFSET(Assumptions!$B$67,0,$C$1)),OFFSET(AN$16,0,0,1,-OFFSET(Assumptions!$B$67,0,$C$1)))/OFFSET(Assumptions!$B$67,0,$C$1)-AN$399/AN$14,(AN$399/AN$14-AM$399/AM$14)/AN$2),0))*AO$14</f>
        <v>4.4818000721598503</v>
      </c>
      <c r="AP399" s="8">
        <f ca="1">(AO$399/AO$14+ IF(AP$2&gt;0,AP$2*IF(AP$6=OFFSET(Assumptions!$B$8,0,$C$1),SUMPRODUCT(OFFSET(AO$399,0,0,1,-OFFSET(Assumptions!$B$67,0,$C$1)),OFFSET(AO$16,0,0,1,-OFFSET(Assumptions!$B$67,0,$C$1)))/OFFSET(Assumptions!$B$67,0,$C$1)-AO$399/AO$14,(AO$399/AO$14-AN$399/AN$14)/AO$2),0))*AP$14</f>
        <v>4.6563313786998144</v>
      </c>
      <c r="AQ399" s="8">
        <f ca="1">(AP$399/AP$14+ IF(AQ$2&gt;0,AQ$2*IF(AQ$6=OFFSET(Assumptions!$B$8,0,$C$1),SUMPRODUCT(OFFSET(AP$399,0,0,1,-OFFSET(Assumptions!$B$67,0,$C$1)),OFFSET(AP$16,0,0,1,-OFFSET(Assumptions!$B$67,0,$C$1)))/OFFSET(Assumptions!$B$67,0,$C$1)-AP$399/AP$14,(AP$399/AP$14-AO$399/AO$14)/AP$2),0))*AQ$14</f>
        <v>4.836029924537514</v>
      </c>
      <c r="AR399" s="8">
        <f ca="1">(AQ$399/AQ$14+ IF(AR$2&gt;0,AR$2*IF(AR$6=OFFSET(Assumptions!$B$8,0,$C$1),SUMPRODUCT(OFFSET(AQ$399,0,0,1,-OFFSET(Assumptions!$B$67,0,$C$1)),OFFSET(AQ$16,0,0,1,-OFFSET(Assumptions!$B$67,0,$C$1)))/OFFSET(Assumptions!$B$67,0,$C$1)-AQ$399/AQ$14,(AQ$399/AQ$14-AP$399/AP$14)/AQ$2),0))*AR$14</f>
        <v>5.0210991605743462</v>
      </c>
      <c r="AS399" s="8">
        <f ca="1">(AR$399/AR$14+ IF(AS$2&gt;0,AS$2*IF(AS$6=OFFSET(Assumptions!$B$8,0,$C$1),SUMPRODUCT(OFFSET(AR$399,0,0,1,-OFFSET(Assumptions!$B$67,0,$C$1)),OFFSET(AR$16,0,0,1,-OFFSET(Assumptions!$B$67,0,$C$1)))/OFFSET(Assumptions!$B$67,0,$C$1)-AR$399/AR$14,(AR$399/AR$14-AQ$399/AQ$14)/AR$2),0))*AS$14</f>
        <v>5.2119708479998685</v>
      </c>
      <c r="AT399" s="8">
        <f ca="1">(AS$399/AS$14+ IF(AT$2&gt;0,AT$2*IF(AT$6=OFFSET(Assumptions!$B$8,0,$C$1),SUMPRODUCT(OFFSET(AS$399,0,0,1,-OFFSET(Assumptions!$B$67,0,$C$1)),OFFSET(AS$16,0,0,1,-OFFSET(Assumptions!$B$67,0,$C$1)))/OFFSET(Assumptions!$B$67,0,$C$1)-AS$399/AS$14,(AS$399/AS$14-AR$399/AR$14)/AS$2),0))*AT$14</f>
        <v>5.4087974297818606</v>
      </c>
      <c r="AU399" s="8">
        <f ca="1">(AT$399/AT$14+ IF(AU$2&gt;0,AU$2*IF(AU$6=OFFSET(Assumptions!$B$8,0,$C$1),SUMPRODUCT(OFFSET(AT$399,0,0,1,-OFFSET(Assumptions!$B$67,0,$C$1)),OFFSET(AT$16,0,0,1,-OFFSET(Assumptions!$B$67,0,$C$1)))/OFFSET(Assumptions!$B$67,0,$C$1)-AT$399/AT$14,(AT$399/AT$14-AS$399/AS$14)/AT$2),0))*AU$14</f>
        <v>5.6118406413336199</v>
      </c>
      <c r="AV399" s="8">
        <f ca="1">(AU$399/AU$14+ IF(AV$2&gt;0,AV$2*IF(AV$6=OFFSET(Assumptions!$B$8,0,$C$1),SUMPRODUCT(OFFSET(AU$399,0,0,1,-OFFSET(Assumptions!$B$67,0,$C$1)),OFFSET(AU$16,0,0,1,-OFFSET(Assumptions!$B$67,0,$C$1)))/OFFSET(Assumptions!$B$67,0,$C$1)-AU$399/AU$14,(AU$399/AU$14-AT$399/AT$14)/AU$2),0))*AV$14</f>
        <v>5.8217282715679826</v>
      </c>
      <c r="AW399" s="8">
        <f ca="1">(AV$399/AV$14+ IF(AW$2&gt;0,AW$2*IF(AW$6=OFFSET(Assumptions!$B$8,0,$C$1),SUMPRODUCT(OFFSET(AV$399,0,0,1,-OFFSET(Assumptions!$B$67,0,$C$1)),OFFSET(AV$16,0,0,1,-OFFSET(Assumptions!$B$67,0,$C$1)))/OFFSET(Assumptions!$B$67,0,$C$1)-AV$399/AV$14,(AV$399/AV$14-AU$399/AU$14)/AV$2),0))*AW$14</f>
        <v>6.0383418271266143</v>
      </c>
    </row>
    <row r="400" spans="1:49" ht="15" x14ac:dyDescent="0.25">
      <c r="A400" s="2" t="s">
        <v>644</v>
      </c>
      <c r="B400" s="4" t="str">
        <f t="shared" si="241"/>
        <v>From Fiscal</v>
      </c>
      <c r="D400" s="47">
        <f>Fiscal!D$120</f>
        <v>2.3889999999999998</v>
      </c>
      <c r="E400" s="44">
        <f>Fiscal!E$120</f>
        <v>2.3460000000000001</v>
      </c>
      <c r="F400" s="44">
        <f>Fiscal!F$120</f>
        <v>2.3010000000000002</v>
      </c>
      <c r="G400" s="44">
        <f>Fiscal!G$120</f>
        <v>2.302</v>
      </c>
      <c r="H400" s="44">
        <f>Fiscal!H$120</f>
        <v>2.302</v>
      </c>
      <c r="I400" s="44">
        <f>Fiscal!I$120</f>
        <v>2.3149999999999999</v>
      </c>
      <c r="J400" s="8">
        <f ca="1">((I$400-I$399)/I$14+ IF(J$2&gt;0,J$2*IF(J$6=OFFSET(Assumptions!$B$8,0,$C$1),(SUMPRODUCT(OFFSET(I$400,0,0,1,-OFFSET(Assumptions!$B$67,0,$C$1)),OFFSET(I$16,0,0,1,-OFFSET(Assumptions!$B$67,0,$C$1)))-SUMPRODUCT(OFFSET(I$399,0,0,1,-OFFSET(Assumptions!$B$67,0,$C$1)),OFFSET(I$16,0,0,1,-OFFSET(Assumptions!$B$67,0,$C$1))))/OFFSET(Assumptions!$B$67,0,$C$1)-(I$400-I$399)/I$14,((I$400-I$399)/I$14-(H$400-H$399)/H$14)/I$2),0))*J$14 +J$399</f>
        <v>2.4453364128327926</v>
      </c>
      <c r="K400" s="8">
        <f ca="1">((J$400-J$399)/J$14+ IF(K$2&gt;0,K$2*IF(K$6=OFFSET(Assumptions!$B$8,0,$C$1),(SUMPRODUCT(OFFSET(J$400,0,0,1,-OFFSET(Assumptions!$B$67,0,$C$1)),OFFSET(J$16,0,0,1,-OFFSET(Assumptions!$B$67,0,$C$1)))-SUMPRODUCT(OFFSET(J$399,0,0,1,-OFFSET(Assumptions!$B$67,0,$C$1)),OFFSET(J$16,0,0,1,-OFFSET(Assumptions!$B$67,0,$C$1))))/OFFSET(Assumptions!$B$67,0,$C$1)-(J$400-J$399)/J$14,((J$400-J$399)/J$14-(I$400-I$399)/I$14)/J$2),0))*K$14 +K$399</f>
        <v>2.5748548498699995</v>
      </c>
      <c r="L400" s="8">
        <f ca="1">((K$400-K$399)/K$14+ IF(L$2&gt;0,L$2*IF(L$6=OFFSET(Assumptions!$B$8,0,$C$1),(SUMPRODUCT(OFFSET(K$400,0,0,1,-OFFSET(Assumptions!$B$67,0,$C$1)),OFFSET(K$16,0,0,1,-OFFSET(Assumptions!$B$67,0,$C$1)))-SUMPRODUCT(OFFSET(K$399,0,0,1,-OFFSET(Assumptions!$B$67,0,$C$1)),OFFSET(K$16,0,0,1,-OFFSET(Assumptions!$B$67,0,$C$1))))/OFFSET(Assumptions!$B$67,0,$C$1)-(K$400-K$399)/K$14,((K$400-K$399)/K$14-(J$400-J$399)/J$14)/K$2),0))*L$14 +L$399</f>
        <v>2.7078465740014375</v>
      </c>
      <c r="M400" s="8">
        <f ca="1">((L$400-L$399)/L$14+ IF(M$2&gt;0,M$2*IF(M$6=OFFSET(Assumptions!$B$8,0,$C$1),(SUMPRODUCT(OFFSET(L$400,0,0,1,-OFFSET(Assumptions!$B$67,0,$C$1)),OFFSET(L$16,0,0,1,-OFFSET(Assumptions!$B$67,0,$C$1)))-SUMPRODUCT(OFFSET(L$399,0,0,1,-OFFSET(Assumptions!$B$67,0,$C$1)),OFFSET(L$16,0,0,1,-OFFSET(Assumptions!$B$67,0,$C$1))))/OFFSET(Assumptions!$B$67,0,$C$1)-(L$400-L$399)/L$14,((L$400-L$399)/L$14-(K$400-K$399)/K$14)/L$2),0))*M$14 +M$399</f>
        <v>2.8397148984968976</v>
      </c>
      <c r="N400" s="8">
        <f ca="1">((M$400-M$399)/M$14+ IF(N$2&gt;0,N$2*IF(N$6=OFFSET(Assumptions!$B$8,0,$C$1),(SUMPRODUCT(OFFSET(M$400,0,0,1,-OFFSET(Assumptions!$B$67,0,$C$1)),OFFSET(M$16,0,0,1,-OFFSET(Assumptions!$B$67,0,$C$1)))-SUMPRODUCT(OFFSET(M$399,0,0,1,-OFFSET(Assumptions!$B$67,0,$C$1)),OFFSET(M$16,0,0,1,-OFFSET(Assumptions!$B$67,0,$C$1))))/OFFSET(Assumptions!$B$67,0,$C$1)-(M$400-M$399)/M$14,((M$400-M$399)/M$14-(L$400-L$399)/L$14)/M$2),0))*N$14 +N$399</f>
        <v>2.9699412677956074</v>
      </c>
      <c r="O400" s="8">
        <f ca="1">((N$400-N$399)/N$14+ IF(O$2&gt;0,O$2*IF(O$6=OFFSET(Assumptions!$B$8,0,$C$1),(SUMPRODUCT(OFFSET(N$400,0,0,1,-OFFSET(Assumptions!$B$67,0,$C$1)),OFFSET(N$16,0,0,1,-OFFSET(Assumptions!$B$67,0,$C$1)))-SUMPRODUCT(OFFSET(N$399,0,0,1,-OFFSET(Assumptions!$B$67,0,$C$1)),OFFSET(N$16,0,0,1,-OFFSET(Assumptions!$B$67,0,$C$1))))/OFFSET(Assumptions!$B$67,0,$C$1)-(N$400-N$399)/N$14,((N$400-N$399)/N$14-(M$400-M$399)/M$14)/N$2),0))*O$14 +O$399</f>
        <v>3.0967183579675179</v>
      </c>
      <c r="P400" s="8">
        <f ca="1">((O$400-O$399)/O$14+ IF(P$2&gt;0,P$2*IF(P$6=OFFSET(Assumptions!$B$8,0,$C$1),(SUMPRODUCT(OFFSET(O$400,0,0,1,-OFFSET(Assumptions!$B$67,0,$C$1)),OFFSET(O$16,0,0,1,-OFFSET(Assumptions!$B$67,0,$C$1)))-SUMPRODUCT(OFFSET(O$399,0,0,1,-OFFSET(Assumptions!$B$67,0,$C$1)),OFFSET(O$16,0,0,1,-OFFSET(Assumptions!$B$67,0,$C$1))))/OFFSET(Assumptions!$B$67,0,$C$1)-(O$400-O$399)/O$14,((O$400-O$399)/O$14-(N$400-N$399)/N$14)/O$2),0))*P$14 +P$399</f>
        <v>3.2276751747201873</v>
      </c>
      <c r="Q400" s="8">
        <f ca="1">((P$400-P$399)/P$14+ IF(Q$2&gt;0,Q$2*IF(Q$6=OFFSET(Assumptions!$B$8,0,$C$1),(SUMPRODUCT(OFFSET(P$400,0,0,1,-OFFSET(Assumptions!$B$67,0,$C$1)),OFFSET(P$16,0,0,1,-OFFSET(Assumptions!$B$67,0,$C$1)))-SUMPRODUCT(OFFSET(P$399,0,0,1,-OFFSET(Assumptions!$B$67,0,$C$1)),OFFSET(P$16,0,0,1,-OFFSET(Assumptions!$B$67,0,$C$1))))/OFFSET(Assumptions!$B$67,0,$C$1)-(P$400-P$399)/P$14,((P$400-P$399)/P$14-(O$400-O$399)/O$14)/P$2),0))*Q$14 +Q$399</f>
        <v>3.3626702606453946</v>
      </c>
      <c r="R400" s="8">
        <f ca="1">((Q$400-Q$399)/Q$14+ IF(R$2&gt;0,R$2*IF(R$6=OFFSET(Assumptions!$B$8,0,$C$1),(SUMPRODUCT(OFFSET(Q$400,0,0,1,-OFFSET(Assumptions!$B$67,0,$C$1)),OFFSET(Q$16,0,0,1,-OFFSET(Assumptions!$B$67,0,$C$1)))-SUMPRODUCT(OFFSET(Q$399,0,0,1,-OFFSET(Assumptions!$B$67,0,$C$1)),OFFSET(Q$16,0,0,1,-OFFSET(Assumptions!$B$67,0,$C$1))))/OFFSET(Assumptions!$B$67,0,$C$1)-(Q$400-Q$399)/Q$14,((Q$400-Q$399)/Q$14-(P$400-P$399)/P$14)/Q$2),0))*R$14 +R$399</f>
        <v>3.5016034200270738</v>
      </c>
      <c r="S400" s="8">
        <f ca="1">((R$400-R$399)/R$14+ IF(S$2&gt;0,S$2*IF(S$6=OFFSET(Assumptions!$B$8,0,$C$1),(SUMPRODUCT(OFFSET(R$400,0,0,1,-OFFSET(Assumptions!$B$67,0,$C$1)),OFFSET(R$16,0,0,1,-OFFSET(Assumptions!$B$67,0,$C$1)))-SUMPRODUCT(OFFSET(R$399,0,0,1,-OFFSET(Assumptions!$B$67,0,$C$1)),OFFSET(R$16,0,0,1,-OFFSET(Assumptions!$B$67,0,$C$1))))/OFFSET(Assumptions!$B$67,0,$C$1)-(R$400-R$399)/R$14,((R$400-R$399)/R$14-(Q$400-Q$399)/Q$14)/R$2),0))*S$14 +S$399</f>
        <v>3.6449161767804421</v>
      </c>
      <c r="T400" s="8">
        <f ca="1">((S$400-S$399)/S$14+ IF(T$2&gt;0,T$2*IF(T$6=OFFSET(Assumptions!$B$8,0,$C$1),(SUMPRODUCT(OFFSET(S$400,0,0,1,-OFFSET(Assumptions!$B$67,0,$C$1)),OFFSET(S$16,0,0,1,-OFFSET(Assumptions!$B$67,0,$C$1)))-SUMPRODUCT(OFFSET(S$399,0,0,1,-OFFSET(Assumptions!$B$67,0,$C$1)),OFFSET(S$16,0,0,1,-OFFSET(Assumptions!$B$67,0,$C$1))))/OFFSET(Assumptions!$B$67,0,$C$1)-(S$400-S$399)/S$14,((S$400-S$399)/S$14-(R$400-R$399)/R$14)/S$2),0))*T$14 +T$399</f>
        <v>3.7926607922157869</v>
      </c>
      <c r="U400" s="8">
        <f ca="1">((T$400-T$399)/T$14+ IF(U$2&gt;0,U$2*IF(U$6=OFFSET(Assumptions!$B$8,0,$C$1),(SUMPRODUCT(OFFSET(T$400,0,0,1,-OFFSET(Assumptions!$B$67,0,$C$1)),OFFSET(T$16,0,0,1,-OFFSET(Assumptions!$B$67,0,$C$1)))-SUMPRODUCT(OFFSET(T$399,0,0,1,-OFFSET(Assumptions!$B$67,0,$C$1)),OFFSET(T$16,0,0,1,-OFFSET(Assumptions!$B$67,0,$C$1))))/OFFSET(Assumptions!$B$67,0,$C$1)-(T$400-T$399)/T$14,((T$400-T$399)/T$14-(S$400-S$399)/S$14)/T$2),0))*U$14 +U$399</f>
        <v>3.9453675178634056</v>
      </c>
      <c r="V400" s="8">
        <f ca="1">((U$400-U$399)/U$14+ IF(V$2&gt;0,V$2*IF(V$6=OFFSET(Assumptions!$B$8,0,$C$1),(SUMPRODUCT(OFFSET(U$400,0,0,1,-OFFSET(Assumptions!$B$67,0,$C$1)),OFFSET(U$16,0,0,1,-OFFSET(Assumptions!$B$67,0,$C$1)))-SUMPRODUCT(OFFSET(U$399,0,0,1,-OFFSET(Assumptions!$B$67,0,$C$1)),OFFSET(U$16,0,0,1,-OFFSET(Assumptions!$B$67,0,$C$1))))/OFFSET(Assumptions!$B$67,0,$C$1)-(U$400-U$399)/U$14,((U$400-U$399)/U$14-(T$400-T$399)/T$14)/U$2),0))*V$14 +V$399</f>
        <v>4.1034133111477846</v>
      </c>
      <c r="W400" s="8">
        <f ca="1">((V$400-V$399)/V$14+ IF(W$2&gt;0,W$2*IF(W$6=OFFSET(Assumptions!$B$8,0,$C$1),(SUMPRODUCT(OFFSET(V$400,0,0,1,-OFFSET(Assumptions!$B$67,0,$C$1)),OFFSET(V$16,0,0,1,-OFFSET(Assumptions!$B$67,0,$C$1)))-SUMPRODUCT(OFFSET(V$399,0,0,1,-OFFSET(Assumptions!$B$67,0,$C$1)),OFFSET(V$16,0,0,1,-OFFSET(Assumptions!$B$67,0,$C$1))))/OFFSET(Assumptions!$B$67,0,$C$1)-(V$400-V$399)/V$14,((V$400-V$399)/V$14-(U$400-U$399)/U$14)/V$2),0))*W$14 +W$399</f>
        <v>4.2672560705971216</v>
      </c>
      <c r="X400" s="8">
        <f ca="1">((W$400-W$399)/W$14+ IF(X$2&gt;0,X$2*IF(X$6=OFFSET(Assumptions!$B$8,0,$C$1),(SUMPRODUCT(OFFSET(W$400,0,0,1,-OFFSET(Assumptions!$B$67,0,$C$1)),OFFSET(W$16,0,0,1,-OFFSET(Assumptions!$B$67,0,$C$1)))-SUMPRODUCT(OFFSET(W$399,0,0,1,-OFFSET(Assumptions!$B$67,0,$C$1)),OFFSET(W$16,0,0,1,-OFFSET(Assumptions!$B$67,0,$C$1))))/OFFSET(Assumptions!$B$67,0,$C$1)-(W$400-W$399)/W$14,((W$400-W$399)/W$14-(V$400-V$399)/V$14)/W$2),0))*X$14 +X$399</f>
        <v>4.4374147611607544</v>
      </c>
      <c r="Y400" s="8">
        <f ca="1">((X$400-X$399)/X$14+ IF(Y$2&gt;0,Y$2*IF(Y$6=OFFSET(Assumptions!$B$8,0,$C$1),(SUMPRODUCT(OFFSET(X$400,0,0,1,-OFFSET(Assumptions!$B$67,0,$C$1)),OFFSET(X$16,0,0,1,-OFFSET(Assumptions!$B$67,0,$C$1)))-SUMPRODUCT(OFFSET(X$399,0,0,1,-OFFSET(Assumptions!$B$67,0,$C$1)),OFFSET(X$16,0,0,1,-OFFSET(Assumptions!$B$67,0,$C$1))))/OFFSET(Assumptions!$B$67,0,$C$1)-(X$400-X$399)/X$14,((X$400-X$399)/X$14-(W$400-W$399)/W$14)/X$2),0))*Y$14 +Y$399</f>
        <v>4.6138719869864158</v>
      </c>
      <c r="Z400" s="8">
        <f ca="1">((Y$400-Y$399)/Y$14+ IF(Z$2&gt;0,Z$2*IF(Z$6=OFFSET(Assumptions!$B$8,0,$C$1),(SUMPRODUCT(OFFSET(Y$400,0,0,1,-OFFSET(Assumptions!$B$67,0,$C$1)),OFFSET(Y$16,0,0,1,-OFFSET(Assumptions!$B$67,0,$C$1)))-SUMPRODUCT(OFFSET(Y$399,0,0,1,-OFFSET(Assumptions!$B$67,0,$C$1)),OFFSET(Y$16,0,0,1,-OFFSET(Assumptions!$B$67,0,$C$1))))/OFFSET(Assumptions!$B$67,0,$C$1)-(Y$400-Y$399)/Y$14,((Y$400-Y$399)/Y$14-(X$400-X$399)/X$14)/Y$2),0))*Z$14 +Z$399</f>
        <v>4.7975209114489612</v>
      </c>
      <c r="AA400" s="8">
        <f ca="1">((Z$400-Z$399)/Z$14+ IF(AA$2&gt;0,AA$2*IF(AA$6=OFFSET(Assumptions!$B$8,0,$C$1),(SUMPRODUCT(OFFSET(Z$400,0,0,1,-OFFSET(Assumptions!$B$67,0,$C$1)),OFFSET(Z$16,0,0,1,-OFFSET(Assumptions!$B$67,0,$C$1)))-SUMPRODUCT(OFFSET(Z$399,0,0,1,-OFFSET(Assumptions!$B$67,0,$C$1)),OFFSET(Z$16,0,0,1,-OFFSET(Assumptions!$B$67,0,$C$1))))/OFFSET(Assumptions!$B$67,0,$C$1)-(Z$400-Z$399)/Z$14,((Z$400-Z$399)/Z$14-(Y$400-Y$399)/Y$14)/Z$2),0))*AA$14 +AA$399</f>
        <v>4.9886586791414844</v>
      </c>
      <c r="AB400" s="8">
        <f ca="1">((AA$400-AA$399)/AA$14+ IF(AB$2&gt;0,AB$2*IF(AB$6=OFFSET(Assumptions!$B$8,0,$C$1),(SUMPRODUCT(OFFSET(AA$400,0,0,1,-OFFSET(Assumptions!$B$67,0,$C$1)),OFFSET(AA$16,0,0,1,-OFFSET(Assumptions!$B$67,0,$C$1)))-SUMPRODUCT(OFFSET(AA$399,0,0,1,-OFFSET(Assumptions!$B$67,0,$C$1)),OFFSET(AA$16,0,0,1,-OFFSET(Assumptions!$B$67,0,$C$1))))/OFFSET(Assumptions!$B$67,0,$C$1)-(AA$400-AA$399)/AA$14,((AA$400-AA$399)/AA$14-(Z$400-Z$399)/Z$14)/AA$2),0))*AB$14 +AB$399</f>
        <v>5.1878592944321795</v>
      </c>
      <c r="AC400" s="8">
        <f ca="1">((AB$400-AB$399)/AB$14+ IF(AC$2&gt;0,AC$2*IF(AC$6=OFFSET(Assumptions!$B$8,0,$C$1),(SUMPRODUCT(OFFSET(AB$400,0,0,1,-OFFSET(Assumptions!$B$67,0,$C$1)),OFFSET(AB$16,0,0,1,-OFFSET(Assumptions!$B$67,0,$C$1)))-SUMPRODUCT(OFFSET(AB$399,0,0,1,-OFFSET(Assumptions!$B$67,0,$C$1)),OFFSET(AB$16,0,0,1,-OFFSET(Assumptions!$B$67,0,$C$1))))/OFFSET(Assumptions!$B$67,0,$C$1)-(AB$400-AB$399)/AB$14,((AB$400-AB$399)/AB$14-(AA$400-AA$399)/AA$14)/AB$2),0))*AC$14 +AC$399</f>
        <v>5.3958747666757692</v>
      </c>
      <c r="AD400" s="8">
        <f ca="1">((AC$400-AC$399)/AC$14+ IF(AD$2&gt;0,AD$2*IF(AD$6=OFFSET(Assumptions!$B$8,0,$C$1),(SUMPRODUCT(OFFSET(AC$400,0,0,1,-OFFSET(Assumptions!$B$67,0,$C$1)),OFFSET(AC$16,0,0,1,-OFFSET(Assumptions!$B$67,0,$C$1)))-SUMPRODUCT(OFFSET(AC$399,0,0,1,-OFFSET(Assumptions!$B$67,0,$C$1)),OFFSET(AC$16,0,0,1,-OFFSET(Assumptions!$B$67,0,$C$1))))/OFFSET(Assumptions!$B$67,0,$C$1)-(AC$400-AC$399)/AC$14,((AC$400-AC$399)/AC$14-(AB$400-AB$399)/AB$14)/AC$2),0))*AD$14 +AD$399</f>
        <v>5.6129243467460128</v>
      </c>
      <c r="AE400" s="8">
        <f ca="1">((AD$400-AD$399)/AD$14+ IF(AE$2&gt;0,AE$2*IF(AE$6=OFFSET(Assumptions!$B$8,0,$C$1),(SUMPRODUCT(OFFSET(AD$400,0,0,1,-OFFSET(Assumptions!$B$67,0,$C$1)),OFFSET(AD$16,0,0,1,-OFFSET(Assumptions!$B$67,0,$C$1)))-SUMPRODUCT(OFFSET(AD$399,0,0,1,-OFFSET(Assumptions!$B$67,0,$C$1)),OFFSET(AD$16,0,0,1,-OFFSET(Assumptions!$B$67,0,$C$1))))/OFFSET(Assumptions!$B$67,0,$C$1)-(AD$400-AD$399)/AD$14,((AD$400-AD$399)/AD$14-(AC$400-AC$399)/AC$14)/AD$2),0))*AE$14 +AE$399</f>
        <v>5.8388087035333704</v>
      </c>
      <c r="AF400" s="8">
        <f ca="1">((AE$400-AE$399)/AE$14+ IF(AF$2&gt;0,AF$2*IF(AF$6=OFFSET(Assumptions!$B$8,0,$C$1),(SUMPRODUCT(OFFSET(AE$400,0,0,1,-OFFSET(Assumptions!$B$67,0,$C$1)),OFFSET(AE$16,0,0,1,-OFFSET(Assumptions!$B$67,0,$C$1)))-SUMPRODUCT(OFFSET(AE$399,0,0,1,-OFFSET(Assumptions!$B$67,0,$C$1)),OFFSET(AE$16,0,0,1,-OFFSET(Assumptions!$B$67,0,$C$1))))/OFFSET(Assumptions!$B$67,0,$C$1)-(AE$400-AE$399)/AE$14,((AE$400-AE$399)/AE$14-(AD$400-AD$399)/AD$14)/AE$2),0))*AF$14 +AF$399</f>
        <v>6.0741527686087533</v>
      </c>
      <c r="AG400" s="8">
        <f ca="1">((AF$400-AF$399)/AF$14+ IF(AG$2&gt;0,AG$2*IF(AG$6=OFFSET(Assumptions!$B$8,0,$C$1),(SUMPRODUCT(OFFSET(AF$400,0,0,1,-OFFSET(Assumptions!$B$67,0,$C$1)),OFFSET(AF$16,0,0,1,-OFFSET(Assumptions!$B$67,0,$C$1)))-SUMPRODUCT(OFFSET(AF$399,0,0,1,-OFFSET(Assumptions!$B$67,0,$C$1)),OFFSET(AF$16,0,0,1,-OFFSET(Assumptions!$B$67,0,$C$1))))/OFFSET(Assumptions!$B$67,0,$C$1)-(AF$400-AF$399)/AF$14,((AF$400-AF$399)/AF$14-(AE$400-AE$399)/AE$14)/AF$2),0))*AG$14 +AG$399</f>
        <v>6.3190881365323417</v>
      </c>
      <c r="AH400" s="8">
        <f ca="1">((AG$400-AG$399)/AG$14+ IF(AH$2&gt;0,AH$2*IF(AH$6=OFFSET(Assumptions!$B$8,0,$C$1),(SUMPRODUCT(OFFSET(AG$400,0,0,1,-OFFSET(Assumptions!$B$67,0,$C$1)),OFFSET(AG$16,0,0,1,-OFFSET(Assumptions!$B$67,0,$C$1)))-SUMPRODUCT(OFFSET(AG$399,0,0,1,-OFFSET(Assumptions!$B$67,0,$C$1)),OFFSET(AG$16,0,0,1,-OFFSET(Assumptions!$B$67,0,$C$1))))/OFFSET(Assumptions!$B$67,0,$C$1)-(AG$400-AG$399)/AG$14,((AG$400-AG$399)/AG$14-(AF$400-AF$399)/AF$14)/AG$2),0))*AH$14 +AH$399</f>
        <v>6.574007578161762</v>
      </c>
      <c r="AI400" s="8">
        <f ca="1">((AH$400-AH$399)/AH$14+ IF(AI$2&gt;0,AI$2*IF(AI$6=OFFSET(Assumptions!$B$8,0,$C$1),(SUMPRODUCT(OFFSET(AH$400,0,0,1,-OFFSET(Assumptions!$B$67,0,$C$1)),OFFSET(AH$16,0,0,1,-OFFSET(Assumptions!$B$67,0,$C$1)))-SUMPRODUCT(OFFSET(AH$399,0,0,1,-OFFSET(Assumptions!$B$67,0,$C$1)),OFFSET(AH$16,0,0,1,-OFFSET(Assumptions!$B$67,0,$C$1))))/OFFSET(Assumptions!$B$67,0,$C$1)-(AH$400-AH$399)/AH$14,((AH$400-AH$399)/AH$14-(AG$400-AG$399)/AG$14)/AH$2),0))*AI$14 +AI$399</f>
        <v>6.8384656648455913</v>
      </c>
      <c r="AJ400" s="8">
        <f ca="1">((AI$400-AI$399)/AI$14+ IF(AJ$2&gt;0,AJ$2*IF(AJ$6=OFFSET(Assumptions!$B$8,0,$C$1),(SUMPRODUCT(OFFSET(AI$400,0,0,1,-OFFSET(Assumptions!$B$67,0,$C$1)),OFFSET(AI$16,0,0,1,-OFFSET(Assumptions!$B$67,0,$C$1)))-SUMPRODUCT(OFFSET(AI$399,0,0,1,-OFFSET(Assumptions!$B$67,0,$C$1)),OFFSET(AI$16,0,0,1,-OFFSET(Assumptions!$B$67,0,$C$1))))/OFFSET(Assumptions!$B$67,0,$C$1)-(AI$400-AI$399)/AI$14,((AI$400-AI$399)/AI$14-(AH$400-AH$399)/AH$14)/AI$2),0))*AJ$14 +AJ$399</f>
        <v>7.113309587597354</v>
      </c>
      <c r="AK400" s="8">
        <f ca="1">((AJ$400-AJ$399)/AJ$14+ IF(AK$2&gt;0,AK$2*IF(AK$6=OFFSET(Assumptions!$B$8,0,$C$1),(SUMPRODUCT(OFFSET(AJ$400,0,0,1,-OFFSET(Assumptions!$B$67,0,$C$1)),OFFSET(AJ$16,0,0,1,-OFFSET(Assumptions!$B$67,0,$C$1)))-SUMPRODUCT(OFFSET(AJ$399,0,0,1,-OFFSET(Assumptions!$B$67,0,$C$1)),OFFSET(AJ$16,0,0,1,-OFFSET(Assumptions!$B$67,0,$C$1))))/OFFSET(Assumptions!$B$67,0,$C$1)-(AJ$400-AJ$399)/AJ$14,((AJ$400-AJ$399)/AJ$14-(AI$400-AI$399)/AI$14)/AJ$2),0))*AK$14 +AK$399</f>
        <v>7.3983132513400198</v>
      </c>
      <c r="AL400" s="8">
        <f ca="1">((AK$400-AK$399)/AK$14+ IF(AL$2&gt;0,AL$2*IF(AL$6=OFFSET(Assumptions!$B$8,0,$C$1),(SUMPRODUCT(OFFSET(AK$400,0,0,1,-OFFSET(Assumptions!$B$67,0,$C$1)),OFFSET(AK$16,0,0,1,-OFFSET(Assumptions!$B$67,0,$C$1)))-SUMPRODUCT(OFFSET(AK$399,0,0,1,-OFFSET(Assumptions!$B$67,0,$C$1)),OFFSET(AK$16,0,0,1,-OFFSET(Assumptions!$B$67,0,$C$1))))/OFFSET(Assumptions!$B$67,0,$C$1)-(AK$400-AK$399)/AK$14,((AK$400-AK$399)/AK$14-(AJ$400-AJ$399)/AJ$14)/AK$2),0))*AL$14 +AL$399</f>
        <v>7.693252150824927</v>
      </c>
      <c r="AM400" s="8">
        <f ca="1">((AL$400-AL$399)/AL$14+ IF(AM$2&gt;0,AM$2*IF(AM$6=OFFSET(Assumptions!$B$8,0,$C$1),(SUMPRODUCT(OFFSET(AL$400,0,0,1,-OFFSET(Assumptions!$B$67,0,$C$1)),OFFSET(AL$16,0,0,1,-OFFSET(Assumptions!$B$67,0,$C$1)))-SUMPRODUCT(OFFSET(AL$399,0,0,1,-OFFSET(Assumptions!$B$67,0,$C$1)),OFFSET(AL$16,0,0,1,-OFFSET(Assumptions!$B$67,0,$C$1))))/OFFSET(Assumptions!$B$67,0,$C$1)-(AL$400-AL$399)/AL$14,((AL$400-AL$399)/AL$14-(AK$400-AK$399)/AK$14)/AL$2),0))*AM$14 +AM$399</f>
        <v>7.9985292109957999</v>
      </c>
      <c r="AN400" s="8">
        <f ca="1">((AM$400-AM$399)/AM$14+ IF(AN$2&gt;0,AN$2*IF(AN$6=OFFSET(Assumptions!$B$8,0,$C$1),(SUMPRODUCT(OFFSET(AM$400,0,0,1,-OFFSET(Assumptions!$B$67,0,$C$1)),OFFSET(AM$16,0,0,1,-OFFSET(Assumptions!$B$67,0,$C$1)))-SUMPRODUCT(OFFSET(AM$399,0,0,1,-OFFSET(Assumptions!$B$67,0,$C$1)),OFFSET(AM$16,0,0,1,-OFFSET(Assumptions!$B$67,0,$C$1))))/OFFSET(Assumptions!$B$67,0,$C$1)-(AM$400-AM$399)/AM$14,((AM$400-AM$399)/AM$14-(AL$400-AL$399)/AL$14)/AM$2),0))*AN$14 +AN$399</f>
        <v>8.3145690692870033</v>
      </c>
      <c r="AO400" s="8">
        <f ca="1">((AN$400-AN$399)/AN$14+ IF(AO$2&gt;0,AO$2*IF(AO$6=OFFSET(Assumptions!$B$8,0,$C$1),(SUMPRODUCT(OFFSET(AN$400,0,0,1,-OFFSET(Assumptions!$B$67,0,$C$1)),OFFSET(AN$16,0,0,1,-OFFSET(Assumptions!$B$67,0,$C$1)))-SUMPRODUCT(OFFSET(AN$399,0,0,1,-OFFSET(Assumptions!$B$67,0,$C$1)),OFFSET(AN$16,0,0,1,-OFFSET(Assumptions!$B$67,0,$C$1))))/OFFSET(Assumptions!$B$67,0,$C$1)-(AN$400-AN$399)/AN$14,((AN$400-AN$399)/AN$14-(AM$400-AM$399)/AM$14)/AN$2),0))*AO$14 +AO$399</f>
        <v>8.6401307464666797</v>
      </c>
      <c r="AP400" s="8">
        <f ca="1">((AO$400-AO$399)/AO$14+ IF(AP$2&gt;0,AP$2*IF(AP$6=OFFSET(Assumptions!$B$8,0,$C$1),(SUMPRODUCT(OFFSET(AO$400,0,0,1,-OFFSET(Assumptions!$B$67,0,$C$1)),OFFSET(AO$16,0,0,1,-OFFSET(Assumptions!$B$67,0,$C$1)))-SUMPRODUCT(OFFSET(AO$399,0,0,1,-OFFSET(Assumptions!$B$67,0,$C$1)),OFFSET(AO$16,0,0,1,-OFFSET(Assumptions!$B$67,0,$C$1))))/OFFSET(Assumptions!$B$67,0,$C$1)-(AO$400-AO$399)/AO$14,((AO$400-AO$399)/AO$14-(AN$400-AN$399)/AN$14)/AO$2),0))*AP$14 +AP$399</f>
        <v>8.9765967386076966</v>
      </c>
      <c r="AQ400" s="8">
        <f ca="1">((AP$400-AP$399)/AP$14+ IF(AQ$2&gt;0,AQ$2*IF(AQ$6=OFFSET(Assumptions!$B$8,0,$C$1),(SUMPRODUCT(OFFSET(AP$400,0,0,1,-OFFSET(Assumptions!$B$67,0,$C$1)),OFFSET(AP$16,0,0,1,-OFFSET(Assumptions!$B$67,0,$C$1)))-SUMPRODUCT(OFFSET(AP$399,0,0,1,-OFFSET(Assumptions!$B$67,0,$C$1)),OFFSET(AP$16,0,0,1,-OFFSET(Assumptions!$B$67,0,$C$1))))/OFFSET(Assumptions!$B$67,0,$C$1)-(AP$400-AP$399)/AP$14,((AP$400-AP$399)/AP$14-(AO$400-AO$399)/AO$14)/AP$2),0))*AQ$14 +AQ$399</f>
        <v>9.3230242690618681</v>
      </c>
      <c r="AR400" s="8">
        <f ca="1">((AQ$400-AQ$399)/AQ$14+ IF(AR$2&gt;0,AR$2*IF(AR$6=OFFSET(Assumptions!$B$8,0,$C$1),(SUMPRODUCT(OFFSET(AQ$400,0,0,1,-OFFSET(Assumptions!$B$67,0,$C$1)),OFFSET(AQ$16,0,0,1,-OFFSET(Assumptions!$B$67,0,$C$1)))-SUMPRODUCT(OFFSET(AQ$399,0,0,1,-OFFSET(Assumptions!$B$67,0,$C$1)),OFFSET(AQ$16,0,0,1,-OFFSET(Assumptions!$B$67,0,$C$1))))/OFFSET(Assumptions!$B$67,0,$C$1)-(AQ$400-AQ$399)/AQ$14,((AQ$400-AQ$399)/AQ$14-(AP$400-AP$399)/AP$14)/AQ$2),0))*AR$14 +AR$399</f>
        <v>9.6798055557684695</v>
      </c>
      <c r="AS400" s="8">
        <f ca="1">((AR$400-AR$399)/AR$14+ IF(AS$2&gt;0,AS$2*IF(AS$6=OFFSET(Assumptions!$B$8,0,$C$1),(SUMPRODUCT(OFFSET(AR$400,0,0,1,-OFFSET(Assumptions!$B$67,0,$C$1)),OFFSET(AR$16,0,0,1,-OFFSET(Assumptions!$B$67,0,$C$1)))-SUMPRODUCT(OFFSET(AR$399,0,0,1,-OFFSET(Assumptions!$B$67,0,$C$1)),OFFSET(AR$16,0,0,1,-OFFSET(Assumptions!$B$67,0,$C$1))))/OFFSET(Assumptions!$B$67,0,$C$1)-(AR$400-AR$399)/AR$14,((AR$400-AR$399)/AR$14-(AQ$400-AQ$399)/AQ$14)/AR$2),0))*AS$14 +AS$399</f>
        <v>10.047772959178431</v>
      </c>
      <c r="AT400" s="8">
        <f ca="1">((AS$400-AS$399)/AS$14+ IF(AT$2&gt;0,AT$2*IF(AT$6=OFFSET(Assumptions!$B$8,0,$C$1),(SUMPRODUCT(OFFSET(AS$400,0,0,1,-OFFSET(Assumptions!$B$67,0,$C$1)),OFFSET(AS$16,0,0,1,-OFFSET(Assumptions!$B$67,0,$C$1)))-SUMPRODUCT(OFFSET(AS$399,0,0,1,-OFFSET(Assumptions!$B$67,0,$C$1)),OFFSET(AS$16,0,0,1,-OFFSET(Assumptions!$B$67,0,$C$1))))/OFFSET(Assumptions!$B$67,0,$C$1)-(AS$400-AS$399)/AS$14,((AS$400-AS$399)/AS$14-(AR$400-AR$399)/AR$14)/AS$2),0))*AT$14 +AT$399</f>
        <v>10.427220362809932</v>
      </c>
      <c r="AU400" s="8">
        <f ca="1">((AT$400-AT$399)/AT$14+ IF(AU$2&gt;0,AU$2*IF(AU$6=OFFSET(Assumptions!$B$8,0,$C$1),(SUMPRODUCT(OFFSET(AT$400,0,0,1,-OFFSET(Assumptions!$B$67,0,$C$1)),OFFSET(AT$16,0,0,1,-OFFSET(Assumptions!$B$67,0,$C$1)))-SUMPRODUCT(OFFSET(AT$399,0,0,1,-OFFSET(Assumptions!$B$67,0,$C$1)),OFFSET(AT$16,0,0,1,-OFFSET(Assumptions!$B$67,0,$C$1))))/OFFSET(Assumptions!$B$67,0,$C$1)-(AT$400-AT$399)/AT$14,((AT$400-AT$399)/AT$14-(AS$400-AS$399)/AS$14)/AT$2),0))*AU$14 +AU$399</f>
        <v>10.818652347000217</v>
      </c>
      <c r="AV400" s="8">
        <f ca="1">((AU$400-AU$399)/AU$14+ IF(AV$2&gt;0,AV$2*IF(AV$6=OFFSET(Assumptions!$B$8,0,$C$1),(SUMPRODUCT(OFFSET(AU$400,0,0,1,-OFFSET(Assumptions!$B$67,0,$C$1)),OFFSET(AU$16,0,0,1,-OFFSET(Assumptions!$B$67,0,$C$1)))-SUMPRODUCT(OFFSET(AU$399,0,0,1,-OFFSET(Assumptions!$B$67,0,$C$1)),OFFSET(AU$16,0,0,1,-OFFSET(Assumptions!$B$67,0,$C$1))))/OFFSET(Assumptions!$B$67,0,$C$1)-(AU$400-AU$399)/AU$14,((AU$400-AU$399)/AU$14-(AT$400-AT$399)/AT$14)/AU$2),0))*AV$14 +AV$399</f>
        <v>11.223279179543646</v>
      </c>
      <c r="AW400" s="8">
        <f ca="1">((AV$400-AV$399)/AV$14+ IF(AW$2&gt;0,AW$2*IF(AW$6=OFFSET(Assumptions!$B$8,0,$C$1),(SUMPRODUCT(OFFSET(AV$400,0,0,1,-OFFSET(Assumptions!$B$67,0,$C$1)),OFFSET(AV$16,0,0,1,-OFFSET(Assumptions!$B$67,0,$C$1)))-SUMPRODUCT(OFFSET(AV$399,0,0,1,-OFFSET(Assumptions!$B$67,0,$C$1)),OFFSET(AV$16,0,0,1,-OFFSET(Assumptions!$B$67,0,$C$1))))/OFFSET(Assumptions!$B$67,0,$C$1)-(AV$400-AV$399)/AV$14,((AV$400-AV$399)/AV$14-(AU$400-AU$399)/AU$14)/AV$2),0))*AW$14 +AW$399</f>
        <v>11.640872425862121</v>
      </c>
    </row>
    <row r="401" spans="1:49" ht="15" x14ac:dyDescent="0.25">
      <c r="A401" s="2"/>
      <c r="B401" s="4"/>
      <c r="D401" s="47"/>
      <c r="E401" s="44"/>
      <c r="F401" s="44"/>
      <c r="G401" s="44"/>
      <c r="H401" s="44"/>
      <c r="I401" s="44"/>
      <c r="J401" s="8"/>
      <c r="K401" s="8"/>
      <c r="L401" s="8"/>
      <c r="M401" s="8"/>
      <c r="N401" s="8"/>
      <c r="O401" s="8"/>
      <c r="P401" s="8"/>
      <c r="Q401" s="8"/>
      <c r="R401" s="8"/>
      <c r="S401" s="8"/>
    </row>
    <row r="402" spans="1:49" ht="15" x14ac:dyDescent="0.25">
      <c r="A402" s="22" t="s">
        <v>645</v>
      </c>
      <c r="B402" s="4"/>
      <c r="D402" s="47"/>
      <c r="E402" s="44"/>
      <c r="F402" s="44"/>
      <c r="G402" s="44"/>
      <c r="H402" s="44"/>
      <c r="I402" s="44"/>
    </row>
    <row r="403" spans="1:49" x14ac:dyDescent="0.2">
      <c r="A403" s="1" t="s">
        <v>652</v>
      </c>
      <c r="B403" s="4"/>
      <c r="D403" s="18">
        <f ca="1">ROUND(D$374*OFFSET(Assumptions!$B$62,0,$C$1),3)</f>
        <v>0.46</v>
      </c>
      <c r="E403" s="19">
        <f ca="1">ROUND(E$374*OFFSET(Assumptions!$B$62,0,$C$1),3)</f>
        <v>0.33200000000000002</v>
      </c>
      <c r="F403" s="19">
        <f ca="1">ROUND(F$374*OFFSET(Assumptions!$B$62,0,$C$1),3)</f>
        <v>0.35399999999999998</v>
      </c>
      <c r="G403" s="19">
        <f ca="1">ROUND(G$374*OFFSET(Assumptions!$B$62,0,$C$1),3)</f>
        <v>0.374</v>
      </c>
      <c r="H403" s="19">
        <f ca="1">ROUND(H$374*OFFSET(Assumptions!$B$62,0,$C$1),3)</f>
        <v>0.39500000000000002</v>
      </c>
      <c r="I403" s="19">
        <f ca="1">ROUND(I$374*OFFSET(Assumptions!$B$62,0,$C$1),3)</f>
        <v>0.41599999999999998</v>
      </c>
      <c r="J403" s="7">
        <f ca="1">ROUND(J$374*OFFSET(Assumptions!$B$62,0,$C$1),3)</f>
        <v>0.47799999999999998</v>
      </c>
      <c r="K403" s="7">
        <f ca="1">ROUND(K$374*OFFSET(Assumptions!$B$62,0,$C$1),3)</f>
        <v>0.53700000000000003</v>
      </c>
      <c r="L403" s="7">
        <f ca="1">ROUND(L$374*OFFSET(Assumptions!$B$62,0,$C$1),3)</f>
        <v>0.59899999999999998</v>
      </c>
      <c r="M403" s="7">
        <f ca="1">ROUND(M$374*OFFSET(Assumptions!$B$62,0,$C$1),3)</f>
        <v>0.66200000000000003</v>
      </c>
      <c r="N403" s="7">
        <f ca="1">ROUND(N$374*OFFSET(Assumptions!$B$62,0,$C$1),3)</f>
        <v>0.72799999999999998</v>
      </c>
      <c r="O403" s="7">
        <f ca="1">ROUND(O$374*OFFSET(Assumptions!$B$62,0,$C$1),3)</f>
        <v>0.79400000000000004</v>
      </c>
      <c r="P403" s="7">
        <f ca="1">ROUND(P$374*OFFSET(Assumptions!$B$62,0,$C$1),3)</f>
        <v>0.86099999999999999</v>
      </c>
      <c r="Q403" s="7">
        <f ca="1">ROUND(Q$374*OFFSET(Assumptions!$B$62,0,$C$1),3)</f>
        <v>0.92800000000000005</v>
      </c>
      <c r="R403" s="7">
        <f ca="1">ROUND(R$374*OFFSET(Assumptions!$B$62,0,$C$1),3)</f>
        <v>0.995</v>
      </c>
      <c r="S403" s="7">
        <f ca="1">ROUND(S$374*OFFSET(Assumptions!$B$62,0,$C$1),3)</f>
        <v>1.0629999999999999</v>
      </c>
      <c r="T403" s="7">
        <f ca="1">ROUND(T$374*OFFSET(Assumptions!$B$62,0,$C$1),3)</f>
        <v>1.1319999999999999</v>
      </c>
      <c r="U403" s="7">
        <f ca="1">ROUND(U$374*OFFSET(Assumptions!$B$62,0,$C$1),3)</f>
        <v>1.2010000000000001</v>
      </c>
      <c r="V403" s="7">
        <f ca="1">ROUND(V$374*OFFSET(Assumptions!$B$62,0,$C$1),3)</f>
        <v>1.272</v>
      </c>
      <c r="W403" s="7">
        <f ca="1">ROUND(W$374*OFFSET(Assumptions!$B$62,0,$C$1),3)</f>
        <v>1.3420000000000001</v>
      </c>
      <c r="X403" s="7">
        <f ca="1">ROUND(X$374*OFFSET(Assumptions!$B$62,0,$C$1),3)</f>
        <v>1.4139999999999999</v>
      </c>
      <c r="Y403" s="7">
        <f ca="1">ROUND(Y$374*OFFSET(Assumptions!$B$62,0,$C$1),3)</f>
        <v>1.4850000000000001</v>
      </c>
      <c r="Z403" s="7">
        <f ca="1">ROUND(Z$374*OFFSET(Assumptions!$B$62,0,$C$1),3)</f>
        <v>1.5580000000000001</v>
      </c>
      <c r="AA403" s="7">
        <f ca="1">ROUND(AA$374*OFFSET(Assumptions!$B$62,0,$C$1),3)</f>
        <v>1.6319999999999999</v>
      </c>
      <c r="AB403" s="7">
        <f ca="1">ROUND(AB$374*OFFSET(Assumptions!$B$62,0,$C$1),3)</f>
        <v>1.708</v>
      </c>
      <c r="AC403" s="7">
        <f ca="1">ROUND(AC$374*OFFSET(Assumptions!$B$62,0,$C$1),3)</f>
        <v>1.788</v>
      </c>
      <c r="AD403" s="7">
        <f ca="1">ROUND(AD$374*OFFSET(Assumptions!$B$62,0,$C$1),3)</f>
        <v>1.8740000000000001</v>
      </c>
      <c r="AE403" s="7">
        <f ca="1">ROUND(AE$374*OFFSET(Assumptions!$B$62,0,$C$1),3)</f>
        <v>1.9650000000000001</v>
      </c>
      <c r="AF403" s="7">
        <f ca="1">ROUND(AF$374*OFFSET(Assumptions!$B$62,0,$C$1),3)</f>
        <v>2.0640000000000001</v>
      </c>
      <c r="AG403" s="7">
        <f ca="1">ROUND(AG$374*OFFSET(Assumptions!$B$62,0,$C$1),3)</f>
        <v>2.17</v>
      </c>
      <c r="AH403" s="7">
        <f ca="1">ROUND(AH$374*OFFSET(Assumptions!$B$62,0,$C$1),3)</f>
        <v>2.2839999999999998</v>
      </c>
      <c r="AI403" s="7">
        <f ca="1">ROUND(AI$374*OFFSET(Assumptions!$B$62,0,$C$1),3)</f>
        <v>2.407</v>
      </c>
      <c r="AJ403" s="7">
        <f ca="1">ROUND(AJ$374*OFFSET(Assumptions!$B$62,0,$C$1),3)</f>
        <v>2.54</v>
      </c>
      <c r="AK403" s="7">
        <f ca="1">ROUND(AK$374*OFFSET(Assumptions!$B$62,0,$C$1),3)</f>
        <v>2.6819999999999999</v>
      </c>
      <c r="AL403" s="7">
        <f ca="1">ROUND(AL$374*OFFSET(Assumptions!$B$62,0,$C$1),3)</f>
        <v>2.8340000000000001</v>
      </c>
      <c r="AM403" s="7">
        <f ca="1">ROUND(AM$374*OFFSET(Assumptions!$B$62,0,$C$1),3)</f>
        <v>2.9980000000000002</v>
      </c>
      <c r="AN403" s="7">
        <f ca="1">ROUND(AN$374*OFFSET(Assumptions!$B$62,0,$C$1),3)</f>
        <v>3.1720000000000002</v>
      </c>
      <c r="AO403" s="7">
        <f ca="1">ROUND(AO$374*OFFSET(Assumptions!$B$62,0,$C$1),3)</f>
        <v>3.3570000000000002</v>
      </c>
      <c r="AP403" s="7">
        <f ca="1">ROUND(AP$374*OFFSET(Assumptions!$B$62,0,$C$1),3)</f>
        <v>3.552</v>
      </c>
      <c r="AQ403" s="7">
        <f ca="1">ROUND(AQ$374*OFFSET(Assumptions!$B$62,0,$C$1),3)</f>
        <v>3.7559999999999998</v>
      </c>
      <c r="AR403" s="7">
        <f ca="1">ROUND(AR$374*OFFSET(Assumptions!$B$62,0,$C$1),3)</f>
        <v>3.968</v>
      </c>
      <c r="AS403" s="7">
        <f ca="1">ROUND(AS$374*OFFSET(Assumptions!$B$62,0,$C$1),3)</f>
        <v>4.1859999999999999</v>
      </c>
      <c r="AT403" s="7">
        <f ca="1">ROUND(AT$374*OFFSET(Assumptions!$B$62,0,$C$1),3)</f>
        <v>4.41</v>
      </c>
      <c r="AU403" s="7">
        <f ca="1">ROUND(AU$374*OFFSET(Assumptions!$B$62,0,$C$1),3)</f>
        <v>4.6399999999999997</v>
      </c>
      <c r="AV403" s="7">
        <f ca="1">ROUND(AV$374*OFFSET(Assumptions!$B$62,0,$C$1),3)</f>
        <v>4.8769999999999998</v>
      </c>
      <c r="AW403" s="7">
        <f ca="1">ROUND(AW$374*OFFSET(Assumptions!$B$62,0,$C$1),3)</f>
        <v>5.12</v>
      </c>
    </row>
    <row r="404" spans="1:49" x14ac:dyDescent="0.2">
      <c r="A404" s="1" t="s">
        <v>653</v>
      </c>
      <c r="B404" s="4" t="str">
        <f t="shared" ref="B404:B407" si="242">$B$43</f>
        <v>From Fiscal</v>
      </c>
      <c r="D404" s="18">
        <f ca="1">Fiscal!D$172-D$403</f>
        <v>31.829000000000001</v>
      </c>
      <c r="E404" s="19">
        <f ca="1">Fiscal!E$172-E$403 +IF(OFFSET(Assumptions!$B$109,0,$C$1)="BU",Allocate!C$37,0)</f>
        <v>32.593999999999994</v>
      </c>
      <c r="F404" s="19">
        <f ca="1">Fiscal!F$172-F$403 +IF(OFFSET(Assumptions!$B$109,0,$C$1)="BU",Allocate!D$37,0)</f>
        <v>34.273000000000003</v>
      </c>
      <c r="G404" s="19">
        <f ca="1">Fiscal!G$172-G$403 +IF(OFFSET(Assumptions!$B$109,0,$C$1)="BU",Allocate!E$37,0)</f>
        <v>35.664999999999999</v>
      </c>
      <c r="H404" s="19">
        <f ca="1">Fiscal!H$172-H$403 +IF(OFFSET(Assumptions!$B$109,0,$C$1)="BU",Allocate!F$37,0)</f>
        <v>36.595999999999997</v>
      </c>
      <c r="I404" s="19">
        <f ca="1">Fiscal!I$172-I$403 +IF(OFFSET(Assumptions!$B$109,0,$C$1)="BU",Allocate!G$37,0)</f>
        <v>37.392000000000003</v>
      </c>
      <c r="J404" s="7">
        <f t="shared" ref="J404:AW404" ca="1" si="243">SUM(I$404,J$409)-SUM(J$411-J$410,J$403-I$403)</f>
        <v>38.967592055478171</v>
      </c>
      <c r="K404" s="7">
        <f t="shared" ca="1" si="243"/>
        <v>40.609028413884253</v>
      </c>
      <c r="L404" s="7">
        <f t="shared" ca="1" si="243"/>
        <v>42.321613307784361</v>
      </c>
      <c r="M404" s="7">
        <f t="shared" ca="1" si="243"/>
        <v>44.108192921601074</v>
      </c>
      <c r="N404" s="7">
        <f t="shared" ca="1" si="243"/>
        <v>45.971823205756266</v>
      </c>
      <c r="O404" s="7">
        <f t="shared" ca="1" si="243"/>
        <v>47.915005778417431</v>
      </c>
      <c r="P404" s="7">
        <f t="shared" ca="1" si="243"/>
        <v>49.940363406950318</v>
      </c>
      <c r="Q404" s="7">
        <f t="shared" ca="1" si="243"/>
        <v>52.05043009457146</v>
      </c>
      <c r="R404" s="7">
        <f t="shared" ca="1" si="243"/>
        <v>54.247676971950774</v>
      </c>
      <c r="S404" s="7">
        <f t="shared" ca="1" si="243"/>
        <v>56.534852224846276</v>
      </c>
      <c r="T404" s="7">
        <f t="shared" ca="1" si="243"/>
        <v>58.91473683284984</v>
      </c>
      <c r="U404" s="7">
        <f t="shared" ca="1" si="243"/>
        <v>61.390444506985055</v>
      </c>
      <c r="V404" s="7">
        <f t="shared" ca="1" si="243"/>
        <v>63.96532549806156</v>
      </c>
      <c r="W404" s="7">
        <f t="shared" ca="1" si="243"/>
        <v>66.643017387003383</v>
      </c>
      <c r="X404" s="7">
        <f t="shared" ca="1" si="243"/>
        <v>69.427483403866589</v>
      </c>
      <c r="Y404" s="7">
        <f t="shared" ca="1" si="243"/>
        <v>72.322675862855959</v>
      </c>
      <c r="Z404" s="7">
        <f t="shared" ca="1" si="243"/>
        <v>75.333107535829839</v>
      </c>
      <c r="AA404" s="7">
        <f t="shared" ca="1" si="243"/>
        <v>78.463477652092209</v>
      </c>
      <c r="AB404" s="7">
        <f t="shared" ca="1" si="243"/>
        <v>81.718845627168676</v>
      </c>
      <c r="AC404" s="7">
        <f t="shared" ca="1" si="243"/>
        <v>85.104742760464404</v>
      </c>
      <c r="AD404" s="7">
        <f t="shared" ca="1" si="243"/>
        <v>88.626837930727476</v>
      </c>
      <c r="AE404" s="7">
        <f t="shared" ca="1" si="243"/>
        <v>92.290674936962361</v>
      </c>
      <c r="AF404" s="7">
        <f t="shared" ca="1" si="243"/>
        <v>96.102189721080123</v>
      </c>
      <c r="AG404" s="7">
        <f t="shared" ca="1" si="243"/>
        <v>100.06740080022998</v>
      </c>
      <c r="AH404" s="7">
        <f t="shared" ca="1" si="243"/>
        <v>104.19257315423465</v>
      </c>
      <c r="AI404" s="7">
        <f t="shared" ca="1" si="243"/>
        <v>108.48369225761714</v>
      </c>
      <c r="AJ404" s="7">
        <f t="shared" ca="1" si="243"/>
        <v>112.94727519501893</v>
      </c>
      <c r="AK404" s="7">
        <f t="shared" ca="1" si="243"/>
        <v>117.58969717701916</v>
      </c>
      <c r="AL404" s="7">
        <f t="shared" ca="1" si="243"/>
        <v>122.41719253774767</v>
      </c>
      <c r="AM404" s="7">
        <f t="shared" ca="1" si="243"/>
        <v>127.43624844566996</v>
      </c>
      <c r="AN404" s="7">
        <f t="shared" ca="1" si="243"/>
        <v>132.65361852811759</v>
      </c>
      <c r="AO404" s="7">
        <f t="shared" ca="1" si="243"/>
        <v>138.07527770123897</v>
      </c>
      <c r="AP404" s="7">
        <f t="shared" ca="1" si="243"/>
        <v>143.70806839380876</v>
      </c>
      <c r="AQ404" s="7">
        <f t="shared" ca="1" si="243"/>
        <v>149.55824144475048</v>
      </c>
      <c r="AR404" s="7">
        <f t="shared" ca="1" si="243"/>
        <v>155.63229380870629</v>
      </c>
      <c r="AS404" s="7">
        <f t="shared" ca="1" si="243"/>
        <v>161.93724474429811</v>
      </c>
      <c r="AT404" s="7">
        <f t="shared" ca="1" si="243"/>
        <v>168.48029792127753</v>
      </c>
      <c r="AU404" s="7">
        <f t="shared" ca="1" si="243"/>
        <v>175.26897363222221</v>
      </c>
      <c r="AV404" s="7">
        <f t="shared" ca="1" si="243"/>
        <v>182.31155160954722</v>
      </c>
      <c r="AW404" s="7">
        <f t="shared" ca="1" si="243"/>
        <v>189.61616824357446</v>
      </c>
    </row>
    <row r="405" spans="1:49" ht="15" x14ac:dyDescent="0.25">
      <c r="A405" s="2" t="s">
        <v>651</v>
      </c>
      <c r="B405" s="4"/>
      <c r="C405" s="69">
        <f>Fiscal!C$172</f>
        <v>30.963000000000001</v>
      </c>
      <c r="D405" s="40">
        <f t="shared" ref="D405:AW405" ca="1" si="244">SUM(D$403:D$404)</f>
        <v>32.289000000000001</v>
      </c>
      <c r="E405" s="39">
        <f t="shared" ca="1" si="244"/>
        <v>32.925999999999995</v>
      </c>
      <c r="F405" s="39">
        <f t="shared" ca="1" si="244"/>
        <v>34.627000000000002</v>
      </c>
      <c r="G405" s="39">
        <f t="shared" ca="1" si="244"/>
        <v>36.039000000000001</v>
      </c>
      <c r="H405" s="39">
        <f t="shared" ca="1" si="244"/>
        <v>36.991</v>
      </c>
      <c r="I405" s="39">
        <f t="shared" ca="1" si="244"/>
        <v>37.808</v>
      </c>
      <c r="J405" s="43">
        <f t="shared" ca="1" si="244"/>
        <v>39.445592055478173</v>
      </c>
      <c r="K405" s="43">
        <f t="shared" ca="1" si="244"/>
        <v>41.146028413884252</v>
      </c>
      <c r="L405" s="43">
        <f t="shared" ca="1" si="244"/>
        <v>42.920613307784357</v>
      </c>
      <c r="M405" s="43">
        <f t="shared" ca="1" si="244"/>
        <v>44.770192921601073</v>
      </c>
      <c r="N405" s="43">
        <f t="shared" ca="1" si="244"/>
        <v>46.699823205756267</v>
      </c>
      <c r="O405" s="43">
        <f t="shared" ca="1" si="244"/>
        <v>48.709005778417428</v>
      </c>
      <c r="P405" s="43">
        <f t="shared" ca="1" si="244"/>
        <v>50.801363406950315</v>
      </c>
      <c r="Q405" s="43">
        <f t="shared" ca="1" si="244"/>
        <v>52.978430094571458</v>
      </c>
      <c r="R405" s="43">
        <f t="shared" ca="1" si="244"/>
        <v>55.242676971950772</v>
      </c>
      <c r="S405" s="43">
        <f t="shared" ca="1" si="244"/>
        <v>57.597852224846278</v>
      </c>
      <c r="T405" s="43">
        <f t="shared" ca="1" si="244"/>
        <v>60.046736832849838</v>
      </c>
      <c r="U405" s="43">
        <f t="shared" ca="1" si="244"/>
        <v>62.591444506985056</v>
      </c>
      <c r="V405" s="43">
        <f t="shared" ca="1" si="244"/>
        <v>65.237325498061566</v>
      </c>
      <c r="W405" s="43">
        <f t="shared" ca="1" si="244"/>
        <v>67.985017387003381</v>
      </c>
      <c r="X405" s="43">
        <f t="shared" ca="1" si="244"/>
        <v>70.84148340386659</v>
      </c>
      <c r="Y405" s="43">
        <f t="shared" ca="1" si="244"/>
        <v>73.807675862855959</v>
      </c>
      <c r="Z405" s="43">
        <f t="shared" ca="1" si="244"/>
        <v>76.891107535829846</v>
      </c>
      <c r="AA405" s="43">
        <f t="shared" ca="1" si="244"/>
        <v>80.095477652092214</v>
      </c>
      <c r="AB405" s="43">
        <f t="shared" ca="1" si="244"/>
        <v>83.426845627168674</v>
      </c>
      <c r="AC405" s="43">
        <f t="shared" ca="1" si="244"/>
        <v>86.892742760464401</v>
      </c>
      <c r="AD405" s="43">
        <f t="shared" ca="1" si="244"/>
        <v>90.500837930727471</v>
      </c>
      <c r="AE405" s="43">
        <f t="shared" ca="1" si="244"/>
        <v>94.255674936962365</v>
      </c>
      <c r="AF405" s="43">
        <f t="shared" ca="1" si="244"/>
        <v>98.166189721080116</v>
      </c>
      <c r="AG405" s="43">
        <f t="shared" ca="1" si="244"/>
        <v>102.23740080022998</v>
      </c>
      <c r="AH405" s="43">
        <f t="shared" ca="1" si="244"/>
        <v>106.47657315423466</v>
      </c>
      <c r="AI405" s="43">
        <f t="shared" ca="1" si="244"/>
        <v>110.89069225761713</v>
      </c>
      <c r="AJ405" s="43">
        <f t="shared" ca="1" si="244"/>
        <v>115.48727519501894</v>
      </c>
      <c r="AK405" s="43">
        <f t="shared" ca="1" si="244"/>
        <v>120.27169717701916</v>
      </c>
      <c r="AL405" s="43">
        <f t="shared" ca="1" si="244"/>
        <v>125.25119253774767</v>
      </c>
      <c r="AM405" s="43">
        <f t="shared" ca="1" si="244"/>
        <v>130.43424844566997</v>
      </c>
      <c r="AN405" s="43">
        <f t="shared" ca="1" si="244"/>
        <v>135.82561852811759</v>
      </c>
      <c r="AO405" s="43">
        <f t="shared" ca="1" si="244"/>
        <v>141.43227770123897</v>
      </c>
      <c r="AP405" s="43">
        <f t="shared" ca="1" si="244"/>
        <v>147.26006839380875</v>
      </c>
      <c r="AQ405" s="43">
        <f t="shared" ca="1" si="244"/>
        <v>153.31424144475048</v>
      </c>
      <c r="AR405" s="43">
        <f t="shared" ca="1" si="244"/>
        <v>159.60029380870628</v>
      </c>
      <c r="AS405" s="43">
        <f t="shared" ca="1" si="244"/>
        <v>166.12324474429812</v>
      </c>
      <c r="AT405" s="43">
        <f t="shared" ca="1" si="244"/>
        <v>172.89029792127752</v>
      </c>
      <c r="AU405" s="43">
        <f t="shared" ca="1" si="244"/>
        <v>179.9089736322222</v>
      </c>
      <c r="AV405" s="43">
        <f t="shared" ca="1" si="244"/>
        <v>187.18855160954723</v>
      </c>
      <c r="AW405" s="43">
        <f t="shared" ca="1" si="244"/>
        <v>194.73616824357447</v>
      </c>
    </row>
    <row r="406" spans="1:49" x14ac:dyDescent="0.2">
      <c r="A406" s="1" t="s">
        <v>295</v>
      </c>
      <c r="B406" s="4" t="str">
        <f t="shared" si="242"/>
        <v>From Fiscal</v>
      </c>
      <c r="D406" s="18">
        <f>Fiscal!D$313</f>
        <v>61.417000000000002</v>
      </c>
      <c r="E406" s="19">
        <f>Fiscal!E$313</f>
        <v>62.966999999999999</v>
      </c>
      <c r="F406" s="19">
        <f>Fiscal!F$313</f>
        <v>64.897999999999996</v>
      </c>
      <c r="G406" s="19">
        <f>Fiscal!G$313</f>
        <v>66.445999999999998</v>
      </c>
      <c r="H406" s="19">
        <f>Fiscal!H$313</f>
        <v>67.825999999999993</v>
      </c>
      <c r="I406" s="19">
        <f>Fiscal!I$313</f>
        <v>69.218000000000004</v>
      </c>
      <c r="J406" s="7">
        <f ca="1">IF(J$6=OFFSET(Assumptions!$B$8,0,$C$1),AVERAGE(G$406/SUM(G$406:G$407),H$406/SUM(H$406:H$407),I$406/SUM(I$406:I$407)),I$406/SUM(I$406:I$407))*(SUM(I$406:I$407)+J$412-J$409+J$413-J$410-(J$414-J$411))</f>
        <v>69.466496874691032</v>
      </c>
      <c r="K406" s="7">
        <f ca="1">IF(K$6=OFFSET(Assumptions!$B$8,0,$C$1),AVERAGE(H$406/SUM(H$406:H$407),I$406/SUM(I$406:I$407),J$406/SUM(J$406:J$407)),J$406/SUM(J$406:J$407))*(SUM(J$406:J$407)+K$412-K$409+K$413-K$410-(K$414-K$411))</f>
        <v>70.195374137749084</v>
      </c>
      <c r="L406" s="7">
        <f ca="1">IF(L$6=OFFSET(Assumptions!$B$8,0,$C$1),AVERAGE(I$406/SUM(I$406:I$407),J$406/SUM(J$406:J$407),K$406/SUM(K$406:K$407)),K$406/SUM(K$406:K$407))*(SUM(K$406:K$407)+L$412-L$409+L$413-L$410-(L$414-L$411))</f>
        <v>71.036754791475573</v>
      </c>
      <c r="M406" s="7">
        <f ca="1">IF(M$6=OFFSET(Assumptions!$B$8,0,$C$1),AVERAGE(J$406/SUM(J$406:J$407),K$406/SUM(K$406:K$407),L$406/SUM(L$406:L$407)),L$406/SUM(L$406:L$407))*(SUM(L$406:L$407)+M$412-M$409+M$413-M$410-(M$414-M$411))</f>
        <v>71.9920568611942</v>
      </c>
      <c r="N406" s="7">
        <f ca="1">IF(N$6=OFFSET(Assumptions!$B$8,0,$C$1),AVERAGE(K$406/SUM(K$406:K$407),L$406/SUM(L$406:L$407),M$406/SUM(M$406:M$407)),M$406/SUM(M$406:M$407))*(SUM(M$406:M$407)+N$412-N$409+N$413-N$410-(N$414-N$411))</f>
        <v>73.063035298131041</v>
      </c>
      <c r="O406" s="7">
        <f ca="1">IF(O$6=OFFSET(Assumptions!$B$8,0,$C$1),AVERAGE(L$406/SUM(L$406:L$407),M$406/SUM(M$406:M$407),N$406/SUM(N$406:N$407)),N$406/SUM(N$406:N$407))*(SUM(N$406:N$407)+O$412-O$409+O$413-O$410-(O$414-O$411))</f>
        <v>74.250289156023655</v>
      </c>
      <c r="P406" s="7">
        <f ca="1">IF(P$6=OFFSET(Assumptions!$B$8,0,$C$1),AVERAGE(M$406/SUM(M$406:M$407),N$406/SUM(N$406:N$407),O$406/SUM(O$406:O$407)),O$406/SUM(O$406:O$407))*(SUM(O$406:O$407)+P$412-P$409+P$413-P$410-(P$414-P$411))</f>
        <v>75.554798523968486</v>
      </c>
      <c r="Q406" s="7">
        <f ca="1">IF(Q$6=OFFSET(Assumptions!$B$8,0,$C$1),AVERAGE(N$406/SUM(N$406:N$407),O$406/SUM(O$406:O$407),P$406/SUM(P$406:P$407)),P$406/SUM(P$406:P$407))*(SUM(P$406:P$407)+Q$412-Q$409+Q$413-Q$410-(Q$414-Q$411))</f>
        <v>76.977337097236273</v>
      </c>
      <c r="R406" s="7">
        <f ca="1">IF(R$6=OFFSET(Assumptions!$B$8,0,$C$1),AVERAGE(O$406/SUM(O$406:O$407),P$406/SUM(P$406:P$407),Q$406/SUM(Q$406:Q$407)),Q$406/SUM(Q$406:Q$407))*(SUM(Q$406:Q$407)+R$412-R$409+R$413-R$410-(R$414-R$411))</f>
        <v>78.518529578939621</v>
      </c>
      <c r="S406" s="7">
        <f ca="1">IF(S$6=OFFSET(Assumptions!$B$8,0,$C$1),AVERAGE(P$406/SUM(P$406:P$407),Q$406/SUM(Q$406:Q$407),R$406/SUM(R$406:R$407)),R$406/SUM(R$406:R$407))*(SUM(R$406:R$407)+S$412-S$409+S$413-S$410-(S$414-S$411))</f>
        <v>80.179515054416086</v>
      </c>
      <c r="T406" s="7">
        <f ca="1">IF(T$6=OFFSET(Assumptions!$B$8,0,$C$1),AVERAGE(Q$406/SUM(Q$406:Q$407),R$406/SUM(R$406:R$407),S$406/SUM(S$406:S$407)),S$406/SUM(S$406:S$407))*(SUM(S$406:S$407)+T$412-T$409+T$413-T$410-(T$414-T$411))</f>
        <v>81.961455956575307</v>
      </c>
      <c r="U406" s="7">
        <f ca="1">IF(U$6=OFFSET(Assumptions!$B$8,0,$C$1),AVERAGE(R$406/SUM(R$406:R$407),S$406/SUM(S$406:S$407),T$406/SUM(T$406:T$407)),T$406/SUM(T$406:T$407))*(SUM(T$406:T$407)+U$412-U$409+U$413-U$410-(U$414-U$411))</f>
        <v>83.866117943194965</v>
      </c>
      <c r="V406" s="7">
        <f ca="1">IF(V$6=OFFSET(Assumptions!$B$8,0,$C$1),AVERAGE(S$406/SUM(S$406:S$407),T$406/SUM(T$406:T$407),U$406/SUM(U$406:U$407)),U$406/SUM(U$406:U$407))*(SUM(U$406:U$407)+V$412-V$409+V$413-V$410-(V$414-V$411))</f>
        <v>85.895662404370782</v>
      </c>
      <c r="W406" s="7">
        <f ca="1">IF(W$6=OFFSET(Assumptions!$B$8,0,$C$1),AVERAGE(T$406/SUM(T$406:T$407),U$406/SUM(U$406:U$407),V$406/SUM(V$406:V$407)),V$406/SUM(V$406:V$407))*(SUM(V$406:V$407)+W$412-W$409+W$413-W$410-(W$414-W$411))</f>
        <v>88.052730849759854</v>
      </c>
      <c r="X406" s="7">
        <f ca="1">IF(X$6=OFFSET(Assumptions!$B$8,0,$C$1),AVERAGE(U$406/SUM(U$406:U$407),V$406/SUM(V$406:V$407),W$406/SUM(W$406:W$407)),W$406/SUM(W$406:W$407))*(SUM(W$406:W$407)+X$412-X$409+X$413-X$410-(X$414-X$411))</f>
        <v>90.34050217652657</v>
      </c>
      <c r="Y406" s="7">
        <f ca="1">IF(Y$6=OFFSET(Assumptions!$B$8,0,$C$1),AVERAGE(V$406/SUM(V$406:V$407),W$406/SUM(W$406:W$407),X$406/SUM(X$406:X$407)),X$406/SUM(X$406:X$407))*(SUM(X$406:X$407)+Y$412-Y$409+Y$413-Y$410-(Y$414-Y$411))</f>
        <v>92.762022117481436</v>
      </c>
      <c r="Z406" s="7">
        <f ca="1">IF(Z$6=OFFSET(Assumptions!$B$8,0,$C$1),AVERAGE(W$406/SUM(W$406:W$407),X$406/SUM(X$406:X$407),Y$406/SUM(Y$406:Y$407)),Y$406/SUM(Y$406:Y$407))*(SUM(Y$406:Y$407)+Z$412-Z$409+Z$413-Z$410-(Z$414-Z$411))</f>
        <v>95.32131415300924</v>
      </c>
      <c r="AA406" s="7">
        <f ca="1">IF(AA$6=OFFSET(Assumptions!$B$8,0,$C$1),AVERAGE(X$406/SUM(X$406:X$407),Y$406/SUM(Y$406:Y$407),Z$406/SUM(Z$406:Z$407)),Z$406/SUM(Z$406:Z$407))*(SUM(Z$406:Z$407)+AA$412-AA$409+AA$413-AA$410-(AA$414-AA$411))</f>
        <v>98.022620962858667</v>
      </c>
      <c r="AB406" s="7">
        <f ca="1">IF(AB$6=OFFSET(Assumptions!$B$8,0,$C$1),AVERAGE(Y$406/SUM(Y$406:Y$407),Z$406/SUM(Z$406:Z$407),AA$406/SUM(AA$406:AA$407)),AA$406/SUM(AA$406:AA$407))*(SUM(AA$406:AA$407)+AB$412-AB$409+AB$413-AB$410-(AB$414-AB$411))</f>
        <v>100.87073305215907</v>
      </c>
      <c r="AC406" s="7">
        <f ca="1">IF(AC$6=OFFSET(Assumptions!$B$8,0,$C$1),AVERAGE(Z$406/SUM(Z$406:Z$407),AA$406/SUM(AA$406:AA$407),AB$406/SUM(AB$406:AB$407)),AB$406/SUM(AB$406:AB$407))*(SUM(AB$406:AB$407)+AC$412-AC$409+AC$413-AC$410-(AC$414-AC$411))</f>
        <v>103.87118569944769</v>
      </c>
      <c r="AD406" s="7">
        <f ca="1">IF(AD$6=OFFSET(Assumptions!$B$8,0,$C$1),AVERAGE(AA$406/SUM(AA$406:AA$407),AB$406/SUM(AB$406:AB$407),AC$406/SUM(AC$406:AC$407)),AC$406/SUM(AC$406:AC$407))*(SUM(AC$406:AC$407)+AD$412-AD$409+AD$413-AD$410-(AD$414-AD$411))</f>
        <v>107.02958547250918</v>
      </c>
      <c r="AE406" s="7">
        <f ca="1">IF(AE$6=OFFSET(Assumptions!$B$8,0,$C$1),AVERAGE(AB$406/SUM(AB$406:AB$407),AC$406/SUM(AC$406:AC$407),AD$406/SUM(AD$406:AD$407)),AD$406/SUM(AD$406:AD$407))*(SUM(AD$406:AD$407)+AE$412-AE$409+AE$413-AE$410-(AE$414-AE$411))</f>
        <v>110.35109918969246</v>
      </c>
      <c r="AF406" s="7">
        <f ca="1">IF(AF$6=OFFSET(Assumptions!$B$8,0,$C$1),AVERAGE(AC$406/SUM(AC$406:AC$407),AD$406/SUM(AD$406:AD$407),AE$406/SUM(AE$406:AE$407)),AE$406/SUM(AE$406:AE$407))*(SUM(AE$406:AE$407)+AF$412-AF$409+AF$413-AF$410-(AF$414-AF$411))</f>
        <v>113.84147079666064</v>
      </c>
      <c r="AG406" s="7">
        <f ca="1">IF(AG$6=OFFSET(Assumptions!$B$8,0,$C$1),AVERAGE(AD$406/SUM(AD$406:AD$407),AE$406/SUM(AE$406:AE$407),AF$406/SUM(AF$406:AF$407)),AF$406/SUM(AF$406:AF$407))*(SUM(AF$406:AF$407)+AG$412-AG$409+AG$413-AG$410-(AG$414-AG$411))</f>
        <v>117.50640168270664</v>
      </c>
      <c r="AH406" s="7">
        <f ca="1">IF(AH$6=OFFSET(Assumptions!$B$8,0,$C$1),AVERAGE(AE$406/SUM(AE$406:AE$407),AF$406/SUM(AF$406:AF$407),AG$406/SUM(AG$406:AG$407)),AG$406/SUM(AG$406:AG$407))*(SUM(AG$406:AG$407)+AH$412-AH$409+AH$413-AH$410-(AH$414-AH$411))</f>
        <v>121.35186947802792</v>
      </c>
      <c r="AI406" s="7">
        <f ca="1">IF(AI$6=OFFSET(Assumptions!$B$8,0,$C$1),AVERAGE(AF$406/SUM(AF$406:AF$407),AG$406/SUM(AG$406:AG$407),AH$406/SUM(AH$406:AH$407)),AH$406/SUM(AH$406:AH$407))*(SUM(AH$406:AH$407)+AI$412-AI$409+AI$413-AI$410-(AI$414-AI$411))</f>
        <v>125.38310000777913</v>
      </c>
      <c r="AJ406" s="7">
        <f ca="1">IF(AJ$6=OFFSET(Assumptions!$B$8,0,$C$1),AVERAGE(AG$406/SUM(AG$406:AG$407),AH$406/SUM(AH$406:AH$407),AI$406/SUM(AI$406:AI$407)),AI$406/SUM(AI$406:AI$407))*(SUM(AI$406:AI$407)+AJ$412-AJ$409+AJ$413-AJ$410-(AJ$414-AJ$411))</f>
        <v>129.60616416316478</v>
      </c>
      <c r="AK406" s="7">
        <f ca="1">IF(AK$6=OFFSET(Assumptions!$B$8,0,$C$1),AVERAGE(AH$406/SUM(AH$406:AH$407),AI$406/SUM(AI$406:AI$407),AJ$406/SUM(AJ$406:AJ$407)),AJ$406/SUM(AJ$406:AJ$407))*(SUM(AJ$406:AJ$407)+AK$412-AK$409+AK$413-AK$410-(AK$414-AK$411))</f>
        <v>134.02664420732282</v>
      </c>
      <c r="AL406" s="7">
        <f ca="1">IF(AL$6=OFFSET(Assumptions!$B$8,0,$C$1),AVERAGE(AI$406/SUM(AI$406:AI$407),AJ$406/SUM(AJ$406:AJ$407),AK$406/SUM(AK$406:AK$407)),AK$406/SUM(AK$406:AK$407))*(SUM(AK$406:AK$407)+AL$412-AL$409+AL$413-AL$410-(AL$414-AL$411))</f>
        <v>138.64965292697451</v>
      </c>
      <c r="AM406" s="7">
        <f ca="1">IF(AM$6=OFFSET(Assumptions!$B$8,0,$C$1),AVERAGE(AJ$406/SUM(AJ$406:AJ$407),AK$406/SUM(AK$406:AK$407),AL$406/SUM(AL$406:AL$407)),AL$406/SUM(AL$406:AL$407))*(SUM(AL$406:AL$407)+AM$412-AM$409+AM$413-AM$410-(AM$414-AM$411))</f>
        <v>143.48061242922478</v>
      </c>
      <c r="AN406" s="7">
        <f ca="1">IF(AN$6=OFFSET(Assumptions!$B$8,0,$C$1),AVERAGE(AK$406/SUM(AK$406:AK$407),AL$406/SUM(AL$406:AL$407),AM$406/SUM(AM$406:AM$407)),AM$406/SUM(AM$406:AM$407))*(SUM(AM$406:AM$407)+AN$412-AN$409+AN$413-AN$410-(AN$414-AN$411))</f>
        <v>148.52526961855281</v>
      </c>
      <c r="AO406" s="7">
        <f ca="1">IF(AO$6=OFFSET(Assumptions!$B$8,0,$C$1),AVERAGE(AL$406/SUM(AL$406:AL$407),AM$406/SUM(AM$406:AM$407),AN$406/SUM(AN$406:AN$407)),AN$406/SUM(AN$406:AN$407))*(SUM(AN$406:AN$407)+AO$412-AO$409+AO$413-AO$410-(AO$414-AO$411))</f>
        <v>153.78766122820775</v>
      </c>
      <c r="AP406" s="7">
        <f ca="1">IF(AP$6=OFFSET(Assumptions!$B$8,0,$C$1),AVERAGE(AM$406/SUM(AM$406:AM$407),AN$406/SUM(AN$406:AN$407),AO$406/SUM(AO$406:AO$407)),AO$406/SUM(AO$406:AO$407))*(SUM(AO$406:AO$407)+AP$412-AP$409+AP$413-AP$410-(AP$414-AP$411))</f>
        <v>159.27336129407851</v>
      </c>
      <c r="AQ406" s="7">
        <f ca="1">IF(AQ$6=OFFSET(Assumptions!$B$8,0,$C$1),AVERAGE(AN$406/SUM(AN$406:AN$407),AO$406/SUM(AO$406:AO$407),AP$406/SUM(AP$406:AP$407)),AP$406/SUM(AP$406:AP$407))*(SUM(AP$406:AP$407)+AQ$412-AQ$409+AQ$413-AQ$410-(AQ$414-AQ$411))</f>
        <v>164.98660205299851</v>
      </c>
      <c r="AR406" s="7">
        <f ca="1">IF(AR$6=OFFSET(Assumptions!$B$8,0,$C$1),AVERAGE(AO$406/SUM(AO$406:AO$407),AP$406/SUM(AP$406:AP$407),AQ$406/SUM(AQ$406:AQ$407)),AQ$406/SUM(AQ$406:AQ$407))*(SUM(AQ$406:AQ$407)+AR$412-AR$409+AR$413-AR$410-(AR$414-AR$411))</f>
        <v>170.93194308676061</v>
      </c>
      <c r="AS406" s="7">
        <f ca="1">IF(AS$6=OFFSET(Assumptions!$B$8,0,$C$1),AVERAGE(AP$406/SUM(AP$406:AP$407),AQ$406/SUM(AQ$406:AQ$407),AR$406/SUM(AR$406:AR$407)),AR$406/SUM(AR$406:AR$407))*(SUM(AR$406:AR$407)+AS$412-AS$409+AS$413-AS$410-(AS$414-AS$411))</f>
        <v>177.11479450558261</v>
      </c>
      <c r="AT406" s="7">
        <f ca="1">IF(AT$6=OFFSET(Assumptions!$B$8,0,$C$1),AVERAGE(AQ$406/SUM(AQ$406:AQ$407),AR$406/SUM(AR$406:AR$407),AS$406/SUM(AS$406:AS$407)),AS$406/SUM(AS$406:AS$407))*(SUM(AS$406:AS$407)+AT$412-AT$409+AT$413-AT$410-(AT$414-AT$411))</f>
        <v>183.54073278970972</v>
      </c>
      <c r="AU406" s="7">
        <f ca="1">IF(AU$6=OFFSET(Assumptions!$B$8,0,$C$1),AVERAGE(AR$406/SUM(AR$406:AR$407),AS$406/SUM(AS$406:AS$407),AT$406/SUM(AT$406:AT$407)),AT$406/SUM(AT$406:AT$407))*(SUM(AT$406:AT$407)+AU$412-AU$409+AU$413-AU$410-(AU$414-AU$411))</f>
        <v>190.21575089727807</v>
      </c>
      <c r="AV406" s="7">
        <f ca="1">IF(AV$6=OFFSET(Assumptions!$B$8,0,$C$1),AVERAGE(AS$406/SUM(AS$406:AS$407),AT$406/SUM(AT$406:AT$407),AU$406/SUM(AU$406:AU$407)),AU$406/SUM(AU$406:AU$407))*(SUM(AU$406:AU$407)+AV$412-AV$409+AV$413-AV$410-(AV$414-AV$411))</f>
        <v>197.14710091144531</v>
      </c>
      <c r="AW406" s="7">
        <f ca="1">IF(AW$6=OFFSET(Assumptions!$B$8,0,$C$1),AVERAGE(AT$406/SUM(AT$406:AT$407),AU$406/SUM(AU$406:AU$407),AV$406/SUM(AV$406:AV$407)),AV$406/SUM(AV$406:AV$407))*(SUM(AV$406:AV$407)+AW$412-AW$409+AW$413-AW$410-(AW$414-AW$411))</f>
        <v>204.34150181759628</v>
      </c>
    </row>
    <row r="407" spans="1:49" x14ac:dyDescent="0.2">
      <c r="A407" s="1" t="s">
        <v>529</v>
      </c>
      <c r="B407" s="4" t="str">
        <f t="shared" si="242"/>
        <v>From Fiscal</v>
      </c>
      <c r="D407" s="18">
        <f>SUM(Fiscal!D$314:D$315)</f>
        <v>30.852</v>
      </c>
      <c r="E407" s="19">
        <f>SUM(Fiscal!E$314:E$315)</f>
        <v>31.039000000000001</v>
      </c>
      <c r="F407" s="19">
        <f>SUM(Fiscal!F$314:F$315)</f>
        <v>31.468</v>
      </c>
      <c r="G407" s="19">
        <f>SUM(Fiscal!G$314:G$315)</f>
        <v>31.613</v>
      </c>
      <c r="H407" s="19">
        <f>SUM(Fiscal!H$314:H$315)</f>
        <v>31.735000000000003</v>
      </c>
      <c r="I407" s="19">
        <f>SUM(Fiscal!I$314:I$315)</f>
        <v>31.896000000000001</v>
      </c>
      <c r="J407" s="7">
        <f t="shared" ref="J407:AW407" ca="1" si="245">SUM(I$406:I$407)+J$412-J$409+J$413-J$410-(J$414-J$411) -J$406</f>
        <v>32.519279201732132</v>
      </c>
      <c r="K407" s="7">
        <f t="shared" ca="1" si="245"/>
        <v>32.860487759635021</v>
      </c>
      <c r="L407" s="7">
        <f t="shared" ca="1" si="245"/>
        <v>33.254362413237075</v>
      </c>
      <c r="M407" s="7">
        <f t="shared" ca="1" si="245"/>
        <v>33.701566981263767</v>
      </c>
      <c r="N407" s="7">
        <f t="shared" ca="1" si="245"/>
        <v>34.202923007214068</v>
      </c>
      <c r="O407" s="7">
        <f t="shared" ca="1" si="245"/>
        <v>34.758710925493418</v>
      </c>
      <c r="P407" s="7">
        <f t="shared" ca="1" si="245"/>
        <v>35.369389544194988</v>
      </c>
      <c r="Q407" s="7">
        <f t="shared" ca="1" si="245"/>
        <v>36.035321052484178</v>
      </c>
      <c r="R407" s="7">
        <f t="shared" ca="1" si="245"/>
        <v>36.756797891981776</v>
      </c>
      <c r="S407" s="7">
        <f t="shared" ca="1" si="245"/>
        <v>37.534353301526536</v>
      </c>
      <c r="T407" s="7">
        <f t="shared" ca="1" si="245"/>
        <v>38.368531449631988</v>
      </c>
      <c r="U407" s="7">
        <f t="shared" ca="1" si="245"/>
        <v>39.260158891844014</v>
      </c>
      <c r="V407" s="7">
        <f t="shared" ca="1" si="245"/>
        <v>40.210247437468524</v>
      </c>
      <c r="W407" s="7">
        <f t="shared" ca="1" si="245"/>
        <v>41.220033653684226</v>
      </c>
      <c r="X407" s="7">
        <f t="shared" ca="1" si="245"/>
        <v>42.291005674326726</v>
      </c>
      <c r="Y407" s="7">
        <f t="shared" ca="1" si="245"/>
        <v>43.424589295140677</v>
      </c>
      <c r="Z407" s="7">
        <f t="shared" ca="1" si="245"/>
        <v>44.622668023829533</v>
      </c>
      <c r="AA407" s="7">
        <f t="shared" ca="1" si="245"/>
        <v>45.88722798166782</v>
      </c>
      <c r="AB407" s="7">
        <f t="shared" ca="1" si="245"/>
        <v>47.220511742857923</v>
      </c>
      <c r="AC407" s="7">
        <f t="shared" ca="1" si="245"/>
        <v>48.625110531605884</v>
      </c>
      <c r="AD407" s="7">
        <f t="shared" ca="1" si="245"/>
        <v>50.103648944679293</v>
      </c>
      <c r="AE407" s="7">
        <f t="shared" ca="1" si="245"/>
        <v>51.658545719398035</v>
      </c>
      <c r="AF407" s="7">
        <f t="shared" ca="1" si="245"/>
        <v>53.292489763093585</v>
      </c>
      <c r="AG407" s="7">
        <f t="shared" ca="1" si="245"/>
        <v>55.008150061227923</v>
      </c>
      <c r="AH407" s="7">
        <f t="shared" ca="1" si="245"/>
        <v>56.808324915631474</v>
      </c>
      <c r="AI407" s="7">
        <f t="shared" ca="1" si="245"/>
        <v>58.695460686418969</v>
      </c>
      <c r="AJ407" s="7">
        <f t="shared" ca="1" si="245"/>
        <v>60.672399333599344</v>
      </c>
      <c r="AK407" s="7">
        <f t="shared" ca="1" si="245"/>
        <v>62.74175407623116</v>
      </c>
      <c r="AL407" s="7">
        <f t="shared" ca="1" si="245"/>
        <v>64.905918357864437</v>
      </c>
      <c r="AM407" s="7">
        <f t="shared" ca="1" si="245"/>
        <v>67.167430423879864</v>
      </c>
      <c r="AN407" s="7">
        <f t="shared" ca="1" si="245"/>
        <v>69.528980566716456</v>
      </c>
      <c r="AO407" s="7">
        <f t="shared" ca="1" si="245"/>
        <v>71.992458498127291</v>
      </c>
      <c r="AP407" s="7">
        <f t="shared" ca="1" si="245"/>
        <v>74.560473585757308</v>
      </c>
      <c r="AQ407" s="7">
        <f t="shared" ca="1" si="245"/>
        <v>77.23500706225002</v>
      </c>
      <c r="AR407" s="7">
        <f t="shared" ca="1" si="245"/>
        <v>80.018193399905471</v>
      </c>
      <c r="AS407" s="7">
        <f t="shared" ca="1" si="245"/>
        <v>82.912565228014046</v>
      </c>
      <c r="AT407" s="7">
        <f t="shared" ca="1" si="245"/>
        <v>85.920733058494676</v>
      </c>
      <c r="AU407" s="7">
        <f t="shared" ca="1" si="245"/>
        <v>89.045502368629826</v>
      </c>
      <c r="AV407" s="7">
        <f t="shared" ca="1" si="245"/>
        <v>92.290268068593548</v>
      </c>
      <c r="AW407" s="7">
        <f t="shared" ca="1" si="245"/>
        <v>95.658175510051933</v>
      </c>
    </row>
    <row r="408" spans="1:49" ht="15" x14ac:dyDescent="0.25">
      <c r="A408" s="2" t="s">
        <v>646</v>
      </c>
      <c r="B408" s="4"/>
      <c r="D408" s="40">
        <f t="shared" ref="D408:AW408" ca="1" si="246">SUM(D$405:D$407)</f>
        <v>124.55800000000001</v>
      </c>
      <c r="E408" s="39">
        <f t="shared" ca="1" si="246"/>
        <v>126.932</v>
      </c>
      <c r="F408" s="39">
        <f t="shared" ca="1" si="246"/>
        <v>130.99299999999999</v>
      </c>
      <c r="G408" s="39">
        <f t="shared" ca="1" si="246"/>
        <v>134.09800000000001</v>
      </c>
      <c r="H408" s="39">
        <f t="shared" ca="1" si="246"/>
        <v>136.55199999999999</v>
      </c>
      <c r="I408" s="39">
        <f t="shared" ca="1" si="246"/>
        <v>138.92200000000003</v>
      </c>
      <c r="J408" s="43">
        <f t="shared" ca="1" si="246"/>
        <v>141.43136813190134</v>
      </c>
      <c r="K408" s="43">
        <f t="shared" ca="1" si="246"/>
        <v>144.20189031126836</v>
      </c>
      <c r="L408" s="43">
        <f t="shared" ca="1" si="246"/>
        <v>147.21173051249701</v>
      </c>
      <c r="M408" s="43">
        <f t="shared" ca="1" si="246"/>
        <v>150.46381676405903</v>
      </c>
      <c r="N408" s="43">
        <f t="shared" ca="1" si="246"/>
        <v>153.9657815111014</v>
      </c>
      <c r="O408" s="43">
        <f t="shared" ca="1" si="246"/>
        <v>157.71800585993452</v>
      </c>
      <c r="P408" s="43">
        <f t="shared" ca="1" si="246"/>
        <v>161.72555147511378</v>
      </c>
      <c r="Q408" s="43">
        <f t="shared" ca="1" si="246"/>
        <v>165.99108824429192</v>
      </c>
      <c r="R408" s="43">
        <f t="shared" ca="1" si="246"/>
        <v>170.51800444287215</v>
      </c>
      <c r="S408" s="43">
        <f t="shared" ca="1" si="246"/>
        <v>175.31172058078891</v>
      </c>
      <c r="T408" s="43">
        <f t="shared" ca="1" si="246"/>
        <v>180.37672423905713</v>
      </c>
      <c r="U408" s="43">
        <f t="shared" ca="1" si="246"/>
        <v>185.71772134202405</v>
      </c>
      <c r="V408" s="43">
        <f t="shared" ca="1" si="246"/>
        <v>191.34323533990087</v>
      </c>
      <c r="W408" s="43">
        <f t="shared" ca="1" si="246"/>
        <v>197.25778189044746</v>
      </c>
      <c r="X408" s="43">
        <f t="shared" ca="1" si="246"/>
        <v>203.47299125471989</v>
      </c>
      <c r="Y408" s="43">
        <f t="shared" ca="1" si="246"/>
        <v>209.99428727547809</v>
      </c>
      <c r="Z408" s="43">
        <f t="shared" ca="1" si="246"/>
        <v>216.8350897126686</v>
      </c>
      <c r="AA408" s="43">
        <f t="shared" ca="1" si="246"/>
        <v>224.00532659661872</v>
      </c>
      <c r="AB408" s="43">
        <f t="shared" ca="1" si="246"/>
        <v>231.51809042218565</v>
      </c>
      <c r="AC408" s="43">
        <f t="shared" ca="1" si="246"/>
        <v>239.38903899151799</v>
      </c>
      <c r="AD408" s="43">
        <f t="shared" ca="1" si="246"/>
        <v>247.63407234791595</v>
      </c>
      <c r="AE408" s="43">
        <f t="shared" ca="1" si="246"/>
        <v>256.26531984605288</v>
      </c>
      <c r="AF408" s="43">
        <f t="shared" ca="1" si="246"/>
        <v>265.30015028083437</v>
      </c>
      <c r="AG408" s="43">
        <f t="shared" ca="1" si="246"/>
        <v>274.75195254416451</v>
      </c>
      <c r="AH408" s="43">
        <f t="shared" ca="1" si="246"/>
        <v>284.63676754789407</v>
      </c>
      <c r="AI408" s="43">
        <f t="shared" ca="1" si="246"/>
        <v>294.96925295181524</v>
      </c>
      <c r="AJ408" s="43">
        <f t="shared" ca="1" si="246"/>
        <v>305.76583869178307</v>
      </c>
      <c r="AK408" s="43">
        <f t="shared" ca="1" si="246"/>
        <v>317.04009546057318</v>
      </c>
      <c r="AL408" s="43">
        <f t="shared" ca="1" si="246"/>
        <v>328.80676382258662</v>
      </c>
      <c r="AM408" s="43">
        <f t="shared" ca="1" si="246"/>
        <v>341.08229129877463</v>
      </c>
      <c r="AN408" s="43">
        <f t="shared" ca="1" si="246"/>
        <v>353.87986871338683</v>
      </c>
      <c r="AO408" s="43">
        <f t="shared" ca="1" si="246"/>
        <v>367.21239742757399</v>
      </c>
      <c r="AP408" s="43">
        <f t="shared" ca="1" si="246"/>
        <v>381.09390327364463</v>
      </c>
      <c r="AQ408" s="43">
        <f t="shared" ca="1" si="246"/>
        <v>395.53585055999901</v>
      </c>
      <c r="AR408" s="43">
        <f t="shared" ca="1" si="246"/>
        <v>410.55043029537239</v>
      </c>
      <c r="AS408" s="43">
        <f t="shared" ca="1" si="246"/>
        <v>426.15060447789477</v>
      </c>
      <c r="AT408" s="43">
        <f t="shared" ca="1" si="246"/>
        <v>442.35176376948186</v>
      </c>
      <c r="AU408" s="43">
        <f t="shared" ca="1" si="246"/>
        <v>459.17022689813007</v>
      </c>
      <c r="AV408" s="43">
        <f t="shared" ca="1" si="246"/>
        <v>476.62592058958609</v>
      </c>
      <c r="AW408" s="43">
        <f t="shared" ca="1" si="246"/>
        <v>494.73584557122268</v>
      </c>
    </row>
    <row r="409" spans="1:49" x14ac:dyDescent="0.2">
      <c r="A409" s="1" t="s">
        <v>647</v>
      </c>
      <c r="B409" s="4"/>
      <c r="D409" s="18">
        <f t="shared" ref="D409:I409" ca="1" si="247">D$405-C$405-D$410+D$411</f>
        <v>1.5800000000000005</v>
      </c>
      <c r="E409" s="19">
        <f t="shared" ca="1" si="247"/>
        <v>1.6959999999999935</v>
      </c>
      <c r="F409" s="19">
        <f t="shared" ca="1" si="247"/>
        <v>2.6250000000000075</v>
      </c>
      <c r="G409" s="19">
        <f t="shared" ca="1" si="247"/>
        <v>2.6279999999999992</v>
      </c>
      <c r="H409" s="19">
        <f t="shared" ca="1" si="247"/>
        <v>2.203999999999998</v>
      </c>
      <c r="I409" s="19">
        <f t="shared" ca="1" si="247"/>
        <v>2.1</v>
      </c>
      <c r="J409" s="7">
        <f t="shared" ref="J409:AW409" ca="1" si="248">J$403-I$403-J$410+J$411+J$415</f>
        <v>2.954947499642691</v>
      </c>
      <c r="K409" s="7">
        <f t="shared" ca="1" si="248"/>
        <v>3.0745244008060402</v>
      </c>
      <c r="L409" s="7">
        <f t="shared" ca="1" si="248"/>
        <v>3.207604957647185</v>
      </c>
      <c r="M409" s="7">
        <f t="shared" ca="1" si="248"/>
        <v>3.3441966660582212</v>
      </c>
      <c r="N409" s="7">
        <f t="shared" ca="1" si="248"/>
        <v>3.488546774689234</v>
      </c>
      <c r="O409" s="7">
        <f t="shared" ca="1" si="248"/>
        <v>3.6353060668366757</v>
      </c>
      <c r="P409" s="7">
        <f t="shared" ca="1" si="248"/>
        <v>3.788472883647831</v>
      </c>
      <c r="Q409" s="7">
        <f t="shared" ca="1" si="248"/>
        <v>3.9460897253734584</v>
      </c>
      <c r="R409" s="7">
        <f t="shared" ca="1" si="248"/>
        <v>4.109149841519292</v>
      </c>
      <c r="S409" s="7">
        <f t="shared" ca="1" si="248"/>
        <v>4.2790126115317069</v>
      </c>
      <c r="T409" s="7">
        <f t="shared" ca="1" si="248"/>
        <v>4.4548439753201912</v>
      </c>
      <c r="U409" s="7">
        <f t="shared" ca="1" si="248"/>
        <v>4.6360688638181475</v>
      </c>
      <c r="V409" s="7">
        <f t="shared" ca="1" si="248"/>
        <v>4.8259942433864529</v>
      </c>
      <c r="W409" s="7">
        <f t="shared" ca="1" si="248"/>
        <v>5.0200923615728446</v>
      </c>
      <c r="X409" s="7">
        <f t="shared" ca="1" si="248"/>
        <v>5.2247046781385196</v>
      </c>
      <c r="Y409" s="7">
        <f t="shared" ca="1" si="248"/>
        <v>5.4340691654791602</v>
      </c>
      <c r="Z409" s="7">
        <f t="shared" ca="1" si="248"/>
        <v>5.654768314436498</v>
      </c>
      <c r="AA409" s="7">
        <f t="shared" ca="1" si="248"/>
        <v>5.8832528779812296</v>
      </c>
      <c r="AB409" s="7">
        <f t="shared" ca="1" si="248"/>
        <v>6.1220074457348241</v>
      </c>
      <c r="AC409" s="7">
        <f t="shared" ca="1" si="248"/>
        <v>6.3727102002570168</v>
      </c>
      <c r="AD409" s="7">
        <f t="shared" ca="1" si="248"/>
        <v>6.6357647222676786</v>
      </c>
      <c r="AE409" s="7">
        <f t="shared" ca="1" si="248"/>
        <v>6.9083224578042497</v>
      </c>
      <c r="AF409" s="7">
        <f t="shared" ca="1" si="248"/>
        <v>7.1949294297990827</v>
      </c>
      <c r="AG409" s="7">
        <f t="shared" ca="1" si="248"/>
        <v>7.4919855493816536</v>
      </c>
      <c r="AH409" s="7">
        <f t="shared" ca="1" si="248"/>
        <v>7.8019112236380099</v>
      </c>
      <c r="AI409" s="7">
        <f t="shared" ca="1" si="248"/>
        <v>8.1246923490974012</v>
      </c>
      <c r="AJ409" s="7">
        <f t="shared" ca="1" si="248"/>
        <v>8.4610986278725555</v>
      </c>
      <c r="AK409" s="7">
        <f t="shared" ca="1" si="248"/>
        <v>8.8092596499522138</v>
      </c>
      <c r="AL409" s="7">
        <f t="shared" ca="1" si="248"/>
        <v>9.1712294958885927</v>
      </c>
      <c r="AM409" s="7">
        <f t="shared" ca="1" si="248"/>
        <v>9.5485139345226955</v>
      </c>
      <c r="AN409" s="7">
        <f t="shared" ca="1" si="248"/>
        <v>9.9376768065208463</v>
      </c>
      <c r="AO409" s="7">
        <f t="shared" ca="1" si="248"/>
        <v>10.341125787919324</v>
      </c>
      <c r="AP409" s="7">
        <f t="shared" ca="1" si="248"/>
        <v>10.757958930036418</v>
      </c>
      <c r="AQ409" s="7">
        <f t="shared" ca="1" si="248"/>
        <v>11.187805913356957</v>
      </c>
      <c r="AR409" s="7">
        <f t="shared" ca="1" si="248"/>
        <v>11.631095101571539</v>
      </c>
      <c r="AS409" s="7">
        <f t="shared" ca="1" si="248"/>
        <v>12.087533934834212</v>
      </c>
      <c r="AT409" s="7">
        <f t="shared" ca="1" si="248"/>
        <v>12.559482120842443</v>
      </c>
      <c r="AU409" s="7">
        <f t="shared" ca="1" si="248"/>
        <v>13.047506759125291</v>
      </c>
      <c r="AV409" s="7">
        <f t="shared" ca="1" si="248"/>
        <v>13.553619612336515</v>
      </c>
      <c r="AW409" s="7">
        <f t="shared" ca="1" si="248"/>
        <v>14.076011777466832</v>
      </c>
    </row>
    <row r="410" spans="1:49" x14ac:dyDescent="0.2">
      <c r="A410" s="1" t="s">
        <v>757</v>
      </c>
      <c r="B410" s="4"/>
      <c r="D410" s="18">
        <f t="shared" ref="D410:I410" ca="1" si="249">ROUND(D$413*D$405/SUM(D$405:D$407),3)</f>
        <v>0.75</v>
      </c>
      <c r="E410" s="19">
        <f t="shared" ca="1" si="249"/>
        <v>3.9E-2</v>
      </c>
      <c r="F410" s="19">
        <f t="shared" ca="1" si="249"/>
        <v>0.254</v>
      </c>
      <c r="G410" s="19">
        <f t="shared" ca="1" si="249"/>
        <v>2.5999999999999999E-2</v>
      </c>
      <c r="H410" s="19">
        <f t="shared" ca="1" si="249"/>
        <v>3.5999999999999997E-2</v>
      </c>
      <c r="I410" s="19">
        <f t="shared" ca="1" si="249"/>
        <v>3.1E-2</v>
      </c>
      <c r="J410" s="7">
        <f ca="1">(I$410/I$14+ IF(J$2&gt;0,J$2*IF(J$6=OFFSET(Assumptions!$B$8,0,$C$1),SUMPRODUCT(OFFSET(I$410,0,0,1,-OFFSET(Assumptions!$B$67,0,$C$1)),OFFSET(I$16,0,0,1,-OFFSET(Assumptions!$B$67,0,$C$1)))/OFFSET(Assumptions!$B$67,0,$C$1)-I$410/I$14,(I$410/I$14-H$410/H$14)/I$2),0))*J$14</f>
        <v>3.2757886589335913E-2</v>
      </c>
      <c r="K410" s="7">
        <f ca="1">(J$410/J$14+ IF(K$2&gt;0,K$2*IF(K$6=OFFSET(Assumptions!$B$8,0,$C$1),SUMPRODUCT(OFFSET(J$410,0,0,1,-OFFSET(Assumptions!$B$67,0,$C$1)),OFFSET(J$16,0,0,1,-OFFSET(Assumptions!$B$67,0,$C$1)))/OFFSET(Assumptions!$B$67,0,$C$1)-J$410/J$14,(J$410/J$14-I$410/I$14)/J$2),0))*K$14</f>
        <v>3.4503252394250977E-2</v>
      </c>
      <c r="L410" s="7">
        <f ca="1">(K$410/K$14+ IF(L$2&gt;0,L$2*IF(L$6=OFFSET(Assumptions!$B$8,0,$C$1),SUMPRODUCT(OFFSET(K$410,0,0,1,-OFFSET(Assumptions!$B$67,0,$C$1)),OFFSET(K$16,0,0,1,-OFFSET(Assumptions!$B$67,0,$C$1)))/OFFSET(Assumptions!$B$67,0,$C$1)-K$410/K$14,(K$410/K$14-J$410/J$14)/K$2),0))*L$14</f>
        <v>3.6293347942566341E-2</v>
      </c>
      <c r="M410" s="7">
        <f ca="1">(L$410/L$14+ IF(M$2&gt;0,M$2*IF(M$6=OFFSET(Assumptions!$B$8,0,$C$1),SUMPRODUCT(OFFSET(L$410,0,0,1,-OFFSET(Assumptions!$B$67,0,$C$1)),OFFSET(L$16,0,0,1,-OFFSET(Assumptions!$B$67,0,$C$1)))/OFFSET(Assumptions!$B$67,0,$C$1)-L$410/L$14,(L$410/L$14-K$410/K$14)/L$2),0))*M$14</f>
        <v>3.8066300249262226E-2</v>
      </c>
      <c r="N410" s="7">
        <f ca="1">(M$410/M$14+ IF(N$2&gt;0,N$2*IF(N$6=OFFSET(Assumptions!$B$8,0,$C$1),SUMPRODUCT(OFFSET(M$410,0,0,1,-OFFSET(Assumptions!$B$67,0,$C$1)),OFFSET(M$16,0,0,1,-OFFSET(Assumptions!$B$67,0,$C$1)))/OFFSET(Assumptions!$B$67,0,$C$1)-M$410/M$14,(M$410/M$14-L$410/L$14)/M$2),0))*N$14</f>
        <v>3.9814843677653713E-2</v>
      </c>
      <c r="O410" s="7">
        <f ca="1">(N$410/N$14+ IF(O$2&gt;0,O$2*IF(O$6=OFFSET(Assumptions!$B$8,0,$C$1),SUMPRODUCT(OFFSET(N$410,0,0,1,-OFFSET(Assumptions!$B$67,0,$C$1)),OFFSET(N$16,0,0,1,-OFFSET(Assumptions!$B$67,0,$C$1)))/OFFSET(Assumptions!$B$67,0,$C$1)-N$410/N$14,(N$410/N$14-M$410/M$14)/N$2),0))*O$14</f>
        <v>4.151440928248095E-2</v>
      </c>
      <c r="P410" s="7">
        <f ca="1">(O$410/O$14+ IF(P$2&gt;0,P$2*IF(P$6=OFFSET(Assumptions!$B$8,0,$C$1),SUMPRODUCT(OFFSET(O$410,0,0,1,-OFFSET(Assumptions!$B$67,0,$C$1)),OFFSET(O$16,0,0,1,-OFFSET(Assumptions!$B$67,0,$C$1)))/OFFSET(Assumptions!$B$67,0,$C$1)-O$410/O$14,(O$410/O$14-N$410/N$14)/O$2),0))*P$14</f>
        <v>4.3270008035920508E-2</v>
      </c>
      <c r="Q410" s="7">
        <f ca="1">(P$410/P$14+ IF(Q$2&gt;0,Q$2*IF(Q$6=OFFSET(Assumptions!$B$8,0,$C$1),SUMPRODUCT(OFFSET(P$410,0,0,1,-OFFSET(Assumptions!$B$67,0,$C$1)),OFFSET(P$16,0,0,1,-OFFSET(Assumptions!$B$67,0,$C$1)))/OFFSET(Assumptions!$B$67,0,$C$1)-P$410/P$14,(P$410/P$14-O$410/O$14)/P$2),0))*Q$14</f>
        <v>4.507974356895781E-2</v>
      </c>
      <c r="R410" s="7">
        <f ca="1">(Q$410/Q$14+ IF(R$2&gt;0,R$2*IF(R$6=OFFSET(Assumptions!$B$8,0,$C$1),SUMPRODUCT(OFFSET(Q$410,0,0,1,-OFFSET(Assumptions!$B$67,0,$C$1)),OFFSET(Q$16,0,0,1,-OFFSET(Assumptions!$B$67,0,$C$1)))/OFFSET(Assumptions!$B$67,0,$C$1)-Q$410/Q$14,(Q$410/Q$14-P$410/P$14)/Q$2),0))*R$14</f>
        <v>4.6942272664198079E-2</v>
      </c>
      <c r="S410" s="7">
        <f ca="1">(R$410/R$14+ IF(S$2&gt;0,S$2*IF(S$6=OFFSET(Assumptions!$B$8,0,$C$1),SUMPRODUCT(OFFSET(R$410,0,0,1,-OFFSET(Assumptions!$B$67,0,$C$1)),OFFSET(R$16,0,0,1,-OFFSET(Assumptions!$B$67,0,$C$1)))/OFFSET(Assumptions!$B$67,0,$C$1)-R$410/R$14,(R$410/R$14-Q$410/Q$14)/R$2),0))*S$14</f>
        <v>4.8863514363157376E-2</v>
      </c>
      <c r="T410" s="7">
        <f ca="1">(S$410/S$14+ IF(T$2&gt;0,T$2*IF(T$6=OFFSET(Assumptions!$B$8,0,$C$1),SUMPRODUCT(OFFSET(S$410,0,0,1,-OFFSET(Assumptions!$B$67,0,$C$1)),OFFSET(S$16,0,0,1,-OFFSET(Assumptions!$B$67,0,$C$1)))/OFFSET(Assumptions!$B$67,0,$C$1)-S$410/S$14,(S$410/S$14-R$410/R$14)/S$2),0))*T$14</f>
        <v>5.0844169277636353E-2</v>
      </c>
      <c r="U410" s="7">
        <f ca="1">(T$410/T$14+ IF(U$2&gt;0,U$2*IF(U$6=OFFSET(Assumptions!$B$8,0,$C$1),SUMPRODUCT(OFFSET(T$410,0,0,1,-OFFSET(Assumptions!$B$67,0,$C$1)),OFFSET(T$16,0,0,1,-OFFSET(Assumptions!$B$67,0,$C$1)))/OFFSET(Assumptions!$B$67,0,$C$1)-T$410/T$14,(T$410/T$14-S$410/S$14)/T$2),0))*U$14</f>
        <v>5.2891345925913665E-2</v>
      </c>
      <c r="V410" s="7">
        <f ca="1">(U$410/U$14+ IF(V$2&gt;0,V$2*IF(V$6=OFFSET(Assumptions!$B$8,0,$C$1),SUMPRODUCT(OFFSET(U$410,0,0,1,-OFFSET(Assumptions!$B$67,0,$C$1)),OFFSET(U$16,0,0,1,-OFFSET(Assumptions!$B$67,0,$C$1)))/OFFSET(Assumptions!$B$67,0,$C$1)-U$410/U$14,(U$410/U$14-T$410/T$14)/U$2),0))*V$14</f>
        <v>5.5010097775238576E-2</v>
      </c>
      <c r="W410" s="7">
        <f ca="1">(V$410/V$14+ IF(W$2&gt;0,W$2*IF(W$6=OFFSET(Assumptions!$B$8,0,$C$1),SUMPRODUCT(OFFSET(V$410,0,0,1,-OFFSET(Assumptions!$B$67,0,$C$1)),OFFSET(V$16,0,0,1,-OFFSET(Assumptions!$B$67,0,$C$1)))/OFFSET(Assumptions!$B$67,0,$C$1)-V$410/V$14,(V$410/V$14-U$410/U$14)/V$2),0))*W$14</f>
        <v>5.7206563384146945E-2</v>
      </c>
      <c r="X410" s="7">
        <f ca="1">(W$410/W$14+ IF(X$2&gt;0,X$2*IF(X$6=OFFSET(Assumptions!$B$8,0,$C$1),SUMPRODUCT(OFFSET(W$410,0,0,1,-OFFSET(Assumptions!$B$67,0,$C$1)),OFFSET(W$16,0,0,1,-OFFSET(Assumptions!$B$67,0,$C$1)))/OFFSET(Assumptions!$B$67,0,$C$1)-W$410/W$14,(W$410/W$14-V$410/V$14)/W$2),0))*X$14</f>
        <v>5.9487699963731169E-2</v>
      </c>
      <c r="Y410" s="7">
        <f ca="1">(X$410/X$14+ IF(Y$2&gt;0,Y$2*IF(Y$6=OFFSET(Assumptions!$B$8,0,$C$1),SUMPRODUCT(OFFSET(X$410,0,0,1,-OFFSET(Assumptions!$B$67,0,$C$1)),OFFSET(X$16,0,0,1,-OFFSET(Assumptions!$B$67,0,$C$1)))/OFFSET(Assumptions!$B$67,0,$C$1)-X$410/X$14,(X$410/X$14-W$410/W$14)/X$2),0))*Y$14</f>
        <v>6.1853274306302525E-2</v>
      </c>
      <c r="Z410" s="7">
        <f ca="1">(Y$410/Y$14+ IF(Z$2&gt;0,Z$2*IF(Z$6=OFFSET(Assumptions!$B$8,0,$C$1),SUMPRODUCT(OFFSET(Y$410,0,0,1,-OFFSET(Assumptions!$B$67,0,$C$1)),OFFSET(Y$16,0,0,1,-OFFSET(Assumptions!$B$67,0,$C$1)))/OFFSET(Assumptions!$B$67,0,$C$1)-Y$410/Y$14,(Y$410/Y$14-X$410/X$14)/Y$2),0))*Z$14</f>
        <v>6.4315260103238056E-2</v>
      </c>
      <c r="AA410" s="7">
        <f ca="1">(Z$410/Z$14+ IF(AA$2&gt;0,AA$2*IF(AA$6=OFFSET(Assumptions!$B$8,0,$C$1),SUMPRODUCT(OFFSET(Z$410,0,0,1,-OFFSET(Assumptions!$B$67,0,$C$1)),OFFSET(Z$16,0,0,1,-OFFSET(Assumptions!$B$67,0,$C$1)))/OFFSET(Assumptions!$B$67,0,$C$1)-Z$410/Z$14,(Z$410/Z$14-Y$410/Y$14)/Z$2),0))*AA$14</f>
        <v>6.6877640856047346E-2</v>
      </c>
      <c r="AB410" s="7">
        <f ca="1">(AA$410/AA$14+ IF(AB$2&gt;0,AB$2*IF(AB$6=OFFSET(Assumptions!$B$8,0,$C$1),SUMPRODUCT(OFFSET(AA$410,0,0,1,-OFFSET(Assumptions!$B$67,0,$C$1)),OFFSET(AA$16,0,0,1,-OFFSET(Assumptions!$B$67,0,$C$1)))/OFFSET(Assumptions!$B$67,0,$C$1)-AA$410/AA$14,(AA$410/AA$14-Z$410/Z$14)/AA$2),0))*AB$14</f>
        <v>6.9548111630770182E-2</v>
      </c>
      <c r="AC410" s="7">
        <f ca="1">(AB$410/AB$14+ IF(AC$2&gt;0,AC$2*IF(AC$6=OFFSET(Assumptions!$B$8,0,$C$1),SUMPRODUCT(OFFSET(AB$410,0,0,1,-OFFSET(Assumptions!$B$67,0,$C$1)),OFFSET(AB$16,0,0,1,-OFFSET(Assumptions!$B$67,0,$C$1)))/OFFSET(Assumptions!$B$67,0,$C$1)-AB$410/AB$14,(AB$410/AB$14-AA$410/AA$14)/AB$2),0))*AC$14</f>
        <v>7.2336753816970398E-2</v>
      </c>
      <c r="AD410" s="7">
        <f ca="1">(AC$410/AC$14+ IF(AD$2&gt;0,AD$2*IF(AD$6=OFFSET(Assumptions!$B$8,0,$C$1),SUMPRODUCT(OFFSET(AC$410,0,0,1,-OFFSET(Assumptions!$B$67,0,$C$1)),OFFSET(AC$16,0,0,1,-OFFSET(Assumptions!$B$67,0,$C$1)))/OFFSET(Assumptions!$B$67,0,$C$1)-AC$410/AC$14,(AC$410/AC$14-AB$410/AB$14)/AC$2),0))*AD$14</f>
        <v>7.5246506677912106E-2</v>
      </c>
      <c r="AE410" s="7">
        <f ca="1">(AD$410/AD$14+ IF(AE$2&gt;0,AE$2*IF(AE$6=OFFSET(Assumptions!$B$8,0,$C$1),SUMPRODUCT(OFFSET(AD$410,0,0,1,-OFFSET(Assumptions!$B$67,0,$C$1)),OFFSET(AD$16,0,0,1,-OFFSET(Assumptions!$B$67,0,$C$1)))/OFFSET(Assumptions!$B$67,0,$C$1)-AD$410/AD$14,(AD$410/AD$14-AC$410/AC$14)/AD$2),0))*AE$14</f>
        <v>7.8274697993422973E-2</v>
      </c>
      <c r="AF410" s="7">
        <f ca="1">(AE$410/AE$14+ IF(AF$2&gt;0,AF$2*IF(AF$6=OFFSET(Assumptions!$B$8,0,$C$1),SUMPRODUCT(OFFSET(AE$410,0,0,1,-OFFSET(Assumptions!$B$67,0,$C$1)),OFFSET(AE$16,0,0,1,-OFFSET(Assumptions!$B$67,0,$C$1)))/OFFSET(Assumptions!$B$67,0,$C$1)-AE$410/AE$14,(AE$410/AE$14-AD$410/AD$14)/AE$2),0))*AF$14</f>
        <v>8.1429705556382209E-2</v>
      </c>
      <c r="AG410" s="7">
        <f ca="1">(AF$410/AF$14+ IF(AG$2&gt;0,AG$2*IF(AG$6=OFFSET(Assumptions!$B$8,0,$C$1),SUMPRODUCT(OFFSET(AF$410,0,0,1,-OFFSET(Assumptions!$B$67,0,$C$1)),OFFSET(AF$16,0,0,1,-OFFSET(Assumptions!$B$67,0,$C$1)))/OFFSET(Assumptions!$B$67,0,$C$1)-AF$410/AF$14,(AF$410/AF$14-AE$410/AE$14)/AF$2),0))*AG$14</f>
        <v>8.4713293515091104E-2</v>
      </c>
      <c r="AH410" s="7">
        <f ca="1">(AG$410/AG$14+ IF(AH$2&gt;0,AH$2*IF(AH$6=OFFSET(Assumptions!$B$8,0,$C$1),SUMPRODUCT(OFFSET(AG$410,0,0,1,-OFFSET(Assumptions!$B$67,0,$C$1)),OFFSET(AG$16,0,0,1,-OFFSET(Assumptions!$B$67,0,$C$1)))/OFFSET(Assumptions!$B$67,0,$C$1)-AG$410/AG$14,(AG$410/AG$14-AF$410/AF$14)/AG$2),0))*AH$14</f>
        <v>8.8130727330677464E-2</v>
      </c>
      <c r="AI410" s="7">
        <f ca="1">(AH$410/AH$14+ IF(AI$2&gt;0,AI$2*IF(AI$6=OFFSET(Assumptions!$B$8,0,$C$1),SUMPRODUCT(OFFSET(AH$410,0,0,1,-OFFSET(Assumptions!$B$67,0,$C$1)),OFFSET(AH$16,0,0,1,-OFFSET(Assumptions!$B$67,0,$C$1)))/OFFSET(Assumptions!$B$67,0,$C$1)-AH$410/AH$14,(AH$410/AH$14-AG$410/AG$14)/AH$2),0))*AI$14</f>
        <v>9.1676035614980098E-2</v>
      </c>
      <c r="AJ410" s="7">
        <f ca="1">(AI$410/AI$14+ IF(AJ$2&gt;0,AJ$2*IF(AJ$6=OFFSET(Assumptions!$B$8,0,$C$1),SUMPRODUCT(OFFSET(AI$410,0,0,1,-OFFSET(Assumptions!$B$67,0,$C$1)),OFFSET(AI$16,0,0,1,-OFFSET(Assumptions!$B$67,0,$C$1)))/OFFSET(Assumptions!$B$67,0,$C$1)-AI$410/AI$14,(AI$410/AI$14-AH$410/AH$14)/AI$2),0))*AJ$14</f>
        <v>9.5360575756824967E-2</v>
      </c>
      <c r="AK410" s="7">
        <f ca="1">(AJ$410/AJ$14+ IF(AK$2&gt;0,AK$2*IF(AK$6=OFFSET(Assumptions!$B$8,0,$C$1),SUMPRODUCT(OFFSET(AJ$410,0,0,1,-OFFSET(Assumptions!$B$67,0,$C$1)),OFFSET(AJ$16,0,0,1,-OFFSET(Assumptions!$B$67,0,$C$1)))/OFFSET(Assumptions!$B$67,0,$C$1)-AJ$410/AJ$14,(AJ$410/AJ$14-AI$410/AI$14)/AJ$2),0))*AK$14</f>
        <v>9.9181316739994377E-2</v>
      </c>
      <c r="AL410" s="7">
        <f ca="1">(AK$410/AK$14+ IF(AL$2&gt;0,AL$2*IF(AL$6=OFFSET(Assumptions!$B$8,0,$C$1),SUMPRODUCT(OFFSET(AK$410,0,0,1,-OFFSET(Assumptions!$B$67,0,$C$1)),OFFSET(AK$16,0,0,1,-OFFSET(Assumptions!$B$67,0,$C$1)))/OFFSET(Assumptions!$B$67,0,$C$1)-AK$410/AK$14,(AK$410/AK$14-AJ$410/AJ$14)/AK$2),0))*AL$14</f>
        <v>0.10313524886140862</v>
      </c>
      <c r="AM410" s="7">
        <f ca="1">(AL$410/AL$14+ IF(AM$2&gt;0,AM$2*IF(AM$6=OFFSET(Assumptions!$B$8,0,$C$1),SUMPRODUCT(OFFSET(AL$410,0,0,1,-OFFSET(Assumptions!$B$67,0,$C$1)),OFFSET(AL$16,0,0,1,-OFFSET(Assumptions!$B$67,0,$C$1)))/OFFSET(Assumptions!$B$67,0,$C$1)-AL$410/AL$14,(AL$410/AL$14-AK$410/AK$14)/AL$2),0))*AM$14</f>
        <v>0.10722777370722771</v>
      </c>
      <c r="AN410" s="7">
        <f ca="1">(AM$410/AM$14+ IF(AN$2&gt;0,AN$2*IF(AN$6=OFFSET(Assumptions!$B$8,0,$C$1),SUMPRODUCT(OFFSET(AM$410,0,0,1,-OFFSET(Assumptions!$B$67,0,$C$1)),OFFSET(AM$16,0,0,1,-OFFSET(Assumptions!$B$67,0,$C$1)))/OFFSET(Assumptions!$B$67,0,$C$1)-AM$410/AM$14,(AM$410/AM$14-AL$410/AL$14)/AM$2),0))*AN$14</f>
        <v>0.1114645839398798</v>
      </c>
      <c r="AO410" s="7">
        <f ca="1">(AN$410/AN$14+ IF(AO$2&gt;0,AO$2*IF(AO$6=OFFSET(Assumptions!$B$8,0,$C$1),SUMPRODUCT(OFFSET(AN$410,0,0,1,-OFFSET(Assumptions!$B$67,0,$C$1)),OFFSET(AN$16,0,0,1,-OFFSET(Assumptions!$B$67,0,$C$1)))/OFFSET(Assumptions!$B$67,0,$C$1)-AN$410/AN$14,(AN$410/AN$14-AM$410/AM$14)/AN$2),0))*AO$14</f>
        <v>0.11582904307073816</v>
      </c>
      <c r="AP410" s="7">
        <f ca="1">(AO$410/AO$14+ IF(AP$2&gt;0,AP$2*IF(AP$6=OFFSET(Assumptions!$B$8,0,$C$1),SUMPRODUCT(OFFSET(AO$410,0,0,1,-OFFSET(Assumptions!$B$67,0,$C$1)),OFFSET(AO$16,0,0,1,-OFFSET(Assumptions!$B$67,0,$C$1)))/OFFSET(Assumptions!$B$67,0,$C$1)-AO$410/AO$14,(AO$410/AO$14-AN$410/AN$14)/AO$2),0))*AP$14</f>
        <v>0.12033968475419624</v>
      </c>
      <c r="AQ410" s="7">
        <f ca="1">(AP$410/AP$14+ IF(AQ$2&gt;0,AQ$2*IF(AQ$6=OFFSET(Assumptions!$B$8,0,$C$1),SUMPRODUCT(OFFSET(AP$410,0,0,1,-OFFSET(Assumptions!$B$67,0,$C$1)),OFFSET(AP$16,0,0,1,-OFFSET(Assumptions!$B$67,0,$C$1)))/OFFSET(Assumptions!$B$67,0,$C$1)-AP$410/AP$14,(AP$410/AP$14-AO$410/AO$14)/AP$2),0))*AQ$14</f>
        <v>0.12498387018649135</v>
      </c>
      <c r="AR410" s="7">
        <f ca="1">(AQ$410/AQ$14+ IF(AR$2&gt;0,AR$2*IF(AR$6=OFFSET(Assumptions!$B$8,0,$C$1),SUMPRODUCT(OFFSET(AQ$410,0,0,1,-OFFSET(Assumptions!$B$67,0,$C$1)),OFFSET(AQ$16,0,0,1,-OFFSET(Assumptions!$B$67,0,$C$1)))/OFFSET(Assumptions!$B$67,0,$C$1)-AQ$410/AQ$14,(AQ$410/AQ$14-AP$410/AP$14)/AQ$2),0))*AR$14</f>
        <v>0.1297668574163631</v>
      </c>
      <c r="AS410" s="7">
        <f ca="1">(AR$410/AR$14+ IF(AS$2&gt;0,AS$2*IF(AS$6=OFFSET(Assumptions!$B$8,0,$C$1),SUMPRODUCT(OFFSET(AR$410,0,0,1,-OFFSET(Assumptions!$B$67,0,$C$1)),OFFSET(AR$16,0,0,1,-OFFSET(Assumptions!$B$67,0,$C$1)))/OFFSET(Assumptions!$B$67,0,$C$1)-AR$410/AR$14,(AR$410/AR$14-AQ$410/AQ$14)/AR$2),0))*AS$14</f>
        <v>0.13469980501505885</v>
      </c>
      <c r="AT410" s="7">
        <f ca="1">(AS$410/AS$14+ IF(AT$2&gt;0,AT$2*IF(AT$6=OFFSET(Assumptions!$B$8,0,$C$1),SUMPRODUCT(OFFSET(AS$410,0,0,1,-OFFSET(Assumptions!$B$67,0,$C$1)),OFFSET(AS$16,0,0,1,-OFFSET(Assumptions!$B$67,0,$C$1)))/OFFSET(Assumptions!$B$67,0,$C$1)-AS$410/AS$14,(AS$410/AS$14-AR$410/AR$14)/AS$2),0))*AT$14</f>
        <v>0.13978665276632538</v>
      </c>
      <c r="AU410" s="7">
        <f ca="1">(AT$410/AT$14+ IF(AU$2&gt;0,AU$2*IF(AU$6=OFFSET(Assumptions!$B$8,0,$C$1),SUMPRODUCT(OFFSET(AT$410,0,0,1,-OFFSET(Assumptions!$B$67,0,$C$1)),OFFSET(AT$16,0,0,1,-OFFSET(Assumptions!$B$67,0,$C$1)))/OFFSET(Assumptions!$B$67,0,$C$1)-AT$410/AT$14,(AT$410/AT$14-AS$410/AS$14)/AT$2),0))*AU$14</f>
        <v>0.14503416504206057</v>
      </c>
      <c r="AV410" s="7">
        <f ca="1">(AU$410/AU$14+ IF(AV$2&gt;0,AV$2*IF(AV$6=OFFSET(Assumptions!$B$8,0,$C$1),SUMPRODUCT(OFFSET(AU$410,0,0,1,-OFFSET(Assumptions!$B$67,0,$C$1)),OFFSET(AU$16,0,0,1,-OFFSET(Assumptions!$B$67,0,$C$1)))/OFFSET(Assumptions!$B$67,0,$C$1)-AU$410/AU$14,(AU$410/AU$14-AT$410/AT$14)/AU$2),0))*AV$14</f>
        <v>0.15045856661531395</v>
      </c>
      <c r="AW410" s="7">
        <f ca="1">(AV$410/AV$14+ IF(AW$2&gt;0,AW$2*IF(AW$6=OFFSET(Assumptions!$B$8,0,$C$1),SUMPRODUCT(OFFSET(AV$410,0,0,1,-OFFSET(Assumptions!$B$67,0,$C$1)),OFFSET(AV$16,0,0,1,-OFFSET(Assumptions!$B$67,0,$C$1)))/OFFSET(Assumptions!$B$67,0,$C$1)-AV$410/AV$14,(AV$410/AV$14-AU$410/AU$14)/AV$2),0))*AW$14</f>
        <v>0.15605679510666545</v>
      </c>
    </row>
    <row r="411" spans="1:49" x14ac:dyDescent="0.2">
      <c r="A411" s="1" t="s">
        <v>648</v>
      </c>
      <c r="B411" s="4"/>
      <c r="D411" s="18">
        <f t="shared" ref="D411:I411" ca="1" si="250">ROUND(D$414*D$405/SUM(D$405:D$407),3)</f>
        <v>1.004</v>
      </c>
      <c r="E411" s="19">
        <f t="shared" ca="1" si="250"/>
        <v>1.0980000000000001</v>
      </c>
      <c r="F411" s="19">
        <f t="shared" ca="1" si="250"/>
        <v>1.1779999999999999</v>
      </c>
      <c r="G411" s="19">
        <f t="shared" ca="1" si="250"/>
        <v>1.242</v>
      </c>
      <c r="H411" s="19">
        <f t="shared" ca="1" si="250"/>
        <v>1.288</v>
      </c>
      <c r="I411" s="19">
        <f t="shared" ca="1" si="250"/>
        <v>1.3140000000000001</v>
      </c>
      <c r="J411" s="7">
        <f ca="1">IF(J$6=OFFSET(Assumptions!$B$8,0,$C$1),AVERAGE(G$411/SUM(F$405,F$439:F$440),H$411/SUM(G$405,G$439:G$440),I$411/SUM(H$405,H$439:H$440)),I$411/SUM(H$405,H$439:H$440))*SUM(I$405,I$439:I$440)</f>
        <v>1.3501133307538578</v>
      </c>
      <c r="K411" s="7">
        <f ca="1">IF(K$6=OFFSET(Assumptions!$B$8,0,$C$1),AVERAGE(H$411/SUM(G$405,G$439:G$440),I$411/SUM(H$405,H$439:H$440),J$411/SUM(I$405,I$439:I$440)),J$411/SUM(I$405,I$439:I$440))*SUM(J$405,J$439:J$440)</f>
        <v>1.4085912947942114</v>
      </c>
      <c r="L411" s="7">
        <f ca="1">IF(L$6=OFFSET(Assumptions!$B$8,0,$C$1),AVERAGE(I$411/SUM(H$405,H$439:H$440),J$411/SUM(I$405,I$439:I$440),K$411/SUM(J$405,J$439:J$440)),K$411/SUM(J$405,J$439:J$440))*SUM(K$405,K$439:K$440)</f>
        <v>1.4693134116896462</v>
      </c>
      <c r="M411" s="7">
        <f ca="1">IF(M$6=OFFSET(Assumptions!$B$8,0,$C$1),AVERAGE(J$411/SUM(I$405,I$439:I$440),K$411/SUM(J$405,J$439:J$440),L$411/SUM(K$405,K$439:K$440)),L$411/SUM(K$405,K$439:K$440))*SUM(L$405,L$439:L$440)</f>
        <v>1.5326833524907717</v>
      </c>
      <c r="N411" s="7">
        <f ca="1">IF(N$6=OFFSET(Assumptions!$B$8,0,$C$1),AVERAGE(K$411/SUM(J$405,J$439:J$440),L$411/SUM(K$405,K$439:K$440),M$411/SUM(L$405,L$439:L$440)),M$411/SUM(L$405,L$439:L$440))*SUM(M$405,M$439:M$440)</f>
        <v>1.5987313342116911</v>
      </c>
      <c r="O411" s="7">
        <f ca="1">IF(O$6=OFFSET(Assumptions!$B$8,0,$C$1),AVERAGE(L$411/SUM(K$405,K$439:K$440),M$411/SUM(L$405,L$439:L$440),N$411/SUM(M$405,M$439:M$440)),N$411/SUM(M$405,M$439:M$440))*SUM(N$405,N$439:N$440)</f>
        <v>1.6676379034579956</v>
      </c>
      <c r="P411" s="7">
        <f ca="1">IF(P$6=OFFSET(Assumptions!$B$8,0,$C$1),AVERAGE(M$411/SUM(L$405,L$439:L$440),N$411/SUM(M$405,M$439:M$440),O$411/SUM(N$405,N$439:N$440)),O$411/SUM(N$405,N$439:N$440))*SUM(O$405,O$439:O$440)</f>
        <v>1.7393852631508691</v>
      </c>
      <c r="Q411" s="7">
        <f ca="1">IF(Q$6=OFFSET(Assumptions!$B$8,0,$C$1),AVERAGE(N$411/SUM(M$405,M$439:M$440),O$411/SUM(N$405,N$439:N$440),P$411/SUM(O$405,O$439:O$440)),P$411/SUM(O$405,O$439:O$440))*SUM(P$405,P$439:P$440)</f>
        <v>1.8141027813212771</v>
      </c>
      <c r="R411" s="7">
        <f ca="1">IF(R$6=OFFSET(Assumptions!$B$8,0,$C$1),AVERAGE(O$411/SUM(N$405,N$439:N$440),P$411/SUM(O$405,O$439:O$440),Q$411/SUM(P$405,P$439:P$440)),Q$411/SUM(P$405,P$439:P$440))*SUM(Q$405,Q$439:Q$440)</f>
        <v>1.891845236804176</v>
      </c>
      <c r="S411" s="7">
        <f ca="1">IF(S$6=OFFSET(Assumptions!$B$8,0,$C$1),AVERAGE(P$411/SUM(O$405,O$439:O$440),Q$411/SUM(P$405,P$439:P$440),R$411/SUM(Q$405,Q$439:Q$440)),R$411/SUM(Q$405,Q$439:Q$440))*SUM(R$405,R$439:R$440)</f>
        <v>1.9727008729993625</v>
      </c>
      <c r="T411" s="7">
        <f ca="1">IF(T$6=OFFSET(Assumptions!$B$8,0,$C$1),AVERAGE(Q$411/SUM(P$405,P$439:P$440),R$411/SUM(Q$405,Q$439:Q$440),S$411/SUM(R$405,R$439:R$440)),S$411/SUM(R$405,R$439:R$440))*SUM(S$405,S$439:S$440)</f>
        <v>2.0568035365942579</v>
      </c>
      <c r="U411" s="7">
        <f ca="1">IF(U$6=OFFSET(Assumptions!$B$8,0,$C$1),AVERAGE(R$411/SUM(Q$405,Q$439:Q$440),S$411/SUM(R$405,R$439:R$440),T$411/SUM(S$405,S$439:S$440)),T$411/SUM(S$405,S$439:S$440))*SUM(T$405,T$439:T$440)</f>
        <v>2.1442525356088455</v>
      </c>
      <c r="V411" s="7">
        <f ca="1">IF(V$6=OFFSET(Assumptions!$B$8,0,$C$1),AVERAGE(S$411/SUM(R$405,R$439:R$440),T$411/SUM(S$405,S$439:S$440),U$411/SUM(T$405,T$439:T$440)),U$411/SUM(T$405,T$439:T$440))*SUM(U$405,U$439:U$440)</f>
        <v>2.2351233500851895</v>
      </c>
      <c r="W411" s="7">
        <f ca="1">IF(W$6=OFFSET(Assumptions!$B$8,0,$C$1),AVERAGE(T$411/SUM(S$405,S$439:S$440),U$411/SUM(T$405,T$439:T$440),V$411/SUM(U$405,U$439:U$440)),V$411/SUM(U$405,U$439:U$440))*SUM(V$405,V$439:V$440)</f>
        <v>2.3296070360151675</v>
      </c>
      <c r="X411" s="7">
        <f ca="1">IF(X$6=OFFSET(Assumptions!$B$8,0,$C$1),AVERAGE(U$411/SUM(T$405,T$439:T$440),V$411/SUM(U$405,U$439:U$440),W$411/SUM(V$405,V$439:V$440)),W$411/SUM(V$405,V$439:V$440))*SUM(W$405,W$439:W$440)</f>
        <v>2.4277263612390514</v>
      </c>
      <c r="Y411" s="7">
        <f ca="1">IF(Y$6=OFFSET(Assumptions!$B$8,0,$C$1),AVERAGE(V$411/SUM(U$405,U$439:U$440),W$411/SUM(V$405,V$439:V$440),X$411/SUM(W$405,W$439:W$440)),X$411/SUM(W$405,W$439:W$440))*SUM(X$405,X$439:X$440)</f>
        <v>2.5297299807960867</v>
      </c>
      <c r="Z411" s="7">
        <f ca="1">IF(Z$6=OFFSET(Assumptions!$B$8,0,$C$1),AVERAGE(W$411/SUM(V$405,V$439:V$440),X$411/SUM(W$405,W$439:W$440),Y$411/SUM(X$405,X$439:X$440)),Y$411/SUM(X$405,X$439:X$440))*SUM(Y$405,Y$439:Y$440)</f>
        <v>2.6356519015658475</v>
      </c>
      <c r="AA411" s="7">
        <f ca="1">IF(AA$6=OFFSET(Assumptions!$B$8,0,$C$1),AVERAGE(X$411/SUM(W$405,W$439:W$440),Y$411/SUM(X$405,X$439:X$440),Z$411/SUM(Y$405,Y$439:Y$440)),Z$411/SUM(Y$405,Y$439:Y$440))*SUM(Z$405,Z$439:Z$440)</f>
        <v>2.7457604025749118</v>
      </c>
      <c r="AB411" s="7">
        <f ca="1">IF(AB$6=OFFSET(Assumptions!$B$8,0,$C$1),AVERAGE(Y$411/SUM(X$405,X$439:X$440),Z$411/SUM(Y$405,Y$439:Y$440),AA$411/SUM(Z$405,Z$439:Z$440)),AA$411/SUM(Z$405,Z$439:Z$440))*SUM(AA$405,AA$439:AA$440)</f>
        <v>2.8601875822891287</v>
      </c>
      <c r="AC411" s="7">
        <f ca="1">IF(AC$6=OFFSET(Assumptions!$B$8,0,$C$1),AVERAGE(Z$411/SUM(Y$405,Y$439:Y$440),AA$411/SUM(Z$405,Z$439:Z$440),AB$411/SUM(AA$405,AA$439:AA$440)),AB$411/SUM(AA$405,AA$439:AA$440))*SUM(AB$405,AB$439:AB$440)</f>
        <v>2.9791498207782636</v>
      </c>
      <c r="AD411" s="7">
        <f ca="1">IF(AD$6=OFFSET(Assumptions!$B$8,0,$C$1),AVERAGE(AA$411/SUM(Z$405,Z$439:Z$440),AB$411/SUM(AA$405,AA$439:AA$440),AC$411/SUM(AB$405,AB$439:AB$440)),AC$411/SUM(AB$405,AB$439:AB$440))*SUM(AC$405,AC$439:AC$440)</f>
        <v>3.1029160586825206</v>
      </c>
      <c r="AE411" s="7">
        <f ca="1">IF(AE$6=OFFSET(Assumptions!$B$8,0,$C$1),AVERAGE(AB$411/SUM(AA$405,AA$439:AA$440),AC$411/SUM(AB$405,AB$439:AB$440),AD$411/SUM(AC$405,AC$439:AC$440)),AD$411/SUM(AC$405,AC$439:AC$440))*SUM(AD$405,AD$439:AD$440)</f>
        <v>3.2317601495627781</v>
      </c>
      <c r="AF411" s="7">
        <f ca="1">IF(AF$6=OFFSET(Assumptions!$B$8,0,$C$1),AVERAGE(AC$411/SUM(AB$405,AB$439:AB$440),AD$411/SUM(AC$405,AC$439:AC$440),AE$411/SUM(AD$405,AD$439:AD$440)),AE$411/SUM(AD$405,AD$439:AD$440))*SUM(AE$405,AE$439:AE$440)</f>
        <v>3.3658443512377052</v>
      </c>
      <c r="AG411" s="7">
        <f ca="1">IF(AG$6=OFFSET(Assumptions!$B$8,0,$C$1),AVERAGE(AD$411/SUM(AC$405,AC$439:AC$440),AE$411/SUM(AD$405,AD$439:AD$440),AF$411/SUM(AE$405,AE$439:AE$440)),AF$411/SUM(AE$405,AE$439:AE$440))*SUM(AF$405,AF$439:AF$440)</f>
        <v>3.5054877637468942</v>
      </c>
      <c r="AH411" s="7">
        <f ca="1">IF(AH$6=OFFSET(Assumptions!$B$8,0,$C$1),AVERAGE(AE$411/SUM(AD$405,AD$439:AD$440),AF$411/SUM(AE$405,AE$439:AE$440),AG$411/SUM(AF$405,AF$439:AF$440)),AG$411/SUM(AF$405,AF$439:AF$440))*SUM(AG$405,AG$439:AG$440)</f>
        <v>3.6508695969640184</v>
      </c>
      <c r="AI411" s="7">
        <f ca="1">IF(AI$6=OFFSET(Assumptions!$B$8,0,$C$1),AVERAGE(AF$411/SUM(AE$405,AE$439:AE$440),AG$411/SUM(AF$405,AF$439:AF$440),AH$411/SUM(AG$405,AG$439:AG$440)),AH$411/SUM(AG$405,AG$439:AG$440))*SUM(AH$405,AH$439:AH$440)</f>
        <v>3.8022492813298912</v>
      </c>
      <c r="AJ411" s="7">
        <f ca="1">IF(AJ$6=OFFSET(Assumptions!$B$8,0,$C$1),AVERAGE(AG$411/SUM(AF$405,AF$439:AF$440),AH$411/SUM(AG$405,AG$439:AG$440),AI$411/SUM(AH$405,AH$439:AH$440)),AI$411/SUM(AH$405,AH$439:AH$440))*SUM(AI$405,AI$439:AI$440)</f>
        <v>3.9598762662275835</v>
      </c>
      <c r="AK411" s="7">
        <f ca="1">IF(AK$6=OFFSET(Assumptions!$B$8,0,$C$1),AVERAGE(AH$411/SUM(AG$405,AG$439:AG$440),AI$411/SUM(AH$405,AH$439:AH$440),AJ$411/SUM(AI$405,AI$439:AI$440)),AJ$411/SUM(AI$405,AI$439:AI$440))*SUM(AJ$405,AJ$439:AJ$440)</f>
        <v>4.1240189846919799</v>
      </c>
      <c r="AL411" s="7">
        <f ca="1">IF(AL$6=OFFSET(Assumptions!$B$8,0,$C$1),AVERAGE(AI$411/SUM(AH$405,AH$439:AH$440),AJ$411/SUM(AI$405,AI$439:AI$440),AK$411/SUM(AJ$405,AJ$439:AJ$440)),AK$411/SUM(AJ$405,AJ$439:AJ$440))*SUM(AK$405,AK$439:AK$440)</f>
        <v>4.2948693840214949</v>
      </c>
      <c r="AM411" s="7">
        <f ca="1">IF(AM$6=OFFSET(Assumptions!$B$8,0,$C$1),AVERAGE(AJ$411/SUM(AI$405,AI$439:AI$440),AK$411/SUM(AJ$405,AJ$439:AJ$440),AL$411/SUM(AK$405,AK$439:AK$440)),AL$411/SUM(AK$405,AK$439:AK$440))*SUM(AL$405,AL$439:AL$440)</f>
        <v>4.4726858003076391</v>
      </c>
      <c r="AN411" s="7">
        <f ca="1">IF(AN$6=OFFSET(Assumptions!$B$8,0,$C$1),AVERAGE(AK$411/SUM(AJ$405,AJ$439:AJ$440),AL$411/SUM(AK$405,AK$439:AK$440),AM$411/SUM(AL$405,AL$439:AL$440)),AM$411/SUM(AL$405,AL$439:AL$440))*SUM(AM$405,AM$439:AM$440)</f>
        <v>4.6577713080131096</v>
      </c>
      <c r="AO411" s="7">
        <f ca="1">IF(AO$6=OFFSET(Assumptions!$B$8,0,$C$1),AVERAGE(AL$411/SUM(AK$405,AK$439:AK$440),AM$411/SUM(AL$405,AL$439:AL$440),AN$411/SUM(AM$405,AM$439:AM$440)),AN$411/SUM(AM$405,AM$439:AM$440))*SUM(AN$405,AN$439:AN$440)</f>
        <v>4.8502956578686973</v>
      </c>
      <c r="AP411" s="7">
        <f ca="1">IF(AP$6=OFFSET(Assumptions!$B$8,0,$C$1),AVERAGE(AM$411/SUM(AL$405,AL$439:AL$440),AN$411/SUM(AM$405,AM$439:AM$440),AO$411/SUM(AN$405,AN$439:AN$440)),AO$411/SUM(AN$405,AN$439:AN$440))*SUM(AO$405,AO$439:AO$440)</f>
        <v>5.0505079222208078</v>
      </c>
      <c r="AQ411" s="7">
        <f ca="1">IF(AQ$6=OFFSET(Assumptions!$B$8,0,$C$1),AVERAGE(AN$411/SUM(AM$405,AM$439:AM$440),AO$411/SUM(AN$405,AN$439:AN$440),AP$411/SUM(AO$405,AO$439:AO$440)),AP$411/SUM(AO$405,AO$439:AO$440))*SUM(AP$405,AP$439:AP$440)</f>
        <v>5.2586167326017241</v>
      </c>
      <c r="AR411" s="7">
        <f ca="1">IF(AR$6=OFFSET(Assumptions!$B$8,0,$C$1),AVERAGE(AO$411/SUM(AN$405,AN$439:AN$440),AP$411/SUM(AO$405,AO$439:AO$440),AQ$411/SUM(AP$405,AP$439:AP$440)),AQ$411/SUM(AP$405,AP$439:AP$440))*SUM(AQ$405,AQ$439:AQ$440)</f>
        <v>5.4748095950320881</v>
      </c>
      <c r="AS411" s="7">
        <f ca="1">IF(AS$6=OFFSET(Assumptions!$B$8,0,$C$1),AVERAGE(AP$411/SUM(AO$405,AO$439:AO$440),AQ$411/SUM(AP$405,AP$439:AP$440),AR$411/SUM(AQ$405,AQ$439:AQ$440)),AR$411/SUM(AQ$405,AQ$439:AQ$440))*SUM(AR$405,AR$439:AR$440)</f>
        <v>5.6992828042574777</v>
      </c>
      <c r="AT411" s="7">
        <f ca="1">IF(AT$6=OFFSET(Assumptions!$B$8,0,$C$1),AVERAGE(AQ$411/SUM(AP$405,AP$439:AP$440),AR$411/SUM(AQ$405,AQ$439:AQ$440),AS$411/SUM(AR$405,AR$439:AR$440)),AS$411/SUM(AR$405,AR$439:AR$440))*SUM(AS$405,AS$439:AS$440)</f>
        <v>5.9322155966293533</v>
      </c>
      <c r="AU411" s="7">
        <f ca="1">IF(AU$6=OFFSET(Assumptions!$B$8,0,$C$1),AVERAGE(AR$411/SUM(AQ$405,AQ$439:AQ$440),AS$411/SUM(AR$405,AR$439:AR$440),AT$411/SUM(AS$405,AS$439:AS$440)),AT$411/SUM(AS$405,AS$439:AS$440))*SUM(AT$405,AT$439:AT$440)</f>
        <v>6.1738652132226708</v>
      </c>
      <c r="AV411" s="7">
        <f ca="1">IF(AV$6=OFFSET(Assumptions!$B$8,0,$C$1),AVERAGE(AS$411/SUM(AR$405,AR$439:AR$440),AT$411/SUM(AS$405,AS$439:AS$440),AU$411/SUM(AT$405,AT$439:AT$440)),AU$411/SUM(AT$405,AT$439:AT$440))*SUM(AU$405,AU$439:AU$440)</f>
        <v>6.4245002016268371</v>
      </c>
      <c r="AW411" s="7">
        <f ca="1">IF(AW$6=OFFSET(Assumptions!$B$8,0,$C$1),AVERAGE(AT$411/SUM(AS$405,AS$439:AS$440),AU$411/SUM(AT$405,AT$439:AT$440),AV$411/SUM(AU$405,AU$439:AU$440)),AV$411/SUM(AU$405,AU$439:AU$440))*SUM(AV$405,AV$439:AV$440)</f>
        <v>6.6844519385462382</v>
      </c>
    </row>
    <row r="412" spans="1:49" x14ac:dyDescent="0.2">
      <c r="A412" s="1" t="s">
        <v>650</v>
      </c>
      <c r="B412" s="4" t="str">
        <f t="shared" ref="B412:B414" si="251">$B$43</f>
        <v>From Fiscal</v>
      </c>
      <c r="D412" s="18">
        <f>SUM(Fiscal!D$318:D$321)</f>
        <v>9.2320000000000011</v>
      </c>
      <c r="E412" s="19">
        <f>SUM(Fiscal!E$318:E$321)</f>
        <v>6.5279999999999996</v>
      </c>
      <c r="F412" s="19">
        <f>SUM(Fiscal!F$318:F$321)</f>
        <v>7.593</v>
      </c>
      <c r="G412" s="19">
        <f>SUM(Fiscal!G$318:G$321)</f>
        <v>6.8950000000000005</v>
      </c>
      <c r="H412" s="19">
        <f>SUM(Fiscal!H$318:H$321)</f>
        <v>6.4370000000000003</v>
      </c>
      <c r="I412" s="19">
        <f>SUM(Fiscal!I$318:I$321)</f>
        <v>6.226</v>
      </c>
      <c r="J412" s="7">
        <f t="shared" ref="J412:AW412" ca="1" si="252">(I$412-I$409-(I$135-I$283))*(1+J$15) +J$409+J$135-J$283</f>
        <v>7.3025947977546721</v>
      </c>
      <c r="K412" s="7">
        <f t="shared" ca="1" si="252"/>
        <v>7.6466401999751454</v>
      </c>
      <c r="L412" s="7">
        <f t="shared" ca="1" si="252"/>
        <v>7.9779004434998839</v>
      </c>
      <c r="M412" s="7">
        <f t="shared" ca="1" si="252"/>
        <v>8.3205997029306413</v>
      </c>
      <c r="N412" s="7">
        <f t="shared" ca="1" si="252"/>
        <v>8.6795695166675184</v>
      </c>
      <c r="O412" s="7">
        <f t="shared" ca="1" si="252"/>
        <v>9.0479166110318996</v>
      </c>
      <c r="P412" s="7">
        <f t="shared" ca="1" si="252"/>
        <v>9.4299767805000805</v>
      </c>
      <c r="Q412" s="7">
        <f t="shared" ca="1" si="252"/>
        <v>9.8235452784728352</v>
      </c>
      <c r="R412" s="7">
        <f t="shared" ca="1" si="252"/>
        <v>10.229440227005941</v>
      </c>
      <c r="S412" s="7">
        <f t="shared" ca="1" si="252"/>
        <v>10.64979272474099</v>
      </c>
      <c r="T412" s="7">
        <f t="shared" ca="1" si="252"/>
        <v>11.083860056710408</v>
      </c>
      <c r="U412" s="7">
        <f t="shared" ca="1" si="252"/>
        <v>11.531993955930385</v>
      </c>
      <c r="V412" s="7">
        <f t="shared" ca="1" si="252"/>
        <v>11.998160255179284</v>
      </c>
      <c r="W412" s="7">
        <f t="shared" ca="1" si="252"/>
        <v>12.47863154162744</v>
      </c>
      <c r="X412" s="7">
        <f t="shared" ca="1" si="252"/>
        <v>12.980656349826891</v>
      </c>
      <c r="Y412" s="7">
        <f t="shared" ca="1" si="252"/>
        <v>13.498442246769109</v>
      </c>
      <c r="Z412" s="7">
        <f t="shared" ca="1" si="252"/>
        <v>14.040132842177684</v>
      </c>
      <c r="AA412" s="7">
        <f t="shared" ca="1" si="252"/>
        <v>14.602698254290608</v>
      </c>
      <c r="AB412" s="7">
        <f t="shared" ca="1" si="252"/>
        <v>15.189626348370393</v>
      </c>
      <c r="AC412" s="7">
        <f t="shared" ca="1" si="252"/>
        <v>15.803909709286632</v>
      </c>
      <c r="AD412" s="7">
        <f t="shared" ca="1" si="252"/>
        <v>16.446335136203356</v>
      </c>
      <c r="AE412" s="7">
        <f t="shared" ca="1" si="252"/>
        <v>17.113705673546825</v>
      </c>
      <c r="AF412" s="7">
        <f t="shared" ca="1" si="252"/>
        <v>17.811659633188555</v>
      </c>
      <c r="AG412" s="7">
        <f t="shared" ca="1" si="252"/>
        <v>18.536826934292872</v>
      </c>
      <c r="AH412" s="7">
        <f t="shared" ca="1" si="252"/>
        <v>19.292314489930448</v>
      </c>
      <c r="AI412" s="7">
        <f t="shared" ca="1" si="252"/>
        <v>20.077329652527812</v>
      </c>
      <c r="AJ412" s="7">
        <f t="shared" ca="1" si="252"/>
        <v>20.894122890119124</v>
      </c>
      <c r="AK412" s="7">
        <f t="shared" ca="1" si="252"/>
        <v>21.740428611583162</v>
      </c>
      <c r="AL412" s="7">
        <f t="shared" ca="1" si="252"/>
        <v>22.617908495149546</v>
      </c>
      <c r="AM412" s="7">
        <f t="shared" ca="1" si="252"/>
        <v>23.528772563500528</v>
      </c>
      <c r="AN412" s="7">
        <f t="shared" ca="1" si="252"/>
        <v>24.470326861400149</v>
      </c>
      <c r="AO412" s="7">
        <f t="shared" ca="1" si="252"/>
        <v>25.442810014780981</v>
      </c>
      <c r="AP412" s="7">
        <f t="shared" ca="1" si="252"/>
        <v>26.447736475794809</v>
      </c>
      <c r="AQ412" s="7">
        <f t="shared" ca="1" si="252"/>
        <v>27.483088089302782</v>
      </c>
      <c r="AR412" s="7">
        <f t="shared" ca="1" si="252"/>
        <v>28.549978758559753</v>
      </c>
      <c r="AS412" s="7">
        <f t="shared" ca="1" si="252"/>
        <v>29.649570767987946</v>
      </c>
      <c r="AT412" s="7">
        <f t="shared" ca="1" si="252"/>
        <v>30.784737490670381</v>
      </c>
      <c r="AU412" s="7">
        <f t="shared" ca="1" si="252"/>
        <v>31.956927958729935</v>
      </c>
      <c r="AV412" s="7">
        <f t="shared" ca="1" si="252"/>
        <v>33.170269305825336</v>
      </c>
      <c r="AW412" s="7">
        <f t="shared" ca="1" si="252"/>
        <v>34.42255335873184</v>
      </c>
    </row>
    <row r="413" spans="1:49" x14ac:dyDescent="0.2">
      <c r="A413" s="1" t="s">
        <v>758</v>
      </c>
      <c r="B413" s="4" t="str">
        <f t="shared" si="251"/>
        <v>From Fiscal</v>
      </c>
      <c r="D413" s="18">
        <f>-SUM(Fiscal!D$323:D$325,Fiscal!D$327)</f>
        <v>2.8930000000000002</v>
      </c>
      <c r="E413" s="19">
        <f>-SUM(Fiscal!E$323:E$325,Fiscal!E$327)</f>
        <v>0.14899999999999999</v>
      </c>
      <c r="F413" s="19">
        <f>-SUM(Fiscal!F$323:F$325,Fiscal!F$327)</f>
        <v>0.96199999999999997</v>
      </c>
      <c r="G413" s="19">
        <f>-SUM(Fiscal!G$323:G$325,Fiscal!G$327)</f>
        <v>9.5000000000000001E-2</v>
      </c>
      <c r="H413" s="19">
        <f>-SUM(Fiscal!H$323:H$325,Fiscal!H$327)</f>
        <v>0.13200000000000001</v>
      </c>
      <c r="I413" s="19">
        <f>-SUM(Fiscal!I$323:I$325,Fiscal!I$327)</f>
        <v>0.114</v>
      </c>
      <c r="J413" s="7">
        <f ca="1">((I$413-I$410)/I$14+ IF(J$2&gt;0,J$2*IF(J$6=OFFSET(Assumptions!$B$8,0,$C$1),(SUMPRODUCT(OFFSET(I$413,0,0,1,-OFFSET(Assumptions!$B$67,0,$C$1)),OFFSET(I$16,0,0,1,-OFFSET(Assumptions!$B$67,0,$C$1)))-SUMPRODUCT(OFFSET(I$410,0,0,1,-OFFSET(Assumptions!$B$67,0,$C$1)),OFFSET(I$16,0,0,1,-OFFSET(Assumptions!$B$67,0,$C$1))))/OFFSET(Assumptions!$B$67,0,$C$1)-(I$413-I$410)/I$14,((I$413-I$410)/I$14-(H$413-H$410)/H$14)/I$2),0))*J$14 +J$410</f>
        <v>0.12034022956866618</v>
      </c>
      <c r="K413" s="7">
        <f ca="1">((J$413-J$410)/J$14+ IF(K$2&gt;0,K$2*IF(K$6=OFFSET(Assumptions!$B$8,0,$C$1),(SUMPRODUCT(OFFSET(J$413,0,0,1,-OFFSET(Assumptions!$B$67,0,$C$1)),OFFSET(J$16,0,0,1,-OFFSET(Assumptions!$B$67,0,$C$1)))-SUMPRODUCT(OFFSET(J$410,0,0,1,-OFFSET(Assumptions!$B$67,0,$C$1)),OFFSET(J$16,0,0,1,-OFFSET(Assumptions!$B$67,0,$C$1))))/OFFSET(Assumptions!$B$67,0,$C$1)-(J$413-J$410)/J$14,((J$413-J$410)/J$14-(I$413-I$410)/I$14)/J$2),0))*K$14 +K$410</f>
        <v>0.1266499194080839</v>
      </c>
      <c r="L413" s="7">
        <f ca="1">((K$413-K$410)/K$14+ IF(L$2&gt;0,L$2*IF(L$6=OFFSET(Assumptions!$B$8,0,$C$1),(SUMPRODUCT(OFFSET(K$413,0,0,1,-OFFSET(Assumptions!$B$67,0,$C$1)),OFFSET(K$16,0,0,1,-OFFSET(Assumptions!$B$67,0,$C$1)))-SUMPRODUCT(OFFSET(K$410,0,0,1,-OFFSET(Assumptions!$B$67,0,$C$1)),OFFSET(K$16,0,0,1,-OFFSET(Assumptions!$B$67,0,$C$1))))/OFFSET(Assumptions!$B$67,0,$C$1)-(K$413-K$410)/K$14,((K$413-K$410)/K$14-(J$413-J$410)/J$14)/K$2),0))*L$14 +L$410</f>
        <v>0.13314171539802691</v>
      </c>
      <c r="M413" s="7">
        <f ca="1">((L$413-L$410)/L$14+ IF(M$2&gt;0,M$2*IF(M$6=OFFSET(Assumptions!$B$8,0,$C$1),(SUMPRODUCT(OFFSET(L$413,0,0,1,-OFFSET(Assumptions!$B$67,0,$C$1)),OFFSET(L$16,0,0,1,-OFFSET(Assumptions!$B$67,0,$C$1)))-SUMPRODUCT(OFFSET(L$410,0,0,1,-OFFSET(Assumptions!$B$67,0,$C$1)),OFFSET(L$16,0,0,1,-OFFSET(Assumptions!$B$67,0,$C$1))))/OFFSET(Assumptions!$B$67,0,$C$1)-(L$413-L$410)/L$14,((L$413-L$410)/L$14-(K$413-K$410)/K$14)/L$2),0))*M$14 +M$410</f>
        <v>0.13959124105884166</v>
      </c>
      <c r="N413" s="7">
        <f ca="1">((M$413-M$410)/M$14+ IF(N$2&gt;0,N$2*IF(N$6=OFFSET(Assumptions!$B$8,0,$C$1),(SUMPRODUCT(OFFSET(M$413,0,0,1,-OFFSET(Assumptions!$B$67,0,$C$1)),OFFSET(M$16,0,0,1,-OFFSET(Assumptions!$B$67,0,$C$1)))-SUMPRODUCT(OFFSET(M$410,0,0,1,-OFFSET(Assumptions!$B$67,0,$C$1)),OFFSET(M$16,0,0,1,-OFFSET(Assumptions!$B$67,0,$C$1))))/OFFSET(Assumptions!$B$67,0,$C$1)-(M$413-M$410)/M$14,((M$413-M$410)/M$14-(L$413-L$410)/L$14)/M$2),0))*N$14 +N$410</f>
        <v>0.14597495990369147</v>
      </c>
      <c r="O413" s="7">
        <f ca="1">((N$413-N$410)/N$14+ IF(O$2&gt;0,O$2*IF(O$6=OFFSET(Assumptions!$B$8,0,$C$1),(SUMPRODUCT(OFFSET(N$413,0,0,1,-OFFSET(Assumptions!$B$67,0,$C$1)),OFFSET(N$16,0,0,1,-OFFSET(Assumptions!$B$67,0,$C$1)))-SUMPRODUCT(OFFSET(N$410,0,0,1,-OFFSET(Assumptions!$B$67,0,$C$1)),OFFSET(N$16,0,0,1,-OFFSET(Assumptions!$B$67,0,$C$1))))/OFFSET(Assumptions!$B$67,0,$C$1)-(N$413-N$410)/N$14,((N$413-N$410)/N$14-(M$413-M$410)/M$14)/N$2),0))*O$14 +O$410</f>
        <v>0.15220615405396745</v>
      </c>
      <c r="P413" s="7">
        <f ca="1">((O$413-O$410)/O$14+ IF(P$2&gt;0,P$2*IF(P$6=OFFSET(Assumptions!$B$8,0,$C$1),(SUMPRODUCT(OFFSET(O$413,0,0,1,-OFFSET(Assumptions!$B$67,0,$C$1)),OFFSET(O$16,0,0,1,-OFFSET(Assumptions!$B$67,0,$C$1)))-SUMPRODUCT(OFFSET(O$410,0,0,1,-OFFSET(Assumptions!$B$67,0,$C$1)),OFFSET(O$16,0,0,1,-OFFSET(Assumptions!$B$67,0,$C$1))))/OFFSET(Assumptions!$B$67,0,$C$1)-(O$413-O$410)/O$14,((O$413-O$410)/O$14-(N$413-N$410)/N$14)/O$2),0))*P$14 +P$410</f>
        <v>0.15864278506814733</v>
      </c>
      <c r="Q413" s="7">
        <f ca="1">((P$413-P$410)/P$14+ IF(Q$2&gt;0,Q$2*IF(Q$6=OFFSET(Assumptions!$B$8,0,$C$1),(SUMPRODUCT(OFFSET(P$413,0,0,1,-OFFSET(Assumptions!$B$67,0,$C$1)),OFFSET(P$16,0,0,1,-OFFSET(Assumptions!$B$67,0,$C$1)))-SUMPRODUCT(OFFSET(P$410,0,0,1,-OFFSET(Assumptions!$B$67,0,$C$1)),OFFSET(P$16,0,0,1,-OFFSET(Assumptions!$B$67,0,$C$1))))/OFFSET(Assumptions!$B$67,0,$C$1)-(P$413-P$410)/P$14,((P$413-P$410)/P$14-(O$413-O$410)/O$14)/P$2),0))*Q$14 +Q$410</f>
        <v>0.16527790020284958</v>
      </c>
      <c r="R413" s="7">
        <f ca="1">((Q$413-Q$410)/Q$14+ IF(R$2&gt;0,R$2*IF(R$6=OFFSET(Assumptions!$B$8,0,$C$1),(SUMPRODUCT(OFFSET(Q$413,0,0,1,-OFFSET(Assumptions!$B$67,0,$C$1)),OFFSET(Q$16,0,0,1,-OFFSET(Assumptions!$B$67,0,$C$1)))-SUMPRODUCT(OFFSET(Q$410,0,0,1,-OFFSET(Assumptions!$B$67,0,$C$1)),OFFSET(Q$16,0,0,1,-OFFSET(Assumptions!$B$67,0,$C$1))))/OFFSET(Assumptions!$B$67,0,$C$1)-(Q$413-Q$410)/Q$14,((Q$413-Q$410)/Q$14-(P$413-P$410)/P$14)/Q$2),0))*R$14 +R$410</f>
        <v>0.17210657475946356</v>
      </c>
      <c r="S413" s="7">
        <f ca="1">((R$413-R$410)/R$14+ IF(S$2&gt;0,S$2*IF(S$6=OFFSET(Assumptions!$B$8,0,$C$1),(SUMPRODUCT(OFFSET(R$413,0,0,1,-OFFSET(Assumptions!$B$67,0,$C$1)),OFFSET(R$16,0,0,1,-OFFSET(Assumptions!$B$67,0,$C$1)))-SUMPRODUCT(OFFSET(R$410,0,0,1,-OFFSET(Assumptions!$B$67,0,$C$1)),OFFSET(R$16,0,0,1,-OFFSET(Assumptions!$B$67,0,$C$1))))/OFFSET(Assumptions!$B$67,0,$C$1)-(R$413-R$410)/R$14,((R$413-R$410)/R$14-(Q$413-Q$410)/Q$14)/R$2),0))*S$14 +S$410</f>
        <v>0.17915050998727633</v>
      </c>
      <c r="T413" s="7">
        <f ca="1">((S$413-S$410)/S$14+ IF(T$2&gt;0,T$2*IF(T$6=OFFSET(Assumptions!$B$8,0,$C$1),(SUMPRODUCT(OFFSET(S$413,0,0,1,-OFFSET(Assumptions!$B$67,0,$C$1)),OFFSET(S$16,0,0,1,-OFFSET(Assumptions!$B$67,0,$C$1)))-SUMPRODUCT(OFFSET(S$410,0,0,1,-OFFSET(Assumptions!$B$67,0,$C$1)),OFFSET(S$16,0,0,1,-OFFSET(Assumptions!$B$67,0,$C$1))))/OFFSET(Assumptions!$B$67,0,$C$1)-(S$413-S$410)/S$14,((S$413-S$410)/S$14-(R$413-R$410)/R$14)/S$2),0))*T$14 +T$410</f>
        <v>0.18641227457098086</v>
      </c>
      <c r="U413" s="7">
        <f ca="1">((T$413-T$410)/T$14+ IF(U$2&gt;0,U$2*IF(U$6=OFFSET(Assumptions!$B$8,0,$C$1),(SUMPRODUCT(OFFSET(T$413,0,0,1,-OFFSET(Assumptions!$B$67,0,$C$1)),OFFSET(T$16,0,0,1,-OFFSET(Assumptions!$B$67,0,$C$1)))-SUMPRODUCT(OFFSET(T$410,0,0,1,-OFFSET(Assumptions!$B$67,0,$C$1)),OFFSET(T$16,0,0,1,-OFFSET(Assumptions!$B$67,0,$C$1))))/OFFSET(Assumptions!$B$67,0,$C$1)-(T$413-T$410)/T$14,((T$413-T$410)/T$14-(S$413-S$410)/S$14)/T$2),0))*U$14 +U$410</f>
        <v>0.19391793079225034</v>
      </c>
      <c r="V413" s="7">
        <f ca="1">((U$413-U$410)/U$14+ IF(V$2&gt;0,V$2*IF(V$6=OFFSET(Assumptions!$B$8,0,$C$1),(SUMPRODUCT(OFFSET(U$413,0,0,1,-OFFSET(Assumptions!$B$67,0,$C$1)),OFFSET(U$16,0,0,1,-OFFSET(Assumptions!$B$67,0,$C$1)))-SUMPRODUCT(OFFSET(U$410,0,0,1,-OFFSET(Assumptions!$B$67,0,$C$1)),OFFSET(U$16,0,0,1,-OFFSET(Assumptions!$B$67,0,$C$1))))/OFFSET(Assumptions!$B$67,0,$C$1)-(U$413-U$410)/U$14,((U$413-U$410)/U$14-(T$413-T$410)/T$14)/U$2),0))*V$14 +V$410</f>
        <v>0.20168600640633755</v>
      </c>
      <c r="W413" s="7">
        <f ca="1">((V$413-V$410)/V$14+ IF(W$2&gt;0,W$2*IF(W$6=OFFSET(Assumptions!$B$8,0,$C$1),(SUMPRODUCT(OFFSET(V$413,0,0,1,-OFFSET(Assumptions!$B$67,0,$C$1)),OFFSET(V$16,0,0,1,-OFFSET(Assumptions!$B$67,0,$C$1)))-SUMPRODUCT(OFFSET(V$410,0,0,1,-OFFSET(Assumptions!$B$67,0,$C$1)),OFFSET(V$16,0,0,1,-OFFSET(Assumptions!$B$67,0,$C$1))))/OFFSET(Assumptions!$B$67,0,$C$1)-(V$413-V$410)/V$14,((V$413-V$410)/V$14-(U$413-U$410)/U$14)/V$2),0))*W$14 +W$410</f>
        <v>0.20973900748769533</v>
      </c>
      <c r="X413" s="7">
        <f ca="1">((W$413-W$410)/W$14+ IF(X$2&gt;0,X$2*IF(X$6=OFFSET(Assumptions!$B$8,0,$C$1),(SUMPRODUCT(OFFSET(W$413,0,0,1,-OFFSET(Assumptions!$B$67,0,$C$1)),OFFSET(W$16,0,0,1,-OFFSET(Assumptions!$B$67,0,$C$1)))-SUMPRODUCT(OFFSET(W$410,0,0,1,-OFFSET(Assumptions!$B$67,0,$C$1)),OFFSET(W$16,0,0,1,-OFFSET(Assumptions!$B$67,0,$C$1))))/OFFSET(Assumptions!$B$67,0,$C$1)-(W$413-W$410)/W$14,((W$413-W$410)/W$14-(V$413-V$410)/V$14)/W$2),0))*X$14 +X$410</f>
        <v>0.21810244157362502</v>
      </c>
      <c r="Y413" s="7">
        <f ca="1">((X$413-X$410)/X$14+ IF(Y$2&gt;0,Y$2*IF(Y$6=OFFSET(Assumptions!$B$8,0,$C$1),(SUMPRODUCT(OFFSET(X$413,0,0,1,-OFFSET(Assumptions!$B$67,0,$C$1)),OFFSET(X$16,0,0,1,-OFFSET(Assumptions!$B$67,0,$C$1)))-SUMPRODUCT(OFFSET(X$410,0,0,1,-OFFSET(Assumptions!$B$67,0,$C$1)),OFFSET(X$16,0,0,1,-OFFSET(Assumptions!$B$67,0,$C$1))))/OFFSET(Assumptions!$B$67,0,$C$1)-(X$413-X$410)/X$14,((X$413-X$410)/X$14-(W$413-W$410)/W$14)/X$2),0))*Y$14 +Y$410</f>
        <v>0.22677545364424292</v>
      </c>
      <c r="Z413" s="7">
        <f ca="1">((Y$413-Y$410)/Y$14+ IF(Z$2&gt;0,Z$2*IF(Z$6=OFFSET(Assumptions!$B$8,0,$C$1),(SUMPRODUCT(OFFSET(Y$413,0,0,1,-OFFSET(Assumptions!$B$67,0,$C$1)),OFFSET(Y$16,0,0,1,-OFFSET(Assumptions!$B$67,0,$C$1)))-SUMPRODUCT(OFFSET(Y$410,0,0,1,-OFFSET(Assumptions!$B$67,0,$C$1)),OFFSET(Y$16,0,0,1,-OFFSET(Assumptions!$B$67,0,$C$1))))/OFFSET(Assumptions!$B$67,0,$C$1)-(Y$413-Y$410)/Y$14,((Y$413-Y$410)/Y$14-(X$413-X$410)/X$14)/Y$2),0))*Z$14 +Z$410</f>
        <v>0.23580194338512395</v>
      </c>
      <c r="AA413" s="7">
        <f ca="1">((Z$413-Z$410)/Z$14+ IF(AA$2&gt;0,AA$2*IF(AA$6=OFFSET(Assumptions!$B$8,0,$C$1),(SUMPRODUCT(OFFSET(Z$413,0,0,1,-OFFSET(Assumptions!$B$67,0,$C$1)),OFFSET(Z$16,0,0,1,-OFFSET(Assumptions!$B$67,0,$C$1)))-SUMPRODUCT(OFFSET(Z$410,0,0,1,-OFFSET(Assumptions!$B$67,0,$C$1)),OFFSET(Z$16,0,0,1,-OFFSET(Assumptions!$B$67,0,$C$1))))/OFFSET(Assumptions!$B$67,0,$C$1)-(Z$413-Z$410)/Z$14,((Z$413-Z$410)/Z$14-(Y$413-Y$410)/Y$14)/Z$2),0))*AA$14 +AA$410</f>
        <v>0.2451965156877966</v>
      </c>
      <c r="AB413" s="7">
        <f ca="1">((AA$413-AA$410)/AA$14+ IF(AB$2&gt;0,AB$2*IF(AB$6=OFFSET(Assumptions!$B$8,0,$C$1),(SUMPRODUCT(OFFSET(AA$413,0,0,1,-OFFSET(Assumptions!$B$67,0,$C$1)),OFFSET(AA$16,0,0,1,-OFFSET(Assumptions!$B$67,0,$C$1)))-SUMPRODUCT(OFFSET(AA$410,0,0,1,-OFFSET(Assumptions!$B$67,0,$C$1)),OFFSET(AA$16,0,0,1,-OFFSET(Assumptions!$B$67,0,$C$1))))/OFFSET(Assumptions!$B$67,0,$C$1)-(AA$413-AA$410)/AA$14,((AA$413-AA$410)/AA$14-(Z$413-Z$410)/Z$14)/AA$2),0))*AB$14 +AB$410</f>
        <v>0.25498738332048643</v>
      </c>
      <c r="AC413" s="7">
        <f ca="1">((AB$413-AB$410)/AB$14+ IF(AC$2&gt;0,AC$2*IF(AC$6=OFFSET(Assumptions!$B$8,0,$C$1),(SUMPRODUCT(OFFSET(AB$413,0,0,1,-OFFSET(Assumptions!$B$67,0,$C$1)),OFFSET(AB$16,0,0,1,-OFFSET(Assumptions!$B$67,0,$C$1)))-SUMPRODUCT(OFFSET(AB$410,0,0,1,-OFFSET(Assumptions!$B$67,0,$C$1)),OFFSET(AB$16,0,0,1,-OFFSET(Assumptions!$B$67,0,$C$1))))/OFFSET(Assumptions!$B$67,0,$C$1)-(AB$413-AB$410)/AB$14,((AB$413-AB$410)/AB$14-(AA$413-AA$410)/AA$14)/AB$2),0))*AC$14 +AC$410</f>
        <v>0.265211508137151</v>
      </c>
      <c r="AD413" s="7">
        <f ca="1">((AC$413-AC$410)/AC$14+ IF(AD$2&gt;0,AD$2*IF(AD$6=OFFSET(Assumptions!$B$8,0,$C$1),(SUMPRODUCT(OFFSET(AC$413,0,0,1,-OFFSET(Assumptions!$B$67,0,$C$1)),OFFSET(AC$16,0,0,1,-OFFSET(Assumptions!$B$67,0,$C$1)))-SUMPRODUCT(OFFSET(AC$410,0,0,1,-OFFSET(Assumptions!$B$67,0,$C$1)),OFFSET(AC$16,0,0,1,-OFFSET(Assumptions!$B$67,0,$C$1))))/OFFSET(Assumptions!$B$67,0,$C$1)-(AC$413-AC$410)/AC$14,((AC$413-AC$410)/AC$14-(AB$413-AB$410)/AB$14)/AC$2),0))*AD$14 +AD$410</f>
        <v>0.27587966649146878</v>
      </c>
      <c r="AE413" s="7">
        <f ca="1">((AD$413-AD$410)/AD$14+ IF(AE$2&gt;0,AE$2*IF(AE$6=OFFSET(Assumptions!$B$8,0,$C$1),(SUMPRODUCT(OFFSET(AD$413,0,0,1,-OFFSET(Assumptions!$B$67,0,$C$1)),OFFSET(AD$16,0,0,1,-OFFSET(Assumptions!$B$67,0,$C$1)))-SUMPRODUCT(OFFSET(AD$410,0,0,1,-OFFSET(Assumptions!$B$67,0,$C$1)),OFFSET(AD$16,0,0,1,-OFFSET(Assumptions!$B$67,0,$C$1))))/OFFSET(Assumptions!$B$67,0,$C$1)-(AD$413-AD$410)/AD$14,((AD$413-AD$410)/AD$14-(AC$413-AC$410)/AC$14)/AD$2),0))*AE$14 +AE$410</f>
        <v>0.2869820611019116</v>
      </c>
      <c r="AF413" s="7">
        <f ca="1">((AE$413-AE$410)/AE$14+ IF(AF$2&gt;0,AF$2*IF(AF$6=OFFSET(Assumptions!$B$8,0,$C$1),(SUMPRODUCT(OFFSET(AE$413,0,0,1,-OFFSET(Assumptions!$B$67,0,$C$1)),OFFSET(AE$16,0,0,1,-OFFSET(Assumptions!$B$67,0,$C$1)))-SUMPRODUCT(OFFSET(AE$410,0,0,1,-OFFSET(Assumptions!$B$67,0,$C$1)),OFFSET(AE$16,0,0,1,-OFFSET(Assumptions!$B$67,0,$C$1))))/OFFSET(Assumptions!$B$67,0,$C$1)-(AE$413-AE$410)/AE$14,((AE$413-AE$410)/AE$14-(AD$413-AD$410)/AD$14)/AE$2),0))*AF$14 +AF$410</f>
        <v>0.29854940784895678</v>
      </c>
      <c r="AG413" s="7">
        <f ca="1">((AF$413-AF$410)/AF$14+ IF(AG$2&gt;0,AG$2*IF(AG$6=OFFSET(Assumptions!$B$8,0,$C$1),(SUMPRODUCT(OFFSET(AF$413,0,0,1,-OFFSET(Assumptions!$B$67,0,$C$1)),OFFSET(AF$16,0,0,1,-OFFSET(Assumptions!$B$67,0,$C$1)))-SUMPRODUCT(OFFSET(AF$410,0,0,1,-OFFSET(Assumptions!$B$67,0,$C$1)),OFFSET(AF$16,0,0,1,-OFFSET(Assumptions!$B$67,0,$C$1))))/OFFSET(Assumptions!$B$67,0,$C$1)-(AF$413-AF$410)/AF$14,((AF$413-AF$410)/AF$14-(AE$413-AE$410)/AE$14)/AF$2),0))*AG$14 +AG$410</f>
        <v>0.31058817470921191</v>
      </c>
      <c r="AH413" s="7">
        <f ca="1">((AG$413-AG$410)/AG$14+ IF(AH$2&gt;0,AH$2*IF(AH$6=OFFSET(Assumptions!$B$8,0,$C$1),(SUMPRODUCT(OFFSET(AG$413,0,0,1,-OFFSET(Assumptions!$B$67,0,$C$1)),OFFSET(AG$16,0,0,1,-OFFSET(Assumptions!$B$67,0,$C$1)))-SUMPRODUCT(OFFSET(AG$410,0,0,1,-OFFSET(Assumptions!$B$67,0,$C$1)),OFFSET(AG$16,0,0,1,-OFFSET(Assumptions!$B$67,0,$C$1))))/OFFSET(Assumptions!$B$67,0,$C$1)-(AG$413-AG$410)/AG$14,((AG$413-AG$410)/AG$14-(AF$413-AF$410)/AF$14)/AG$2),0))*AH$14 +AH$410</f>
        <v>0.32311766668066288</v>
      </c>
      <c r="AI413" s="7">
        <f ca="1">((AH$413-AH$410)/AH$14+ IF(AI$2&gt;0,AI$2*IF(AI$6=OFFSET(Assumptions!$B$8,0,$C$1),(SUMPRODUCT(OFFSET(AH$413,0,0,1,-OFFSET(Assumptions!$B$67,0,$C$1)),OFFSET(AH$16,0,0,1,-OFFSET(Assumptions!$B$67,0,$C$1)))-SUMPRODUCT(OFFSET(AH$410,0,0,1,-OFFSET(Assumptions!$B$67,0,$C$1)),OFFSET(AH$16,0,0,1,-OFFSET(Assumptions!$B$67,0,$C$1))))/OFFSET(Assumptions!$B$67,0,$C$1)-(AH$413-AH$410)/AH$14,((AH$413-AH$410)/AH$14-(AG$413-AG$410)/AG$14)/AH$2),0))*AI$14 +AI$410</f>
        <v>0.336115990593153</v>
      </c>
      <c r="AJ413" s="7">
        <f ca="1">((AI$413-AI$410)/AI$14+ IF(AJ$2&gt;0,AJ$2*IF(AJ$6=OFFSET(Assumptions!$B$8,0,$C$1),(SUMPRODUCT(OFFSET(AI$413,0,0,1,-OFFSET(Assumptions!$B$67,0,$C$1)),OFFSET(AI$16,0,0,1,-OFFSET(Assumptions!$B$67,0,$C$1)))-SUMPRODUCT(OFFSET(AI$410,0,0,1,-OFFSET(Assumptions!$B$67,0,$C$1)),OFFSET(AI$16,0,0,1,-OFFSET(Assumptions!$B$67,0,$C$1))))/OFFSET(Assumptions!$B$67,0,$C$1)-(AI$413-AI$410)/AI$14,((AI$413-AI$410)/AI$14-(AH$413-AH$410)/AH$14)/AI$2),0))*AJ$14 +AJ$410</f>
        <v>0.34962478655437434</v>
      </c>
      <c r="AK413" s="7">
        <f ca="1">((AJ$413-AJ$410)/AJ$14+ IF(AK$2&gt;0,AK$2*IF(AK$6=OFFSET(Assumptions!$B$8,0,$C$1),(SUMPRODUCT(OFFSET(AJ$413,0,0,1,-OFFSET(Assumptions!$B$67,0,$C$1)),OFFSET(AJ$16,0,0,1,-OFFSET(Assumptions!$B$67,0,$C$1)))-SUMPRODUCT(OFFSET(AJ$410,0,0,1,-OFFSET(Assumptions!$B$67,0,$C$1)),OFFSET(AJ$16,0,0,1,-OFFSET(Assumptions!$B$67,0,$C$1))))/OFFSET(Assumptions!$B$67,0,$C$1)-(AJ$413-AJ$410)/AJ$14,((AJ$413-AJ$410)/AJ$14-(AI$413-AI$410)/AI$14)/AJ$2),0))*AK$14 +AK$410</f>
        <v>0.36363294181264993</v>
      </c>
      <c r="AL413" s="7">
        <f ca="1">((AK$413-AK$410)/AK$14+ IF(AL$2&gt;0,AL$2*IF(AL$6=OFFSET(Assumptions!$B$8,0,$C$1),(SUMPRODUCT(OFFSET(AK$413,0,0,1,-OFFSET(Assumptions!$B$67,0,$C$1)),OFFSET(AK$16,0,0,1,-OFFSET(Assumptions!$B$67,0,$C$1)))-SUMPRODUCT(OFFSET(AK$410,0,0,1,-OFFSET(Assumptions!$B$67,0,$C$1)),OFFSET(AK$16,0,0,1,-OFFSET(Assumptions!$B$67,0,$C$1))))/OFFSET(Assumptions!$B$67,0,$C$1)-(AK$413-AK$410)/AK$14,((AK$413-AK$410)/AK$14-(AJ$413-AJ$410)/AJ$14)/AK$2),0))*AL$14 +AL$410</f>
        <v>0.37812942175762343</v>
      </c>
      <c r="AM413" s="7">
        <f ca="1">((AL$413-AL$410)/AL$14+ IF(AM$2&gt;0,AM$2*IF(AM$6=OFFSET(Assumptions!$B$8,0,$C$1),(SUMPRODUCT(OFFSET(AL$413,0,0,1,-OFFSET(Assumptions!$B$67,0,$C$1)),OFFSET(AL$16,0,0,1,-OFFSET(Assumptions!$B$67,0,$C$1)))-SUMPRODUCT(OFFSET(AL$410,0,0,1,-OFFSET(Assumptions!$B$67,0,$C$1)),OFFSET(AL$16,0,0,1,-OFFSET(Assumptions!$B$67,0,$C$1))))/OFFSET(Assumptions!$B$67,0,$C$1)-(AL$413-AL$410)/AL$14,((AL$413-AL$410)/AL$14-(AK$413-AK$410)/AK$14)/AL$2),0))*AM$14 +AM$410</f>
        <v>0.39313403046863538</v>
      </c>
      <c r="AN413" s="7">
        <f ca="1">((AM$413-AM$410)/AM$14+ IF(AN$2&gt;0,AN$2*IF(AN$6=OFFSET(Assumptions!$B$8,0,$C$1),(SUMPRODUCT(OFFSET(AM$413,0,0,1,-OFFSET(Assumptions!$B$67,0,$C$1)),OFFSET(AM$16,0,0,1,-OFFSET(Assumptions!$B$67,0,$C$1)))-SUMPRODUCT(OFFSET(AM$410,0,0,1,-OFFSET(Assumptions!$B$67,0,$C$1)),OFFSET(AM$16,0,0,1,-OFFSET(Assumptions!$B$67,0,$C$1))))/OFFSET(Assumptions!$B$67,0,$C$1)-(AM$413-AM$410)/AM$14,((AM$413-AM$410)/AM$14-(AL$413-AL$410)/AL$14)/AM$2),0))*AN$14 +AN$410</f>
        <v>0.40866763921109689</v>
      </c>
      <c r="AO413" s="7">
        <f ca="1">((AN$413-AN$410)/AN$14+ IF(AO$2&gt;0,AO$2*IF(AO$6=OFFSET(Assumptions!$B$8,0,$C$1),(SUMPRODUCT(OFFSET(AN$413,0,0,1,-OFFSET(Assumptions!$B$67,0,$C$1)),OFFSET(AN$16,0,0,1,-OFFSET(Assumptions!$B$67,0,$C$1)))-SUMPRODUCT(OFFSET(AN$410,0,0,1,-OFFSET(Assumptions!$B$67,0,$C$1)),OFFSET(AN$16,0,0,1,-OFFSET(Assumptions!$B$67,0,$C$1))))/OFFSET(Assumptions!$B$67,0,$C$1)-(AN$413-AN$410)/AN$14,((AN$413-AN$410)/AN$14-(AM$413-AM$410)/AM$14)/AN$2),0))*AO$14 +AO$410</f>
        <v>0.42466925287524709</v>
      </c>
      <c r="AP413" s="7">
        <f ca="1">((AO$413-AO$410)/AO$14+ IF(AP$2&gt;0,AP$2*IF(AP$6=OFFSET(Assumptions!$B$8,0,$C$1),(SUMPRODUCT(OFFSET(AO$413,0,0,1,-OFFSET(Assumptions!$B$67,0,$C$1)),OFFSET(AO$16,0,0,1,-OFFSET(Assumptions!$B$67,0,$C$1)))-SUMPRODUCT(OFFSET(AO$410,0,0,1,-OFFSET(Assumptions!$B$67,0,$C$1)),OFFSET(AO$16,0,0,1,-OFFSET(Assumptions!$B$67,0,$C$1))))/OFFSET(Assumptions!$B$67,0,$C$1)-(AO$413-AO$410)/AO$14,((AO$413-AO$410)/AO$14-(AN$413-AN$410)/AN$14)/AO$2),0))*AP$14 +AP$410</f>
        <v>0.44120682223539676</v>
      </c>
      <c r="AQ413" s="7">
        <f ca="1">((AP$413-AP$410)/AP$14+ IF(AQ$2&gt;0,AQ$2*IF(AQ$6=OFFSET(Assumptions!$B$8,0,$C$1),(SUMPRODUCT(OFFSET(AP$413,0,0,1,-OFFSET(Assumptions!$B$67,0,$C$1)),OFFSET(AP$16,0,0,1,-OFFSET(Assumptions!$B$67,0,$C$1)))-SUMPRODUCT(OFFSET(AP$410,0,0,1,-OFFSET(Assumptions!$B$67,0,$C$1)),OFFSET(AP$16,0,0,1,-OFFSET(Assumptions!$B$67,0,$C$1))))/OFFSET(Assumptions!$B$67,0,$C$1)-(AP$413-AP$410)/AP$14,((AP$413-AP$410)/AP$14-(AO$413-AO$410)/AO$14)/AP$2),0))*AQ$14 +AQ$410</f>
        <v>0.45823400907438672</v>
      </c>
      <c r="AR413" s="7">
        <f ca="1">((AQ$413-AQ$410)/AQ$14+ IF(AR$2&gt;0,AR$2*IF(AR$6=OFFSET(Assumptions!$B$8,0,$C$1),(SUMPRODUCT(OFFSET(AQ$413,0,0,1,-OFFSET(Assumptions!$B$67,0,$C$1)),OFFSET(AQ$16,0,0,1,-OFFSET(Assumptions!$B$67,0,$C$1)))-SUMPRODUCT(OFFSET(AQ$410,0,0,1,-OFFSET(Assumptions!$B$67,0,$C$1)),OFFSET(AQ$16,0,0,1,-OFFSET(Assumptions!$B$67,0,$C$1))))/OFFSET(Assumptions!$B$67,0,$C$1)-(AQ$413-AQ$410)/AQ$14,((AQ$413-AQ$410)/AQ$14-(AP$413-AP$410)/AP$14)/AQ$2),0))*AR$14 +AR$410</f>
        <v>0.47577009121382918</v>
      </c>
      <c r="AS413" s="7">
        <f ca="1">((AR$413-AR$410)/AR$14+ IF(AS$2&gt;0,AS$2*IF(AS$6=OFFSET(Assumptions!$B$8,0,$C$1),(SUMPRODUCT(OFFSET(AR$413,0,0,1,-OFFSET(Assumptions!$B$67,0,$C$1)),OFFSET(AR$16,0,0,1,-OFFSET(Assumptions!$B$67,0,$C$1)))-SUMPRODUCT(OFFSET(AR$410,0,0,1,-OFFSET(Assumptions!$B$67,0,$C$1)),OFFSET(AR$16,0,0,1,-OFFSET(Assumptions!$B$67,0,$C$1))))/OFFSET(Assumptions!$B$67,0,$C$1)-(AR$413-AR$410)/AR$14,((AR$413-AR$410)/AR$14-(AQ$413-AQ$410)/AQ$14)/AR$2),0))*AS$14 +AS$410</f>
        <v>0.49385597982754681</v>
      </c>
      <c r="AT413" s="7">
        <f ca="1">((AS$413-AS$410)/AS$14+ IF(AT$2&gt;0,AT$2*IF(AT$6=OFFSET(Assumptions!$B$8,0,$C$1),(SUMPRODUCT(OFFSET(AS$413,0,0,1,-OFFSET(Assumptions!$B$67,0,$C$1)),OFFSET(AS$16,0,0,1,-OFFSET(Assumptions!$B$67,0,$C$1)))-SUMPRODUCT(OFFSET(AS$410,0,0,1,-OFFSET(Assumptions!$B$67,0,$C$1)),OFFSET(AS$16,0,0,1,-OFFSET(Assumptions!$B$67,0,$C$1))))/OFFSET(Assumptions!$B$67,0,$C$1)-(AS$413-AS$410)/AS$14,((AS$413-AS$410)/AS$14-(AR$413-AR$410)/AR$14)/AS$2),0))*AT$14 +AT$410</f>
        <v>0.51250611952265945</v>
      </c>
      <c r="AU413" s="7">
        <f ca="1">((AT$413-AT$410)/AT$14+ IF(AU$2&gt;0,AU$2*IF(AU$6=OFFSET(Assumptions!$B$8,0,$C$1),(SUMPRODUCT(OFFSET(AT$413,0,0,1,-OFFSET(Assumptions!$B$67,0,$C$1)),OFFSET(AT$16,0,0,1,-OFFSET(Assumptions!$B$67,0,$C$1)))-SUMPRODUCT(OFFSET(AT$410,0,0,1,-OFFSET(Assumptions!$B$67,0,$C$1)),OFFSET(AT$16,0,0,1,-OFFSET(Assumptions!$B$67,0,$C$1))))/OFFSET(Assumptions!$B$67,0,$C$1)-(AT$413-AT$410)/AT$14,((AT$413-AT$410)/AT$14-(AS$413-AS$410)/AS$14)/AT$2),0))*AU$14 +AU$410</f>
        <v>0.53174531082141874</v>
      </c>
      <c r="AV413" s="7">
        <f ca="1">((AU$413-AU$410)/AU$14+ IF(AV$2&gt;0,AV$2*IF(AV$6=OFFSET(Assumptions!$B$8,0,$C$1),(SUMPRODUCT(OFFSET(AU$413,0,0,1,-OFFSET(Assumptions!$B$67,0,$C$1)),OFFSET(AU$16,0,0,1,-OFFSET(Assumptions!$B$67,0,$C$1)))-SUMPRODUCT(OFFSET(AU$410,0,0,1,-OFFSET(Assumptions!$B$67,0,$C$1)),OFFSET(AU$16,0,0,1,-OFFSET(Assumptions!$B$67,0,$C$1))))/OFFSET(Assumptions!$B$67,0,$C$1)-(AU$413-AU$410)/AU$14,((AU$413-AU$410)/AU$14-(AT$413-AT$410)/AT$14)/AU$2),0))*AV$14 +AV$410</f>
        <v>0.55163303934216645</v>
      </c>
      <c r="AW413" s="7">
        <f ca="1">((AV$413-AV$410)/AV$14+ IF(AW$2&gt;0,AW$2*IF(AW$6=OFFSET(Assumptions!$B$8,0,$C$1),(SUMPRODUCT(OFFSET(AV$413,0,0,1,-OFFSET(Assumptions!$B$67,0,$C$1)),OFFSET(AV$16,0,0,1,-OFFSET(Assumptions!$B$67,0,$C$1)))-SUMPRODUCT(OFFSET(AV$410,0,0,1,-OFFSET(Assumptions!$B$67,0,$C$1)),OFFSET(AV$16,0,0,1,-OFFSET(Assumptions!$B$67,0,$C$1))))/OFFSET(Assumptions!$B$67,0,$C$1)-(AV$413-AV$410)/AV$14,((AV$413-AV$410)/AV$14-(AU$413-AU$410)/AU$14)/AV$2),0))*AW$14 +AW$410</f>
        <v>0.57215807734489998</v>
      </c>
    </row>
    <row r="414" spans="1:49" x14ac:dyDescent="0.2">
      <c r="A414" s="1" t="s">
        <v>649</v>
      </c>
      <c r="B414" s="4" t="str">
        <f t="shared" si="251"/>
        <v>From Fiscal</v>
      </c>
      <c r="D414" s="18">
        <f>Fiscal!D$326</f>
        <v>3.8730000000000002</v>
      </c>
      <c r="E414" s="19">
        <f>Fiscal!E$326</f>
        <v>4.234</v>
      </c>
      <c r="F414" s="19">
        <f>Fiscal!F$326</f>
        <v>4.4560000000000004</v>
      </c>
      <c r="G414" s="19">
        <f>Fiscal!G$326</f>
        <v>4.6219999999999999</v>
      </c>
      <c r="H414" s="19">
        <f>Fiscal!H$326</f>
        <v>4.7549999999999999</v>
      </c>
      <c r="I414" s="19">
        <f>Fiscal!I$326</f>
        <v>4.8280000000000003</v>
      </c>
      <c r="J414" s="7">
        <f ca="1">IF(J$6=OFFSET(Assumptions!$B$8,0,$C$1),AVERAGE((G$414-G$411)/SUM(F$406:F$407),(H$414-H$411)/SUM(G$406:G$407),(I$414-I$411)/SUM(H$406:H$407)),(I$414-I$411)/SUM(H$406:H$407))*SUM(I$406:I$407)+J$411</f>
        <v>4.913566895422008</v>
      </c>
      <c r="K414" s="7">
        <f ca="1">IF(K$6=OFFSET(Assumptions!$B$8,0,$C$1),AVERAGE((H$414-H$411)/SUM(G$406:G$407),(I$414-I$411)/SUM(H$406:H$407),(J$414-J$411)/SUM(I$406:I$407)),(J$414-J$411)/SUM(I$406:I$407))*SUM(J$406:J$407)+K$411</f>
        <v>5.0027679400162173</v>
      </c>
      <c r="L414" s="7">
        <f ca="1">IF(L$6=OFFSET(Assumptions!$B$8,0,$C$1),AVERAGE((I$414-I$411)/SUM(H$406:H$407),(J$414-J$411)/SUM(I$406:I$407),(K$414-K$411)/SUM(J$406:J$407)),(K$414-K$411)/SUM(J$406:J$407))*SUM(K$406:K$407)+L$411</f>
        <v>5.1012019576692529</v>
      </c>
      <c r="M414" s="7">
        <f ca="1">IF(M$6=OFFSET(Assumptions!$B$8,0,$C$1),AVERAGE((J$414-J$411)/SUM(I$406:I$407),(K$414-K$411)/SUM(J$406:J$407),(L$414-L$411)/SUM(K$406:K$407)),(L$414-L$411)/SUM(K$406:K$407))*SUM(L$406:L$407)+M$411</f>
        <v>5.2081046924274483</v>
      </c>
      <c r="N414" s="7">
        <f ca="1">IF(N$6=OFFSET(Assumptions!$B$8,0,$C$1),AVERAGE((K$414-K$411)/SUM(J$406:J$407),(L$414-L$411)/SUM(K$406:K$407),(M$414-M$411)/SUM(L$406:L$407)),(M$414-M$411)/SUM(L$406:L$407))*SUM(M$406:M$407)+N$411</f>
        <v>5.3235797295288716</v>
      </c>
      <c r="O414" s="7">
        <f ca="1">IF(O$6=OFFSET(Assumptions!$B$8,0,$C$1),AVERAGE((L$414-L$411)/SUM(K$406:K$407),(M$414-M$411)/SUM(L$406:L$407),(N$414-N$411)/SUM(M$406:M$407)),(N$414-N$411)/SUM(M$406:M$407))*SUM(N$406:N$407)+O$411</f>
        <v>5.447898416252734</v>
      </c>
      <c r="P414" s="7">
        <f ca="1">IF(P$6=OFFSET(Assumptions!$B$8,0,$C$1),AVERAGE((M$414-M$411)/SUM(L$406:L$407),(N$414-N$411)/SUM(M$406:M$407),(O$414-O$411)/SUM(N$406:N$407)),(O$414-O$411)/SUM(N$406:N$407))*SUM(O$406:O$407)+P$411</f>
        <v>5.581073950388963</v>
      </c>
      <c r="Q414" s="7">
        <f ca="1">IF(Q$6=OFFSET(Assumptions!$B$8,0,$C$1),AVERAGE((N$414-N$411)/SUM(M$406:M$407),(O$414-O$411)/SUM(N$406:N$407),(P$414-P$411)/SUM(O$406:O$407)),(P$414-P$411)/SUM(O$406:O$407))*SUM(P$406:P$407)+Q$411</f>
        <v>5.7232864094975673</v>
      </c>
      <c r="R414" s="7">
        <f ca="1">IF(R$6=OFFSET(Assumptions!$B$8,0,$C$1),AVERAGE((O$414-O$411)/SUM(N$406:N$407),(P$414-P$411)/SUM(O$406:O$407),(Q$414-Q$411)/SUM(P$406:P$407)),(Q$414-Q$411)/SUM(P$406:P$407))*SUM(Q$406:Q$407)+R$411</f>
        <v>5.8746306031851363</v>
      </c>
      <c r="S414" s="7">
        <f ca="1">IF(S$6=OFFSET(Assumptions!$B$8,0,$C$1),AVERAGE((P$414-P$411)/SUM(O$406:O$407),(Q$414-Q$411)/SUM(P$406:P$407),(R$414-R$411)/SUM(Q$406:Q$407)),(R$414-R$411)/SUM(Q$406:Q$407))*SUM(R$406:R$407)+S$411</f>
        <v>6.0352270968115267</v>
      </c>
      <c r="T414" s="7">
        <f ca="1">IF(T$6=OFFSET(Assumptions!$B$8,0,$C$1),AVERAGE((Q$414-Q$411)/SUM(P$406:P$407),(R$414-R$411)/SUM(Q$406:Q$407),(S$414-S$411)/SUM(R$406:R$407)),(S$414-S$411)/SUM(R$406:R$407))*SUM(S$406:S$407)+T$411</f>
        <v>6.2052686730131619</v>
      </c>
      <c r="U414" s="7">
        <f ca="1">IF(U$6=OFFSET(Assumptions!$B$8,0,$C$1),AVERAGE((R$414-R$411)/SUM(Q$406:Q$407),(S$414-S$411)/SUM(R$406:R$407),(T$414-T$411)/SUM(S$406:S$407)),(T$414-T$411)/SUM(S$406:S$407))*SUM(T$406:T$407)+U$411</f>
        <v>6.3849147837557201</v>
      </c>
      <c r="V414" s="7">
        <f ca="1">IF(V$6=OFFSET(Assumptions!$B$8,0,$C$1),AVERAGE((S$414-S$411)/SUM(R$406:R$407),(T$414-T$411)/SUM(S$406:S$407),(U$414-U$411)/SUM(T$406:T$407)),(U$414-U$411)/SUM(T$406:T$407))*SUM(U$406:U$407)+V$411</f>
        <v>6.5743322637087935</v>
      </c>
      <c r="W414" s="7">
        <f ca="1">IF(W$6=OFFSET(Assumptions!$B$8,0,$C$1),AVERAGE((T$414-T$411)/SUM(S$406:S$407),(U$414-U$411)/SUM(T$406:T$407),(V$414-V$411)/SUM(U$406:U$407)),(V$414-V$411)/SUM(U$406:U$407))*SUM(V$406:V$407)+W$411</f>
        <v>6.7738239985685489</v>
      </c>
      <c r="X414" s="7">
        <f ca="1">IF(X$6=OFFSET(Assumptions!$B$8,0,$C$1),AVERAGE((U$414-U$411)/SUM(T$406:T$407),(V$414-V$411)/SUM(U$406:U$407),(W$414-W$411)/SUM(V$406:V$407)),(W$414-W$411)/SUM(V$406:V$407))*SUM(W$406:W$407)+X$411</f>
        <v>6.9835494271280893</v>
      </c>
      <c r="Y414" s="7">
        <f ca="1">IF(Y$6=OFFSET(Assumptions!$B$8,0,$C$1),AVERAGE((V$414-V$411)/SUM(U$406:U$407),(W$414-W$411)/SUM(V$406:V$407),(X$414-X$411)/SUM(W$406:W$407)),(X$414-X$411)/SUM(W$406:W$407))*SUM(X$406:X$407)+Y$411</f>
        <v>7.2039216796551475</v>
      </c>
      <c r="Z414" s="7">
        <f ca="1">IF(Z$6=OFFSET(Assumptions!$B$8,0,$C$1),AVERAGE((W$414-W$411)/SUM(V$406:V$407),(X$414-X$411)/SUM(W$406:W$407),(Y$414-Y$411)/SUM(X$406:X$407)),(Y$414-Y$411)/SUM(X$406:X$407))*SUM(Y$406:Y$407)+Z$411</f>
        <v>7.4351323483722691</v>
      </c>
      <c r="AA414" s="7">
        <f ca="1">IF(AA$6=OFFSET(Assumptions!$B$8,0,$C$1),AVERAGE((X$414-X$411)/SUM(W$406:W$407),(Y$414-Y$411)/SUM(X$406:X$407),(Z$414-Z$411)/SUM(Y$406:Y$407)),(Z$414-Z$411)/SUM(Y$406:Y$407))*SUM(Z$406:Z$407)+AA$411</f>
        <v>7.6776578860283635</v>
      </c>
      <c r="AB414" s="7">
        <f ca="1">IF(AB$6=OFFSET(Assumptions!$B$8,0,$C$1),AVERAGE((Y$414-Y$411)/SUM(X$406:X$407),(Z$414-Z$411)/SUM(Y$406:Y$407),(AA$414-AA$411)/SUM(Z$406:Z$407)),(AA$414-AA$411)/SUM(Z$406:Z$407))*SUM(AA$406:AA$407)+AB$411</f>
        <v>7.9318499061238903</v>
      </c>
      <c r="AC414" s="7">
        <f ca="1">IF(AC$6=OFFSET(Assumptions!$B$8,0,$C$1),AVERAGE((Z$414-Z$411)/SUM(Y$406:Y$407),(AA$414-AA$411)/SUM(Z$406:Z$407),(AB$414-AB$411)/SUM(AA$406:AA$407)),(AB$414-AB$411)/SUM(AA$406:AA$407))*SUM(AB$406:AB$407)+AC$411</f>
        <v>8.1981726480914645</v>
      </c>
      <c r="AD414" s="7">
        <f ca="1">IF(AD$6=OFFSET(Assumptions!$B$8,0,$C$1),AVERAGE((AA$414-AA$411)/SUM(Z$406:Z$407),(AB$414-AB$411)/SUM(AA$406:AA$407),(AC$414-AC$411)/SUM(AB$406:AB$407)),(AC$414-AC$411)/SUM(AB$406:AB$407))*SUM(AC$406:AC$407)+AD$411</f>
        <v>8.4771814462968784</v>
      </c>
      <c r="AE414" s="7">
        <f ca="1">IF(AE$6=OFFSET(Assumptions!$B$8,0,$C$1),AVERAGE((AB$414-AB$411)/SUM(AA$406:AA$407),(AC$414-AC$411)/SUM(AB$406:AB$407),(AD$414-AD$411)/SUM(AC$406:AC$407)),(AD$414-AD$411)/SUM(AC$406:AC$407))*SUM(AD$406:AD$407)+AE$411</f>
        <v>8.76944023651183</v>
      </c>
      <c r="AF414" s="7">
        <f ca="1">IF(AF$6=OFFSET(Assumptions!$B$8,0,$C$1),AVERAGE((AC$414-AC$411)/SUM(AB$406:AB$407),(AD$414-AD$411)/SUM(AC$406:AC$407),(AE$414-AE$411)/SUM(AD$406:AD$407)),(AE$414-AE$411)/SUM(AD$406:AD$407))*SUM(AE$406:AE$407)+AF$411</f>
        <v>9.0753786062560007</v>
      </c>
      <c r="AG414" s="7">
        <f ca="1">IF(AG$6=OFFSET(Assumptions!$B$8,0,$C$1),AVERAGE((AD$414-AD$411)/SUM(AC$406:AC$407),(AE$414-AE$411)/SUM(AD$406:AD$407),(AF$414-AF$411)/SUM(AE$406:AE$407)),(AF$414-AF$411)/SUM(AE$406:AE$407))*SUM(AF$406:AF$407)+AG$411</f>
        <v>9.3956128456718737</v>
      </c>
      <c r="AH414" s="7">
        <f ca="1">IF(AH$6=OFFSET(Assumptions!$B$8,0,$C$1),AVERAGE((AE$414-AE$411)/SUM(AD$406:AD$407),(AF$414-AF$411)/SUM(AE$406:AE$407),(AG$414-AG$411)/SUM(AF$406:AF$407)),(AG$414-AG$411)/SUM(AF$406:AF$407))*SUM(AG$406:AG$407)+AH$411</f>
        <v>9.7306171528816154</v>
      </c>
      <c r="AI414" s="7">
        <f ca="1">IF(AI$6=OFFSET(Assumptions!$B$8,0,$C$1),AVERAGE((AF$414-AF$411)/SUM(AE$406:AE$407),(AG$414-AG$411)/SUM(AF$406:AF$407),(AH$414-AH$411)/SUM(AG$406:AG$407)),(AH$414-AH$411)/SUM(AG$406:AG$407))*SUM(AH$406:AH$407)+AI$411</f>
        <v>10.080960239199785</v>
      </c>
      <c r="AJ414" s="7">
        <f ca="1">IF(AJ$6=OFFSET(Assumptions!$B$8,0,$C$1),AVERAGE((AG$414-AG$411)/SUM(AF$406:AF$407),(AH$414-AH$411)/SUM(AG$406:AG$407),(AI$414-AI$411)/SUM(AH$406:AH$407)),(AI$414-AI$411)/SUM(AH$406:AH$407))*SUM(AI$406:AI$407)+AJ$411</f>
        <v>10.447161936705687</v>
      </c>
      <c r="AK414" s="7">
        <f ca="1">IF(AK$6=OFFSET(Assumptions!$B$8,0,$C$1),AVERAGE((AH$414-AH$411)/SUM(AG$406:AG$407),(AI$414-AI$411)/SUM(AH$406:AH$407),(AJ$414-AJ$411)/SUM(AI$406:AI$407)),(AJ$414-AJ$411)/SUM(AI$406:AI$407))*SUM(AJ$406:AJ$407)+AK$411</f>
        <v>10.829804784605734</v>
      </c>
      <c r="AL414" s="7">
        <f ca="1">IF(AL$6=OFFSET(Assumptions!$B$8,0,$C$1),AVERAGE((AI$414-AI$411)/SUM(AH$406:AH$407),(AJ$414-AJ$411)/SUM(AI$406:AI$407),(AK$414-AK$411)/SUM(AJ$406:AJ$407)),(AK$414-AK$411)/SUM(AJ$406:AJ$407))*SUM(AK$406:AK$407)+AL$411</f>
        <v>11.22936955489371</v>
      </c>
      <c r="AM414" s="7">
        <f ca="1">IF(AM$6=OFFSET(Assumptions!$B$8,0,$C$1),AVERAGE((AJ$414-AJ$411)/SUM(AI$406:AI$407),(AK$414-AK$411)/SUM(AJ$406:AJ$407),(AL$414-AL$411)/SUM(AK$406:AK$407)),(AL$414-AL$411)/SUM(AK$406:AK$407))*SUM(AL$406:AL$407)+AM$411</f>
        <v>11.646379117781198</v>
      </c>
      <c r="AN414" s="7">
        <f ca="1">IF(AN$6=OFFSET(Assumptions!$B$8,0,$C$1),AVERAGE((AK$414-AK$411)/SUM(AJ$406:AJ$407),(AL$414-AL$411)/SUM(AK$406:AK$407),(AM$414-AM$411)/SUM(AL$406:AL$407)),(AM$414-AM$411)/SUM(AL$406:AL$407))*SUM(AM$406:AM$407)+AN$411</f>
        <v>12.081417085999</v>
      </c>
      <c r="AO414" s="7">
        <f ca="1">IF(AO$6=OFFSET(Assumptions!$B$8,0,$C$1),AVERAGE((AL$414-AL$411)/SUM(AK$406:AK$407),(AM$414-AM$411)/SUM(AL$406:AL$407),(AN$414-AN$411)/SUM(AM$406:AM$407)),(AN$414-AN$411)/SUM(AM$406:AM$407))*SUM(AN$406:AN$407)+AO$411</f>
        <v>12.534950553469097</v>
      </c>
      <c r="AP414" s="7">
        <f ca="1">IF(AP$6=OFFSET(Assumptions!$B$8,0,$C$1),AVERAGE((AM$414-AM$411)/SUM(AL$406:AL$407),(AN$414-AN$411)/SUM(AM$406:AM$407),(AO$414-AO$411)/SUM(AN$406:AN$407)),(AO$414-AO$411)/SUM(AN$406:AN$407))*SUM(AO$406:AO$407)+AP$411</f>
        <v>13.007437451959625</v>
      </c>
      <c r="AQ414" s="7">
        <f ca="1">IF(AQ$6=OFFSET(Assumptions!$B$8,0,$C$1),AVERAGE((AN$414-AN$411)/SUM(AM$406:AM$407),(AO$414-AO$411)/SUM(AN$406:AN$407),(AP$414-AP$411)/SUM(AO$406:AO$407)),(AP$414-AP$411)/SUM(AO$406:AO$407))*SUM(AP$406:AP$407)+AQ$411</f>
        <v>13.499374812022726</v>
      </c>
      <c r="AR414" s="7">
        <f ca="1">IF(AR$6=OFFSET(Assumptions!$B$8,0,$C$1),AVERAGE((AO$414-AO$411)/SUM(AN$406:AN$407),(AP$414-AP$411)/SUM(AO$406:AO$407),(AQ$414-AQ$411)/SUM(AP$406:AP$407)),(AQ$414-AQ$411)/SUM(AP$406:AP$407))*SUM(AQ$406:AQ$407)+AR$411</f>
        <v>14.011169114400211</v>
      </c>
      <c r="AS414" s="7">
        <f ca="1">IF(AS$6=OFFSET(Assumptions!$B$8,0,$C$1),AVERAGE((AP$414-AP$411)/SUM(AO$406:AO$407),(AQ$414-AQ$411)/SUM(AP$406:AP$407),(AR$414-AR$411)/SUM(AQ$406:AQ$407)),(AR$414-AR$411)/SUM(AQ$406:AQ$407))*SUM(AR$406:AR$407)+AS$411</f>
        <v>14.543252565293237</v>
      </c>
      <c r="AT414" s="7">
        <f ca="1">IF(AT$6=OFFSET(Assumptions!$B$8,0,$C$1),AVERAGE((AQ$414-AQ$411)/SUM(AP$406:AP$407),(AR$414-AR$411)/SUM(AQ$406:AQ$407),(AS$414-AS$411)/SUM(AR$406:AR$407)),(AS$414-AS$411)/SUM(AR$406:AR$407))*SUM(AS$406:AS$407)+AT$411</f>
        <v>15.096084318605866</v>
      </c>
      <c r="AU414" s="7">
        <f ca="1">IF(AU$6=OFFSET(Assumptions!$B$8,0,$C$1),AVERAGE((AR$414-AR$411)/SUM(AQ$406:AQ$407),(AS$414-AS$411)/SUM(AR$406:AR$407),(AT$414-AT$411)/SUM(AS$406:AS$407)),(AT$414-AT$411)/SUM(AS$406:AS$407))*SUM(AT$406:AT$407)+AU$411</f>
        <v>15.670210140903206</v>
      </c>
      <c r="AV414" s="7">
        <f ca="1">IF(AV$6=OFFSET(Assumptions!$B$8,0,$C$1),AVERAGE((AS$414-AS$411)/SUM(AR$406:AR$407),(AT$414-AT$411)/SUM(AS$406:AS$407),(AU$414-AU$411)/SUM(AT$406:AT$407)),(AU$414-AU$411)/SUM(AT$406:AT$407))*SUM(AU$406:AU$407)+AV$411</f>
        <v>16.266208653711566</v>
      </c>
      <c r="AW414" s="7">
        <f ca="1">IF(AW$6=OFFSET(Assumptions!$B$8,0,$C$1),AVERAGE((AT$414-AT$411)/SUM(AS$406:AS$407),(AU$414-AU$411)/SUM(AT$406:AT$407),(AV$414-AV$411)/SUM(AU$406:AU$407)),(AV$414-AV$411)/SUM(AU$406:AU$407))*SUM(AV$406:AV$407)+AW$411</f>
        <v>16.884786454440086</v>
      </c>
    </row>
    <row r="415" spans="1:49" x14ac:dyDescent="0.2">
      <c r="A415" s="1" t="s">
        <v>826</v>
      </c>
      <c r="B415" s="4" t="str">
        <f>$B$65</f>
        <v>Projected Years only</v>
      </c>
      <c r="D415" s="18"/>
      <c r="E415" s="19"/>
      <c r="F415" s="19"/>
      <c r="G415" s="19"/>
      <c r="H415" s="19"/>
      <c r="I415" s="19"/>
      <c r="J415" s="7">
        <f ca="1">IF(OFFSET(Assumptions!$B$109,0,$C$1)="BU",IF(J$6=OFFSET(Assumptions!$B$8,0,$C$1),I$404*J$15,I$415*(1+J$15)),0)</f>
        <v>1.5755920554781691</v>
      </c>
      <c r="K415" s="7">
        <f ca="1">IF(OFFSET(Assumptions!$B$109,0,$C$1)="BU",IF(K$6=OFFSET(Assumptions!$B$8,0,$C$1),J$404*K$15,J$415*(1+K$15)),0)</f>
        <v>1.6414363584060796</v>
      </c>
      <c r="L415" s="7">
        <f ca="1">IF(OFFSET(Assumptions!$B$109,0,$C$1)="BU",IF(L$6=OFFSET(Assumptions!$B$8,0,$C$1),K$404*L$15,K$415*(1+L$15)),0)</f>
        <v>1.7125848939001052</v>
      </c>
      <c r="M415" s="7">
        <f ca="1">IF(OFFSET(Assumptions!$B$109,0,$C$1)="BU",IF(M$6=OFFSET(Assumptions!$B$8,0,$C$1),L$404*M$15,L$415*(1+M$15)),0)</f>
        <v>1.7865796138167114</v>
      </c>
      <c r="N415" s="7">
        <f ca="1">IF(OFFSET(Assumptions!$B$109,0,$C$1)="BU",IF(N$6=OFFSET(Assumptions!$B$8,0,$C$1),M$404*N$15,M$415*(1+N$15)),0)</f>
        <v>1.8636302841551964</v>
      </c>
      <c r="O415" s="7">
        <f ca="1">IF(OFFSET(Assumptions!$B$109,0,$C$1)="BU",IF(O$6=OFFSET(Assumptions!$B$8,0,$C$1),N$404*O$15,N$415*(1+O$15)),0)</f>
        <v>1.9431825726611607</v>
      </c>
      <c r="P415" s="7">
        <f ca="1">IF(OFFSET(Assumptions!$B$109,0,$C$1)="BU",IF(P$6=OFFSET(Assumptions!$B$8,0,$C$1),O$404*P$15,O$415*(1+P$15)),0)</f>
        <v>2.0253576285328827</v>
      </c>
      <c r="Q415" s="7">
        <f ca="1">IF(OFFSET(Assumptions!$B$109,0,$C$1)="BU",IF(Q$6=OFFSET(Assumptions!$B$8,0,$C$1),P$404*Q$15,P$415*(1+Q$15)),0)</f>
        <v>2.1100666876211389</v>
      </c>
      <c r="R415" s="7">
        <f ca="1">IF(OFFSET(Assumptions!$B$109,0,$C$1)="BU",IF(R$6=OFFSET(Assumptions!$B$8,0,$C$1),Q$404*R$15,Q$415*(1+R$15)),0)</f>
        <v>2.1972468773793143</v>
      </c>
      <c r="S415" s="7">
        <f ca="1">IF(OFFSET(Assumptions!$B$109,0,$C$1)="BU",IF(S$6=OFFSET(Assumptions!$B$8,0,$C$1),R$404*S$15,R$415*(1+S$15)),0)</f>
        <v>2.2871752528955018</v>
      </c>
      <c r="T415" s="7">
        <f ca="1">IF(OFFSET(Assumptions!$B$109,0,$C$1)="BU",IF(T$6=OFFSET(Assumptions!$B$8,0,$C$1),S$404*T$15,S$415*(1+T$15)),0)</f>
        <v>2.3798846080035703</v>
      </c>
      <c r="U415" s="7">
        <f ca="1">IF(OFFSET(Assumptions!$B$109,0,$C$1)="BU",IF(U$6=OFFSET(Assumptions!$B$8,0,$C$1),T$404*U$15,T$415*(1+U$15)),0)</f>
        <v>2.4757076741352155</v>
      </c>
      <c r="V415" s="7">
        <f ca="1">IF(OFFSET(Assumptions!$B$109,0,$C$1)="BU",IF(V$6=OFFSET(Assumptions!$B$8,0,$C$1),U$404*V$15,U$415*(1+V$15)),0)</f>
        <v>2.574880991076502</v>
      </c>
      <c r="W415" s="7">
        <f ca="1">IF(OFFSET(Assumptions!$B$109,0,$C$1)="BU",IF(W$6=OFFSET(Assumptions!$B$8,0,$C$1),V$404*W$15,V$415*(1+W$15)),0)</f>
        <v>2.677691888941824</v>
      </c>
      <c r="X415" s="7">
        <f ca="1">IF(OFFSET(Assumptions!$B$109,0,$C$1)="BU",IF(X$6=OFFSET(Assumptions!$B$8,0,$C$1),W$404*X$15,W$415*(1+X$15)),0)</f>
        <v>2.7844660168631994</v>
      </c>
      <c r="Y415" s="7">
        <f ca="1">IF(OFFSET(Assumptions!$B$109,0,$C$1)="BU",IF(Y$6=OFFSET(Assumptions!$B$8,0,$C$1),X$404*Y$15,X$415*(1+Y$15)),0)</f>
        <v>2.8951924589893765</v>
      </c>
      <c r="Z415" s="7">
        <f ca="1">IF(OFFSET(Assumptions!$B$109,0,$C$1)="BU",IF(Z$6=OFFSET(Assumptions!$B$8,0,$C$1),Y$404*Z$15,Y$415*(1+Z$15)),0)</f>
        <v>3.0104316729738887</v>
      </c>
      <c r="AA415" s="7">
        <f ca="1">IF(OFFSET(Assumptions!$B$109,0,$C$1)="BU",IF(AA$6=OFFSET(Assumptions!$B$8,0,$C$1),Z$404*AA$15,Z$415*(1+AA$15)),0)</f>
        <v>3.1303701162623647</v>
      </c>
      <c r="AB415" s="7">
        <f ca="1">IF(OFFSET(Assumptions!$B$109,0,$C$1)="BU",IF(AB$6=OFFSET(Assumptions!$B$8,0,$C$1),AA$404*AB$15,AA$415*(1+AB$15)),0)</f>
        <v>3.2553679750764655</v>
      </c>
      <c r="AC415" s="7">
        <f ca="1">IF(OFFSET(Assumptions!$B$109,0,$C$1)="BU",IF(AC$6=OFFSET(Assumptions!$B$8,0,$C$1),AB$404*AC$15,AB$415*(1+AC$15)),0)</f>
        <v>3.3858971332957237</v>
      </c>
      <c r="AD415" s="7">
        <f ca="1">IF(OFFSET(Assumptions!$B$109,0,$C$1)="BU",IF(AD$6=OFFSET(Assumptions!$B$8,0,$C$1),AC$404*AD$15,AC$415*(1+AD$15)),0)</f>
        <v>3.5220951702630701</v>
      </c>
      <c r="AE415" s="7">
        <f ca="1">IF(OFFSET(Assumptions!$B$109,0,$C$1)="BU",IF(AE$6=OFFSET(Assumptions!$B$8,0,$C$1),AD$404*AE$15,AD$415*(1+AE$15)),0)</f>
        <v>3.6638370062348948</v>
      </c>
      <c r="AF415" s="7">
        <f ca="1">IF(OFFSET(Assumptions!$B$109,0,$C$1)="BU",IF(AF$6=OFFSET(Assumptions!$B$8,0,$C$1),AE$404*AF$15,AE$415*(1+AF$15)),0)</f>
        <v>3.8115147841177599</v>
      </c>
      <c r="AG415" s="7">
        <f ca="1">IF(OFFSET(Assumptions!$B$109,0,$C$1)="BU",IF(AG$6=OFFSET(Assumptions!$B$8,0,$C$1),AF$404*AG$15,AF$415*(1+AG$15)),0)</f>
        <v>3.9652110791498507</v>
      </c>
      <c r="AH415" s="7">
        <f ca="1">IF(OFFSET(Assumptions!$B$109,0,$C$1)="BU",IF(AH$6=OFFSET(Assumptions!$B$8,0,$C$1),AG$404*AH$15,AG$415*(1+AH$15)),0)</f>
        <v>4.1251723540046692</v>
      </c>
      <c r="AI415" s="7">
        <f ca="1">IF(OFFSET(Assumptions!$B$109,0,$C$1)="BU",IF(AI$6=OFFSET(Assumptions!$B$8,0,$C$1),AH$404*AI$15,AH$415*(1+AI$15)),0)</f>
        <v>4.2911191033824894</v>
      </c>
      <c r="AJ415" s="7">
        <f ca="1">IF(OFFSET(Assumptions!$B$109,0,$C$1)="BU",IF(AJ$6=OFFSET(Assumptions!$B$8,0,$C$1),AI$404*AJ$15,AI$415*(1+AJ$15)),0)</f>
        <v>4.4635829374017977</v>
      </c>
      <c r="AK415" s="7">
        <f ca="1">IF(OFFSET(Assumptions!$B$109,0,$C$1)="BU",IF(AK$6=OFFSET(Assumptions!$B$8,0,$C$1),AJ$404*AK$15,AJ$415*(1+AK$15)),0)</f>
        <v>4.6424219820002284</v>
      </c>
      <c r="AL415" s="7">
        <f ca="1">IF(OFFSET(Assumptions!$B$109,0,$C$1)="BU",IF(AL$6=OFFSET(Assumptions!$B$8,0,$C$1),AK$404*AL$15,AK$415*(1+AL$15)),0)</f>
        <v>4.8274953607285065</v>
      </c>
      <c r="AM415" s="7">
        <f ca="1">IF(OFFSET(Assumptions!$B$109,0,$C$1)="BU",IF(AM$6=OFFSET(Assumptions!$B$8,0,$C$1),AL$404*AM$15,AL$415*(1+AM$15)),0)</f>
        <v>5.019055907922283</v>
      </c>
      <c r="AN415" s="7">
        <f ca="1">IF(OFFSET(Assumptions!$B$109,0,$C$1)="BU",IF(AN$6=OFFSET(Assumptions!$B$8,0,$C$1),AM$404*AN$15,AM$415*(1+AN$15)),0)</f>
        <v>5.2173700824476166</v>
      </c>
      <c r="AO415" s="7">
        <f ca="1">IF(OFFSET(Assumptions!$B$109,0,$C$1)="BU",IF(AO$6=OFFSET(Assumptions!$B$8,0,$C$1),AN$404*AO$15,AN$415*(1+AO$15)),0)</f>
        <v>5.4216591731213644</v>
      </c>
      <c r="AP415" s="7">
        <f ca="1">IF(OFFSET(Assumptions!$B$109,0,$C$1)="BU",IF(AP$6=OFFSET(Assumptions!$B$8,0,$C$1),AO$404*AP$15,AO$415*(1+AP$15)),0)</f>
        <v>5.6327906925698068</v>
      </c>
      <c r="AQ415" s="7">
        <f ca="1">IF(OFFSET(Assumptions!$B$109,0,$C$1)="BU",IF(AQ$6=OFFSET(Assumptions!$B$8,0,$C$1),AP$404*AQ$15,AP$415*(1+AQ$15)),0)</f>
        <v>5.8501730509417236</v>
      </c>
      <c r="AR415" s="7">
        <f ca="1">IF(OFFSET(Assumptions!$B$109,0,$C$1)="BU",IF(AR$6=OFFSET(Assumptions!$B$8,0,$C$1),AQ$404*AR$15,AQ$415*(1+AR$15)),0)</f>
        <v>6.0740523639558148</v>
      </c>
      <c r="AS415" s="7">
        <f ca="1">IF(OFFSET(Assumptions!$B$109,0,$C$1)="BU",IF(AS$6=OFFSET(Assumptions!$B$8,0,$C$1),AR$404*AS$15,AR$415*(1+AS$15)),0)</f>
        <v>6.3049509355917932</v>
      </c>
      <c r="AT415" s="7">
        <f ca="1">IF(OFFSET(Assumptions!$B$109,0,$C$1)="BU",IF(AT$6=OFFSET(Assumptions!$B$8,0,$C$1),AS$404*AT$15,AS$415*(1+AT$15)),0)</f>
        <v>6.5430531769794138</v>
      </c>
      <c r="AU415" s="7">
        <f ca="1">IF(OFFSET(Assumptions!$B$109,0,$C$1)="BU",IF(AU$6=OFFSET(Assumptions!$B$8,0,$C$1),AT$404*AU$15,AT$415*(1+AU$15)),0)</f>
        <v>6.7886757109446805</v>
      </c>
      <c r="AV415" s="7">
        <f ca="1">IF(OFFSET(Assumptions!$B$109,0,$C$1)="BU",IF(AV$6=OFFSET(Assumptions!$B$8,0,$C$1),AU$404*AV$15,AU$415*(1+AV$15)),0)</f>
        <v>7.042577977324993</v>
      </c>
      <c r="AW415" s="7">
        <f ca="1">IF(OFFSET(Assumptions!$B$109,0,$C$1)="BU",IF(AW$6=OFFSET(Assumptions!$B$8,0,$C$1),AV$404*AW$15,AV$415*(1+AW$15)),0)</f>
        <v>7.3046166340272594</v>
      </c>
    </row>
    <row r="416" spans="1:49" x14ac:dyDescent="0.2">
      <c r="B416" s="4"/>
      <c r="D416" s="18"/>
      <c r="E416" s="19"/>
      <c r="F416" s="19"/>
      <c r="G416" s="19"/>
      <c r="H416" s="19"/>
      <c r="I416" s="19"/>
      <c r="J416" s="19"/>
      <c r="K416" s="7"/>
      <c r="L416" s="7"/>
      <c r="M416" s="7"/>
      <c r="N416" s="7"/>
      <c r="O416" s="7"/>
      <c r="P416" s="7"/>
      <c r="Q416" s="7"/>
      <c r="R416" s="7"/>
      <c r="S416" s="7"/>
    </row>
    <row r="417" spans="1:49" x14ac:dyDescent="0.2">
      <c r="A417" s="22" t="s">
        <v>240</v>
      </c>
      <c r="B417" s="4"/>
      <c r="D417" s="18"/>
      <c r="E417" s="19"/>
      <c r="F417" s="19"/>
      <c r="G417" s="19"/>
      <c r="H417" s="19"/>
      <c r="I417" s="19"/>
    </row>
    <row r="418" spans="1:49" x14ac:dyDescent="0.2">
      <c r="A418" s="1" t="s">
        <v>654</v>
      </c>
      <c r="B418" s="4"/>
      <c r="D418" s="18">
        <f t="shared" ref="D418:AW418" ca="1" si="253">D$374-D$403</f>
        <v>0.93300000000000005</v>
      </c>
      <c r="E418" s="19">
        <f t="shared" ca="1" si="253"/>
        <v>0.67499999999999982</v>
      </c>
      <c r="F418" s="19">
        <f t="shared" ca="1" si="253"/>
        <v>0.72000000000000008</v>
      </c>
      <c r="G418" s="19">
        <f t="shared" ca="1" si="253"/>
        <v>0.7599999999999999</v>
      </c>
      <c r="H418" s="19">
        <f t="shared" ca="1" si="253"/>
        <v>0.80099999999999993</v>
      </c>
      <c r="I418" s="19">
        <f t="shared" ca="1" si="253"/>
        <v>0.84600000000000009</v>
      </c>
      <c r="J418" s="7">
        <f t="shared" ca="1" si="253"/>
        <v>0.97093609005897785</v>
      </c>
      <c r="K418" s="7">
        <f t="shared" ca="1" si="253"/>
        <v>1.0910869779027408</v>
      </c>
      <c r="L418" s="7">
        <f t="shared" ca="1" si="253"/>
        <v>1.2153514447427687</v>
      </c>
      <c r="M418" s="7">
        <f t="shared" ca="1" si="253"/>
        <v>1.3450176683170927</v>
      </c>
      <c r="N418" s="7">
        <f t="shared" ca="1" si="253"/>
        <v>1.4776531231783923</v>
      </c>
      <c r="O418" s="7">
        <f t="shared" ca="1" si="253"/>
        <v>1.612628176844987</v>
      </c>
      <c r="P418" s="7">
        <f t="shared" ca="1" si="253"/>
        <v>1.7476553367098366</v>
      </c>
      <c r="Q418" s="7">
        <f t="shared" ca="1" si="253"/>
        <v>1.8834143165412764</v>
      </c>
      <c r="R418" s="7">
        <f t="shared" ca="1" si="253"/>
        <v>2.0200875924996304</v>
      </c>
      <c r="S418" s="7">
        <f t="shared" ca="1" si="253"/>
        <v>2.1579814808698057</v>
      </c>
      <c r="T418" s="7">
        <f t="shared" ca="1" si="253"/>
        <v>2.2975057710068576</v>
      </c>
      <c r="U418" s="7">
        <f t="shared" ca="1" si="253"/>
        <v>2.4393640978863647</v>
      </c>
      <c r="V418" s="7">
        <f t="shared" ca="1" si="253"/>
        <v>2.5811381954542547</v>
      </c>
      <c r="W418" s="7">
        <f t="shared" ca="1" si="253"/>
        <v>2.7254545873795633</v>
      </c>
      <c r="X418" s="7">
        <f t="shared" ca="1" si="253"/>
        <v>2.869787231566657</v>
      </c>
      <c r="Y418" s="7">
        <f t="shared" ca="1" si="253"/>
        <v>3.0159686118895674</v>
      </c>
      <c r="Z418" s="7">
        <f t="shared" ca="1" si="253"/>
        <v>3.162301161380296</v>
      </c>
      <c r="AA418" s="7">
        <f t="shared" ca="1" si="253"/>
        <v>3.3122079260604149</v>
      </c>
      <c r="AB418" s="7">
        <f t="shared" ca="1" si="253"/>
        <v>3.4678815542671186</v>
      </c>
      <c r="AC418" s="7">
        <f t="shared" ca="1" si="253"/>
        <v>3.6311211883375272</v>
      </c>
      <c r="AD418" s="7">
        <f t="shared" ca="1" si="253"/>
        <v>3.8042640417731284</v>
      </c>
      <c r="AE418" s="7">
        <f t="shared" ca="1" si="253"/>
        <v>3.9903999088424111</v>
      </c>
      <c r="AF418" s="7">
        <f t="shared" ca="1" si="253"/>
        <v>4.1901336562285252</v>
      </c>
      <c r="AG418" s="7">
        <f t="shared" ca="1" si="253"/>
        <v>4.405431530573491</v>
      </c>
      <c r="AH418" s="7">
        <f t="shared" ca="1" si="253"/>
        <v>4.6376735186605744</v>
      </c>
      <c r="AI418" s="7">
        <f t="shared" ca="1" si="253"/>
        <v>4.8876501517331752</v>
      </c>
      <c r="AJ418" s="7">
        <f t="shared" ca="1" si="253"/>
        <v>5.1562580178772226</v>
      </c>
      <c r="AK418" s="7">
        <f t="shared" ca="1" si="253"/>
        <v>5.4450799721369432</v>
      </c>
      <c r="AL418" s="7">
        <f t="shared" ca="1" si="253"/>
        <v>5.7550899006261513</v>
      </c>
      <c r="AM418" s="7">
        <f t="shared" ca="1" si="253"/>
        <v>6.0859612199041164</v>
      </c>
      <c r="AN418" s="7">
        <f t="shared" ca="1" si="253"/>
        <v>6.4402143057816588</v>
      </c>
      <c r="AO418" s="7">
        <f t="shared" ca="1" si="253"/>
        <v>6.8162525430704131</v>
      </c>
      <c r="AP418" s="7">
        <f t="shared" ca="1" si="253"/>
        <v>7.2123570434263193</v>
      </c>
      <c r="AQ418" s="7">
        <f t="shared" ca="1" si="253"/>
        <v>7.6268913488467724</v>
      </c>
      <c r="AR418" s="7">
        <f t="shared" ca="1" si="253"/>
        <v>8.0561150330554856</v>
      </c>
      <c r="AS418" s="7">
        <f t="shared" ca="1" si="253"/>
        <v>8.4974590537158168</v>
      </c>
      <c r="AT418" s="7">
        <f t="shared" ca="1" si="253"/>
        <v>8.9523097557291376</v>
      </c>
      <c r="AU418" s="7">
        <f t="shared" ca="1" si="253"/>
        <v>9.4200486656393885</v>
      </c>
      <c r="AV418" s="7">
        <f t="shared" ca="1" si="253"/>
        <v>9.9006554418277233</v>
      </c>
      <c r="AW418" s="7">
        <f t="shared" ca="1" si="253"/>
        <v>10.393802577518411</v>
      </c>
    </row>
    <row r="419" spans="1:49" x14ac:dyDescent="0.2">
      <c r="A419" s="1" t="s">
        <v>655</v>
      </c>
      <c r="B419" s="4" t="str">
        <f t="shared" ref="B419:B421" si="254">$B$43</f>
        <v>From Fiscal</v>
      </c>
      <c r="D419" s="18">
        <f ca="1">Fiscal!D$173-D$418</f>
        <v>33.950000000000003</v>
      </c>
      <c r="E419" s="19">
        <f ca="1">Fiscal!E$173-E$418</f>
        <v>37.547000000000004</v>
      </c>
      <c r="F419" s="19">
        <f ca="1">Fiscal!F$173-F$418</f>
        <v>39.448999999999998</v>
      </c>
      <c r="G419" s="19">
        <f ca="1">Fiscal!G$173-G$418</f>
        <v>40.744</v>
      </c>
      <c r="H419" s="19">
        <f ca="1">Fiscal!H$173-H$418</f>
        <v>42.055</v>
      </c>
      <c r="I419" s="19">
        <f ca="1">Fiscal!I$173-I$418</f>
        <v>43.238</v>
      </c>
      <c r="J419" s="7">
        <f t="shared" ref="J419:AW419" ca="1" si="255">I$419+J$135-J$283</f>
        <v>44.496752805909445</v>
      </c>
      <c r="K419" s="7">
        <f t="shared" ca="1" si="255"/>
        <v>45.850888602480225</v>
      </c>
      <c r="L419" s="7">
        <f t="shared" ca="1" si="255"/>
        <v>47.263719808283689</v>
      </c>
      <c r="M419" s="7">
        <f t="shared" ca="1" si="255"/>
        <v>48.737594440159185</v>
      </c>
      <c r="N419" s="7">
        <f t="shared" ca="1" si="255"/>
        <v>50.275033565608126</v>
      </c>
      <c r="O419" s="7">
        <f t="shared" ca="1" si="255"/>
        <v>51.878100944637154</v>
      </c>
      <c r="P419" s="7">
        <f t="shared" ca="1" si="255"/>
        <v>53.548960281710265</v>
      </c>
      <c r="Q419" s="7">
        <f t="shared" ca="1" si="255"/>
        <v>55.289702053528906</v>
      </c>
      <c r="R419" s="7">
        <f t="shared" ca="1" si="255"/>
        <v>57.102364868828033</v>
      </c>
      <c r="S419" s="7">
        <f t="shared" ca="1" si="255"/>
        <v>58.989215898486066</v>
      </c>
      <c r="T419" s="7">
        <f t="shared" ca="1" si="255"/>
        <v>60.952549367311413</v>
      </c>
      <c r="U419" s="7">
        <f t="shared" ca="1" si="255"/>
        <v>62.994933993570626</v>
      </c>
      <c r="V419" s="7">
        <f t="shared" ca="1" si="255"/>
        <v>65.119133633763894</v>
      </c>
      <c r="W419" s="7">
        <f t="shared" ca="1" si="255"/>
        <v>67.328149183123585</v>
      </c>
      <c r="X419" s="7">
        <f t="shared" ca="1" si="255"/>
        <v>69.625250187655212</v>
      </c>
      <c r="Y419" s="7">
        <f t="shared" ca="1" si="255"/>
        <v>72.013697188114179</v>
      </c>
      <c r="Z419" s="7">
        <f t="shared" ca="1" si="255"/>
        <v>74.497213086021389</v>
      </c>
      <c r="AA419" s="7">
        <f t="shared" ca="1" si="255"/>
        <v>77.079674604701623</v>
      </c>
      <c r="AB419" s="7">
        <f t="shared" ca="1" si="255"/>
        <v>79.765255610316601</v>
      </c>
      <c r="AC419" s="7">
        <f t="shared" ca="1" si="255"/>
        <v>82.558519259084804</v>
      </c>
      <c r="AD419" s="7">
        <f t="shared" ca="1" si="255"/>
        <v>85.464142206058895</v>
      </c>
      <c r="AE419" s="7">
        <f t="shared" ca="1" si="255"/>
        <v>88.486697919252137</v>
      </c>
      <c r="AF419" s="7">
        <f t="shared" ca="1" si="255"/>
        <v>91.631083372821919</v>
      </c>
      <c r="AG419" s="7">
        <f t="shared" ca="1" si="255"/>
        <v>94.902263663022069</v>
      </c>
      <c r="AH419" s="7">
        <f t="shared" ca="1" si="255"/>
        <v>98.305407210424804</v>
      </c>
      <c r="AI419" s="7">
        <f t="shared" ca="1" si="255"/>
        <v>101.84545185210773</v>
      </c>
      <c r="AJ419" s="7">
        <f t="shared" ca="1" si="255"/>
        <v>105.52777398756213</v>
      </c>
      <c r="AK419" s="7">
        <f t="shared" ca="1" si="255"/>
        <v>109.35763297443025</v>
      </c>
      <c r="AL419" s="7">
        <f t="shared" ca="1" si="255"/>
        <v>113.34017195150622</v>
      </c>
      <c r="AM419" s="7">
        <f t="shared" ca="1" si="255"/>
        <v>117.48074263833284</v>
      </c>
      <c r="AN419" s="7">
        <f t="shared" ca="1" si="255"/>
        <v>121.78491657503075</v>
      </c>
      <c r="AO419" s="7">
        <f t="shared" ca="1" si="255"/>
        <v>126.25762288833499</v>
      </c>
      <c r="AP419" s="7">
        <f t="shared" ca="1" si="255"/>
        <v>130.90450637689514</v>
      </c>
      <c r="AQ419" s="7">
        <f t="shared" ca="1" si="255"/>
        <v>135.73072379546539</v>
      </c>
      <c r="AR419" s="7">
        <f t="shared" ca="1" si="255"/>
        <v>140.74163493689093</v>
      </c>
      <c r="AS419" s="7">
        <f t="shared" ca="1" si="255"/>
        <v>145.94303047914511</v>
      </c>
      <c r="AT419" s="7">
        <f t="shared" ca="1" si="255"/>
        <v>151.34085323385594</v>
      </c>
      <c r="AU419" s="7">
        <f t="shared" ca="1" si="255"/>
        <v>156.9413072169927</v>
      </c>
      <c r="AV419" s="7">
        <f t="shared" ca="1" si="255"/>
        <v>162.75122295962765</v>
      </c>
      <c r="AW419" s="7">
        <f t="shared" ca="1" si="255"/>
        <v>168.77731273990267</v>
      </c>
    </row>
    <row r="420" spans="1:49" ht="15" x14ac:dyDescent="0.25">
      <c r="A420" s="2" t="s">
        <v>656</v>
      </c>
      <c r="B420" s="4"/>
      <c r="D420" s="40">
        <f t="shared" ref="D420:AW420" ca="1" si="256">SUM(D$418:D$419)</f>
        <v>34.883000000000003</v>
      </c>
      <c r="E420" s="39">
        <f t="shared" ca="1" si="256"/>
        <v>38.222000000000001</v>
      </c>
      <c r="F420" s="39">
        <f t="shared" ca="1" si="256"/>
        <v>40.168999999999997</v>
      </c>
      <c r="G420" s="39">
        <f t="shared" ca="1" si="256"/>
        <v>41.503999999999998</v>
      </c>
      <c r="H420" s="39">
        <f t="shared" ca="1" si="256"/>
        <v>42.856000000000002</v>
      </c>
      <c r="I420" s="39">
        <f t="shared" ca="1" si="256"/>
        <v>44.084000000000003</v>
      </c>
      <c r="J420" s="43">
        <f t="shared" ca="1" si="256"/>
        <v>45.467688895968422</v>
      </c>
      <c r="K420" s="43">
        <f t="shared" ca="1" si="256"/>
        <v>46.941975580382966</v>
      </c>
      <c r="L420" s="43">
        <f t="shared" ca="1" si="256"/>
        <v>48.479071253026454</v>
      </c>
      <c r="M420" s="43">
        <f t="shared" ca="1" si="256"/>
        <v>50.082612108476276</v>
      </c>
      <c r="N420" s="43">
        <f t="shared" ca="1" si="256"/>
        <v>51.752686688786518</v>
      </c>
      <c r="O420" s="43">
        <f t="shared" ca="1" si="256"/>
        <v>53.49072912148214</v>
      </c>
      <c r="P420" s="43">
        <f t="shared" ca="1" si="256"/>
        <v>55.296615618420098</v>
      </c>
      <c r="Q420" s="43">
        <f t="shared" ca="1" si="256"/>
        <v>57.173116370070183</v>
      </c>
      <c r="R420" s="43">
        <f t="shared" ca="1" si="256"/>
        <v>59.122452461327661</v>
      </c>
      <c r="S420" s="43">
        <f t="shared" ca="1" si="256"/>
        <v>61.147197379355873</v>
      </c>
      <c r="T420" s="43">
        <f t="shared" ca="1" si="256"/>
        <v>63.250055138318274</v>
      </c>
      <c r="U420" s="43">
        <f t="shared" ca="1" si="256"/>
        <v>65.434298091456995</v>
      </c>
      <c r="V420" s="43">
        <f t="shared" ca="1" si="256"/>
        <v>67.700271829218153</v>
      </c>
      <c r="W420" s="43">
        <f t="shared" ca="1" si="256"/>
        <v>70.053603770503145</v>
      </c>
      <c r="X420" s="43">
        <f t="shared" ca="1" si="256"/>
        <v>72.495037419221873</v>
      </c>
      <c r="Y420" s="43">
        <f t="shared" ca="1" si="256"/>
        <v>75.029665800003741</v>
      </c>
      <c r="Z420" s="43">
        <f t="shared" ca="1" si="256"/>
        <v>77.659514247401688</v>
      </c>
      <c r="AA420" s="43">
        <f t="shared" ca="1" si="256"/>
        <v>80.391882530762032</v>
      </c>
      <c r="AB420" s="43">
        <f t="shared" ca="1" si="256"/>
        <v>83.233137164583724</v>
      </c>
      <c r="AC420" s="43">
        <f t="shared" ca="1" si="256"/>
        <v>86.189640447422335</v>
      </c>
      <c r="AD420" s="43">
        <f t="shared" ca="1" si="256"/>
        <v>89.268406247832019</v>
      </c>
      <c r="AE420" s="43">
        <f t="shared" ca="1" si="256"/>
        <v>92.477097828094543</v>
      </c>
      <c r="AF420" s="43">
        <f t="shared" ca="1" si="256"/>
        <v>95.821217029050445</v>
      </c>
      <c r="AG420" s="43">
        <f t="shared" ca="1" si="256"/>
        <v>99.307695193595563</v>
      </c>
      <c r="AH420" s="43">
        <f t="shared" ca="1" si="256"/>
        <v>102.94308072908538</v>
      </c>
      <c r="AI420" s="43">
        <f t="shared" ca="1" si="256"/>
        <v>106.7331020038409</v>
      </c>
      <c r="AJ420" s="43">
        <f t="shared" ca="1" si="256"/>
        <v>110.68403200543935</v>
      </c>
      <c r="AK420" s="43">
        <f t="shared" ca="1" si="256"/>
        <v>114.80271294656718</v>
      </c>
      <c r="AL420" s="43">
        <f t="shared" ca="1" si="256"/>
        <v>119.09526185213237</v>
      </c>
      <c r="AM420" s="43">
        <f t="shared" ca="1" si="256"/>
        <v>123.56670385823696</v>
      </c>
      <c r="AN420" s="43">
        <f t="shared" ca="1" si="256"/>
        <v>128.2251308808124</v>
      </c>
      <c r="AO420" s="43">
        <f t="shared" ca="1" si="256"/>
        <v>133.07387543140541</v>
      </c>
      <c r="AP420" s="43">
        <f t="shared" ca="1" si="256"/>
        <v>138.11686342032147</v>
      </c>
      <c r="AQ420" s="43">
        <f t="shared" ca="1" si="256"/>
        <v>143.35761514431218</v>
      </c>
      <c r="AR420" s="43">
        <f t="shared" ca="1" si="256"/>
        <v>148.79774996994641</v>
      </c>
      <c r="AS420" s="43">
        <f t="shared" ca="1" si="256"/>
        <v>154.44048953286094</v>
      </c>
      <c r="AT420" s="43">
        <f t="shared" ca="1" si="256"/>
        <v>160.29316298958508</v>
      </c>
      <c r="AU420" s="43">
        <f t="shared" ca="1" si="256"/>
        <v>166.3613558826321</v>
      </c>
      <c r="AV420" s="43">
        <f t="shared" ca="1" si="256"/>
        <v>172.65187840145538</v>
      </c>
      <c r="AW420" s="43">
        <f t="shared" ca="1" si="256"/>
        <v>179.17111531742108</v>
      </c>
    </row>
    <row r="421" spans="1:49" ht="15" x14ac:dyDescent="0.25">
      <c r="A421" s="2" t="s">
        <v>657</v>
      </c>
      <c r="B421" s="4" t="str">
        <f t="shared" si="254"/>
        <v>From Fiscal</v>
      </c>
      <c r="D421" s="47">
        <f>Fiscal!D$122</f>
        <v>11.917999999999999</v>
      </c>
      <c r="E421" s="44">
        <f>Fiscal!E$122</f>
        <v>12.172000000000001</v>
      </c>
      <c r="F421" s="44">
        <f>Fiscal!F$122</f>
        <v>12.451000000000001</v>
      </c>
      <c r="G421" s="44">
        <f>Fiscal!G$122</f>
        <v>12.731</v>
      </c>
      <c r="H421" s="44">
        <f>Fiscal!H$122</f>
        <v>13.005000000000001</v>
      </c>
      <c r="I421" s="44">
        <f>Fiscal!I$122</f>
        <v>13.275</v>
      </c>
      <c r="J421" s="8">
        <f ca="1">((I$421-I$420)/I$14+ IF(J$2&gt;0,J$2*IF(J$6=OFFSET(Assumptions!$B$8,0,$C$1),(SUMPRODUCT(OFFSET(I$421,0,0,1,-OFFSET(Assumptions!$B$67,0,$C$1)),OFFSET(I$16,0,0,1,-OFFSET(Assumptions!$B$67,0,$C$1)))-SUMPRODUCT(OFFSET(I$420,0,0,1,-OFFSET(Assumptions!$B$67,0,$C$1)),OFFSET(I$16,0,0,1,-OFFSET(Assumptions!$B$67,0,$C$1))))/OFFSET(Assumptions!$B$67,0,$C$1)-(I$421-I$420)/I$14,((I$421-I$420)/I$14-(H$421-H$420)/H$14)/I$2),0))*J$14 +J$420</f>
        <v>13.254608199561666</v>
      </c>
      <c r="K421" s="8">
        <f ca="1">((J$421-J$420)/J$14+ IF(K$2&gt;0,K$2*IF(K$6=OFFSET(Assumptions!$B$8,0,$C$1),(SUMPRODUCT(OFFSET(J$421,0,0,1,-OFFSET(Assumptions!$B$67,0,$C$1)),OFFSET(J$16,0,0,1,-OFFSET(Assumptions!$B$67,0,$C$1)))-SUMPRODUCT(OFFSET(J$420,0,0,1,-OFFSET(Assumptions!$B$67,0,$C$1)),OFFSET(J$16,0,0,1,-OFFSET(Assumptions!$B$67,0,$C$1))))/OFFSET(Assumptions!$B$67,0,$C$1)-(J$421-J$420)/J$14,((J$421-J$420)/J$14-(I$421-I$420)/I$14)/J$2),0))*K$14 +K$420</f>
        <v>13.294462209679466</v>
      </c>
      <c r="L421" s="8">
        <f ca="1">((K$421-K$420)/K$14+ IF(L$2&gt;0,L$2*IF(L$6=OFFSET(Assumptions!$B$8,0,$C$1),(SUMPRODUCT(OFFSET(K$421,0,0,1,-OFFSET(Assumptions!$B$67,0,$C$1)),OFFSET(K$16,0,0,1,-OFFSET(Assumptions!$B$67,0,$C$1)))-SUMPRODUCT(OFFSET(K$420,0,0,1,-OFFSET(Assumptions!$B$67,0,$C$1)),OFFSET(K$16,0,0,1,-OFFSET(Assumptions!$B$67,0,$C$1))))/OFFSET(Assumptions!$B$67,0,$C$1)-(K$421-K$420)/K$14,((K$421-K$420)/K$14-(J$421-J$420)/J$14)/K$2),0))*L$14 +L$420</f>
        <v>13.30404674475092</v>
      </c>
      <c r="M421" s="8">
        <f ca="1">((L$421-L$420)/L$14+ IF(M$2&gt;0,M$2*IF(M$6=OFFSET(Assumptions!$B$8,0,$C$1),(SUMPRODUCT(OFFSET(L$421,0,0,1,-OFFSET(Assumptions!$B$67,0,$C$1)),OFFSET(L$16,0,0,1,-OFFSET(Assumptions!$B$67,0,$C$1)))-SUMPRODUCT(OFFSET(L$420,0,0,1,-OFFSET(Assumptions!$B$67,0,$C$1)),OFFSET(L$16,0,0,1,-OFFSET(Assumptions!$B$67,0,$C$1))))/OFFSET(Assumptions!$B$67,0,$C$1)-(L$421-L$420)/L$14,((L$421-L$420)/L$14-(K$421-K$420)/K$14)/L$2),0))*M$14 +M$420</f>
        <v>13.339777330288058</v>
      </c>
      <c r="N421" s="8">
        <f ca="1">((M$421-M$420)/M$14+ IF(N$2&gt;0,N$2*IF(N$6=OFFSET(Assumptions!$B$8,0,$C$1),(SUMPRODUCT(OFFSET(M$421,0,0,1,-OFFSET(Assumptions!$B$67,0,$C$1)),OFFSET(M$16,0,0,1,-OFFSET(Assumptions!$B$67,0,$C$1)))-SUMPRODUCT(OFFSET(M$420,0,0,1,-OFFSET(Assumptions!$B$67,0,$C$1)),OFFSET(M$16,0,0,1,-OFFSET(Assumptions!$B$67,0,$C$1))))/OFFSET(Assumptions!$B$67,0,$C$1)-(M$421-M$420)/M$14,((M$421-M$420)/M$14-(L$421-L$420)/L$14)/M$2),0))*N$14 +N$420</f>
        <v>13.40017952723521</v>
      </c>
      <c r="O421" s="8">
        <f ca="1">((N$421-N$420)/N$14+ IF(O$2&gt;0,O$2*IF(O$6=OFFSET(Assumptions!$B$8,0,$C$1),(SUMPRODUCT(OFFSET(N$421,0,0,1,-OFFSET(Assumptions!$B$67,0,$C$1)),OFFSET(N$16,0,0,1,-OFFSET(Assumptions!$B$67,0,$C$1)))-SUMPRODUCT(OFFSET(N$420,0,0,1,-OFFSET(Assumptions!$B$67,0,$C$1)),OFFSET(N$16,0,0,1,-OFFSET(Assumptions!$B$67,0,$C$1))))/OFFSET(Assumptions!$B$67,0,$C$1)-(N$421-N$420)/N$14,((N$421-N$420)/N$14-(M$421-M$420)/M$14)/N$2),0))*O$14 +O$420</f>
        <v>13.501078723644639</v>
      </c>
      <c r="P421" s="8">
        <f ca="1">((O$421-O$420)/O$14+ IF(P$2&gt;0,P$2*IF(P$6=OFFSET(Assumptions!$B$8,0,$C$1),(SUMPRODUCT(OFFSET(O$421,0,0,1,-OFFSET(Assumptions!$B$67,0,$C$1)),OFFSET(O$16,0,0,1,-OFFSET(Assumptions!$B$67,0,$C$1)))-SUMPRODUCT(OFFSET(O$420,0,0,1,-OFFSET(Assumptions!$B$67,0,$C$1)),OFFSET(O$16,0,0,1,-OFFSET(Assumptions!$B$67,0,$C$1))))/OFFSET(Assumptions!$B$67,0,$C$1)-(O$421-O$420)/O$14,((O$421-O$420)/O$14-(N$421-N$420)/N$14)/O$2),0))*P$14 +P$420</f>
        <v>13.615846845003205</v>
      </c>
      <c r="Q421" s="8">
        <f ca="1">((P$421-P$420)/P$14+ IF(Q$2&gt;0,Q$2*IF(Q$6=OFFSET(Assumptions!$B$8,0,$C$1),(SUMPRODUCT(OFFSET(P$421,0,0,1,-OFFSET(Assumptions!$B$67,0,$C$1)),OFFSET(P$16,0,0,1,-OFFSET(Assumptions!$B$67,0,$C$1)))-SUMPRODUCT(OFFSET(P$420,0,0,1,-OFFSET(Assumptions!$B$67,0,$C$1)),OFFSET(P$16,0,0,1,-OFFSET(Assumptions!$B$67,0,$C$1))))/OFFSET(Assumptions!$B$67,0,$C$1)-(P$421-P$420)/P$14,((P$421-P$420)/P$14-(O$421-O$420)/O$14)/P$2),0))*Q$14 +Q$420</f>
        <v>13.749080800147382</v>
      </c>
      <c r="R421" s="8">
        <f ca="1">((Q$421-Q$420)/Q$14+ IF(R$2&gt;0,R$2*IF(R$6=OFFSET(Assumptions!$B$8,0,$C$1),(SUMPRODUCT(OFFSET(Q$421,0,0,1,-OFFSET(Assumptions!$B$67,0,$C$1)),OFFSET(Q$16,0,0,1,-OFFSET(Assumptions!$B$67,0,$C$1)))-SUMPRODUCT(OFFSET(Q$420,0,0,1,-OFFSET(Assumptions!$B$67,0,$C$1)),OFFSET(Q$16,0,0,1,-OFFSET(Assumptions!$B$67,0,$C$1))))/OFFSET(Assumptions!$B$67,0,$C$1)-(Q$421-Q$420)/Q$14,((Q$421-Q$420)/Q$14-(P$421-P$420)/P$14)/Q$2),0))*R$14 +R$420</f>
        <v>13.904295557107318</v>
      </c>
      <c r="S421" s="8">
        <f ca="1">((R$421-R$420)/R$14+ IF(S$2&gt;0,S$2*IF(S$6=OFFSET(Assumptions!$B$8,0,$C$1),(SUMPRODUCT(OFFSET(R$421,0,0,1,-OFFSET(Assumptions!$B$67,0,$C$1)),OFFSET(R$16,0,0,1,-OFFSET(Assumptions!$B$67,0,$C$1)))-SUMPRODUCT(OFFSET(R$420,0,0,1,-OFFSET(Assumptions!$B$67,0,$C$1)),OFFSET(R$16,0,0,1,-OFFSET(Assumptions!$B$67,0,$C$1))))/OFFSET(Assumptions!$B$67,0,$C$1)-(R$421-R$420)/R$14,((R$421-R$420)/R$14-(Q$421-Q$420)/Q$14)/R$2),0))*S$14 +S$420</f>
        <v>14.078362958605098</v>
      </c>
      <c r="T421" s="8">
        <f ca="1">((S$421-S$420)/S$14+ IF(T$2&gt;0,T$2*IF(T$6=OFFSET(Assumptions!$B$8,0,$C$1),(SUMPRODUCT(OFFSET(S$421,0,0,1,-OFFSET(Assumptions!$B$67,0,$C$1)),OFFSET(S$16,0,0,1,-OFFSET(Assumptions!$B$67,0,$C$1)))-SUMPRODUCT(OFFSET(S$420,0,0,1,-OFFSET(Assumptions!$B$67,0,$C$1)),OFFSET(S$16,0,0,1,-OFFSET(Assumptions!$B$67,0,$C$1))))/OFFSET(Assumptions!$B$67,0,$C$1)-(S$421-S$420)/S$14,((S$421-S$420)/S$14-(R$421-R$420)/R$14)/S$2),0))*T$14 +T$420</f>
        <v>14.273312139371782</v>
      </c>
      <c r="U421" s="8">
        <f ca="1">((T$421-T$420)/T$14+ IF(U$2&gt;0,U$2*IF(U$6=OFFSET(Assumptions!$B$8,0,$C$1),(SUMPRODUCT(OFFSET(T$421,0,0,1,-OFFSET(Assumptions!$B$67,0,$C$1)),OFFSET(T$16,0,0,1,-OFFSET(Assumptions!$B$67,0,$C$1)))-SUMPRODUCT(OFFSET(T$420,0,0,1,-OFFSET(Assumptions!$B$67,0,$C$1)),OFFSET(T$16,0,0,1,-OFFSET(Assumptions!$B$67,0,$C$1))))/OFFSET(Assumptions!$B$67,0,$C$1)-(T$421-T$420)/T$14,((T$421-T$420)/T$14-(S$421-S$420)/S$14)/T$2),0))*U$14 +U$420</f>
        <v>14.485568019054213</v>
      </c>
      <c r="V421" s="8">
        <f ca="1">((U$421-U$420)/U$14+ IF(V$2&gt;0,V$2*IF(V$6=OFFSET(Assumptions!$B$8,0,$C$1),(SUMPRODUCT(OFFSET(U$421,0,0,1,-OFFSET(Assumptions!$B$67,0,$C$1)),OFFSET(U$16,0,0,1,-OFFSET(Assumptions!$B$67,0,$C$1)))-SUMPRODUCT(OFFSET(U$420,0,0,1,-OFFSET(Assumptions!$B$67,0,$C$1)),OFFSET(U$16,0,0,1,-OFFSET(Assumptions!$B$67,0,$C$1))))/OFFSET(Assumptions!$B$67,0,$C$1)-(U$421-U$420)/U$14,((U$421-U$420)/U$14-(T$421-T$420)/T$14)/U$2),0))*V$14 +V$420</f>
        <v>14.710608326744136</v>
      </c>
      <c r="W421" s="8">
        <f ca="1">((V$421-V$420)/V$14+ IF(W$2&gt;0,W$2*IF(W$6=OFFSET(Assumptions!$B$8,0,$C$1),(SUMPRODUCT(OFFSET(V$421,0,0,1,-OFFSET(Assumptions!$B$67,0,$C$1)),OFFSET(V$16,0,0,1,-OFFSET(Assumptions!$B$67,0,$C$1)))-SUMPRODUCT(OFFSET(V$420,0,0,1,-OFFSET(Assumptions!$B$67,0,$C$1)),OFFSET(V$16,0,0,1,-OFFSET(Assumptions!$B$67,0,$C$1))))/OFFSET(Assumptions!$B$67,0,$C$1)-(V$421-V$420)/V$14,((V$421-V$420)/V$14-(U$421-U$420)/U$14)/V$2),0))*W$14 +W$420</f>
        <v>14.948147382396392</v>
      </c>
      <c r="X421" s="8">
        <f ca="1">((W$421-W$420)/W$14+ IF(X$2&gt;0,X$2*IF(X$6=OFFSET(Assumptions!$B$8,0,$C$1),(SUMPRODUCT(OFFSET(W$421,0,0,1,-OFFSET(Assumptions!$B$67,0,$C$1)),OFFSET(W$16,0,0,1,-OFFSET(Assumptions!$B$67,0,$C$1)))-SUMPRODUCT(OFFSET(W$420,0,0,1,-OFFSET(Assumptions!$B$67,0,$C$1)),OFFSET(W$16,0,0,1,-OFFSET(Assumptions!$B$67,0,$C$1))))/OFFSET(Assumptions!$B$67,0,$C$1)-(W$421-W$420)/W$14,((W$421-W$420)/W$14-(V$421-V$420)/V$14)/W$2),0))*X$14 +X$420</f>
        <v>15.192227006237118</v>
      </c>
      <c r="Y421" s="8">
        <f ca="1">((X$421-X$420)/X$14+ IF(Y$2&gt;0,Y$2*IF(Y$6=OFFSET(Assumptions!$B$8,0,$C$1),(SUMPRODUCT(OFFSET(X$421,0,0,1,-OFFSET(Assumptions!$B$67,0,$C$1)),OFFSET(X$16,0,0,1,-OFFSET(Assumptions!$B$67,0,$C$1)))-SUMPRODUCT(OFFSET(X$420,0,0,1,-OFFSET(Assumptions!$B$67,0,$C$1)),OFFSET(X$16,0,0,1,-OFFSET(Assumptions!$B$67,0,$C$1))))/OFFSET(Assumptions!$B$67,0,$C$1)-(X$421-X$420)/X$14,((X$421-X$420)/X$14-(W$421-W$420)/W$14)/X$2),0))*Y$14 +Y$420</f>
        <v>15.448164865233259</v>
      </c>
      <c r="Z421" s="8">
        <f ca="1">((Y$421-Y$420)/Y$14+ IF(Z$2&gt;0,Z$2*IF(Z$6=OFFSET(Assumptions!$B$8,0,$C$1),(SUMPRODUCT(OFFSET(Y$421,0,0,1,-OFFSET(Assumptions!$B$67,0,$C$1)),OFFSET(Y$16,0,0,1,-OFFSET(Assumptions!$B$67,0,$C$1)))-SUMPRODUCT(OFFSET(Y$420,0,0,1,-OFFSET(Assumptions!$B$67,0,$C$1)),OFFSET(Y$16,0,0,1,-OFFSET(Assumptions!$B$67,0,$C$1))))/OFFSET(Assumptions!$B$67,0,$C$1)-(Y$421-Y$420)/Y$14,((Y$421-Y$420)/Y$14-(X$421-X$420)/X$14)/Y$2),0))*Z$14 +Z$420</f>
        <v>15.70645237739128</v>
      </c>
      <c r="AA421" s="8">
        <f ca="1">((Z$421-Z$420)/Z$14+ IF(AA$2&gt;0,AA$2*IF(AA$6=OFFSET(Assumptions!$B$8,0,$C$1),(SUMPRODUCT(OFFSET(Z$421,0,0,1,-OFFSET(Assumptions!$B$67,0,$C$1)),OFFSET(Z$16,0,0,1,-OFFSET(Assumptions!$B$67,0,$C$1)))-SUMPRODUCT(OFFSET(Z$420,0,0,1,-OFFSET(Assumptions!$B$67,0,$C$1)),OFFSET(Z$16,0,0,1,-OFFSET(Assumptions!$B$67,0,$C$1))))/OFFSET(Assumptions!$B$67,0,$C$1)-(Z$421-Z$420)/Z$14,((Z$421-Z$420)/Z$14-(Y$421-Y$420)/Y$14)/Z$2),0))*AA$14 +AA$420</f>
        <v>15.97055211828598</v>
      </c>
      <c r="AB421" s="8">
        <f ca="1">((AA$421-AA$420)/AA$14+ IF(AB$2&gt;0,AB$2*IF(AB$6=OFFSET(Assumptions!$B$8,0,$C$1),(SUMPRODUCT(OFFSET(AA$421,0,0,1,-OFFSET(Assumptions!$B$67,0,$C$1)),OFFSET(AA$16,0,0,1,-OFFSET(Assumptions!$B$67,0,$C$1)))-SUMPRODUCT(OFFSET(AA$420,0,0,1,-OFFSET(Assumptions!$B$67,0,$C$1)),OFFSET(AA$16,0,0,1,-OFFSET(Assumptions!$B$67,0,$C$1))))/OFFSET(Assumptions!$B$67,0,$C$1)-(AA$421-AA$420)/AA$14,((AA$421-AA$420)/AA$14-(Z$421-Z$420)/Z$14)/AA$2),0))*AB$14 +AB$420</f>
        <v>16.23941816403557</v>
      </c>
      <c r="AC421" s="8">
        <f ca="1">((AB$421-AB$420)/AB$14+ IF(AC$2&gt;0,AC$2*IF(AC$6=OFFSET(Assumptions!$B$8,0,$C$1),(SUMPRODUCT(OFFSET(AB$421,0,0,1,-OFFSET(Assumptions!$B$67,0,$C$1)),OFFSET(AB$16,0,0,1,-OFFSET(Assumptions!$B$67,0,$C$1)))-SUMPRODUCT(OFFSET(AB$420,0,0,1,-OFFSET(Assumptions!$B$67,0,$C$1)),OFFSET(AB$16,0,0,1,-OFFSET(Assumptions!$B$67,0,$C$1))))/OFFSET(Assumptions!$B$67,0,$C$1)-(AB$421-AB$420)/AB$14,((AB$421-AB$420)/AB$14-(AA$421-AA$420)/AA$14)/AB$2),0))*AC$14 +AC$420</f>
        <v>16.509701697196377</v>
      </c>
      <c r="AD421" s="8">
        <f ca="1">((AC$421-AC$420)/AC$14+ IF(AD$2&gt;0,AD$2*IF(AD$6=OFFSET(Assumptions!$B$8,0,$C$1),(SUMPRODUCT(OFFSET(AC$421,0,0,1,-OFFSET(Assumptions!$B$67,0,$C$1)),OFFSET(AC$16,0,0,1,-OFFSET(Assumptions!$B$67,0,$C$1)))-SUMPRODUCT(OFFSET(AC$420,0,0,1,-OFFSET(Assumptions!$B$67,0,$C$1)),OFFSET(AC$16,0,0,1,-OFFSET(Assumptions!$B$67,0,$C$1))))/OFFSET(Assumptions!$B$67,0,$C$1)-(AC$421-AC$420)/AC$14,((AC$421-AC$420)/AC$14-(AB$421-AB$420)/AB$14)/AC$2),0))*AD$14 +AD$420</f>
        <v>16.785585277569979</v>
      </c>
      <c r="AE421" s="8">
        <f ca="1">((AD$421-AD$420)/AD$14+ IF(AE$2&gt;0,AE$2*IF(AE$6=OFFSET(Assumptions!$B$8,0,$C$1),(SUMPRODUCT(OFFSET(AD$421,0,0,1,-OFFSET(Assumptions!$B$67,0,$C$1)),OFFSET(AD$16,0,0,1,-OFFSET(Assumptions!$B$67,0,$C$1)))-SUMPRODUCT(OFFSET(AD$420,0,0,1,-OFFSET(Assumptions!$B$67,0,$C$1)),OFFSET(AD$16,0,0,1,-OFFSET(Assumptions!$B$67,0,$C$1))))/OFFSET(Assumptions!$B$67,0,$C$1)-(AD$421-AD$420)/AD$14,((AD$421-AD$420)/AD$14-(AC$421-AC$420)/AC$14)/AD$2),0))*AE$14 +AE$420</f>
        <v>17.077306241171215</v>
      </c>
      <c r="AF421" s="8">
        <f ca="1">((AE$421-AE$420)/AE$14+ IF(AF$2&gt;0,AF$2*IF(AF$6=OFFSET(Assumptions!$B$8,0,$C$1),(SUMPRODUCT(OFFSET(AE$421,0,0,1,-OFFSET(Assumptions!$B$67,0,$C$1)),OFFSET(AE$16,0,0,1,-OFFSET(Assumptions!$B$67,0,$C$1)))-SUMPRODUCT(OFFSET(AE$420,0,0,1,-OFFSET(Assumptions!$B$67,0,$C$1)),OFFSET(AE$16,0,0,1,-OFFSET(Assumptions!$B$67,0,$C$1))))/OFFSET(Assumptions!$B$67,0,$C$1)-(AE$421-AE$420)/AE$14,((AE$421-AE$420)/AE$14-(AD$421-AD$420)/AD$14)/AE$2),0))*AF$14 +AF$420</f>
        <v>17.38229633910224</v>
      </c>
      <c r="AG421" s="8">
        <f ca="1">((AF$421-AF$420)/AF$14+ IF(AG$2&gt;0,AG$2*IF(AG$6=OFFSET(Assumptions!$B$8,0,$C$1),(SUMPRODUCT(OFFSET(AF$421,0,0,1,-OFFSET(Assumptions!$B$67,0,$C$1)),OFFSET(AF$16,0,0,1,-OFFSET(Assumptions!$B$67,0,$C$1)))-SUMPRODUCT(OFFSET(AF$420,0,0,1,-OFFSET(Assumptions!$B$67,0,$C$1)),OFFSET(AF$16,0,0,1,-OFFSET(Assumptions!$B$67,0,$C$1))))/OFFSET(Assumptions!$B$67,0,$C$1)-(AF$421-AF$420)/AF$14,((AF$421-AF$420)/AF$14-(AE$421-AE$420)/AE$14)/AF$2),0))*AG$14 +AG$420</f>
        <v>17.70578756034692</v>
      </c>
      <c r="AH421" s="8">
        <f ca="1">((AG$421-AG$420)/AG$14+ IF(AH$2&gt;0,AH$2*IF(AH$6=OFFSET(Assumptions!$B$8,0,$C$1),(SUMPRODUCT(OFFSET(AG$421,0,0,1,-OFFSET(Assumptions!$B$67,0,$C$1)),OFFSET(AG$16,0,0,1,-OFFSET(Assumptions!$B$67,0,$C$1)))-SUMPRODUCT(OFFSET(AG$420,0,0,1,-OFFSET(Assumptions!$B$67,0,$C$1)),OFFSET(AG$16,0,0,1,-OFFSET(Assumptions!$B$67,0,$C$1))))/OFFSET(Assumptions!$B$67,0,$C$1)-(AG$421-AG$420)/AG$14,((AG$421-AG$420)/AG$14-(AF$421-AF$420)/AF$14)/AG$2),0))*AH$14 +AH$420</f>
        <v>18.049256243229181</v>
      </c>
      <c r="AI421" s="8">
        <f ca="1">((AH$421-AH$420)/AH$14+ IF(AI$2&gt;0,AI$2*IF(AI$6=OFFSET(Assumptions!$B$8,0,$C$1),(SUMPRODUCT(OFFSET(AH$421,0,0,1,-OFFSET(Assumptions!$B$67,0,$C$1)),OFFSET(AH$16,0,0,1,-OFFSET(Assumptions!$B$67,0,$C$1)))-SUMPRODUCT(OFFSET(AH$420,0,0,1,-OFFSET(Assumptions!$B$67,0,$C$1)),OFFSET(AH$16,0,0,1,-OFFSET(Assumptions!$B$67,0,$C$1))))/OFFSET(Assumptions!$B$67,0,$C$1)-(AH$421-AH$420)/AH$14,((AH$421-AH$420)/AH$14-(AG$421-AG$420)/AG$14)/AH$2),0))*AI$14 +AI$420</f>
        <v>18.424182824546563</v>
      </c>
      <c r="AJ421" s="8">
        <f ca="1">((AI$421-AI$420)/AI$14+ IF(AJ$2&gt;0,AJ$2*IF(AJ$6=OFFSET(Assumptions!$B$8,0,$C$1),(SUMPRODUCT(OFFSET(AI$421,0,0,1,-OFFSET(Assumptions!$B$67,0,$C$1)),OFFSET(AI$16,0,0,1,-OFFSET(Assumptions!$B$67,0,$C$1)))-SUMPRODUCT(OFFSET(AI$420,0,0,1,-OFFSET(Assumptions!$B$67,0,$C$1)),OFFSET(AI$16,0,0,1,-OFFSET(Assumptions!$B$67,0,$C$1))))/OFFSET(Assumptions!$B$67,0,$C$1)-(AI$421-AI$420)/AI$14,((AI$421-AI$420)/AI$14-(AH$421-AH$420)/AH$14)/AI$2),0))*AJ$14 +AJ$420</f>
        <v>18.825900042058649</v>
      </c>
      <c r="AK421" s="8">
        <f ca="1">((AJ$421-AJ$420)/AJ$14+ IF(AK$2&gt;0,AK$2*IF(AK$6=OFFSET(Assumptions!$B$8,0,$C$1),(SUMPRODUCT(OFFSET(AJ$421,0,0,1,-OFFSET(Assumptions!$B$67,0,$C$1)),OFFSET(AJ$16,0,0,1,-OFFSET(Assumptions!$B$67,0,$C$1)))-SUMPRODUCT(OFFSET(AJ$420,0,0,1,-OFFSET(Assumptions!$B$67,0,$C$1)),OFFSET(AJ$16,0,0,1,-OFFSET(Assumptions!$B$67,0,$C$1))))/OFFSET(Assumptions!$B$67,0,$C$1)-(AJ$421-AJ$420)/AJ$14,((AJ$421-AJ$420)/AJ$14-(AI$421-AI$420)/AI$14)/AJ$2),0))*AK$14 +AK$420</f>
        <v>19.264169800216521</v>
      </c>
      <c r="AL421" s="8">
        <f ca="1">((AK$421-AK$420)/AK$14+ IF(AL$2&gt;0,AL$2*IF(AL$6=OFFSET(Assumptions!$B$8,0,$C$1),(SUMPRODUCT(OFFSET(AK$421,0,0,1,-OFFSET(Assumptions!$B$67,0,$C$1)),OFFSET(AK$16,0,0,1,-OFFSET(Assumptions!$B$67,0,$C$1)))-SUMPRODUCT(OFFSET(AK$420,0,0,1,-OFFSET(Assumptions!$B$67,0,$C$1)),OFFSET(AK$16,0,0,1,-OFFSET(Assumptions!$B$67,0,$C$1))))/OFFSET(Assumptions!$B$67,0,$C$1)-(AK$421-AK$420)/AK$14,((AK$421-AK$420)/AK$14-(AJ$421-AJ$420)/AJ$14)/AK$2),0))*AL$14 +AL$420</f>
        <v>19.748008285352796</v>
      </c>
      <c r="AM421" s="8">
        <f ca="1">((AL$421-AL$420)/AL$14+ IF(AM$2&gt;0,AM$2*IF(AM$6=OFFSET(Assumptions!$B$8,0,$C$1),(SUMPRODUCT(OFFSET(AL$421,0,0,1,-OFFSET(Assumptions!$B$67,0,$C$1)),OFFSET(AL$16,0,0,1,-OFFSET(Assumptions!$B$67,0,$C$1)))-SUMPRODUCT(OFFSET(AL$420,0,0,1,-OFFSET(Assumptions!$B$67,0,$C$1)),OFFSET(AL$16,0,0,1,-OFFSET(Assumptions!$B$67,0,$C$1))))/OFFSET(Assumptions!$B$67,0,$C$1)-(AL$421-AL$420)/AL$14,((AL$421-AL$420)/AL$14-(AK$421-AK$420)/AK$14)/AL$2),0))*AM$14 +AM$420</f>
        <v>20.277237439163883</v>
      </c>
      <c r="AN421" s="8">
        <f ca="1">((AM$421-AM$420)/AM$14+ IF(AN$2&gt;0,AN$2*IF(AN$6=OFFSET(Assumptions!$B$8,0,$C$1),(SUMPRODUCT(OFFSET(AM$421,0,0,1,-OFFSET(Assumptions!$B$67,0,$C$1)),OFFSET(AM$16,0,0,1,-OFFSET(Assumptions!$B$67,0,$C$1)))-SUMPRODUCT(OFFSET(AM$420,0,0,1,-OFFSET(Assumptions!$B$67,0,$C$1)),OFFSET(AM$16,0,0,1,-OFFSET(Assumptions!$B$67,0,$C$1))))/OFFSET(Assumptions!$B$67,0,$C$1)-(AM$421-AM$420)/AM$14,((AM$421-AM$420)/AM$14-(AL$421-AL$420)/AL$14)/AM$2),0))*AN$14 +AN$420</f>
        <v>20.854465597680417</v>
      </c>
      <c r="AO421" s="8">
        <f ca="1">((AN$421-AN$420)/AN$14+ IF(AO$2&gt;0,AO$2*IF(AO$6=OFFSET(Assumptions!$B$8,0,$C$1),(SUMPRODUCT(OFFSET(AN$421,0,0,1,-OFFSET(Assumptions!$B$67,0,$C$1)),OFFSET(AN$16,0,0,1,-OFFSET(Assumptions!$B$67,0,$C$1)))-SUMPRODUCT(OFFSET(AN$420,0,0,1,-OFFSET(Assumptions!$B$67,0,$C$1)),OFFSET(AN$16,0,0,1,-OFFSET(Assumptions!$B$67,0,$C$1))))/OFFSET(Assumptions!$B$67,0,$C$1)-(AN$421-AN$420)/AN$14,((AN$421-AN$420)/AN$14-(AM$421-AM$420)/AM$14)/AN$2),0))*AO$14 +AO$420</f>
        <v>21.499050729044299</v>
      </c>
      <c r="AP421" s="8">
        <f ca="1">((AO$421-AO$420)/AO$14+ IF(AP$2&gt;0,AP$2*IF(AP$6=OFFSET(Assumptions!$B$8,0,$C$1),(SUMPRODUCT(OFFSET(AO$421,0,0,1,-OFFSET(Assumptions!$B$67,0,$C$1)),OFFSET(AO$16,0,0,1,-OFFSET(Assumptions!$B$67,0,$C$1)))-SUMPRODUCT(OFFSET(AO$420,0,0,1,-OFFSET(Assumptions!$B$67,0,$C$1)),OFFSET(AO$16,0,0,1,-OFFSET(Assumptions!$B$67,0,$C$1))))/OFFSET(Assumptions!$B$67,0,$C$1)-(AO$421-AO$420)/AO$14,((AO$421-AO$420)/AO$14-(AN$421-AN$420)/AN$14)/AO$2),0))*AP$14 +AP$420</f>
        <v>22.197065801110455</v>
      </c>
      <c r="AQ421" s="8">
        <f ca="1">((AP$421-AP$420)/AP$14+ IF(AQ$2&gt;0,AQ$2*IF(AQ$6=OFFSET(Assumptions!$B$8,0,$C$1),(SUMPRODUCT(OFFSET(AP$421,0,0,1,-OFFSET(Assumptions!$B$67,0,$C$1)),OFFSET(AP$16,0,0,1,-OFFSET(Assumptions!$B$67,0,$C$1)))-SUMPRODUCT(OFFSET(AP$420,0,0,1,-OFFSET(Assumptions!$B$67,0,$C$1)),OFFSET(AP$16,0,0,1,-OFFSET(Assumptions!$B$67,0,$C$1))))/OFFSET(Assumptions!$B$67,0,$C$1)-(AP$421-AP$420)/AP$14,((AP$421-AP$420)/AP$14-(AO$421-AO$420)/AO$14)/AP$2),0))*AQ$14 +AQ$420</f>
        <v>22.964205711031951</v>
      </c>
      <c r="AR421" s="8">
        <f ca="1">((AQ$421-AQ$420)/AQ$14+ IF(AR$2&gt;0,AR$2*IF(AR$6=OFFSET(Assumptions!$B$8,0,$C$1),(SUMPRODUCT(OFFSET(AQ$421,0,0,1,-OFFSET(Assumptions!$B$67,0,$C$1)),OFFSET(AQ$16,0,0,1,-OFFSET(Assumptions!$B$67,0,$C$1)))-SUMPRODUCT(OFFSET(AQ$420,0,0,1,-OFFSET(Assumptions!$B$67,0,$C$1)),OFFSET(AQ$16,0,0,1,-OFFSET(Assumptions!$B$67,0,$C$1))))/OFFSET(Assumptions!$B$67,0,$C$1)-(AQ$421-AQ$420)/AQ$14,((AQ$421-AQ$420)/AQ$14-(AP$421-AP$420)/AP$14)/AQ$2),0))*AR$14 +AR$420</f>
        <v>23.797024896488963</v>
      </c>
      <c r="AS421" s="8">
        <f ca="1">((AR$421-AR$420)/AR$14+ IF(AS$2&gt;0,AS$2*IF(AS$6=OFFSET(Assumptions!$B$8,0,$C$1),(SUMPRODUCT(OFFSET(AR$421,0,0,1,-OFFSET(Assumptions!$B$67,0,$C$1)),OFFSET(AR$16,0,0,1,-OFFSET(Assumptions!$B$67,0,$C$1)))-SUMPRODUCT(OFFSET(AR$420,0,0,1,-OFFSET(Assumptions!$B$67,0,$C$1)),OFFSET(AR$16,0,0,1,-OFFSET(Assumptions!$B$67,0,$C$1))))/OFFSET(Assumptions!$B$67,0,$C$1)-(AR$421-AR$420)/AR$14,((AR$421-AR$420)/AR$14-(AQ$421-AQ$420)/AQ$14)/AR$2),0))*AS$14 +AS$420</f>
        <v>24.687996258622633</v>
      </c>
      <c r="AT421" s="8">
        <f ca="1">((AS$421-AS$420)/AS$14+ IF(AT$2&gt;0,AT$2*IF(AT$6=OFFSET(Assumptions!$B$8,0,$C$1),(SUMPRODUCT(OFFSET(AS$421,0,0,1,-OFFSET(Assumptions!$B$67,0,$C$1)),OFFSET(AS$16,0,0,1,-OFFSET(Assumptions!$B$67,0,$C$1)))-SUMPRODUCT(OFFSET(AS$420,0,0,1,-OFFSET(Assumptions!$B$67,0,$C$1)),OFFSET(AS$16,0,0,1,-OFFSET(Assumptions!$B$67,0,$C$1))))/OFFSET(Assumptions!$B$67,0,$C$1)-(AS$421-AS$420)/AS$14,((AS$421-AS$420)/AS$14-(AR$421-AR$420)/AR$14)/AS$2),0))*AT$14 +AT$420</f>
        <v>25.640653872268928</v>
      </c>
      <c r="AU421" s="8">
        <f ca="1">((AT$421-AT$420)/AT$14+ IF(AU$2&gt;0,AU$2*IF(AU$6=OFFSET(Assumptions!$B$8,0,$C$1),(SUMPRODUCT(OFFSET(AT$421,0,0,1,-OFFSET(Assumptions!$B$67,0,$C$1)),OFFSET(AT$16,0,0,1,-OFFSET(Assumptions!$B$67,0,$C$1)))-SUMPRODUCT(OFFSET(AT$420,0,0,1,-OFFSET(Assumptions!$B$67,0,$C$1)),OFFSET(AT$16,0,0,1,-OFFSET(Assumptions!$B$67,0,$C$1))))/OFFSET(Assumptions!$B$67,0,$C$1)-(AT$421-AT$420)/AT$14,((AT$421-AT$420)/AT$14-(AS$421-AS$420)/AS$14)/AT$2),0))*AU$14 +AU$420</f>
        <v>26.654067352771904</v>
      </c>
      <c r="AV421" s="8">
        <f ca="1">((AU$421-AU$420)/AU$14+ IF(AV$2&gt;0,AV$2*IF(AV$6=OFFSET(Assumptions!$B$8,0,$C$1),(SUMPRODUCT(OFFSET(AU$421,0,0,1,-OFFSET(Assumptions!$B$67,0,$C$1)),OFFSET(AU$16,0,0,1,-OFFSET(Assumptions!$B$67,0,$C$1)))-SUMPRODUCT(OFFSET(AU$420,0,0,1,-OFFSET(Assumptions!$B$67,0,$C$1)),OFFSET(AU$16,0,0,1,-OFFSET(Assumptions!$B$67,0,$C$1))))/OFFSET(Assumptions!$B$67,0,$C$1)-(AU$421-AU$420)/AU$14,((AU$421-AU$420)/AU$14-(AT$421-AT$420)/AT$14)/AU$2),0))*AV$14 +AV$420</f>
        <v>27.719418026902133</v>
      </c>
      <c r="AW421" s="8">
        <f ca="1">((AV$421-AV$420)/AV$14+ IF(AW$2&gt;0,AW$2*IF(AW$6=OFFSET(Assumptions!$B$8,0,$C$1),(SUMPRODUCT(OFFSET(AV$421,0,0,1,-OFFSET(Assumptions!$B$67,0,$C$1)),OFFSET(AV$16,0,0,1,-OFFSET(Assumptions!$B$67,0,$C$1)))-SUMPRODUCT(OFFSET(AV$420,0,0,1,-OFFSET(Assumptions!$B$67,0,$C$1)),OFFSET(AV$16,0,0,1,-OFFSET(Assumptions!$B$67,0,$C$1))))/OFFSET(Assumptions!$B$67,0,$C$1)-(AV$421-AV$420)/AV$14,((AV$421-AV$420)/AV$14-(AU$421-AU$420)/AU$14)/AV$2),0))*AW$14 +AW$420</f>
        <v>28.846040569071761</v>
      </c>
    </row>
    <row r="422" spans="1:49" ht="15" x14ac:dyDescent="0.25">
      <c r="A422" s="2"/>
      <c r="B422" s="4"/>
      <c r="D422" s="47"/>
      <c r="E422" s="44"/>
      <c r="F422" s="44"/>
      <c r="G422" s="44"/>
      <c r="H422" s="44"/>
      <c r="I422" s="44"/>
      <c r="J422" s="8"/>
      <c r="K422" s="8"/>
      <c r="L422" s="8"/>
      <c r="M422" s="8"/>
      <c r="N422" s="8"/>
      <c r="O422" s="8"/>
      <c r="P422" s="8"/>
      <c r="Q422" s="8"/>
      <c r="R422" s="8"/>
      <c r="S422" s="8"/>
    </row>
    <row r="423" spans="1:49" ht="15" x14ac:dyDescent="0.25">
      <c r="A423" s="22" t="s">
        <v>241</v>
      </c>
      <c r="B423" s="4"/>
      <c r="D423" s="47"/>
      <c r="E423" s="44"/>
      <c r="F423" s="44"/>
      <c r="G423" s="44"/>
      <c r="H423" s="44"/>
      <c r="I423" s="44"/>
      <c r="J423" s="44"/>
      <c r="K423" s="44"/>
      <c r="L423" s="44"/>
      <c r="M423" s="44"/>
      <c r="N423" s="44"/>
      <c r="O423" s="44"/>
      <c r="P423" s="44"/>
      <c r="Q423" s="44"/>
      <c r="R423" s="44"/>
    </row>
    <row r="424" spans="1:49" x14ac:dyDescent="0.2">
      <c r="A424" s="1" t="s">
        <v>324</v>
      </c>
      <c r="B424" s="4" t="str">
        <f t="shared" ref="B424:B426" si="257">$B$43</f>
        <v>From Fiscal</v>
      </c>
      <c r="D424" s="18">
        <f>Fiscal!D$174</f>
        <v>1.2390000000000001</v>
      </c>
      <c r="E424" s="19">
        <f>Fiscal!E$174</f>
        <v>1.3879999999999999</v>
      </c>
      <c r="F424" s="19">
        <f>Fiscal!F$174</f>
        <v>1.601</v>
      </c>
      <c r="G424" s="19">
        <f>Fiscal!G$174</f>
        <v>1.6879999999999999</v>
      </c>
      <c r="H424" s="19">
        <f>Fiscal!H$174</f>
        <v>1.7350000000000001</v>
      </c>
      <c r="I424" s="19">
        <f>Fiscal!I$174</f>
        <v>1.73</v>
      </c>
      <c r="J424" s="7">
        <f ca="1">(I$424/I$14+ IF(J$2&gt;0,J$2*IF(J$6=OFFSET(Assumptions!$B$8,0,$C$1),SUMPRODUCT(OFFSET(I$424,0,0,1,-OFFSET(Assumptions!$B$67,0,$C$1)),OFFSET(I$16,0,0,1,-OFFSET(Assumptions!$B$67,0,$C$1)))/OFFSET(Assumptions!$B$67,0,$C$1)-I$424/I$14,(I$424/I$14-H$424/H$14)/I$2),0))*J$14</f>
        <v>1.8250861344329021</v>
      </c>
      <c r="K424" s="7">
        <f ca="1">(J$424/J$14+ IF(K$2&gt;0,K$2*IF(K$6=OFFSET(Assumptions!$B$8,0,$C$1),SUMPRODUCT(OFFSET(J$424,0,0,1,-OFFSET(Assumptions!$B$67,0,$C$1)),OFFSET(J$16,0,0,1,-OFFSET(Assumptions!$B$67,0,$C$1)))/OFFSET(Assumptions!$B$67,0,$C$1)-J$424/J$14,(J$424/J$14-I$424/I$14)/J$2),0))*K$14</f>
        <v>1.9198497676599593</v>
      </c>
      <c r="L424" s="7">
        <f ca="1">(K$424/K$14+ IF(L$2&gt;0,L$2*IF(L$6=OFFSET(Assumptions!$B$8,0,$C$1),SUMPRODUCT(OFFSET(K$424,0,0,1,-OFFSET(Assumptions!$B$67,0,$C$1)),OFFSET(K$16,0,0,1,-OFFSET(Assumptions!$B$67,0,$C$1)))/OFFSET(Assumptions!$B$67,0,$C$1)-K$424/K$14,(K$424/K$14-J$424/J$14)/K$2),0))*L$14</f>
        <v>2.0175370916882707</v>
      </c>
      <c r="M424" s="7">
        <f ca="1">(L$424/L$14+ IF(M$2&gt;0,M$2*IF(M$6=OFFSET(Assumptions!$B$8,0,$C$1),SUMPRODUCT(OFFSET(L$424,0,0,1,-OFFSET(Assumptions!$B$67,0,$C$1)),OFFSET(L$16,0,0,1,-OFFSET(Assumptions!$B$67,0,$C$1)))/OFFSET(Assumptions!$B$67,0,$C$1)-L$424/L$14,(L$424/L$14-K$424/K$14)/L$2),0))*M$14</f>
        <v>2.114771790499538</v>
      </c>
      <c r="N424" s="7">
        <f ca="1">(M$424/M$14+ IF(N$2&gt;0,N$2*IF(N$6=OFFSET(Assumptions!$B$8,0,$C$1),SUMPRODUCT(OFFSET(M$424,0,0,1,-OFFSET(Assumptions!$B$67,0,$C$1)),OFFSET(M$16,0,0,1,-OFFSET(Assumptions!$B$67,0,$C$1)))/OFFSET(Assumptions!$B$67,0,$C$1)-M$424/M$14,(M$424/M$14-L$424/L$14)/M$2),0))*N$14</f>
        <v>2.2112256182696122</v>
      </c>
      <c r="O424" s="7">
        <f ca="1">(N$424/N$14+ IF(O$2&gt;0,O$2*IF(O$6=OFFSET(Assumptions!$B$8,0,$C$1),SUMPRODUCT(OFFSET(N$424,0,0,1,-OFFSET(Assumptions!$B$67,0,$C$1)),OFFSET(N$16,0,0,1,-OFFSET(Assumptions!$B$67,0,$C$1)))/OFFSET(Assumptions!$B$67,0,$C$1)-N$424/N$14,(N$424/N$14-M$424/M$14)/N$2),0))*O$14</f>
        <v>2.3056156160239709</v>
      </c>
      <c r="P424" s="7">
        <f ca="1">(O$424/O$14+ IF(P$2&gt;0,P$2*IF(P$6=OFFSET(Assumptions!$B$8,0,$C$1),SUMPRODUCT(OFFSET(O$424,0,0,1,-OFFSET(Assumptions!$B$67,0,$C$1)),OFFSET(O$16,0,0,1,-OFFSET(Assumptions!$B$67,0,$C$1)))/OFFSET(Assumptions!$B$67,0,$C$1)-O$424/O$14,(O$424/O$14-N$424/N$14)/O$2),0))*P$14</f>
        <v>2.403117567066078</v>
      </c>
      <c r="Q424" s="7">
        <f ca="1">(P$424/P$14+ IF(Q$2&gt;0,Q$2*IF(Q$6=OFFSET(Assumptions!$B$8,0,$C$1),SUMPRODUCT(OFFSET(P$424,0,0,1,-OFFSET(Assumptions!$B$67,0,$C$1)),OFFSET(P$16,0,0,1,-OFFSET(Assumptions!$B$67,0,$C$1)))/OFFSET(Assumptions!$B$67,0,$C$1)-P$424/P$14,(P$424/P$14-O$424/O$14)/P$2),0))*Q$14</f>
        <v>2.5036261513856211</v>
      </c>
      <c r="R424" s="7">
        <f ca="1">(Q$424/Q$14+ IF(R$2&gt;0,R$2*IF(R$6=OFFSET(Assumptions!$B$8,0,$C$1),SUMPRODUCT(OFFSET(Q$424,0,0,1,-OFFSET(Assumptions!$B$67,0,$C$1)),OFFSET(Q$16,0,0,1,-OFFSET(Assumptions!$B$67,0,$C$1)))/OFFSET(Assumptions!$B$67,0,$C$1)-Q$424/Q$14,(Q$424/Q$14-P$424/P$14)/Q$2),0))*R$14</f>
        <v>2.6070667697517638</v>
      </c>
      <c r="S424" s="7">
        <f ca="1">(R$424/R$14+ IF(S$2&gt;0,S$2*IF(S$6=OFFSET(Assumptions!$B$8,0,$C$1),SUMPRODUCT(OFFSET(R$424,0,0,1,-OFFSET(Assumptions!$B$67,0,$C$1)),OFFSET(R$16,0,0,1,-OFFSET(Assumptions!$B$67,0,$C$1)))/OFFSET(Assumptions!$B$67,0,$C$1)-R$424/R$14,(R$424/R$14-Q$424/Q$14)/R$2),0))*S$14</f>
        <v>2.7137681522316606</v>
      </c>
      <c r="T424" s="7">
        <f ca="1">(S$424/S$14+ IF(T$2&gt;0,T$2*IF(T$6=OFFSET(Assumptions!$B$8,0,$C$1),SUMPRODUCT(OFFSET(S$424,0,0,1,-OFFSET(Assumptions!$B$67,0,$C$1)),OFFSET(S$16,0,0,1,-OFFSET(Assumptions!$B$67,0,$C$1)))/OFFSET(Assumptions!$B$67,0,$C$1)-S$424/S$14,(S$424/S$14-R$424/R$14)/S$2),0))*T$14</f>
        <v>2.8237692092069424</v>
      </c>
      <c r="U424" s="7">
        <f ca="1">(T$424/T$14+ IF(U$2&gt;0,U$2*IF(U$6=OFFSET(Assumptions!$B$8,0,$C$1),SUMPRODUCT(OFFSET(T$424,0,0,1,-OFFSET(Assumptions!$B$67,0,$C$1)),OFFSET(T$16,0,0,1,-OFFSET(Assumptions!$B$67,0,$C$1)))/OFFSET(Assumptions!$B$67,0,$C$1)-T$424/T$14,(T$424/T$14-S$424/S$14)/T$2),0))*U$14</f>
        <v>2.9374647315715019</v>
      </c>
      <c r="V424" s="7">
        <f ca="1">(U$424/U$14+ IF(V$2&gt;0,V$2*IF(V$6=OFFSET(Assumptions!$B$8,0,$C$1),SUMPRODUCT(OFFSET(U$424,0,0,1,-OFFSET(Assumptions!$B$67,0,$C$1)),OFFSET(U$16,0,0,1,-OFFSET(Assumptions!$B$67,0,$C$1)))/OFFSET(Assumptions!$B$67,0,$C$1)-U$424/U$14,(U$424/U$14-T$424/T$14)/U$2),0))*V$14</f>
        <v>3.0551353773716974</v>
      </c>
      <c r="W424" s="7">
        <f ca="1">(V$424/V$14+ IF(W$2&gt;0,W$2*IF(W$6=OFFSET(Assumptions!$B$8,0,$C$1),SUMPRODUCT(OFFSET(V$424,0,0,1,-OFFSET(Assumptions!$B$67,0,$C$1)),OFFSET(V$16,0,0,1,-OFFSET(Assumptions!$B$67,0,$C$1)))/OFFSET(Assumptions!$B$67,0,$C$1)-V$424/V$14,(V$424/V$14-U$424/U$14)/V$2),0))*W$14</f>
        <v>3.1771220681493459</v>
      </c>
      <c r="X424" s="7">
        <f ca="1">(W$424/W$14+ IF(X$2&gt;0,X$2*IF(X$6=OFFSET(Assumptions!$B$8,0,$C$1),SUMPRODUCT(OFFSET(W$424,0,0,1,-OFFSET(Assumptions!$B$67,0,$C$1)),OFFSET(W$16,0,0,1,-OFFSET(Assumptions!$B$67,0,$C$1)))/OFFSET(Assumptions!$B$67,0,$C$1)-W$424/W$14,(W$424/W$14-V$424/V$14)/W$2),0))*X$14</f>
        <v>3.3038111915422776</v>
      </c>
      <c r="Y424" s="7">
        <f ca="1">(X$424/X$14+ IF(Y$2&gt;0,Y$2*IF(Y$6=OFFSET(Assumptions!$B$8,0,$C$1),SUMPRODUCT(OFFSET(X$424,0,0,1,-OFFSET(Assumptions!$B$67,0,$C$1)),OFFSET(X$16,0,0,1,-OFFSET(Assumptions!$B$67,0,$C$1)))/OFFSET(Assumptions!$B$67,0,$C$1)-X$424/X$14,(X$424/X$14-W$424/W$14)/X$2),0))*Y$14</f>
        <v>3.4351897957273021</v>
      </c>
      <c r="Z424" s="7">
        <f ca="1">(Y$424/Y$14+ IF(Z$2&gt;0,Z$2*IF(Z$6=OFFSET(Assumptions!$B$8,0,$C$1),SUMPRODUCT(OFFSET(Y$424,0,0,1,-OFFSET(Assumptions!$B$67,0,$C$1)),OFFSET(Y$16,0,0,1,-OFFSET(Assumptions!$B$67,0,$C$1)))/OFFSET(Assumptions!$B$67,0,$C$1)-Y$424/Y$14,(Y$424/Y$14-X$424/X$14)/Y$2),0))*Z$14</f>
        <v>3.5719228722169443</v>
      </c>
      <c r="AA424" s="7">
        <f ca="1">(Z$424/Z$14+ IF(AA$2&gt;0,AA$2*IF(AA$6=OFFSET(Assumptions!$B$8,0,$C$1),SUMPRODUCT(OFFSET(Z$424,0,0,1,-OFFSET(Assumptions!$B$67,0,$C$1)),OFFSET(Z$16,0,0,1,-OFFSET(Assumptions!$B$67,0,$C$1)))/OFFSET(Assumptions!$B$67,0,$C$1)-Z$424/Z$14,(Z$424/Z$14-Y$424/Y$14)/Z$2),0))*AA$14</f>
        <v>3.7142316556004884</v>
      </c>
      <c r="AB424" s="7">
        <f ca="1">(AA$424/AA$14+ IF(AB$2&gt;0,AB$2*IF(AB$6=OFFSET(Assumptions!$B$8,0,$C$1),SUMPRODUCT(OFFSET(AA$424,0,0,1,-OFFSET(Assumptions!$B$67,0,$C$1)),OFFSET(AA$16,0,0,1,-OFFSET(Assumptions!$B$67,0,$C$1)))/OFFSET(Assumptions!$B$67,0,$C$1)-AA$424/AA$14,(AA$424/AA$14-Z$424/Z$14)/AA$2),0))*AB$14</f>
        <v>3.8625435122968304</v>
      </c>
      <c r="AC424" s="7">
        <f ca="1">(AB$424/AB$14+ IF(AC$2&gt;0,AC$2*IF(AC$6=OFFSET(Assumptions!$B$8,0,$C$1),SUMPRODUCT(OFFSET(AB$424,0,0,1,-OFFSET(Assumptions!$B$67,0,$C$1)),OFFSET(AB$16,0,0,1,-OFFSET(Assumptions!$B$67,0,$C$1)))/OFFSET(Assumptions!$B$67,0,$C$1)-AB$424/AB$14,(AB$424/AB$14-AA$424/AA$14)/AB$2),0))*AC$14</f>
        <v>4.0174183396912726</v>
      </c>
      <c r="AD424" s="7">
        <f ca="1">(AC$424/AC$14+ IF(AD$2&gt;0,AD$2*IF(AD$6=OFFSET(Assumptions!$B$8,0,$C$1),SUMPRODUCT(OFFSET(AC$424,0,0,1,-OFFSET(Assumptions!$B$67,0,$C$1)),OFFSET(AC$16,0,0,1,-OFFSET(Assumptions!$B$67,0,$C$1)))/OFFSET(Assumptions!$B$67,0,$C$1)-AC$424/AC$14,(AC$424/AC$14-AB$424/AB$14)/AC$2),0))*AD$14</f>
        <v>4.1790193777623772</v>
      </c>
      <c r="AE424" s="7">
        <f ca="1">(AD$424/AD$14+ IF(AE$2&gt;0,AE$2*IF(AE$6=OFFSET(Assumptions!$B$8,0,$C$1),SUMPRODUCT(OFFSET(AD$424,0,0,1,-OFFSET(Assumptions!$B$67,0,$C$1)),OFFSET(AD$16,0,0,1,-OFFSET(Assumptions!$B$67,0,$C$1)))/OFFSET(Assumptions!$B$67,0,$C$1)-AD$424/AD$14,(AD$424/AD$14-AC$424/AC$14)/AD$2),0))*AE$14</f>
        <v>4.3471982174958956</v>
      </c>
      <c r="AF424" s="7">
        <f ca="1">(AE$424/AE$14+ IF(AF$2&gt;0,AF$2*IF(AF$6=OFFSET(Assumptions!$B$8,0,$C$1),SUMPRODUCT(OFFSET(AE$424,0,0,1,-OFFSET(Assumptions!$B$67,0,$C$1)),OFFSET(AE$16,0,0,1,-OFFSET(Assumptions!$B$67,0,$C$1)))/OFFSET(Assumptions!$B$67,0,$C$1)-AE$424/AE$14,(AE$424/AE$14-AD$424/AD$14)/AE$2),0))*AF$14</f>
        <v>4.5224201424023951</v>
      </c>
      <c r="AG424" s="7">
        <f ca="1">(AF$424/AF$14+ IF(AG$2&gt;0,AG$2*IF(AG$6=OFFSET(Assumptions!$B$8,0,$C$1),SUMPRODUCT(OFFSET(AF$424,0,0,1,-OFFSET(Assumptions!$B$67,0,$C$1)),OFFSET(AF$16,0,0,1,-OFFSET(Assumptions!$B$67,0,$C$1)))/OFFSET(Assumptions!$B$67,0,$C$1)-AF$424/AF$14,(AF$424/AF$14-AE$424/AE$14)/AF$2),0))*AG$14</f>
        <v>4.7047831292553068</v>
      </c>
      <c r="AH424" s="7">
        <f ca="1">(AG$424/AG$14+ IF(AH$2&gt;0,AH$2*IF(AH$6=OFFSET(Assumptions!$B$8,0,$C$1),SUMPRODUCT(OFFSET(AG$424,0,0,1,-OFFSET(Assumptions!$B$67,0,$C$1)),OFFSET(AG$16,0,0,1,-OFFSET(Assumptions!$B$67,0,$C$1)))/OFFSET(Assumptions!$B$67,0,$C$1)-AG$424/AG$14,(AG$424/AG$14-AF$424/AF$14)/AG$2),0))*AH$14</f>
        <v>4.8945796097575434</v>
      </c>
      <c r="AI424" s="7">
        <f ca="1">(AH$424/AH$14+ IF(AI$2&gt;0,AI$2*IF(AI$6=OFFSET(Assumptions!$B$8,0,$C$1),SUMPRODUCT(OFFSET(AH$424,0,0,1,-OFFSET(Assumptions!$B$67,0,$C$1)),OFFSET(AH$16,0,0,1,-OFFSET(Assumptions!$B$67,0,$C$1)))/OFFSET(Assumptions!$B$67,0,$C$1)-AH$424/AH$14,(AH$424/AH$14-AG$424/AG$14)/AH$2),0))*AI$14</f>
        <v>5.0914779466286593</v>
      </c>
      <c r="AJ424" s="7">
        <f ca="1">(AI$424/AI$14+ IF(AJ$2&gt;0,AJ$2*IF(AJ$6=OFFSET(Assumptions!$B$8,0,$C$1),SUMPRODUCT(OFFSET(AI$424,0,0,1,-OFFSET(Assumptions!$B$67,0,$C$1)),OFFSET(AI$16,0,0,1,-OFFSET(Assumptions!$B$67,0,$C$1)))/OFFSET(Assumptions!$B$67,0,$C$1)-AI$424/AI$14,(AI$424/AI$14-AH$424/AH$14)/AI$2),0))*AJ$14</f>
        <v>5.296108903342998</v>
      </c>
      <c r="AK424" s="7">
        <f ca="1">(AJ$424/AJ$14+ IF(AK$2&gt;0,AK$2*IF(AK$6=OFFSET(Assumptions!$B$8,0,$C$1),SUMPRODUCT(OFFSET(AJ$424,0,0,1,-OFFSET(Assumptions!$B$67,0,$C$1)),OFFSET(AJ$16,0,0,1,-OFFSET(Assumptions!$B$67,0,$C$1)))/OFFSET(Assumptions!$B$67,0,$C$1)-AJ$424/AJ$14,(AJ$424/AJ$14-AI$424/AI$14)/AJ$2),0))*AK$14</f>
        <v>5.508304144172202</v>
      </c>
      <c r="AL424" s="7">
        <f ca="1">(AK$424/AK$14+ IF(AL$2&gt;0,AL$2*IF(AL$6=OFFSET(Assumptions!$B$8,0,$C$1),SUMPRODUCT(OFFSET(AK$424,0,0,1,-OFFSET(Assumptions!$B$67,0,$C$1)),OFFSET(AK$16,0,0,1,-OFFSET(Assumptions!$B$67,0,$C$1)))/OFFSET(Assumptions!$B$67,0,$C$1)-AK$424/AK$14,(AK$424/AK$14-AJ$424/AJ$14)/AK$2),0))*AL$14</f>
        <v>5.7278965170709899</v>
      </c>
      <c r="AM424" s="7">
        <f ca="1">(AL$424/AL$14+ IF(AM$2&gt;0,AM$2*IF(AM$6=OFFSET(Assumptions!$B$8,0,$C$1),SUMPRODUCT(OFFSET(AL$424,0,0,1,-OFFSET(Assumptions!$B$67,0,$C$1)),OFFSET(AL$16,0,0,1,-OFFSET(Assumptions!$B$67,0,$C$1)))/OFFSET(Assumptions!$B$67,0,$C$1)-AL$424/AL$14,(AL$424/AL$14-AK$424/AK$14)/AL$2),0))*AM$14</f>
        <v>5.9551860138161237</v>
      </c>
      <c r="AN424" s="7">
        <f ca="1">(AM$424/AM$14+ IF(AN$2&gt;0,AN$2*IF(AN$6=OFFSET(Assumptions!$B$8,0,$C$1),SUMPRODUCT(OFFSET(AM$424,0,0,1,-OFFSET(Assumptions!$B$67,0,$C$1)),OFFSET(AM$16,0,0,1,-OFFSET(Assumptions!$B$67,0,$C$1)))/OFFSET(Assumptions!$B$67,0,$C$1)-AM$424/AM$14,(AM$424/AM$14-AL$424/AL$14)/AM$2),0))*AN$14</f>
        <v>6.1904887918964828</v>
      </c>
      <c r="AO424" s="7">
        <f ca="1">(AN$424/AN$14+ IF(AO$2&gt;0,AO$2*IF(AO$6=OFFSET(Assumptions!$B$8,0,$C$1),SUMPRODUCT(OFFSET(AN$424,0,0,1,-OFFSET(Assumptions!$B$67,0,$C$1)),OFFSET(AN$16,0,0,1,-OFFSET(Assumptions!$B$67,0,$C$1)))/OFFSET(Assumptions!$B$67,0,$C$1)-AN$424/AN$14,(AN$424/AN$14-AM$424/AM$14)/AN$2),0))*AO$14</f>
        <v>6.4328808986740187</v>
      </c>
      <c r="AP424" s="7">
        <f ca="1">(AO$424/AO$14+ IF(AP$2&gt;0,AP$2*IF(AP$6=OFFSET(Assumptions!$B$8,0,$C$1),SUMPRODUCT(OFFSET(AO$424,0,0,1,-OFFSET(Assumptions!$B$67,0,$C$1)),OFFSET(AO$16,0,0,1,-OFFSET(Assumptions!$B$67,0,$C$1)))/OFFSET(Assumptions!$B$67,0,$C$1)-AO$424/AO$14,(AO$424/AO$14-AN$424/AN$14)/AO$2),0))*AP$14</f>
        <v>6.6833916510468896</v>
      </c>
      <c r="AQ424" s="7">
        <f ca="1">(AP$424/AP$14+ IF(AQ$2&gt;0,AQ$2*IF(AQ$6=OFFSET(Assumptions!$B$8,0,$C$1),SUMPRODUCT(OFFSET(AP$424,0,0,1,-OFFSET(Assumptions!$B$67,0,$C$1)),OFFSET(AP$16,0,0,1,-OFFSET(Assumptions!$B$67,0,$C$1)))/OFFSET(Assumptions!$B$67,0,$C$1)-AP$424/AP$14,(AP$424/AP$14-AO$424/AO$14)/AP$2),0))*AQ$14</f>
        <v>6.941319118677491</v>
      </c>
      <c r="AR424" s="7">
        <f ca="1">(AQ$424/AQ$14+ IF(AR$2&gt;0,AR$2*IF(AR$6=OFFSET(Assumptions!$B$8,0,$C$1),SUMPRODUCT(OFFSET(AQ$424,0,0,1,-OFFSET(Assumptions!$B$67,0,$C$1)),OFFSET(AQ$16,0,0,1,-OFFSET(Assumptions!$B$67,0,$C$1)))/OFFSET(Assumptions!$B$67,0,$C$1)-AQ$424/AQ$14,(AQ$424/AQ$14-AP$424/AP$14)/AQ$2),0))*AR$14</f>
        <v>7.2069553216015976</v>
      </c>
      <c r="AS424" s="7">
        <f ca="1">(AR$424/AR$14+ IF(AS$2&gt;0,AS$2*IF(AS$6=OFFSET(Assumptions!$B$8,0,$C$1),SUMPRODUCT(OFFSET(AR$424,0,0,1,-OFFSET(Assumptions!$B$67,0,$C$1)),OFFSET(AR$16,0,0,1,-OFFSET(Assumptions!$B$67,0,$C$1)))/OFFSET(Assumptions!$B$67,0,$C$1)-AR$424/AR$14,(AR$424/AR$14-AQ$424/AQ$14)/AR$2),0))*AS$14</f>
        <v>7.4809199814186522</v>
      </c>
      <c r="AT424" s="7">
        <f ca="1">(AS$424/AS$14+ IF(AT$2&gt;0,AT$2*IF(AT$6=OFFSET(Assumptions!$B$8,0,$C$1),SUMPRODUCT(OFFSET(AS$424,0,0,1,-OFFSET(Assumptions!$B$67,0,$C$1)),OFFSET(AS$16,0,0,1,-OFFSET(Assumptions!$B$67,0,$C$1)))/OFFSET(Assumptions!$B$67,0,$C$1)-AS$424/AS$14,(AS$424/AS$14-AR$424/AR$14)/AS$2),0))*AT$14</f>
        <v>7.7634319047330926</v>
      </c>
      <c r="AU424" s="7">
        <f ca="1">(AT$424/AT$14+ IF(AU$2&gt;0,AU$2*IF(AU$6=OFFSET(Assumptions!$B$8,0,$C$1),SUMPRODUCT(OFFSET(AT$424,0,0,1,-OFFSET(Assumptions!$B$67,0,$C$1)),OFFSET(AT$16,0,0,1,-OFFSET(Assumptions!$B$67,0,$C$1)))/OFFSET(Assumptions!$B$67,0,$C$1)-AT$424/AT$14,(AT$424/AT$14-AS$424/AS$14)/AT$2),0))*AU$14</f>
        <v>8.054866769333664</v>
      </c>
      <c r="AV424" s="7">
        <f ca="1">(AU$424/AU$14+ IF(AV$2&gt;0,AV$2*IF(AV$6=OFFSET(Assumptions!$B$8,0,$C$1),SUMPRODUCT(OFFSET(AU$424,0,0,1,-OFFSET(Assumptions!$B$67,0,$C$1)),OFFSET(AU$16,0,0,1,-OFFSET(Assumptions!$B$67,0,$C$1)))/OFFSET(Assumptions!$B$67,0,$C$1)-AU$424/AU$14,(AU$424/AU$14-AT$424/AT$14)/AU$2),0))*AV$14</f>
        <v>8.3561256621141968</v>
      </c>
      <c r="AW424" s="7">
        <f ca="1">(AV$424/AV$14+ IF(AW$2&gt;0,AW$2*IF(AW$6=OFFSET(Assumptions!$B$8,0,$C$1),SUMPRODUCT(OFFSET(AV$424,0,0,1,-OFFSET(Assumptions!$B$67,0,$C$1)),OFFSET(AV$16,0,0,1,-OFFSET(Assumptions!$B$67,0,$C$1)))/OFFSET(Assumptions!$B$67,0,$C$1)-AV$424/AV$14,(AV$424/AV$14-AU$424/AU$14)/AV$2),0))*AW$14</f>
        <v>8.6670385055055945</v>
      </c>
    </row>
    <row r="425" spans="1:49" x14ac:dyDescent="0.2">
      <c r="A425" s="1" t="s">
        <v>295</v>
      </c>
      <c r="B425" s="4" t="str">
        <f t="shared" si="257"/>
        <v>From Fiscal</v>
      </c>
      <c r="D425" s="18">
        <f>Fiscal!D$331</f>
        <v>0.60699999999999998</v>
      </c>
      <c r="E425" s="19">
        <f>Fiscal!E$331</f>
        <v>0.59599999999999997</v>
      </c>
      <c r="F425" s="19">
        <f>Fiscal!F$331</f>
        <v>0.69</v>
      </c>
      <c r="G425" s="19">
        <f>Fiscal!G$331</f>
        <v>0.72699999999999998</v>
      </c>
      <c r="H425" s="19">
        <f>Fiscal!H$331</f>
        <v>0.72699999999999998</v>
      </c>
      <c r="I425" s="19">
        <f>Fiscal!I$331</f>
        <v>0.71499999999999997</v>
      </c>
      <c r="J425" s="7">
        <f ca="1">(I$425/I$14+ IF(J$2&gt;0,J$2*IF(J$6=OFFSET(Assumptions!$B$8,0,$C$1),SUMPRODUCT(OFFSET(I$425,0,0,1,-OFFSET(Assumptions!$B$67,0,$C$1)),OFFSET(I$16,0,0,1,-OFFSET(Assumptions!$B$67,0,$C$1)))/OFFSET(Assumptions!$B$67,0,$C$1)-I$425/I$14,(I$425/I$14-H$425/H$14)/I$2),0))*J$14</f>
        <v>0.7592130276618011</v>
      </c>
      <c r="K425" s="7">
        <f ca="1">(J$425/J$14+ IF(K$2&gt;0,K$2*IF(K$6=OFFSET(Assumptions!$B$8,0,$C$1),SUMPRODUCT(OFFSET(J$425,0,0,1,-OFFSET(Assumptions!$B$67,0,$C$1)),OFFSET(J$16,0,0,1,-OFFSET(Assumptions!$B$67,0,$C$1)))/OFFSET(Assumptions!$B$67,0,$C$1)-J$425/J$14,(J$425/J$14-I$425/I$14)/J$2),0))*K$14</f>
        <v>0.80267955712949723</v>
      </c>
      <c r="L425" s="7">
        <f ca="1">(K$425/K$14+ IF(L$2&gt;0,L$2*IF(L$6=OFFSET(Assumptions!$B$8,0,$C$1),SUMPRODUCT(OFFSET(K$425,0,0,1,-OFFSET(Assumptions!$B$67,0,$C$1)),OFFSET(K$16,0,0,1,-OFFSET(Assumptions!$B$67,0,$C$1)))/OFFSET(Assumptions!$B$67,0,$C$1)-K$425/K$14,(K$425/K$14-J$425/J$14)/K$2),0))*L$14</f>
        <v>0.84665770443464028</v>
      </c>
      <c r="M425" s="7">
        <f ca="1">(L$425/L$14+ IF(M$2&gt;0,M$2*IF(M$6=OFFSET(Assumptions!$B$8,0,$C$1),SUMPRODUCT(OFFSET(L$425,0,0,1,-OFFSET(Assumptions!$B$67,0,$C$1)),OFFSET(L$16,0,0,1,-OFFSET(Assumptions!$B$67,0,$C$1)))/OFFSET(Assumptions!$B$67,0,$C$1)-L$425/L$14,(L$425/L$14-K$425/K$14)/L$2),0))*M$14</f>
        <v>0.88962721691401125</v>
      </c>
      <c r="N425" s="7">
        <f ca="1">(M$425/M$14+ IF(N$2&gt;0,N$2*IF(N$6=OFFSET(Assumptions!$B$8,0,$C$1),SUMPRODUCT(OFFSET(M$425,0,0,1,-OFFSET(Assumptions!$B$67,0,$C$1)),OFFSET(M$16,0,0,1,-OFFSET(Assumptions!$B$67,0,$C$1)))/OFFSET(Assumptions!$B$67,0,$C$1)-M$425/M$14,(M$425/M$14-L$425/L$14)/M$2),0))*N$14</f>
        <v>0.931326570160665</v>
      </c>
      <c r="O425" s="7">
        <f ca="1">(N$425/N$14+ IF(O$2&gt;0,O$2*IF(O$6=OFFSET(Assumptions!$B$8,0,$C$1),SUMPRODUCT(OFFSET(N$425,0,0,1,-OFFSET(Assumptions!$B$67,0,$C$1)),OFFSET(N$16,0,0,1,-OFFSET(Assumptions!$B$67,0,$C$1)))/OFFSET(Assumptions!$B$67,0,$C$1)-N$425/N$14,(N$425/N$14-M$425/M$14)/N$2),0))*O$14</f>
        <v>0.97108185887463705</v>
      </c>
      <c r="P425" s="7">
        <f ca="1">(O$425/O$14+ IF(P$2&gt;0,P$2*IF(P$6=OFFSET(Assumptions!$B$8,0,$C$1),SUMPRODUCT(OFFSET(O$425,0,0,1,-OFFSET(Assumptions!$B$67,0,$C$1)),OFFSET(O$16,0,0,1,-OFFSET(Assumptions!$B$67,0,$C$1)))/OFFSET(Assumptions!$B$67,0,$C$1)-O$425/O$14,(O$425/O$14-N$425/N$14)/O$2),0))*P$14</f>
        <v>1.0121478436831339</v>
      </c>
      <c r="Q425" s="7">
        <f ca="1">(P$425/P$14+ IF(Q$2&gt;0,Q$2*IF(Q$6=OFFSET(Assumptions!$B$8,0,$C$1),SUMPRODUCT(OFFSET(P$425,0,0,1,-OFFSET(Assumptions!$B$67,0,$C$1)),OFFSET(P$16,0,0,1,-OFFSET(Assumptions!$B$67,0,$C$1)))/OFFSET(Assumptions!$B$67,0,$C$1)-P$425/P$14,(P$425/P$14-O$425/O$14)/P$2),0))*Q$14</f>
        <v>1.0544801657820773</v>
      </c>
      <c r="R425" s="7">
        <f ca="1">(Q$425/Q$14+ IF(R$2&gt;0,R$2*IF(R$6=OFFSET(Assumptions!$B$8,0,$C$1),SUMPRODUCT(OFFSET(Q$425,0,0,1,-OFFSET(Assumptions!$B$67,0,$C$1)),OFFSET(Q$16,0,0,1,-OFFSET(Assumptions!$B$67,0,$C$1)))/OFFSET(Assumptions!$B$67,0,$C$1)-Q$425/Q$14,(Q$425/Q$14-P$425/P$14)/Q$2),0))*R$14</f>
        <v>1.0980474053809139</v>
      </c>
      <c r="S425" s="7">
        <f ca="1">(R$425/R$14+ IF(S$2&gt;0,S$2*IF(S$6=OFFSET(Assumptions!$B$8,0,$C$1),SUMPRODUCT(OFFSET(R$425,0,0,1,-OFFSET(Assumptions!$B$67,0,$C$1)),OFFSET(R$16,0,0,1,-OFFSET(Assumptions!$B$67,0,$C$1)))/OFFSET(Assumptions!$B$67,0,$C$1)-R$425/R$14,(R$425/R$14-Q$425/Q$14)/R$2),0))*S$14</f>
        <v>1.1429880173905416</v>
      </c>
      <c r="T425" s="7">
        <f ca="1">(S$425/S$14+ IF(T$2&gt;0,T$2*IF(T$6=OFFSET(Assumptions!$B$8,0,$C$1),SUMPRODUCT(OFFSET(S$425,0,0,1,-OFFSET(Assumptions!$B$67,0,$C$1)),OFFSET(S$16,0,0,1,-OFFSET(Assumptions!$B$67,0,$C$1)))/OFFSET(Assumptions!$B$67,0,$C$1)-S$425/S$14,(S$425/S$14-R$425/R$14)/S$2),0))*T$14</f>
        <v>1.1893183901306181</v>
      </c>
      <c r="U425" s="7">
        <f ca="1">(T$425/T$14+ IF(U$2&gt;0,U$2*IF(U$6=OFFSET(Assumptions!$B$8,0,$C$1),SUMPRODUCT(OFFSET(T$425,0,0,1,-OFFSET(Assumptions!$B$67,0,$C$1)),OFFSET(T$16,0,0,1,-OFFSET(Assumptions!$B$67,0,$C$1)))/OFFSET(Assumptions!$B$67,0,$C$1)-T$425/T$14,(T$425/T$14-S$425/S$14)/T$2),0))*U$14</f>
        <v>1.237204802087654</v>
      </c>
      <c r="V425" s="7">
        <f ca="1">(U$425/U$14+ IF(V$2&gt;0,V$2*IF(V$6=OFFSET(Assumptions!$B$8,0,$C$1),SUMPRODUCT(OFFSET(U$425,0,0,1,-OFFSET(Assumptions!$B$67,0,$C$1)),OFFSET(U$16,0,0,1,-OFFSET(Assumptions!$B$67,0,$C$1)))/OFFSET(Assumptions!$B$67,0,$C$1)-U$425/U$14,(U$425/U$14-T$425/T$14)/U$2),0))*V$14</f>
        <v>1.2867654611430814</v>
      </c>
      <c r="W425" s="7">
        <f ca="1">(V$425/V$14+ IF(W$2&gt;0,W$2*IF(W$6=OFFSET(Assumptions!$B$8,0,$C$1),SUMPRODUCT(OFFSET(V$425,0,0,1,-OFFSET(Assumptions!$B$67,0,$C$1)),OFFSET(V$16,0,0,1,-OFFSET(Assumptions!$B$67,0,$C$1)))/OFFSET(Assumptions!$B$67,0,$C$1)-V$425/V$14,(V$425/V$14-U$425/U$14)/V$2),0))*W$14</f>
        <v>1.3381439570272335</v>
      </c>
      <c r="X425" s="7">
        <f ca="1">(W$425/W$14+ IF(X$2&gt;0,X$2*IF(X$6=OFFSET(Assumptions!$B$8,0,$C$1),SUMPRODUCT(OFFSET(W$425,0,0,1,-OFFSET(Assumptions!$B$67,0,$C$1)),OFFSET(W$16,0,0,1,-OFFSET(Assumptions!$B$67,0,$C$1)))/OFFSET(Assumptions!$B$67,0,$C$1)-W$425/W$14,(W$425/W$14-V$425/V$14)/W$2),0))*X$14</f>
        <v>1.391503028933488</v>
      </c>
      <c r="Y425" s="7">
        <f ca="1">(X$425/X$14+ IF(Y$2&gt;0,Y$2*IF(Y$6=OFFSET(Assumptions!$B$8,0,$C$1),SUMPRODUCT(OFFSET(X$425,0,0,1,-OFFSET(Assumptions!$B$67,0,$C$1)),OFFSET(X$16,0,0,1,-OFFSET(Assumptions!$B$67,0,$C$1)))/OFFSET(Assumptions!$B$67,0,$C$1)-X$425/X$14,(X$425/X$14-W$425/W$14)/X$2),0))*Y$14</f>
        <v>1.4468372217979339</v>
      </c>
      <c r="Z425" s="7">
        <f ca="1">(Y$425/Y$14+ IF(Z$2&gt;0,Z$2*IF(Z$6=OFFSET(Assumptions!$B$8,0,$C$1),SUMPRODUCT(OFFSET(Y$425,0,0,1,-OFFSET(Assumptions!$B$67,0,$C$1)),OFFSET(Y$16,0,0,1,-OFFSET(Assumptions!$B$67,0,$C$1)))/OFFSET(Assumptions!$B$67,0,$C$1)-Y$425/Y$14,(Y$425/Y$14-X$425/X$14)/Y$2),0))*Z$14</f>
        <v>1.5044266175169771</v>
      </c>
      <c r="AA425" s="7">
        <f ca="1">(Z$425/Z$14+ IF(AA$2&gt;0,AA$2*IF(AA$6=OFFSET(Assumptions!$B$8,0,$C$1),SUMPRODUCT(OFFSET(Z$425,0,0,1,-OFFSET(Assumptions!$B$67,0,$C$1)),OFFSET(Z$16,0,0,1,-OFFSET(Assumptions!$B$67,0,$C$1)))/OFFSET(Assumptions!$B$67,0,$C$1)-Z$425/Z$14,(Z$425/Z$14-Y$425/Y$14)/Z$2),0))*AA$14</f>
        <v>1.5643643959314877</v>
      </c>
      <c r="AB425" s="7">
        <f ca="1">(AA$425/AA$14+ IF(AB$2&gt;0,AB$2*IF(AB$6=OFFSET(Assumptions!$B$8,0,$C$1),SUMPRODUCT(OFFSET(AA$425,0,0,1,-OFFSET(Assumptions!$B$67,0,$C$1)),OFFSET(AA$16,0,0,1,-OFFSET(Assumptions!$B$67,0,$C$1)))/OFFSET(Assumptions!$B$67,0,$C$1)-AA$425/AA$14,(AA$425/AA$14-Z$425/Z$14)/AA$2),0))*AB$14</f>
        <v>1.6268305557253737</v>
      </c>
      <c r="AC425" s="7">
        <f ca="1">(AB$425/AB$14+ IF(AC$2&gt;0,AC$2*IF(AC$6=OFFSET(Assumptions!$B$8,0,$C$1),SUMPRODUCT(OFFSET(AB$425,0,0,1,-OFFSET(Assumptions!$B$67,0,$C$1)),OFFSET(AB$16,0,0,1,-OFFSET(Assumptions!$B$67,0,$C$1)))/OFFSET(Assumptions!$B$67,0,$C$1)-AB$425/AB$14,(AB$425/AB$14-AA$425/AA$14)/AB$2),0))*AC$14</f>
        <v>1.6920609151286645</v>
      </c>
      <c r="AD425" s="7">
        <f ca="1">(AC$425/AC$14+ IF(AD$2&gt;0,AD$2*IF(AD$6=OFFSET(Assumptions!$B$8,0,$C$1),SUMPRODUCT(OFFSET(AC$425,0,0,1,-OFFSET(Assumptions!$B$67,0,$C$1)),OFFSET(AC$16,0,0,1,-OFFSET(Assumptions!$B$67,0,$C$1)))/OFFSET(Assumptions!$B$67,0,$C$1)-AC$425/AC$14,(AC$425/AC$14-AB$425/AB$14)/AC$2),0))*AD$14</f>
        <v>1.7601242277448332</v>
      </c>
      <c r="AE425" s="7">
        <f ca="1">(AD$425/AD$14+ IF(AE$2&gt;0,AE$2*IF(AE$6=OFFSET(Assumptions!$B$8,0,$C$1),SUMPRODUCT(OFFSET(AD$425,0,0,1,-OFFSET(Assumptions!$B$67,0,$C$1)),OFFSET(AD$16,0,0,1,-OFFSET(Assumptions!$B$67,0,$C$1)))/OFFSET(Assumptions!$B$67,0,$C$1)-AD$425/AD$14,(AD$425/AD$14-AC$425/AC$14)/AD$2),0))*AE$14</f>
        <v>1.8309579864931547</v>
      </c>
      <c r="AF425" s="7">
        <f ca="1">(AE$425/AE$14+ IF(AF$2&gt;0,AF$2*IF(AF$6=OFFSET(Assumptions!$B$8,0,$C$1),SUMPRODUCT(OFFSET(AE$425,0,0,1,-OFFSET(Assumptions!$B$67,0,$C$1)),OFFSET(AE$16,0,0,1,-OFFSET(Assumptions!$B$67,0,$C$1)))/OFFSET(Assumptions!$B$67,0,$C$1)-AE$425/AE$14,(AE$425/AE$14-AD$425/AD$14)/AE$2),0))*AF$14</f>
        <v>1.9047581600221783</v>
      </c>
      <c r="AG425" s="7">
        <f ca="1">(AF$425/AF$14+ IF(AG$2&gt;0,AG$2*IF(AG$6=OFFSET(Assumptions!$B$8,0,$C$1),SUMPRODUCT(OFFSET(AF$425,0,0,1,-OFFSET(Assumptions!$B$67,0,$C$1)),OFFSET(AF$16,0,0,1,-OFFSET(Assumptions!$B$67,0,$C$1)))/OFFSET(Assumptions!$B$67,0,$C$1)-AF$425/AF$14,(AF$425/AF$14-AE$425/AE$14)/AF$2),0))*AG$14</f>
        <v>1.9815660143029572</v>
      </c>
      <c r="AH425" s="7">
        <f ca="1">(AG$425/AG$14+ IF(AH$2&gt;0,AH$2*IF(AH$6=OFFSET(Assumptions!$B$8,0,$C$1),SUMPRODUCT(OFFSET(AG$425,0,0,1,-OFFSET(Assumptions!$B$67,0,$C$1)),OFFSET(AG$16,0,0,1,-OFFSET(Assumptions!$B$67,0,$C$1)))/OFFSET(Assumptions!$B$67,0,$C$1)-AG$425/AG$14,(AG$425/AG$14-AF$425/AF$14)/AG$2),0))*AH$14</f>
        <v>2.0615047160592437</v>
      </c>
      <c r="AI425" s="7">
        <f ca="1">(AH$425/AH$14+ IF(AI$2&gt;0,AI$2*IF(AI$6=OFFSET(Assumptions!$B$8,0,$C$1),SUMPRODUCT(OFFSET(AH$425,0,0,1,-OFFSET(Assumptions!$B$67,0,$C$1)),OFFSET(AH$16,0,0,1,-OFFSET(Assumptions!$B$67,0,$C$1)))/OFFSET(Assumptions!$B$67,0,$C$1)-AH$425/AH$14,(AH$425/AH$14-AG$425/AG$14)/AH$2),0))*AI$14</f>
        <v>2.1444345859166747</v>
      </c>
      <c r="AJ425" s="7">
        <f ca="1">(AI$425/AI$14+ IF(AJ$2&gt;0,AJ$2*IF(AJ$6=OFFSET(Assumptions!$B$8,0,$C$1),SUMPRODUCT(OFFSET(AI$425,0,0,1,-OFFSET(Assumptions!$B$67,0,$C$1)),OFFSET(AI$16,0,0,1,-OFFSET(Assumptions!$B$67,0,$C$1)))/OFFSET(Assumptions!$B$67,0,$C$1)-AI$425/AI$14,(AI$425/AI$14-AH$425/AH$14)/AI$2),0))*AJ$14</f>
        <v>2.2306212895668418</v>
      </c>
      <c r="AK425" s="7">
        <f ca="1">(AJ$425/AJ$14+ IF(AK$2&gt;0,AK$2*IF(AK$6=OFFSET(Assumptions!$B$8,0,$C$1),SUMPRODUCT(OFFSET(AJ$425,0,0,1,-OFFSET(Assumptions!$B$67,0,$C$1)),OFFSET(AJ$16,0,0,1,-OFFSET(Assumptions!$B$67,0,$C$1)))/OFFSET(Assumptions!$B$67,0,$C$1)-AJ$425/AJ$14,(AJ$425/AJ$14-AI$425/AI$14)/AJ$2),0))*AK$14</f>
        <v>2.3199939271724648</v>
      </c>
      <c r="AL425" s="7">
        <f ca="1">(AK$425/AK$14+ IF(AL$2&gt;0,AL$2*IF(AL$6=OFFSET(Assumptions!$B$8,0,$C$1),SUMPRODUCT(OFFSET(AK$425,0,0,1,-OFFSET(Assumptions!$B$67,0,$C$1)),OFFSET(AK$16,0,0,1,-OFFSET(Assumptions!$B$67,0,$C$1)))/OFFSET(Assumptions!$B$67,0,$C$1)-AK$425/AK$14,(AK$425/AK$14-AJ$425/AJ$14)/AK$2),0))*AL$14</f>
        <v>2.4124820974412731</v>
      </c>
      <c r="AM425" s="7">
        <f ca="1">(AL$425/AL$14+ IF(AM$2&gt;0,AM$2*IF(AM$6=OFFSET(Assumptions!$B$8,0,$C$1),SUMPRODUCT(OFFSET(AL$425,0,0,1,-OFFSET(Assumptions!$B$67,0,$C$1)),OFFSET(AL$16,0,0,1,-OFFSET(Assumptions!$B$67,0,$C$1)))/OFFSET(Assumptions!$B$67,0,$C$1)-AL$425/AL$14,(AL$425/AL$14-AK$425/AK$14)/AL$2),0))*AM$14</f>
        <v>2.5082121512576894</v>
      </c>
      <c r="AN425" s="7">
        <f ca="1">(AM$425/AM$14+ IF(AN$2&gt;0,AN$2*IF(AN$6=OFFSET(Assumptions!$B$8,0,$C$1),SUMPRODUCT(OFFSET(AM$425,0,0,1,-OFFSET(Assumptions!$B$67,0,$C$1)),OFFSET(AM$16,0,0,1,-OFFSET(Assumptions!$B$67,0,$C$1)))/OFFSET(Assumptions!$B$67,0,$C$1)-AM$425/AM$14,(AM$425/AM$14-AL$425/AL$14)/AM$2),0))*AN$14</f>
        <v>2.6073172481995148</v>
      </c>
      <c r="AO425" s="7">
        <f ca="1">(AN$425/AN$14+ IF(AO$2&gt;0,AO$2*IF(AO$6=OFFSET(Assumptions!$B$8,0,$C$1),SUMPRODUCT(OFFSET(AN$425,0,0,1,-OFFSET(Assumptions!$B$67,0,$C$1)),OFFSET(AN$16,0,0,1,-OFFSET(Assumptions!$B$67,0,$C$1)))/OFFSET(Assumptions!$B$67,0,$C$1)-AN$425/AN$14,(AN$425/AN$14-AM$425/AM$14)/AN$2),0))*AO$14</f>
        <v>2.7094082368231889</v>
      </c>
      <c r="AP425" s="7">
        <f ca="1">(AO$425/AO$14+ IF(AP$2&gt;0,AP$2*IF(AP$6=OFFSET(Assumptions!$B$8,0,$C$1),SUMPRODUCT(OFFSET(AO$425,0,0,1,-OFFSET(Assumptions!$B$67,0,$C$1)),OFFSET(AO$16,0,0,1,-OFFSET(Assumptions!$B$67,0,$C$1)))/OFFSET(Assumptions!$B$67,0,$C$1)-AO$425/AO$14,(AO$425/AO$14-AN$425/AN$14)/AO$2),0))*AP$14</f>
        <v>2.8149186460135307</v>
      </c>
      <c r="AQ425" s="7">
        <f ca="1">(AP$425/AP$14+ IF(AQ$2&gt;0,AQ$2*IF(AQ$6=OFFSET(Assumptions!$B$8,0,$C$1),SUMPRODUCT(OFFSET(AP$425,0,0,1,-OFFSET(Assumptions!$B$67,0,$C$1)),OFFSET(AP$16,0,0,1,-OFFSET(Assumptions!$B$67,0,$C$1)))/OFFSET(Assumptions!$B$67,0,$C$1)-AP$425/AP$14,(AP$425/AP$14-AO$425/AO$14)/AP$2),0))*AQ$14</f>
        <v>2.9235528359369516</v>
      </c>
      <c r="AR425" s="7">
        <f ca="1">(AQ$425/AQ$14+ IF(AR$2&gt;0,AR$2*IF(AR$6=OFFSET(Assumptions!$B$8,0,$C$1),SUMPRODUCT(OFFSET(AQ$425,0,0,1,-OFFSET(Assumptions!$B$67,0,$C$1)),OFFSET(AQ$16,0,0,1,-OFFSET(Assumptions!$B$67,0,$C$1)))/OFFSET(Assumptions!$B$67,0,$C$1)-AQ$425/AQ$14,(AQ$425/AQ$14-AP$425/AP$14)/AQ$2),0))*AR$14</f>
        <v>3.0354337999307606</v>
      </c>
      <c r="AS425" s="7">
        <f ca="1">(AR$425/AR$14+ IF(AS$2&gt;0,AS$2*IF(AS$6=OFFSET(Assumptions!$B$8,0,$C$1),SUMPRODUCT(OFFSET(AR$425,0,0,1,-OFFSET(Assumptions!$B$67,0,$C$1)),OFFSET(AR$16,0,0,1,-OFFSET(Assumptions!$B$67,0,$C$1)))/OFFSET(Assumptions!$B$67,0,$C$1)-AR$425/AR$14,(AR$425/AR$14-AQ$425/AQ$14)/AR$2),0))*AS$14</f>
        <v>3.1508225530568743</v>
      </c>
      <c r="AT425" s="7">
        <f ca="1">(AS$425/AS$14+ IF(AT$2&gt;0,AT$2*IF(AT$6=OFFSET(Assumptions!$B$8,0,$C$1),SUMPRODUCT(OFFSET(AS$425,0,0,1,-OFFSET(Assumptions!$B$67,0,$C$1)),OFFSET(AS$16,0,0,1,-OFFSET(Assumptions!$B$67,0,$C$1)))/OFFSET(Assumptions!$B$67,0,$C$1)-AS$425/AS$14,(AS$425/AS$14-AR$425/AR$14)/AS$2),0))*AT$14</f>
        <v>3.2698112525346903</v>
      </c>
      <c r="AU425" s="7">
        <f ca="1">(AT$425/AT$14+ IF(AU$2&gt;0,AU$2*IF(AU$6=OFFSET(Assumptions!$B$8,0,$C$1),SUMPRODUCT(OFFSET(AT$425,0,0,1,-OFFSET(Assumptions!$B$67,0,$C$1)),OFFSET(AT$16,0,0,1,-OFFSET(Assumptions!$B$67,0,$C$1)))/OFFSET(Assumptions!$B$67,0,$C$1)-AT$425/AT$14,(AT$425/AT$14-AS$425/AS$14)/AT$2),0))*AU$14</f>
        <v>3.3925581267709291</v>
      </c>
      <c r="AV425" s="7">
        <f ca="1">(AU$425/AU$14+ IF(AV$2&gt;0,AV$2*IF(AV$6=OFFSET(Assumptions!$B$8,0,$C$1),SUMPRODUCT(OFFSET(AU$425,0,0,1,-OFFSET(Assumptions!$B$67,0,$C$1)),OFFSET(AU$16,0,0,1,-OFFSET(Assumptions!$B$67,0,$C$1)))/OFFSET(Assumptions!$B$67,0,$C$1)-AU$425/AU$14,(AU$425/AU$14-AT$425/AT$14)/AU$2),0))*AV$14</f>
        <v>3.5194426965884817</v>
      </c>
      <c r="AW425" s="7">
        <f ca="1">(AV$425/AV$14+ IF(AW$2&gt;0,AW$2*IF(AW$6=OFFSET(Assumptions!$B$8,0,$C$1),SUMPRODUCT(OFFSET(AV$425,0,0,1,-OFFSET(Assumptions!$B$67,0,$C$1)),OFFSET(AV$16,0,0,1,-OFFSET(Assumptions!$B$67,0,$C$1)))/OFFSET(Assumptions!$B$67,0,$C$1)-AV$425/AV$14,(AV$425/AV$14-AU$425/AU$14)/AV$2),0))*AW$14</f>
        <v>3.6503933285195669</v>
      </c>
    </row>
    <row r="426" spans="1:49" x14ac:dyDescent="0.2">
      <c r="A426" s="1" t="s">
        <v>529</v>
      </c>
      <c r="B426" s="4" t="str">
        <f t="shared" si="257"/>
        <v>From Fiscal</v>
      </c>
      <c r="D426" s="18">
        <f>SUM(Fiscal!D$332:D$333)</f>
        <v>1.21</v>
      </c>
      <c r="E426" s="19">
        <f>SUM(Fiscal!E$332:E$333)</f>
        <v>1.3220000000000001</v>
      </c>
      <c r="F426" s="19">
        <f>SUM(Fiscal!F$332:F$333)</f>
        <v>1.3520000000000001</v>
      </c>
      <c r="G426" s="19">
        <f>SUM(Fiscal!G$332:G$333)</f>
        <v>1.357</v>
      </c>
      <c r="H426" s="19">
        <f>SUM(Fiscal!H$332:H$333)</f>
        <v>1.3720000000000001</v>
      </c>
      <c r="I426" s="19">
        <f>SUM(Fiscal!I$332:I$333)</f>
        <v>1.3839999999999999</v>
      </c>
      <c r="J426" s="7">
        <f ca="1">(I$426/I$14+ IF(J$2&gt;0,J$2*IF(J$6=OFFSET(Assumptions!$B$8,0,$C$1),SUMPRODUCT(OFFSET(I$426,0,0,1,-OFFSET(Assumptions!$B$67,0,$C$1)),OFFSET(I$16,0,0,1,-OFFSET(Assumptions!$B$67,0,$C$1)))/OFFSET(Assumptions!$B$67,0,$C$1)-I$426/I$14,(I$426/I$14-H$426/H$14)/I$2),0))*J$14</f>
        <v>1.4589762035626079</v>
      </c>
      <c r="K426" s="7">
        <f ca="1">(J$426/J$14+ IF(K$2&gt;0,K$2*IF(K$6=OFFSET(Assumptions!$B$8,0,$C$1),SUMPRODUCT(OFFSET(J$426,0,0,1,-OFFSET(Assumptions!$B$67,0,$C$1)),OFFSET(J$16,0,0,1,-OFFSET(Assumptions!$B$67,0,$C$1)))/OFFSET(Assumptions!$B$67,0,$C$1)-J$426/J$14,(J$426/J$14-I$426/I$14)/J$2),0))*K$14</f>
        <v>1.5338307511900757</v>
      </c>
      <c r="L426" s="7">
        <f ca="1">(K$426/K$14+ IF(L$2&gt;0,L$2*IF(L$6=OFFSET(Assumptions!$B$8,0,$C$1),SUMPRODUCT(OFFSET(K$426,0,0,1,-OFFSET(Assumptions!$B$67,0,$C$1)),OFFSET(K$16,0,0,1,-OFFSET(Assumptions!$B$67,0,$C$1)))/OFFSET(Assumptions!$B$67,0,$C$1)-K$426/K$14,(K$426/K$14-J$426/J$14)/K$2),0))*L$14</f>
        <v>1.611179166462863</v>
      </c>
      <c r="M426" s="7">
        <f ca="1">(L$426/L$14+ IF(M$2&gt;0,M$2*IF(M$6=OFFSET(Assumptions!$B$8,0,$C$1),SUMPRODUCT(OFFSET(L$426,0,0,1,-OFFSET(Assumptions!$B$67,0,$C$1)),OFFSET(L$16,0,0,1,-OFFSET(Assumptions!$B$67,0,$C$1)))/OFFSET(Assumptions!$B$67,0,$C$1)-L$426/L$14,(L$426/L$14-K$426/K$14)/L$2),0))*M$14</f>
        <v>1.6883481540210903</v>
      </c>
      <c r="N426" s="7">
        <f ca="1">(M$426/M$14+ IF(N$2&gt;0,N$2*IF(N$6=OFFSET(Assumptions!$B$8,0,$C$1),SUMPRODUCT(OFFSET(M$426,0,0,1,-OFFSET(Assumptions!$B$67,0,$C$1)),OFFSET(M$16,0,0,1,-OFFSET(Assumptions!$B$67,0,$C$1)))/OFFSET(Assumptions!$B$67,0,$C$1)-M$426/M$14,(M$426/M$14-L$426/L$14)/M$2),0))*N$14</f>
        <v>1.7651031021867569</v>
      </c>
      <c r="O426" s="7">
        <f ca="1">(N$426/N$14+ IF(O$2&gt;0,O$2*IF(O$6=OFFSET(Assumptions!$B$8,0,$C$1),SUMPRODUCT(OFFSET(N$426,0,0,1,-OFFSET(Assumptions!$B$67,0,$C$1)),OFFSET(N$16,0,0,1,-OFFSET(Assumptions!$B$67,0,$C$1)))/OFFSET(Assumptions!$B$67,0,$C$1)-N$426/N$14,(N$426/N$14-M$426/M$14)/N$2),0))*O$14</f>
        <v>1.8404495871745701</v>
      </c>
      <c r="P426" s="7">
        <f ca="1">(O$426/O$14+ IF(P$2&gt;0,P$2*IF(P$6=OFFSET(Assumptions!$B$8,0,$C$1),SUMPRODUCT(OFFSET(O$426,0,0,1,-OFFSET(Assumptions!$B$67,0,$C$1)),OFFSET(O$16,0,0,1,-OFFSET(Assumptions!$B$67,0,$C$1)))/OFFSET(Assumptions!$B$67,0,$C$1)-O$426/O$14,(O$426/O$14-N$426/N$14)/O$2),0))*P$14</f>
        <v>1.9182801779708012</v>
      </c>
      <c r="Q426" s="7">
        <f ca="1">(P$426/P$14+ IF(Q$2&gt;0,Q$2*IF(Q$6=OFFSET(Assumptions!$B$8,0,$C$1),SUMPRODUCT(OFFSET(P$426,0,0,1,-OFFSET(Assumptions!$B$67,0,$C$1)),OFFSET(P$16,0,0,1,-OFFSET(Assumptions!$B$67,0,$C$1)))/OFFSET(Assumptions!$B$67,0,$C$1)-P$426/P$14,(P$426/P$14-O$426/O$14)/P$2),0))*Q$14</f>
        <v>1.9985108032462331</v>
      </c>
      <c r="R426" s="7">
        <f ca="1">(Q$426/Q$14+ IF(R$2&gt;0,R$2*IF(R$6=OFFSET(Assumptions!$B$8,0,$C$1),SUMPRODUCT(OFFSET(Q$426,0,0,1,-OFFSET(Assumptions!$B$67,0,$C$1)),OFFSET(Q$16,0,0,1,-OFFSET(Assumptions!$B$67,0,$C$1)))/OFFSET(Assumptions!$B$67,0,$C$1)-Q$426/Q$14,(Q$426/Q$14-P$426/P$14)/Q$2),0))*R$14</f>
        <v>2.0810819144262287</v>
      </c>
      <c r="S426" s="7">
        <f ca="1">(R$426/R$14+ IF(S$2&gt;0,S$2*IF(S$6=OFFSET(Assumptions!$B$8,0,$C$1),SUMPRODUCT(OFFSET(R$426,0,0,1,-OFFSET(Assumptions!$B$67,0,$C$1)),OFFSET(R$16,0,0,1,-OFFSET(Assumptions!$B$67,0,$C$1)))/OFFSET(Assumptions!$B$67,0,$C$1)-R$426/R$14,(R$426/R$14-Q$426/Q$14)/R$2),0))*S$14</f>
        <v>2.1662559191351041</v>
      </c>
      <c r="T426" s="7">
        <f ca="1">(S$426/S$14+ IF(T$2&gt;0,T$2*IF(T$6=OFFSET(Assumptions!$B$8,0,$C$1),SUMPRODUCT(OFFSET(S$426,0,0,1,-OFFSET(Assumptions!$B$67,0,$C$1)),OFFSET(S$16,0,0,1,-OFFSET(Assumptions!$B$67,0,$C$1)))/OFFSET(Assumptions!$B$67,0,$C$1)-S$426/S$14,(S$426/S$14-R$426/R$14)/S$2),0))*T$14</f>
        <v>2.254063877448663</v>
      </c>
      <c r="U426" s="7">
        <f ca="1">(T$426/T$14+ IF(U$2&gt;0,U$2*IF(U$6=OFFSET(Assumptions!$B$8,0,$C$1),SUMPRODUCT(OFFSET(T$426,0,0,1,-OFFSET(Assumptions!$B$67,0,$C$1)),OFFSET(T$16,0,0,1,-OFFSET(Assumptions!$B$67,0,$C$1)))/OFFSET(Assumptions!$B$67,0,$C$1)-T$426/T$14,(T$426/T$14-S$426/S$14)/T$2),0))*U$14</f>
        <v>2.3448209298147042</v>
      </c>
      <c r="V426" s="7">
        <f ca="1">(U$426/U$14+ IF(V$2&gt;0,V$2*IF(V$6=OFFSET(Assumptions!$B$8,0,$C$1),SUMPRODUCT(OFFSET(U$426,0,0,1,-OFFSET(Assumptions!$B$67,0,$C$1)),OFFSET(U$16,0,0,1,-OFFSET(Assumptions!$B$67,0,$C$1)))/OFFSET(Assumptions!$B$67,0,$C$1)-U$426/U$14,(U$426/U$14-T$426/T$14)/U$2),0))*V$14</f>
        <v>2.4387511105353767</v>
      </c>
      <c r="W426" s="7">
        <f ca="1">(V$426/V$14+ IF(W$2&gt;0,W$2*IF(W$6=OFFSET(Assumptions!$B$8,0,$C$1),SUMPRODUCT(OFFSET(V$426,0,0,1,-OFFSET(Assumptions!$B$67,0,$C$1)),OFFSET(V$16,0,0,1,-OFFSET(Assumptions!$B$67,0,$C$1)))/OFFSET(Assumptions!$B$67,0,$C$1)-V$426/V$14,(V$426/V$14-U$426/U$14)/V$2),0))*W$14</f>
        <v>2.5361265590369282</v>
      </c>
      <c r="X426" s="7">
        <f ca="1">(W$426/W$14+ IF(X$2&gt;0,X$2*IF(X$6=OFFSET(Assumptions!$B$8,0,$C$1),SUMPRODUCT(OFFSET(W$426,0,0,1,-OFFSET(Assumptions!$B$67,0,$C$1)),OFFSET(W$16,0,0,1,-OFFSET(Assumptions!$B$67,0,$C$1)))/OFFSET(Assumptions!$B$67,0,$C$1)-W$426/W$14,(W$426/W$14-V$426/V$14)/W$2),0))*X$14</f>
        <v>2.6372557078974488</v>
      </c>
      <c r="Y426" s="7">
        <f ca="1">(X$426/X$14+ IF(Y$2&gt;0,Y$2*IF(Y$6=OFFSET(Assumptions!$B$8,0,$C$1),SUMPRODUCT(OFFSET(X$426,0,0,1,-OFFSET(Assumptions!$B$67,0,$C$1)),OFFSET(X$16,0,0,1,-OFFSET(Assumptions!$B$67,0,$C$1)))/OFFSET(Assumptions!$B$67,0,$C$1)-X$426/X$14,(X$426/X$14-W$426/W$14)/X$2),0))*Y$14</f>
        <v>2.7421282183694569</v>
      </c>
      <c r="Z426" s="7">
        <f ca="1">(Y$426/Y$14+ IF(Z$2&gt;0,Z$2*IF(Z$6=OFFSET(Assumptions!$B$8,0,$C$1),SUMPRODUCT(OFFSET(Y$426,0,0,1,-OFFSET(Assumptions!$B$67,0,$C$1)),OFFSET(Y$16,0,0,1,-OFFSET(Assumptions!$B$67,0,$C$1)))/OFFSET(Assumptions!$B$67,0,$C$1)-Y$426/Y$14,(Y$426/Y$14-X$426/X$14)/Y$2),0))*Z$14</f>
        <v>2.8512749175978569</v>
      </c>
      <c r="AA426" s="7">
        <f ca="1">(Z$426/Z$14+ IF(AA$2&gt;0,AA$2*IF(AA$6=OFFSET(Assumptions!$B$8,0,$C$1),SUMPRODUCT(OFFSET(Z$426,0,0,1,-OFFSET(Assumptions!$B$67,0,$C$1)),OFFSET(Z$16,0,0,1,-OFFSET(Assumptions!$B$67,0,$C$1)))/OFFSET(Assumptions!$B$67,0,$C$1)-Z$426/Z$14,(Z$426/Z$14-Y$426/Y$14)/Z$2),0))*AA$14</f>
        <v>2.9648724053183932</v>
      </c>
      <c r="AB426" s="7">
        <f ca="1">(AA$426/AA$14+ IF(AB$2&gt;0,AB$2*IF(AB$6=OFFSET(Assumptions!$B$8,0,$C$1),SUMPRODUCT(OFFSET(AA$426,0,0,1,-OFFSET(Assumptions!$B$67,0,$C$1)),OFFSET(AA$16,0,0,1,-OFFSET(Assumptions!$B$67,0,$C$1)))/OFFSET(Assumptions!$B$67,0,$C$1)-AA$426/AA$14,(AA$426/AA$14-Z$426/Z$14)/AA$2),0))*AB$14</f>
        <v>3.0832618252775608</v>
      </c>
      <c r="AC426" s="7">
        <f ca="1">(AB$426/AB$14+ IF(AC$2&gt;0,AC$2*IF(AC$6=OFFSET(Assumptions!$B$8,0,$C$1),SUMPRODUCT(OFFSET(AB$426,0,0,1,-OFFSET(Assumptions!$B$67,0,$C$1)),OFFSET(AB$16,0,0,1,-OFFSET(Assumptions!$B$67,0,$C$1)))/OFFSET(Assumptions!$B$67,0,$C$1)-AB$426/AB$14,(AB$426/AB$14-AA$426/AA$14)/AB$2),0))*AC$14</f>
        <v>3.2068901136014327</v>
      </c>
      <c r="AD426" s="7">
        <f ca="1">(AC$426/AC$14+ IF(AD$2&gt;0,AD$2*IF(AD$6=OFFSET(Assumptions!$B$8,0,$C$1),SUMPRODUCT(OFFSET(AC$426,0,0,1,-OFFSET(Assumptions!$B$67,0,$C$1)),OFFSET(AC$16,0,0,1,-OFFSET(Assumptions!$B$67,0,$C$1)))/OFFSET(Assumptions!$B$67,0,$C$1)-AC$426/AC$14,(AC$426/AC$14-AB$426/AB$14)/AC$2),0))*AD$14</f>
        <v>3.3358875760309443</v>
      </c>
      <c r="AE426" s="7">
        <f ca="1">(AD$426/AD$14+ IF(AE$2&gt;0,AE$2*IF(AE$6=OFFSET(Assumptions!$B$8,0,$C$1),SUMPRODUCT(OFFSET(AD$426,0,0,1,-OFFSET(Assumptions!$B$67,0,$C$1)),OFFSET(AD$16,0,0,1,-OFFSET(Assumptions!$B$67,0,$C$1)))/OFFSET(Assumptions!$B$67,0,$C$1)-AD$426/AD$14,(AD$426/AD$14-AC$426/AC$14)/AD$2),0))*AE$14</f>
        <v>3.4701357455904596</v>
      </c>
      <c r="AF426" s="7">
        <f ca="1">(AE$426/AE$14+ IF(AF$2&gt;0,AF$2*IF(AF$6=OFFSET(Assumptions!$B$8,0,$C$1),SUMPRODUCT(OFFSET(AE$426,0,0,1,-OFFSET(Assumptions!$B$67,0,$C$1)),OFFSET(AE$16,0,0,1,-OFFSET(Assumptions!$B$67,0,$C$1)))/OFFSET(Assumptions!$B$67,0,$C$1)-AE$426/AE$14,(AE$426/AE$14-AD$426/AD$14)/AE$2),0))*AF$14</f>
        <v>3.6100060332120489</v>
      </c>
      <c r="AG426" s="7">
        <f ca="1">(AF$426/AF$14+ IF(AG$2&gt;0,AG$2*IF(AG$6=OFFSET(Assumptions!$B$8,0,$C$1),SUMPRODUCT(OFFSET(AF$426,0,0,1,-OFFSET(Assumptions!$B$67,0,$C$1)),OFFSET(AF$16,0,0,1,-OFFSET(Assumptions!$B$67,0,$C$1)))/OFFSET(Assumptions!$B$67,0,$C$1)-AF$426/AF$14,(AF$426/AF$14-AE$426/AE$14)/AF$2),0))*AG$14</f>
        <v>3.7555766485118172</v>
      </c>
      <c r="AH426" s="7">
        <f ca="1">(AG$426/AG$14+ IF(AH$2&gt;0,AH$2*IF(AH$6=OFFSET(Assumptions!$B$8,0,$C$1),SUMPRODUCT(OFFSET(AG$426,0,0,1,-OFFSET(Assumptions!$B$67,0,$C$1)),OFFSET(AG$16,0,0,1,-OFFSET(Assumptions!$B$67,0,$C$1)))/OFFSET(Assumptions!$B$67,0,$C$1)-AG$426/AG$14,(AG$426/AG$14-AF$426/AF$14)/AG$2),0))*AH$14</f>
        <v>3.9070810240720051</v>
      </c>
      <c r="AI426" s="7">
        <f ca="1">(AH$426/AH$14+ IF(AI$2&gt;0,AI$2*IF(AI$6=OFFSET(Assumptions!$B$8,0,$C$1),SUMPRODUCT(OFFSET(AH$426,0,0,1,-OFFSET(Assumptions!$B$67,0,$C$1)),OFFSET(AH$16,0,0,1,-OFFSET(Assumptions!$B$67,0,$C$1)))/OFFSET(Assumptions!$B$67,0,$C$1)-AH$426/AH$14,(AH$426/AH$14-AG$426/AG$14)/AH$2),0))*AI$14</f>
        <v>4.0642544315954714</v>
      </c>
      <c r="AJ426" s="7">
        <f ca="1">(AI$426/AI$14+ IF(AJ$2&gt;0,AJ$2*IF(AJ$6=OFFSET(Assumptions!$B$8,0,$C$1),SUMPRODUCT(OFFSET(AI$426,0,0,1,-OFFSET(Assumptions!$B$67,0,$C$1)),OFFSET(AI$16,0,0,1,-OFFSET(Assumptions!$B$67,0,$C$1)))/OFFSET(Assumptions!$B$67,0,$C$1)-AI$426/AI$14,(AI$426/AI$14-AH$426/AH$14)/AI$2),0))*AJ$14</f>
        <v>4.2276003758155714</v>
      </c>
      <c r="AK426" s="7">
        <f ca="1">(AJ$426/AJ$14+ IF(AK$2&gt;0,AK$2*IF(AK$6=OFFSET(Assumptions!$B$8,0,$C$1),SUMPRODUCT(OFFSET(AJ$426,0,0,1,-OFFSET(Assumptions!$B$67,0,$C$1)),OFFSET(AJ$16,0,0,1,-OFFSET(Assumptions!$B$67,0,$C$1)))/OFFSET(Assumptions!$B$67,0,$C$1)-AJ$426/AJ$14,(AJ$426/AJ$14-AI$426/AI$14)/AJ$2),0))*AK$14</f>
        <v>4.3969844833269489</v>
      </c>
      <c r="AL426" s="7">
        <f ca="1">(AK$426/AK$14+ IF(AL$2&gt;0,AL$2*IF(AL$6=OFFSET(Assumptions!$B$8,0,$C$1),SUMPRODUCT(OFFSET(AK$426,0,0,1,-OFFSET(Assumptions!$B$67,0,$C$1)),OFFSET(AK$16,0,0,1,-OFFSET(Assumptions!$B$67,0,$C$1)))/OFFSET(Assumptions!$B$67,0,$C$1)-AK$426/AK$14,(AK$426/AK$14-AJ$426/AJ$14)/AK$2),0))*AL$14</f>
        <v>4.5722733255951207</v>
      </c>
      <c r="AM426" s="7">
        <f ca="1">(AL$426/AL$14+ IF(AM$2&gt;0,AM$2*IF(AM$6=OFFSET(Assumptions!$B$8,0,$C$1),SUMPRODUCT(OFFSET(AL$426,0,0,1,-OFFSET(Assumptions!$B$67,0,$C$1)),OFFSET(AL$16,0,0,1,-OFFSET(Assumptions!$B$67,0,$C$1)))/OFFSET(Assumptions!$B$67,0,$C$1)-AL$426/AL$14,(AL$426/AL$14-AK$426/AK$14)/AL$2),0))*AM$14</f>
        <v>4.753706370004787</v>
      </c>
      <c r="AN426" s="7">
        <f ca="1">(AM$426/AM$14+ IF(AN$2&gt;0,AN$2*IF(AN$6=OFFSET(Assumptions!$B$8,0,$C$1),SUMPRODUCT(OFFSET(AM$426,0,0,1,-OFFSET(Assumptions!$B$67,0,$C$1)),OFFSET(AM$16,0,0,1,-OFFSET(Assumptions!$B$67,0,$C$1)))/OFFSET(Assumptions!$B$67,0,$C$1)-AM$426/AM$14,(AM$426/AM$14-AL$426/AL$14)/AM$2),0))*AN$14</f>
        <v>4.9415359881637073</v>
      </c>
      <c r="AO426" s="7">
        <f ca="1">(AN$426/AN$14+ IF(AO$2&gt;0,AO$2*IF(AO$6=OFFSET(Assumptions!$B$8,0,$C$1),SUMPRODUCT(OFFSET(AN$426,0,0,1,-OFFSET(Assumptions!$B$67,0,$C$1)),OFFSET(AN$16,0,0,1,-OFFSET(Assumptions!$B$67,0,$C$1)))/OFFSET(Assumptions!$B$67,0,$C$1)-AN$426/AN$14,(AN$426/AN$14-AM$426/AM$14)/AN$2),0))*AO$14</f>
        <v>5.1350246381158646</v>
      </c>
      <c r="AP426" s="7">
        <f ca="1">(AO$426/AO$14+ IF(AP$2&gt;0,AP$2*IF(AP$6=OFFSET(Assumptions!$B$8,0,$C$1),SUMPRODUCT(OFFSET(AO$426,0,0,1,-OFFSET(Assumptions!$B$67,0,$C$1)),OFFSET(AO$16,0,0,1,-OFFSET(Assumptions!$B$67,0,$C$1)))/OFFSET(Assumptions!$B$67,0,$C$1)-AO$426/AO$14,(AO$426/AO$14-AN$426/AN$14)/AO$2),0))*AP$14</f>
        <v>5.334993968468738</v>
      </c>
      <c r="AQ426" s="7">
        <f ca="1">(AP$426/AP$14+ IF(AQ$2&gt;0,AQ$2*IF(AQ$6=OFFSET(Assumptions!$B$8,0,$C$1),SUMPRODUCT(OFFSET(AP$426,0,0,1,-OFFSET(Assumptions!$B$67,0,$C$1)),OFFSET(AP$16,0,0,1,-OFFSET(Assumptions!$B$67,0,$C$1)))/OFFSET(Assumptions!$B$67,0,$C$1)-AP$426/AP$14,(AP$426/AP$14-AO$426/AO$14)/AP$2),0))*AQ$14</f>
        <v>5.5408836657897274</v>
      </c>
      <c r="AR426" s="7">
        <f ca="1">(AQ$426/AQ$14+ IF(AR$2&gt;0,AR$2*IF(AR$6=OFFSET(Assumptions!$B$8,0,$C$1),SUMPRODUCT(OFFSET(AQ$426,0,0,1,-OFFSET(Assumptions!$B$67,0,$C$1)),OFFSET(AQ$16,0,0,1,-OFFSET(Assumptions!$B$67,0,$C$1)))/OFFSET(Assumptions!$B$67,0,$C$1)-AQ$426/AQ$14,(AQ$426/AQ$14-AP$426/AP$14)/AQ$2),0))*AR$14</f>
        <v>5.7529268340492239</v>
      </c>
      <c r="AS426" s="7">
        <f ca="1">(AR$426/AR$14+ IF(AS$2&gt;0,AS$2*IF(AS$6=OFFSET(Assumptions!$B$8,0,$C$1),SUMPRODUCT(OFFSET(AR$426,0,0,1,-OFFSET(Assumptions!$B$67,0,$C$1)),OFFSET(AR$16,0,0,1,-OFFSET(Assumptions!$B$67,0,$C$1)))/OFFSET(Assumptions!$B$67,0,$C$1)-AR$426/AR$14,(AR$426/AR$14-AQ$426/AQ$14)/AR$2),0))*AS$14</f>
        <v>5.9716181638426269</v>
      </c>
      <c r="AT426" s="7">
        <f ca="1">(AS$426/AS$14+ IF(AT$2&gt;0,AT$2*IF(AT$6=OFFSET(Assumptions!$B$8,0,$C$1),SUMPRODUCT(OFFSET(AS$426,0,0,1,-OFFSET(Assumptions!$B$67,0,$C$1)),OFFSET(AS$16,0,0,1,-OFFSET(Assumptions!$B$67,0,$C$1)))/OFFSET(Assumptions!$B$67,0,$C$1)-AS$426/AS$14,(AS$426/AS$14-AR$426/AR$14)/AS$2),0))*AT$14</f>
        <v>6.1971323167752859</v>
      </c>
      <c r="AU426" s="7">
        <f ca="1">(AT$426/AT$14+ IF(AU$2&gt;0,AU$2*IF(AU$6=OFFSET(Assumptions!$B$8,0,$C$1),SUMPRODUCT(OFFSET(AT$426,0,0,1,-OFFSET(Assumptions!$B$67,0,$C$1)),OFFSET(AT$16,0,0,1,-OFFSET(Assumptions!$B$67,0,$C$1)))/OFFSET(Assumptions!$B$67,0,$C$1)-AT$426/AT$14,(AT$426/AT$14-AS$426/AS$14)/AT$2),0))*AU$14</f>
        <v>6.4297691763257818</v>
      </c>
      <c r="AV426" s="7">
        <f ca="1">(AU$426/AU$14+ IF(AV$2&gt;0,AV$2*IF(AV$6=OFFSET(Assumptions!$B$8,0,$C$1),SUMPRODUCT(OFFSET(AU$426,0,0,1,-OFFSET(Assumptions!$B$67,0,$C$1)),OFFSET(AU$16,0,0,1,-OFFSET(Assumptions!$B$67,0,$C$1)))/OFFSET(Assumptions!$B$67,0,$C$1)-AU$426/AU$14,(AU$426/AU$14-AT$426/AT$14)/AU$2),0))*AV$14</f>
        <v>6.6702480319499244</v>
      </c>
      <c r="AW426" s="7">
        <f ca="1">(AV$426/AV$14+ IF(AW$2&gt;0,AW$2*IF(AW$6=OFFSET(Assumptions!$B$8,0,$C$1),SUMPRODUCT(OFFSET(AV$426,0,0,1,-OFFSET(Assumptions!$B$67,0,$C$1)),OFFSET(AV$16,0,0,1,-OFFSET(Assumptions!$B$67,0,$C$1)))/OFFSET(Assumptions!$B$67,0,$C$1)-AV$426/AV$14,(AV$426/AV$14-AU$426/AU$14)/AV$2),0))*AW$14</f>
        <v>6.9184331198240949</v>
      </c>
    </row>
    <row r="427" spans="1:49" ht="15" x14ac:dyDescent="0.25">
      <c r="A427" s="2" t="s">
        <v>658</v>
      </c>
      <c r="B427" s="4"/>
      <c r="D427" s="40">
        <f t="shared" ref="D427:I427" si="258">SUM(D$424:D$426)</f>
        <v>3.056</v>
      </c>
      <c r="E427" s="39">
        <f t="shared" si="258"/>
        <v>3.306</v>
      </c>
      <c r="F427" s="39">
        <f t="shared" si="258"/>
        <v>3.6429999999999998</v>
      </c>
      <c r="G427" s="39">
        <f t="shared" si="258"/>
        <v>3.7720000000000002</v>
      </c>
      <c r="H427" s="39">
        <f t="shared" si="258"/>
        <v>3.8340000000000005</v>
      </c>
      <c r="I427" s="39">
        <f t="shared" si="258"/>
        <v>3.8289999999999997</v>
      </c>
      <c r="J427" s="43">
        <f t="shared" ref="J427:AW427" ca="1" si="259">SUM(J$424:J$426)</f>
        <v>4.043275365657311</v>
      </c>
      <c r="K427" s="43">
        <f t="shared" ca="1" si="259"/>
        <v>4.2563600759795319</v>
      </c>
      <c r="L427" s="43">
        <f t="shared" ca="1" si="259"/>
        <v>4.475373962585774</v>
      </c>
      <c r="M427" s="43">
        <f t="shared" ca="1" si="259"/>
        <v>4.6927471614346397</v>
      </c>
      <c r="N427" s="43">
        <f t="shared" ca="1" si="259"/>
        <v>4.9076552906170336</v>
      </c>
      <c r="O427" s="43">
        <f t="shared" ca="1" si="259"/>
        <v>5.1171470620731778</v>
      </c>
      <c r="P427" s="43">
        <f t="shared" ca="1" si="259"/>
        <v>5.3335455887200132</v>
      </c>
      <c r="Q427" s="43">
        <f t="shared" ca="1" si="259"/>
        <v>5.5566171204139314</v>
      </c>
      <c r="R427" s="43">
        <f t="shared" ca="1" si="259"/>
        <v>5.7861960895589064</v>
      </c>
      <c r="S427" s="43">
        <f t="shared" ca="1" si="259"/>
        <v>6.0230120887573069</v>
      </c>
      <c r="T427" s="43">
        <f t="shared" ca="1" si="259"/>
        <v>6.2671514767862231</v>
      </c>
      <c r="U427" s="43">
        <f t="shared" ca="1" si="259"/>
        <v>6.5194904634738595</v>
      </c>
      <c r="V427" s="43">
        <f t="shared" ca="1" si="259"/>
        <v>6.7806519490501547</v>
      </c>
      <c r="W427" s="43">
        <f t="shared" ca="1" si="259"/>
        <v>7.0513925842135077</v>
      </c>
      <c r="X427" s="43">
        <f t="shared" ca="1" si="259"/>
        <v>7.3325699283732142</v>
      </c>
      <c r="Y427" s="43">
        <f t="shared" ca="1" si="259"/>
        <v>7.6241552358946931</v>
      </c>
      <c r="Z427" s="43">
        <f t="shared" ca="1" si="259"/>
        <v>7.9276244073317788</v>
      </c>
      <c r="AA427" s="43">
        <f t="shared" ca="1" si="259"/>
        <v>8.2434684568503691</v>
      </c>
      <c r="AB427" s="43">
        <f t="shared" ca="1" si="259"/>
        <v>8.5726358932997648</v>
      </c>
      <c r="AC427" s="43">
        <f t="shared" ca="1" si="259"/>
        <v>8.9163693684213712</v>
      </c>
      <c r="AD427" s="43">
        <f t="shared" ca="1" si="259"/>
        <v>9.2750311815381536</v>
      </c>
      <c r="AE427" s="43">
        <f t="shared" ca="1" si="259"/>
        <v>9.6482919495795088</v>
      </c>
      <c r="AF427" s="43">
        <f t="shared" ca="1" si="259"/>
        <v>10.037184335636622</v>
      </c>
      <c r="AG427" s="43">
        <f t="shared" ca="1" si="259"/>
        <v>10.44192579207008</v>
      </c>
      <c r="AH427" s="43">
        <f t="shared" ca="1" si="259"/>
        <v>10.863165349888792</v>
      </c>
      <c r="AI427" s="43">
        <f t="shared" ca="1" si="259"/>
        <v>11.300166964140805</v>
      </c>
      <c r="AJ427" s="43">
        <f t="shared" ca="1" si="259"/>
        <v>11.754330568725411</v>
      </c>
      <c r="AK427" s="43">
        <f t="shared" ca="1" si="259"/>
        <v>12.225282554671615</v>
      </c>
      <c r="AL427" s="43">
        <f t="shared" ca="1" si="259"/>
        <v>12.712651940107385</v>
      </c>
      <c r="AM427" s="43">
        <f t="shared" ca="1" si="259"/>
        <v>13.217104535078599</v>
      </c>
      <c r="AN427" s="43">
        <f t="shared" ca="1" si="259"/>
        <v>13.739342028259705</v>
      </c>
      <c r="AO427" s="43">
        <f t="shared" ca="1" si="259"/>
        <v>14.277313773613074</v>
      </c>
      <c r="AP427" s="43">
        <f t="shared" ca="1" si="259"/>
        <v>14.833304265529158</v>
      </c>
      <c r="AQ427" s="43">
        <f t="shared" ca="1" si="259"/>
        <v>15.405755620404172</v>
      </c>
      <c r="AR427" s="43">
        <f t="shared" ca="1" si="259"/>
        <v>15.995315955581582</v>
      </c>
      <c r="AS427" s="43">
        <f t="shared" ca="1" si="259"/>
        <v>16.603360698318152</v>
      </c>
      <c r="AT427" s="43">
        <f t="shared" ca="1" si="259"/>
        <v>17.230375474043068</v>
      </c>
      <c r="AU427" s="43">
        <f t="shared" ca="1" si="259"/>
        <v>17.877194072430374</v>
      </c>
      <c r="AV427" s="43">
        <f t="shared" ca="1" si="259"/>
        <v>18.545816390652604</v>
      </c>
      <c r="AW427" s="43">
        <f t="shared" ca="1" si="259"/>
        <v>19.235864953849255</v>
      </c>
    </row>
    <row r="428" spans="1:49" ht="15" x14ac:dyDescent="0.25">
      <c r="A428" s="2"/>
      <c r="B428" s="4"/>
      <c r="D428" s="55"/>
      <c r="E428" s="56"/>
      <c r="F428" s="56"/>
      <c r="G428" s="56"/>
      <c r="H428" s="56"/>
      <c r="I428" s="56"/>
      <c r="J428" s="57"/>
      <c r="K428" s="57"/>
      <c r="L428" s="57"/>
      <c r="M428" s="57"/>
      <c r="N428" s="57"/>
      <c r="O428" s="57"/>
      <c r="P428" s="57"/>
      <c r="Q428" s="57"/>
      <c r="R428" s="57"/>
      <c r="S428" s="57"/>
    </row>
    <row r="429" spans="1:49" ht="15" x14ac:dyDescent="0.25">
      <c r="A429" s="22" t="s">
        <v>358</v>
      </c>
      <c r="B429" s="4"/>
      <c r="D429" s="55"/>
      <c r="E429" s="56"/>
      <c r="F429" s="56"/>
      <c r="G429" s="56"/>
      <c r="H429" s="56"/>
      <c r="I429" s="56"/>
    </row>
    <row r="430" spans="1:49" x14ac:dyDescent="0.2">
      <c r="A430" s="1" t="s">
        <v>353</v>
      </c>
      <c r="B430" s="4" t="str">
        <f t="shared" ref="B430:B435" si="260">$B$43</f>
        <v>From Fiscal</v>
      </c>
      <c r="D430" s="18">
        <f>Fiscal!D$271</f>
        <v>0</v>
      </c>
      <c r="E430" s="19">
        <f ca="1">IF(OFFSET(Assumptions!$B$109,0,$C$1)="BU",0,Fiscal!E$271)</f>
        <v>0</v>
      </c>
      <c r="F430" s="19">
        <f ca="1">IF(OFFSET(Assumptions!$B$109,0,$C$1)="BU",0,Fiscal!F$271)</f>
        <v>0</v>
      </c>
      <c r="G430" s="19">
        <f ca="1">IF(OFFSET(Assumptions!$B$109,0,$C$1)="BU",0,Fiscal!G$271)</f>
        <v>0</v>
      </c>
      <c r="H430" s="19">
        <f ca="1">IF(OFFSET(Assumptions!$B$109,0,$C$1)="BU",0,Fiscal!H$271)</f>
        <v>0</v>
      </c>
      <c r="I430" s="19">
        <f ca="1">IF(OFFSET(Assumptions!$B$109,0,$C$1)="BU",0,Fiscal!I$271)</f>
        <v>0</v>
      </c>
      <c r="J430" s="7">
        <f ca="1">IF(J$6=OFFSET(Assumptions!$B$8,0,$C$1),0,I$430)</f>
        <v>0</v>
      </c>
      <c r="K430" s="7">
        <f ca="1">IF(K$6=OFFSET(Assumptions!$B$8,0,$C$1),0,J$430)</f>
        <v>0</v>
      </c>
      <c r="L430" s="7">
        <f ca="1">IF(L$6=OFFSET(Assumptions!$B$8,0,$C$1),0,K$430)</f>
        <v>0</v>
      </c>
      <c r="M430" s="7">
        <f ca="1">IF(M$6=OFFSET(Assumptions!$B$8,0,$C$1),0,L$430)</f>
        <v>0</v>
      </c>
      <c r="N430" s="7">
        <f ca="1">IF(N$6=OFFSET(Assumptions!$B$8,0,$C$1),0,M$430)</f>
        <v>0</v>
      </c>
      <c r="O430" s="7">
        <f ca="1">IF(O$6=OFFSET(Assumptions!$B$8,0,$C$1),0,N$430)</f>
        <v>0</v>
      </c>
      <c r="P430" s="7">
        <f ca="1">IF(P$6=OFFSET(Assumptions!$B$8,0,$C$1),0,O$430)</f>
        <v>0</v>
      </c>
      <c r="Q430" s="7">
        <f ca="1">IF(Q$6=OFFSET(Assumptions!$B$8,0,$C$1),0,P$430)</f>
        <v>0</v>
      </c>
      <c r="R430" s="7">
        <f ca="1">IF(R$6=OFFSET(Assumptions!$B$8,0,$C$1),0,Q$430)</f>
        <v>0</v>
      </c>
      <c r="S430" s="7">
        <f ca="1">IF(S$6=OFFSET(Assumptions!$B$8,0,$C$1),0,R$430)</f>
        <v>0</v>
      </c>
      <c r="T430" s="7">
        <f ca="1">IF(T$6=OFFSET(Assumptions!$B$8,0,$C$1),0,S$430)</f>
        <v>0</v>
      </c>
      <c r="U430" s="7">
        <f ca="1">IF(U$6=OFFSET(Assumptions!$B$8,0,$C$1),0,T$430)</f>
        <v>0</v>
      </c>
      <c r="V430" s="7">
        <f ca="1">IF(V$6=OFFSET(Assumptions!$B$8,0,$C$1),0,U$430)</f>
        <v>0</v>
      </c>
      <c r="W430" s="7">
        <f ca="1">IF(W$6=OFFSET(Assumptions!$B$8,0,$C$1),0,V$430)</f>
        <v>0</v>
      </c>
      <c r="X430" s="7">
        <f ca="1">IF(X$6=OFFSET(Assumptions!$B$8,0,$C$1),0,W$430)</f>
        <v>0</v>
      </c>
      <c r="Y430" s="7">
        <f ca="1">IF(Y$6=OFFSET(Assumptions!$B$8,0,$C$1),0,X$430)</f>
        <v>0</v>
      </c>
      <c r="Z430" s="7">
        <f ca="1">IF(Z$6=OFFSET(Assumptions!$B$8,0,$C$1),0,Y$430)</f>
        <v>0</v>
      </c>
      <c r="AA430" s="7">
        <f ca="1">IF(AA$6=OFFSET(Assumptions!$B$8,0,$C$1),0,Z$430)</f>
        <v>0</v>
      </c>
      <c r="AB430" s="7">
        <f ca="1">IF(AB$6=OFFSET(Assumptions!$B$8,0,$C$1),0,AA$430)</f>
        <v>0</v>
      </c>
      <c r="AC430" s="7">
        <f ca="1">IF(AC$6=OFFSET(Assumptions!$B$8,0,$C$1),0,AB$430)</f>
        <v>0</v>
      </c>
      <c r="AD430" s="7">
        <f ca="1">IF(AD$6=OFFSET(Assumptions!$B$8,0,$C$1),0,AC$430)</f>
        <v>0</v>
      </c>
      <c r="AE430" s="7">
        <f ca="1">IF(AE$6=OFFSET(Assumptions!$B$8,0,$C$1),0,AD$430)</f>
        <v>0</v>
      </c>
      <c r="AF430" s="7">
        <f ca="1">IF(AF$6=OFFSET(Assumptions!$B$8,0,$C$1),0,AE$430)</f>
        <v>0</v>
      </c>
      <c r="AG430" s="7">
        <f ca="1">IF(AG$6=OFFSET(Assumptions!$B$8,0,$C$1),0,AF$430)</f>
        <v>0</v>
      </c>
      <c r="AH430" s="7">
        <f ca="1">IF(AH$6=OFFSET(Assumptions!$B$8,0,$C$1),0,AG$430)</f>
        <v>0</v>
      </c>
      <c r="AI430" s="7">
        <f ca="1">IF(AI$6=OFFSET(Assumptions!$B$8,0,$C$1),0,AH$430)</f>
        <v>0</v>
      </c>
      <c r="AJ430" s="7">
        <f ca="1">IF(AJ$6=OFFSET(Assumptions!$B$8,0,$C$1),0,AI$430)</f>
        <v>0</v>
      </c>
      <c r="AK430" s="7">
        <f ca="1">IF(AK$6=OFFSET(Assumptions!$B$8,0,$C$1),0,AJ$430)</f>
        <v>0</v>
      </c>
      <c r="AL430" s="7">
        <f ca="1">IF(AL$6=OFFSET(Assumptions!$B$8,0,$C$1),0,AK$430)</f>
        <v>0</v>
      </c>
      <c r="AM430" s="7">
        <f ca="1">IF(AM$6=OFFSET(Assumptions!$B$8,0,$C$1),0,AL$430)</f>
        <v>0</v>
      </c>
      <c r="AN430" s="7">
        <f ca="1">IF(AN$6=OFFSET(Assumptions!$B$8,0,$C$1),0,AM$430)</f>
        <v>0</v>
      </c>
      <c r="AO430" s="7">
        <f ca="1">IF(AO$6=OFFSET(Assumptions!$B$8,0,$C$1),0,AN$430)</f>
        <v>0</v>
      </c>
      <c r="AP430" s="7">
        <f ca="1">IF(AP$6=OFFSET(Assumptions!$B$8,0,$C$1),0,AO$430)</f>
        <v>0</v>
      </c>
      <c r="AQ430" s="7">
        <f ca="1">IF(AQ$6=OFFSET(Assumptions!$B$8,0,$C$1),0,AP$430)</f>
        <v>0</v>
      </c>
      <c r="AR430" s="7">
        <f ca="1">IF(AR$6=OFFSET(Assumptions!$B$8,0,$C$1),0,AQ$430)</f>
        <v>0</v>
      </c>
      <c r="AS430" s="7">
        <f ca="1">IF(AS$6=OFFSET(Assumptions!$B$8,0,$C$1),0,AR$430)</f>
        <v>0</v>
      </c>
      <c r="AT430" s="7">
        <f ca="1">IF(AT$6=OFFSET(Assumptions!$B$8,0,$C$1),0,AS$430)</f>
        <v>0</v>
      </c>
      <c r="AU430" s="7">
        <f ca="1">IF(AU$6=OFFSET(Assumptions!$B$8,0,$C$1),0,AT$430)</f>
        <v>0</v>
      </c>
      <c r="AV430" s="7">
        <f ca="1">IF(AV$6=OFFSET(Assumptions!$B$8,0,$C$1),0,AU$430)</f>
        <v>0</v>
      </c>
      <c r="AW430" s="7">
        <f ca="1">IF(AW$6=OFFSET(Assumptions!$B$8,0,$C$1),0,AV$430)</f>
        <v>0</v>
      </c>
    </row>
    <row r="431" spans="1:49" x14ac:dyDescent="0.2">
      <c r="A431" s="1" t="s">
        <v>659</v>
      </c>
      <c r="B431" s="4" t="str">
        <f t="shared" si="260"/>
        <v>From Fiscal</v>
      </c>
      <c r="D431" s="18">
        <f>Fiscal!D$272</f>
        <v>0</v>
      </c>
      <c r="E431" s="19">
        <f ca="1">IF(OFFSET(Assumptions!$B$109,0,$C$1)="BU",0,Fiscal!E$272)</f>
        <v>0</v>
      </c>
      <c r="F431" s="19">
        <f ca="1">IF(OFFSET(Assumptions!$B$109,0,$C$1)="BU",0,Fiscal!F$272)</f>
        <v>0</v>
      </c>
      <c r="G431" s="19">
        <f ca="1">IF(OFFSET(Assumptions!$B$109,0,$C$1)="BU",0,Fiscal!G$272)</f>
        <v>0</v>
      </c>
      <c r="H431" s="19">
        <f ca="1">IF(OFFSET(Assumptions!$B$109,0,$C$1)="BU",0,Fiscal!H$272)</f>
        <v>0</v>
      </c>
      <c r="I431" s="19">
        <f ca="1">IF(OFFSET(Assumptions!$B$109,0,$C$1)="BU",0,Fiscal!I$272)</f>
        <v>0</v>
      </c>
      <c r="J431" s="7">
        <f ca="1">IF(J$6=OFFSET(Assumptions!$B$8,0,$C$1),0,I$431)</f>
        <v>0</v>
      </c>
      <c r="K431" s="7">
        <f ca="1">IF(K$6=OFFSET(Assumptions!$B$8,0,$C$1),0,J$431)</f>
        <v>0</v>
      </c>
      <c r="L431" s="7">
        <f ca="1">IF(L$6=OFFSET(Assumptions!$B$8,0,$C$1),0,K$431)</f>
        <v>0</v>
      </c>
      <c r="M431" s="7">
        <f ca="1">IF(M$6=OFFSET(Assumptions!$B$8,0,$C$1),0,L$431)</f>
        <v>0</v>
      </c>
      <c r="N431" s="7">
        <f ca="1">IF(N$6=OFFSET(Assumptions!$B$8,0,$C$1),0,M$431)</f>
        <v>0</v>
      </c>
      <c r="O431" s="7">
        <f ca="1">IF(O$6=OFFSET(Assumptions!$B$8,0,$C$1),0,N$431)</f>
        <v>0</v>
      </c>
      <c r="P431" s="7">
        <f ca="1">IF(P$6=OFFSET(Assumptions!$B$8,0,$C$1),0,O$431)</f>
        <v>0</v>
      </c>
      <c r="Q431" s="7">
        <f ca="1">IF(Q$6=OFFSET(Assumptions!$B$8,0,$C$1),0,P$431)</f>
        <v>0</v>
      </c>
      <c r="R431" s="7">
        <f ca="1">IF(R$6=OFFSET(Assumptions!$B$8,0,$C$1),0,Q$431)</f>
        <v>0</v>
      </c>
      <c r="S431" s="7">
        <f ca="1">IF(S$6=OFFSET(Assumptions!$B$8,0,$C$1),0,R$431)</f>
        <v>0</v>
      </c>
      <c r="T431" s="7">
        <f ca="1">IF(T$6=OFFSET(Assumptions!$B$8,0,$C$1),0,S$431)</f>
        <v>0</v>
      </c>
      <c r="U431" s="7">
        <f ca="1">IF(U$6=OFFSET(Assumptions!$B$8,0,$C$1),0,T$431)</f>
        <v>0</v>
      </c>
      <c r="V431" s="7">
        <f ca="1">IF(V$6=OFFSET(Assumptions!$B$8,0,$C$1),0,U$431)</f>
        <v>0</v>
      </c>
      <c r="W431" s="7">
        <f ca="1">IF(W$6=OFFSET(Assumptions!$B$8,0,$C$1),0,V$431)</f>
        <v>0</v>
      </c>
      <c r="X431" s="7">
        <f ca="1">IF(X$6=OFFSET(Assumptions!$B$8,0,$C$1),0,W$431)</f>
        <v>0</v>
      </c>
      <c r="Y431" s="7">
        <f ca="1">IF(Y$6=OFFSET(Assumptions!$B$8,0,$C$1),0,X$431)</f>
        <v>0</v>
      </c>
      <c r="Z431" s="7">
        <f ca="1">IF(Z$6=OFFSET(Assumptions!$B$8,0,$C$1),0,Y$431)</f>
        <v>0</v>
      </c>
      <c r="AA431" s="7">
        <f ca="1">IF(AA$6=OFFSET(Assumptions!$B$8,0,$C$1),0,Z$431)</f>
        <v>0</v>
      </c>
      <c r="AB431" s="7">
        <f ca="1">IF(AB$6=OFFSET(Assumptions!$B$8,0,$C$1),0,AA$431)</f>
        <v>0</v>
      </c>
      <c r="AC431" s="7">
        <f ca="1">IF(AC$6=OFFSET(Assumptions!$B$8,0,$C$1),0,AB$431)</f>
        <v>0</v>
      </c>
      <c r="AD431" s="7">
        <f ca="1">IF(AD$6=OFFSET(Assumptions!$B$8,0,$C$1),0,AC$431)</f>
        <v>0</v>
      </c>
      <c r="AE431" s="7">
        <f ca="1">IF(AE$6=OFFSET(Assumptions!$B$8,0,$C$1),0,AD$431)</f>
        <v>0</v>
      </c>
      <c r="AF431" s="7">
        <f ca="1">IF(AF$6=OFFSET(Assumptions!$B$8,0,$C$1),0,AE$431)</f>
        <v>0</v>
      </c>
      <c r="AG431" s="7">
        <f ca="1">IF(AG$6=OFFSET(Assumptions!$B$8,0,$C$1),0,AF$431)</f>
        <v>0</v>
      </c>
      <c r="AH431" s="7">
        <f ca="1">IF(AH$6=OFFSET(Assumptions!$B$8,0,$C$1),0,AG$431)</f>
        <v>0</v>
      </c>
      <c r="AI431" s="7">
        <f ca="1">IF(AI$6=OFFSET(Assumptions!$B$8,0,$C$1),0,AH$431)</f>
        <v>0</v>
      </c>
      <c r="AJ431" s="7">
        <f ca="1">IF(AJ$6=OFFSET(Assumptions!$B$8,0,$C$1),0,AI$431)</f>
        <v>0</v>
      </c>
      <c r="AK431" s="7">
        <f ca="1">IF(AK$6=OFFSET(Assumptions!$B$8,0,$C$1),0,AJ$431)</f>
        <v>0</v>
      </c>
      <c r="AL431" s="7">
        <f ca="1">IF(AL$6=OFFSET(Assumptions!$B$8,0,$C$1),0,AK$431)</f>
        <v>0</v>
      </c>
      <c r="AM431" s="7">
        <f ca="1">IF(AM$6=OFFSET(Assumptions!$B$8,0,$C$1),0,AL$431)</f>
        <v>0</v>
      </c>
      <c r="AN431" s="7">
        <f ca="1">IF(AN$6=OFFSET(Assumptions!$B$8,0,$C$1),0,AM$431)</f>
        <v>0</v>
      </c>
      <c r="AO431" s="7">
        <f ca="1">IF(AO$6=OFFSET(Assumptions!$B$8,0,$C$1),0,AN$431)</f>
        <v>0</v>
      </c>
      <c r="AP431" s="7">
        <f ca="1">IF(AP$6=OFFSET(Assumptions!$B$8,0,$C$1),0,AO$431)</f>
        <v>0</v>
      </c>
      <c r="AQ431" s="7">
        <f ca="1">IF(AQ$6=OFFSET(Assumptions!$B$8,0,$C$1),0,AP$431)</f>
        <v>0</v>
      </c>
      <c r="AR431" s="7">
        <f ca="1">IF(AR$6=OFFSET(Assumptions!$B$8,0,$C$1),0,AQ$431)</f>
        <v>0</v>
      </c>
      <c r="AS431" s="7">
        <f ca="1">IF(AS$6=OFFSET(Assumptions!$B$8,0,$C$1),0,AR$431)</f>
        <v>0</v>
      </c>
      <c r="AT431" s="7">
        <f ca="1">IF(AT$6=OFFSET(Assumptions!$B$8,0,$C$1),0,AS$431)</f>
        <v>0</v>
      </c>
      <c r="AU431" s="7">
        <f ca="1">IF(AU$6=OFFSET(Assumptions!$B$8,0,$C$1),0,AT$431)</f>
        <v>0</v>
      </c>
      <c r="AV431" s="7">
        <f ca="1">IF(AV$6=OFFSET(Assumptions!$B$8,0,$C$1),0,AU$431)</f>
        <v>0</v>
      </c>
      <c r="AW431" s="7">
        <f ca="1">IF(AW$6=OFFSET(Assumptions!$B$8,0,$C$1),0,AV$431)</f>
        <v>0</v>
      </c>
    </row>
    <row r="432" spans="1:49" x14ac:dyDescent="0.2">
      <c r="A432" s="1" t="s">
        <v>660</v>
      </c>
      <c r="B432" s="4" t="str">
        <f t="shared" si="260"/>
        <v>From Fiscal</v>
      </c>
      <c r="D432" s="18">
        <f>Fiscal!D$273</f>
        <v>0</v>
      </c>
      <c r="E432" s="19">
        <f ca="1">IF(OFFSET(Assumptions!$B$109,0,$C$1)="BU",0,Fiscal!E$273)</f>
        <v>0</v>
      </c>
      <c r="F432" s="19">
        <f ca="1">IF(OFFSET(Assumptions!$B$109,0,$C$1)="BU",0,Fiscal!F$273)</f>
        <v>0</v>
      </c>
      <c r="G432" s="19">
        <f ca="1">IF(OFFSET(Assumptions!$B$109,0,$C$1)="BU",0,Fiscal!G$273)</f>
        <v>0</v>
      </c>
      <c r="H432" s="19">
        <f ca="1">IF(OFFSET(Assumptions!$B$109,0,$C$1)="BU",0,Fiscal!H$273)</f>
        <v>0</v>
      </c>
      <c r="I432" s="19">
        <f ca="1">IF(OFFSET(Assumptions!$B$109,0,$C$1)="BU",0,Fiscal!I$273)</f>
        <v>0</v>
      </c>
      <c r="J432" s="7">
        <f ca="1">IF(J$6=OFFSET(Assumptions!$B$8,0,$C$1),0,I$432)</f>
        <v>0</v>
      </c>
      <c r="K432" s="7">
        <f ca="1">IF(K$6=OFFSET(Assumptions!$B$8,0,$C$1),0,J$432)</f>
        <v>0</v>
      </c>
      <c r="L432" s="7">
        <f ca="1">IF(L$6=OFFSET(Assumptions!$B$8,0,$C$1),0,K$432)</f>
        <v>0</v>
      </c>
      <c r="M432" s="7">
        <f ca="1">IF(M$6=OFFSET(Assumptions!$B$8,0,$C$1),0,L$432)</f>
        <v>0</v>
      </c>
      <c r="N432" s="7">
        <f ca="1">IF(N$6=OFFSET(Assumptions!$B$8,0,$C$1),0,M$432)</f>
        <v>0</v>
      </c>
      <c r="O432" s="7">
        <f ca="1">IF(O$6=OFFSET(Assumptions!$B$8,0,$C$1),0,N$432)</f>
        <v>0</v>
      </c>
      <c r="P432" s="7">
        <f ca="1">IF(P$6=OFFSET(Assumptions!$B$8,0,$C$1),0,O$432)</f>
        <v>0</v>
      </c>
      <c r="Q432" s="7">
        <f ca="1">IF(Q$6=OFFSET(Assumptions!$B$8,0,$C$1),0,P$432)</f>
        <v>0</v>
      </c>
      <c r="R432" s="7">
        <f ca="1">IF(R$6=OFFSET(Assumptions!$B$8,0,$C$1),0,Q$432)</f>
        <v>0</v>
      </c>
      <c r="S432" s="7">
        <f ca="1">IF(S$6=OFFSET(Assumptions!$B$8,0,$C$1),0,R$432)</f>
        <v>0</v>
      </c>
      <c r="T432" s="7">
        <f ca="1">IF(T$6=OFFSET(Assumptions!$B$8,0,$C$1),0,S$432)</f>
        <v>0</v>
      </c>
      <c r="U432" s="7">
        <f ca="1">IF(U$6=OFFSET(Assumptions!$B$8,0,$C$1),0,T$432)</f>
        <v>0</v>
      </c>
      <c r="V432" s="7">
        <f ca="1">IF(V$6=OFFSET(Assumptions!$B$8,0,$C$1),0,U$432)</f>
        <v>0</v>
      </c>
      <c r="W432" s="7">
        <f ca="1">IF(W$6=OFFSET(Assumptions!$B$8,0,$C$1),0,V$432)</f>
        <v>0</v>
      </c>
      <c r="X432" s="7">
        <f ca="1">IF(X$6=OFFSET(Assumptions!$B$8,0,$C$1),0,W$432)</f>
        <v>0</v>
      </c>
      <c r="Y432" s="7">
        <f ca="1">IF(Y$6=OFFSET(Assumptions!$B$8,0,$C$1),0,X$432)</f>
        <v>0</v>
      </c>
      <c r="Z432" s="7">
        <f ca="1">IF(Z$6=OFFSET(Assumptions!$B$8,0,$C$1),0,Y$432)</f>
        <v>0</v>
      </c>
      <c r="AA432" s="7">
        <f ca="1">IF(AA$6=OFFSET(Assumptions!$B$8,0,$C$1),0,Z$432)</f>
        <v>0</v>
      </c>
      <c r="AB432" s="7">
        <f ca="1">IF(AB$6=OFFSET(Assumptions!$B$8,0,$C$1),0,AA$432)</f>
        <v>0</v>
      </c>
      <c r="AC432" s="7">
        <f ca="1">IF(AC$6=OFFSET(Assumptions!$B$8,0,$C$1),0,AB$432)</f>
        <v>0</v>
      </c>
      <c r="AD432" s="7">
        <f ca="1">IF(AD$6=OFFSET(Assumptions!$B$8,0,$C$1),0,AC$432)</f>
        <v>0</v>
      </c>
      <c r="AE432" s="7">
        <f ca="1">IF(AE$6=OFFSET(Assumptions!$B$8,0,$C$1),0,AD$432)</f>
        <v>0</v>
      </c>
      <c r="AF432" s="7">
        <f ca="1">IF(AF$6=OFFSET(Assumptions!$B$8,0,$C$1),0,AE$432)</f>
        <v>0</v>
      </c>
      <c r="AG432" s="7">
        <f ca="1">IF(AG$6=OFFSET(Assumptions!$B$8,0,$C$1),0,AF$432)</f>
        <v>0</v>
      </c>
      <c r="AH432" s="7">
        <f ca="1">IF(AH$6=OFFSET(Assumptions!$B$8,0,$C$1),0,AG$432)</f>
        <v>0</v>
      </c>
      <c r="AI432" s="7">
        <f ca="1">IF(AI$6=OFFSET(Assumptions!$B$8,0,$C$1),0,AH$432)</f>
        <v>0</v>
      </c>
      <c r="AJ432" s="7">
        <f ca="1">IF(AJ$6=OFFSET(Assumptions!$B$8,0,$C$1),0,AI$432)</f>
        <v>0</v>
      </c>
      <c r="AK432" s="7">
        <f ca="1">IF(AK$6=OFFSET(Assumptions!$B$8,0,$C$1),0,AJ$432)</f>
        <v>0</v>
      </c>
      <c r="AL432" s="7">
        <f ca="1">IF(AL$6=OFFSET(Assumptions!$B$8,0,$C$1),0,AK$432)</f>
        <v>0</v>
      </c>
      <c r="AM432" s="7">
        <f ca="1">IF(AM$6=OFFSET(Assumptions!$B$8,0,$C$1),0,AL$432)</f>
        <v>0</v>
      </c>
      <c r="AN432" s="7">
        <f ca="1">IF(AN$6=OFFSET(Assumptions!$B$8,0,$C$1),0,AM$432)</f>
        <v>0</v>
      </c>
      <c r="AO432" s="7">
        <f ca="1">IF(AO$6=OFFSET(Assumptions!$B$8,0,$C$1),0,AN$432)</f>
        <v>0</v>
      </c>
      <c r="AP432" s="7">
        <f ca="1">IF(AP$6=OFFSET(Assumptions!$B$8,0,$C$1),0,AO$432)</f>
        <v>0</v>
      </c>
      <c r="AQ432" s="7">
        <f ca="1">IF(AQ$6=OFFSET(Assumptions!$B$8,0,$C$1),0,AP$432)</f>
        <v>0</v>
      </c>
      <c r="AR432" s="7">
        <f ca="1">IF(AR$6=OFFSET(Assumptions!$B$8,0,$C$1),0,AQ$432)</f>
        <v>0</v>
      </c>
      <c r="AS432" s="7">
        <f ca="1">IF(AS$6=OFFSET(Assumptions!$B$8,0,$C$1),0,AR$432)</f>
        <v>0</v>
      </c>
      <c r="AT432" s="7">
        <f ca="1">IF(AT$6=OFFSET(Assumptions!$B$8,0,$C$1),0,AS$432)</f>
        <v>0</v>
      </c>
      <c r="AU432" s="7">
        <f ca="1">IF(AU$6=OFFSET(Assumptions!$B$8,0,$C$1),0,AT$432)</f>
        <v>0</v>
      </c>
      <c r="AV432" s="7">
        <f ca="1">IF(AV$6=OFFSET(Assumptions!$B$8,0,$C$1),0,AU$432)</f>
        <v>0</v>
      </c>
      <c r="AW432" s="7">
        <f ca="1">IF(AW$6=OFFSET(Assumptions!$B$8,0,$C$1),0,AV$432)</f>
        <v>0</v>
      </c>
    </row>
    <row r="433" spans="1:49" x14ac:dyDescent="0.2">
      <c r="A433" s="1" t="s">
        <v>661</v>
      </c>
      <c r="B433" s="4" t="str">
        <f t="shared" si="260"/>
        <v>From Fiscal</v>
      </c>
      <c r="D433" s="18">
        <f>Fiscal!D$274</f>
        <v>0</v>
      </c>
      <c r="E433" s="19">
        <f ca="1">IF(OFFSET(Assumptions!$B$109,0,$C$1)="BU",0,Fiscal!E$274)</f>
        <v>0</v>
      </c>
      <c r="F433" s="19">
        <f ca="1">IF(OFFSET(Assumptions!$B$109,0,$C$1)="BU",0,Fiscal!F$274)</f>
        <v>0</v>
      </c>
      <c r="G433" s="19">
        <f ca="1">IF(OFFSET(Assumptions!$B$109,0,$C$1)="BU",0,Fiscal!G$274)</f>
        <v>0</v>
      </c>
      <c r="H433" s="19">
        <f ca="1">IF(OFFSET(Assumptions!$B$109,0,$C$1)="BU",0,Fiscal!H$274)</f>
        <v>0</v>
      </c>
      <c r="I433" s="19">
        <f ca="1">IF(OFFSET(Assumptions!$B$109,0,$C$1)="BU",0,Fiscal!I$274)</f>
        <v>0</v>
      </c>
      <c r="J433" s="7">
        <f ca="1">IF(J$6=OFFSET(Assumptions!$B$8,0,$C$1),OFFSET(J$438,0,-3)-SUM(OFFSET(J$433,0,-5,1,5)),0)</f>
        <v>0</v>
      </c>
      <c r="K433" s="7">
        <f ca="1">IF(K$6=OFFSET(Assumptions!$B$8,0,$C$1),OFFSET(K$438,0,-3)-SUM(OFFSET(K$433,0,-5,1,5)),0)</f>
        <v>0</v>
      </c>
      <c r="L433" s="7">
        <f ca="1">IF(L$6=OFFSET(Assumptions!$B$8,0,$C$1),OFFSET(L$438,0,-3)-SUM(OFFSET(L$433,0,-5,1,5)),0)</f>
        <v>0</v>
      </c>
      <c r="M433" s="7">
        <f ca="1">IF(M$6=OFFSET(Assumptions!$B$8,0,$C$1),OFFSET(M$438,0,-3)-SUM(OFFSET(M$433,0,-5,1,5)),0)</f>
        <v>0</v>
      </c>
      <c r="N433" s="7">
        <f ca="1">IF(N$6=OFFSET(Assumptions!$B$8,0,$C$1),OFFSET(N$438,0,-3)-SUM(OFFSET(N$433,0,-5,1,5)),0)</f>
        <v>0</v>
      </c>
      <c r="O433" s="7">
        <f ca="1">IF(O$6=OFFSET(Assumptions!$B$8,0,$C$1),OFFSET(O$438,0,-3)-SUM(OFFSET(O$433,0,-5,1,5)),0)</f>
        <v>0</v>
      </c>
      <c r="P433" s="7">
        <f ca="1">IF(P$6=OFFSET(Assumptions!$B$8,0,$C$1),OFFSET(P$438,0,-3)-SUM(OFFSET(P$433,0,-5,1,5)),0)</f>
        <v>0</v>
      </c>
      <c r="Q433" s="7">
        <f ca="1">IF(Q$6=OFFSET(Assumptions!$B$8,0,$C$1),OFFSET(Q$438,0,-3)-SUM(OFFSET(Q$433,0,-5,1,5)),0)</f>
        <v>0</v>
      </c>
      <c r="R433" s="7">
        <f ca="1">IF(R$6=OFFSET(Assumptions!$B$8,0,$C$1),OFFSET(R$438,0,-3)-SUM(OFFSET(R$433,0,-5,1,5)),0)</f>
        <v>0</v>
      </c>
      <c r="S433" s="7">
        <f ca="1">IF(S$6=OFFSET(Assumptions!$B$8,0,$C$1),OFFSET(S$438,0,-3)-SUM(OFFSET(S$433,0,-5,1,5)),0)</f>
        <v>0</v>
      </c>
      <c r="T433" s="7">
        <f ca="1">IF(T$6=OFFSET(Assumptions!$B$8,0,$C$1),OFFSET(T$438,0,-3)-SUM(OFFSET(T$433,0,-5,1,5)),0)</f>
        <v>0</v>
      </c>
      <c r="U433" s="7">
        <f ca="1">IF(U$6=OFFSET(Assumptions!$B$8,0,$C$1),OFFSET(U$438,0,-3)-SUM(OFFSET(U$433,0,-5,1,5)),0)</f>
        <v>0</v>
      </c>
      <c r="V433" s="7">
        <f ca="1">IF(V$6=OFFSET(Assumptions!$B$8,0,$C$1),OFFSET(V$438,0,-3)-SUM(OFFSET(V$433,0,-5,1,5)),0)</f>
        <v>0</v>
      </c>
      <c r="W433" s="7">
        <f ca="1">IF(W$6=OFFSET(Assumptions!$B$8,0,$C$1),OFFSET(W$438,0,-3)-SUM(OFFSET(W$433,0,-5,1,5)),0)</f>
        <v>0</v>
      </c>
      <c r="X433" s="7">
        <f ca="1">IF(X$6=OFFSET(Assumptions!$B$8,0,$C$1),OFFSET(X$438,0,-3)-SUM(OFFSET(X$433,0,-5,1,5)),0)</f>
        <v>0</v>
      </c>
      <c r="Y433" s="7">
        <f ca="1">IF(Y$6=OFFSET(Assumptions!$B$8,0,$C$1),OFFSET(Y$438,0,-3)-SUM(OFFSET(Y$433,0,-5,1,5)),0)</f>
        <v>0</v>
      </c>
      <c r="Z433" s="7">
        <f ca="1">IF(Z$6=OFFSET(Assumptions!$B$8,0,$C$1),OFFSET(Z$438,0,-3)-SUM(OFFSET(Z$433,0,-5,1,5)),0)</f>
        <v>0</v>
      </c>
      <c r="AA433" s="7">
        <f ca="1">IF(AA$6=OFFSET(Assumptions!$B$8,0,$C$1),OFFSET(AA$438,0,-3)-SUM(OFFSET(AA$433,0,-5,1,5)),0)</f>
        <v>0</v>
      </c>
      <c r="AB433" s="7">
        <f ca="1">IF(AB$6=OFFSET(Assumptions!$B$8,0,$C$1),OFFSET(AB$438,0,-3)-SUM(OFFSET(AB$433,0,-5,1,5)),0)</f>
        <v>0</v>
      </c>
      <c r="AC433" s="7">
        <f ca="1">IF(AC$6=OFFSET(Assumptions!$B$8,0,$C$1),OFFSET(AC$438,0,-3)-SUM(OFFSET(AC$433,0,-5,1,5)),0)</f>
        <v>0</v>
      </c>
      <c r="AD433" s="7">
        <f ca="1">IF(AD$6=OFFSET(Assumptions!$B$8,0,$C$1),OFFSET(AD$438,0,-3)-SUM(OFFSET(AD$433,0,-5,1,5)),0)</f>
        <v>0</v>
      </c>
      <c r="AE433" s="7">
        <f ca="1">IF(AE$6=OFFSET(Assumptions!$B$8,0,$C$1),OFFSET(AE$438,0,-3)-SUM(OFFSET(AE$433,0,-5,1,5)),0)</f>
        <v>0</v>
      </c>
      <c r="AF433" s="7">
        <f ca="1">IF(AF$6=OFFSET(Assumptions!$B$8,0,$C$1),OFFSET(AF$438,0,-3)-SUM(OFFSET(AF$433,0,-5,1,5)),0)</f>
        <v>0</v>
      </c>
      <c r="AG433" s="7">
        <f ca="1">IF(AG$6=OFFSET(Assumptions!$B$8,0,$C$1),OFFSET(AG$438,0,-3)-SUM(OFFSET(AG$433,0,-5,1,5)),0)</f>
        <v>0</v>
      </c>
      <c r="AH433" s="7">
        <f ca="1">IF(AH$6=OFFSET(Assumptions!$B$8,0,$C$1),OFFSET(AH$438,0,-3)-SUM(OFFSET(AH$433,0,-5,1,5)),0)</f>
        <v>0</v>
      </c>
      <c r="AI433" s="7">
        <f ca="1">IF(AI$6=OFFSET(Assumptions!$B$8,0,$C$1),OFFSET(AI$438,0,-3)-SUM(OFFSET(AI$433,0,-5,1,5)),0)</f>
        <v>0</v>
      </c>
      <c r="AJ433" s="7">
        <f ca="1">IF(AJ$6=OFFSET(Assumptions!$B$8,0,$C$1),OFFSET(AJ$438,0,-3)-SUM(OFFSET(AJ$433,0,-5,1,5)),0)</f>
        <v>0</v>
      </c>
      <c r="AK433" s="7">
        <f ca="1">IF(AK$6=OFFSET(Assumptions!$B$8,0,$C$1),OFFSET(AK$438,0,-3)-SUM(OFFSET(AK$433,0,-5,1,5)),0)</f>
        <v>0</v>
      </c>
      <c r="AL433" s="7">
        <f ca="1">IF(AL$6=OFFSET(Assumptions!$B$8,0,$C$1),OFFSET(AL$438,0,-3)-SUM(OFFSET(AL$433,0,-5,1,5)),0)</f>
        <v>0</v>
      </c>
      <c r="AM433" s="7">
        <f ca="1">IF(AM$6=OFFSET(Assumptions!$B$8,0,$C$1),OFFSET(AM$438,0,-3)-SUM(OFFSET(AM$433,0,-5,1,5)),0)</f>
        <v>0</v>
      </c>
      <c r="AN433" s="7">
        <f ca="1">IF(AN$6=OFFSET(Assumptions!$B$8,0,$C$1),OFFSET(AN$438,0,-3)-SUM(OFFSET(AN$433,0,-5,1,5)),0)</f>
        <v>0</v>
      </c>
      <c r="AO433" s="7">
        <f ca="1">IF(AO$6=OFFSET(Assumptions!$B$8,0,$C$1),OFFSET(AO$438,0,-3)-SUM(OFFSET(AO$433,0,-5,1,5)),0)</f>
        <v>0</v>
      </c>
      <c r="AP433" s="7">
        <f ca="1">IF(AP$6=OFFSET(Assumptions!$B$8,0,$C$1),OFFSET(AP$438,0,-3)-SUM(OFFSET(AP$433,0,-5,1,5)),0)</f>
        <v>0</v>
      </c>
      <c r="AQ433" s="7">
        <f ca="1">IF(AQ$6=OFFSET(Assumptions!$B$8,0,$C$1),OFFSET(AQ$438,0,-3)-SUM(OFFSET(AQ$433,0,-5,1,5)),0)</f>
        <v>0</v>
      </c>
      <c r="AR433" s="7">
        <f ca="1">IF(AR$6=OFFSET(Assumptions!$B$8,0,$C$1),OFFSET(AR$438,0,-3)-SUM(OFFSET(AR$433,0,-5,1,5)),0)</f>
        <v>0</v>
      </c>
      <c r="AS433" s="7">
        <f ca="1">IF(AS$6=OFFSET(Assumptions!$B$8,0,$C$1),OFFSET(AS$438,0,-3)-SUM(OFFSET(AS$433,0,-5,1,5)),0)</f>
        <v>0</v>
      </c>
      <c r="AT433" s="7">
        <f ca="1">IF(AT$6=OFFSET(Assumptions!$B$8,0,$C$1),OFFSET(AT$438,0,-3)-SUM(OFFSET(AT$433,0,-5,1,5)),0)</f>
        <v>0</v>
      </c>
      <c r="AU433" s="7">
        <f ca="1">IF(AU$6=OFFSET(Assumptions!$B$8,0,$C$1),OFFSET(AU$438,0,-3)-SUM(OFFSET(AU$433,0,-5,1,5)),0)</f>
        <v>0</v>
      </c>
      <c r="AV433" s="7">
        <f ca="1">IF(AV$6=OFFSET(Assumptions!$B$8,0,$C$1),OFFSET(AV$438,0,-3)-SUM(OFFSET(AV$433,0,-5,1,5)),0)</f>
        <v>0</v>
      </c>
      <c r="AW433" s="7">
        <f ca="1">IF(AW$6=OFFSET(Assumptions!$B$8,0,$C$1),OFFSET(AW$438,0,-3)-SUM(OFFSET(AW$433,0,-5,1,5)),0)</f>
        <v>0</v>
      </c>
    </row>
    <row r="434" spans="1:49" x14ac:dyDescent="0.2">
      <c r="A434" s="1" t="s">
        <v>662</v>
      </c>
      <c r="B434" s="4" t="str">
        <f t="shared" si="260"/>
        <v>From Fiscal</v>
      </c>
      <c r="D434" s="18">
        <f>Fiscal!D$275</f>
        <v>0</v>
      </c>
      <c r="E434" s="19">
        <f ca="1">IF(OFFSET(Assumptions!$B$109,0,$C$1)="BU",0,Fiscal!E$275)</f>
        <v>0</v>
      </c>
      <c r="F434" s="19">
        <f ca="1">IF(OFFSET(Assumptions!$B$109,0,$C$1)="BU",0,Fiscal!F$275)</f>
        <v>0</v>
      </c>
      <c r="G434" s="19">
        <f ca="1">IF(OFFSET(Assumptions!$B$109,0,$C$1)="BU",0,Fiscal!G$275)</f>
        <v>0</v>
      </c>
      <c r="H434" s="19">
        <f ca="1">IF(OFFSET(Assumptions!$B$109,0,$C$1)="BU",0,Fiscal!H$275)</f>
        <v>0</v>
      </c>
      <c r="I434" s="19">
        <f ca="1">IF(OFFSET(Assumptions!$B$109,0,$C$1)="BU",0,Fiscal!I$275)</f>
        <v>0</v>
      </c>
      <c r="J434" s="7">
        <f ca="1">IF(J$6=OFFSET(Assumptions!$B$8,0,$C$1),(OFFSET(J$438,0,-2)-SUM(OFFSET(J$434,0,-5,1,5)))/2,IF(I$6=OFFSET(Assumptions!$B$8,0,$C$1),I$434,0))</f>
        <v>0</v>
      </c>
      <c r="K434" s="7">
        <f ca="1">IF(K$6=OFFSET(Assumptions!$B$8,0,$C$1),(OFFSET(K$438,0,-2)-SUM(OFFSET(K$434,0,-5,1,5)))/2,IF(J$6=OFFSET(Assumptions!$B$8,0,$C$1),J$434,0))</f>
        <v>0</v>
      </c>
      <c r="L434" s="7">
        <f ca="1">IF(L$6=OFFSET(Assumptions!$B$8,0,$C$1),(OFFSET(L$438,0,-2)-SUM(OFFSET(L$434,0,-5,1,5)))/2,IF(K$6=OFFSET(Assumptions!$B$8,0,$C$1),K$434,0))</f>
        <v>0</v>
      </c>
      <c r="M434" s="7">
        <f ca="1">IF(M$6=OFFSET(Assumptions!$B$8,0,$C$1),(OFFSET(M$438,0,-2)-SUM(OFFSET(M$434,0,-5,1,5)))/2,IF(L$6=OFFSET(Assumptions!$B$8,0,$C$1),L$434,0))</f>
        <v>0</v>
      </c>
      <c r="N434" s="7">
        <f ca="1">IF(N$6=OFFSET(Assumptions!$B$8,0,$C$1),(OFFSET(N$438,0,-2)-SUM(OFFSET(N$434,0,-5,1,5)))/2,IF(M$6=OFFSET(Assumptions!$B$8,0,$C$1),M$434,0))</f>
        <v>0</v>
      </c>
      <c r="O434" s="7">
        <f ca="1">IF(O$6=OFFSET(Assumptions!$B$8,0,$C$1),(OFFSET(O$438,0,-2)-SUM(OFFSET(O$434,0,-5,1,5)))/2,IF(N$6=OFFSET(Assumptions!$B$8,0,$C$1),N$434,0))</f>
        <v>0</v>
      </c>
      <c r="P434" s="7">
        <f ca="1">IF(P$6=OFFSET(Assumptions!$B$8,0,$C$1),(OFFSET(P$438,0,-2)-SUM(OFFSET(P$434,0,-5,1,5)))/2,IF(O$6=OFFSET(Assumptions!$B$8,0,$C$1),O$434,0))</f>
        <v>0</v>
      </c>
      <c r="Q434" s="7">
        <f ca="1">IF(Q$6=OFFSET(Assumptions!$B$8,0,$C$1),(OFFSET(Q$438,0,-2)-SUM(OFFSET(Q$434,0,-5,1,5)))/2,IF(P$6=OFFSET(Assumptions!$B$8,0,$C$1),P$434,0))</f>
        <v>0</v>
      </c>
      <c r="R434" s="7">
        <f ca="1">IF(R$6=OFFSET(Assumptions!$B$8,0,$C$1),(OFFSET(R$438,0,-2)-SUM(OFFSET(R$434,0,-5,1,5)))/2,IF(Q$6=OFFSET(Assumptions!$B$8,0,$C$1),Q$434,0))</f>
        <v>0</v>
      </c>
      <c r="S434" s="7">
        <f ca="1">IF(S$6=OFFSET(Assumptions!$B$8,0,$C$1),(OFFSET(S$438,0,-2)-SUM(OFFSET(S$434,0,-5,1,5)))/2,IF(R$6=OFFSET(Assumptions!$B$8,0,$C$1),R$434,0))</f>
        <v>0</v>
      </c>
      <c r="T434" s="7">
        <f ca="1">IF(T$6=OFFSET(Assumptions!$B$8,0,$C$1),(OFFSET(T$438,0,-2)-SUM(OFFSET(T$434,0,-5,1,5)))/2,IF(S$6=OFFSET(Assumptions!$B$8,0,$C$1),S$434,0))</f>
        <v>0</v>
      </c>
      <c r="U434" s="7">
        <f ca="1">IF(U$6=OFFSET(Assumptions!$B$8,0,$C$1),(OFFSET(U$438,0,-2)-SUM(OFFSET(U$434,0,-5,1,5)))/2,IF(T$6=OFFSET(Assumptions!$B$8,0,$C$1),T$434,0))</f>
        <v>0</v>
      </c>
      <c r="V434" s="7">
        <f ca="1">IF(V$6=OFFSET(Assumptions!$B$8,0,$C$1),(OFFSET(V$438,0,-2)-SUM(OFFSET(V$434,0,-5,1,5)))/2,IF(U$6=OFFSET(Assumptions!$B$8,0,$C$1),U$434,0))</f>
        <v>0</v>
      </c>
      <c r="W434" s="7">
        <f ca="1">IF(W$6=OFFSET(Assumptions!$B$8,0,$C$1),(OFFSET(W$438,0,-2)-SUM(OFFSET(W$434,0,-5,1,5)))/2,IF(V$6=OFFSET(Assumptions!$B$8,0,$C$1),V$434,0))</f>
        <v>0</v>
      </c>
      <c r="X434" s="7">
        <f ca="1">IF(X$6=OFFSET(Assumptions!$B$8,0,$C$1),(OFFSET(X$438,0,-2)-SUM(OFFSET(X$434,0,-5,1,5)))/2,IF(W$6=OFFSET(Assumptions!$B$8,0,$C$1),W$434,0))</f>
        <v>0</v>
      </c>
      <c r="Y434" s="7">
        <f ca="1">IF(Y$6=OFFSET(Assumptions!$B$8,0,$C$1),(OFFSET(Y$438,0,-2)-SUM(OFFSET(Y$434,0,-5,1,5)))/2,IF(X$6=OFFSET(Assumptions!$B$8,0,$C$1),X$434,0))</f>
        <v>0</v>
      </c>
      <c r="Z434" s="7">
        <f ca="1">IF(Z$6=OFFSET(Assumptions!$B$8,0,$C$1),(OFFSET(Z$438,0,-2)-SUM(OFFSET(Z$434,0,-5,1,5)))/2,IF(Y$6=OFFSET(Assumptions!$B$8,0,$C$1),Y$434,0))</f>
        <v>0</v>
      </c>
      <c r="AA434" s="7">
        <f ca="1">IF(AA$6=OFFSET(Assumptions!$B$8,0,$C$1),(OFFSET(AA$438,0,-2)-SUM(OFFSET(AA$434,0,-5,1,5)))/2,IF(Z$6=OFFSET(Assumptions!$B$8,0,$C$1),Z$434,0))</f>
        <v>0</v>
      </c>
      <c r="AB434" s="7">
        <f ca="1">IF(AB$6=OFFSET(Assumptions!$B$8,0,$C$1),(OFFSET(AB$438,0,-2)-SUM(OFFSET(AB$434,0,-5,1,5)))/2,IF(AA$6=OFFSET(Assumptions!$B$8,0,$C$1),AA$434,0))</f>
        <v>0</v>
      </c>
      <c r="AC434" s="7">
        <f ca="1">IF(AC$6=OFFSET(Assumptions!$B$8,0,$C$1),(OFFSET(AC$438,0,-2)-SUM(OFFSET(AC$434,0,-5,1,5)))/2,IF(AB$6=OFFSET(Assumptions!$B$8,0,$C$1),AB$434,0))</f>
        <v>0</v>
      </c>
      <c r="AD434" s="7">
        <f ca="1">IF(AD$6=OFFSET(Assumptions!$B$8,0,$C$1),(OFFSET(AD$438,0,-2)-SUM(OFFSET(AD$434,0,-5,1,5)))/2,IF(AC$6=OFFSET(Assumptions!$B$8,0,$C$1),AC$434,0))</f>
        <v>0</v>
      </c>
      <c r="AE434" s="7">
        <f ca="1">IF(AE$6=OFFSET(Assumptions!$B$8,0,$C$1),(OFFSET(AE$438,0,-2)-SUM(OFFSET(AE$434,0,-5,1,5)))/2,IF(AD$6=OFFSET(Assumptions!$B$8,0,$C$1),AD$434,0))</f>
        <v>0</v>
      </c>
      <c r="AF434" s="7">
        <f ca="1">IF(AF$6=OFFSET(Assumptions!$B$8,0,$C$1),(OFFSET(AF$438,0,-2)-SUM(OFFSET(AF$434,0,-5,1,5)))/2,IF(AE$6=OFFSET(Assumptions!$B$8,0,$C$1),AE$434,0))</f>
        <v>0</v>
      </c>
      <c r="AG434" s="7">
        <f ca="1">IF(AG$6=OFFSET(Assumptions!$B$8,0,$C$1),(OFFSET(AG$438,0,-2)-SUM(OFFSET(AG$434,0,-5,1,5)))/2,IF(AF$6=OFFSET(Assumptions!$B$8,0,$C$1),AF$434,0))</f>
        <v>0</v>
      </c>
      <c r="AH434" s="7">
        <f ca="1">IF(AH$6=OFFSET(Assumptions!$B$8,0,$C$1),(OFFSET(AH$438,0,-2)-SUM(OFFSET(AH$434,0,-5,1,5)))/2,IF(AG$6=OFFSET(Assumptions!$B$8,0,$C$1),AG$434,0))</f>
        <v>0</v>
      </c>
      <c r="AI434" s="7">
        <f ca="1">IF(AI$6=OFFSET(Assumptions!$B$8,0,$C$1),(OFFSET(AI$438,0,-2)-SUM(OFFSET(AI$434,0,-5,1,5)))/2,IF(AH$6=OFFSET(Assumptions!$B$8,0,$C$1),AH$434,0))</f>
        <v>0</v>
      </c>
      <c r="AJ434" s="7">
        <f ca="1">IF(AJ$6=OFFSET(Assumptions!$B$8,0,$C$1),(OFFSET(AJ$438,0,-2)-SUM(OFFSET(AJ$434,0,-5,1,5)))/2,IF(AI$6=OFFSET(Assumptions!$B$8,0,$C$1),AI$434,0))</f>
        <v>0</v>
      </c>
      <c r="AK434" s="7">
        <f ca="1">IF(AK$6=OFFSET(Assumptions!$B$8,0,$C$1),(OFFSET(AK$438,0,-2)-SUM(OFFSET(AK$434,0,-5,1,5)))/2,IF(AJ$6=OFFSET(Assumptions!$B$8,0,$C$1),AJ$434,0))</f>
        <v>0</v>
      </c>
      <c r="AL434" s="7">
        <f ca="1">IF(AL$6=OFFSET(Assumptions!$B$8,0,$C$1),(OFFSET(AL$438,0,-2)-SUM(OFFSET(AL$434,0,-5,1,5)))/2,IF(AK$6=OFFSET(Assumptions!$B$8,0,$C$1),AK$434,0))</f>
        <v>0</v>
      </c>
      <c r="AM434" s="7">
        <f ca="1">IF(AM$6=OFFSET(Assumptions!$B$8,0,$C$1),(OFFSET(AM$438,0,-2)-SUM(OFFSET(AM$434,0,-5,1,5)))/2,IF(AL$6=OFFSET(Assumptions!$B$8,0,$C$1),AL$434,0))</f>
        <v>0</v>
      </c>
      <c r="AN434" s="7">
        <f ca="1">IF(AN$6=OFFSET(Assumptions!$B$8,0,$C$1),(OFFSET(AN$438,0,-2)-SUM(OFFSET(AN$434,0,-5,1,5)))/2,IF(AM$6=OFFSET(Assumptions!$B$8,0,$C$1),AM$434,0))</f>
        <v>0</v>
      </c>
      <c r="AO434" s="7">
        <f ca="1">IF(AO$6=OFFSET(Assumptions!$B$8,0,$C$1),(OFFSET(AO$438,0,-2)-SUM(OFFSET(AO$434,0,-5,1,5)))/2,IF(AN$6=OFFSET(Assumptions!$B$8,0,$C$1),AN$434,0))</f>
        <v>0</v>
      </c>
      <c r="AP434" s="7">
        <f ca="1">IF(AP$6=OFFSET(Assumptions!$B$8,0,$C$1),(OFFSET(AP$438,0,-2)-SUM(OFFSET(AP$434,0,-5,1,5)))/2,IF(AO$6=OFFSET(Assumptions!$B$8,0,$C$1),AO$434,0))</f>
        <v>0</v>
      </c>
      <c r="AQ434" s="7">
        <f ca="1">IF(AQ$6=OFFSET(Assumptions!$B$8,0,$C$1),(OFFSET(AQ$438,0,-2)-SUM(OFFSET(AQ$434,0,-5,1,5)))/2,IF(AP$6=OFFSET(Assumptions!$B$8,0,$C$1),AP$434,0))</f>
        <v>0</v>
      </c>
      <c r="AR434" s="7">
        <f ca="1">IF(AR$6=OFFSET(Assumptions!$B$8,0,$C$1),(OFFSET(AR$438,0,-2)-SUM(OFFSET(AR$434,0,-5,1,5)))/2,IF(AQ$6=OFFSET(Assumptions!$B$8,0,$C$1),AQ$434,0))</f>
        <v>0</v>
      </c>
      <c r="AS434" s="7">
        <f ca="1">IF(AS$6=OFFSET(Assumptions!$B$8,0,$C$1),(OFFSET(AS$438,0,-2)-SUM(OFFSET(AS$434,0,-5,1,5)))/2,IF(AR$6=OFFSET(Assumptions!$B$8,0,$C$1),AR$434,0))</f>
        <v>0</v>
      </c>
      <c r="AT434" s="7">
        <f ca="1">IF(AT$6=OFFSET(Assumptions!$B$8,0,$C$1),(OFFSET(AT$438,0,-2)-SUM(OFFSET(AT$434,0,-5,1,5)))/2,IF(AS$6=OFFSET(Assumptions!$B$8,0,$C$1),AS$434,0))</f>
        <v>0</v>
      </c>
      <c r="AU434" s="7">
        <f ca="1">IF(AU$6=OFFSET(Assumptions!$B$8,0,$C$1),(OFFSET(AU$438,0,-2)-SUM(OFFSET(AU$434,0,-5,1,5)))/2,IF(AT$6=OFFSET(Assumptions!$B$8,0,$C$1),AT$434,0))</f>
        <v>0</v>
      </c>
      <c r="AV434" s="7">
        <f ca="1">IF(AV$6=OFFSET(Assumptions!$B$8,0,$C$1),(OFFSET(AV$438,0,-2)-SUM(OFFSET(AV$434,0,-5,1,5)))/2,IF(AU$6=OFFSET(Assumptions!$B$8,0,$C$1),AU$434,0))</f>
        <v>0</v>
      </c>
      <c r="AW434" s="7">
        <f ca="1">IF(AW$6=OFFSET(Assumptions!$B$8,0,$C$1),(OFFSET(AW$438,0,-2)-SUM(OFFSET(AW$434,0,-5,1,5)))/2,IF(AV$6=OFFSET(Assumptions!$B$8,0,$C$1),AV$434,0))</f>
        <v>0</v>
      </c>
    </row>
    <row r="435" spans="1:49" x14ac:dyDescent="0.2">
      <c r="A435" s="1" t="s">
        <v>663</v>
      </c>
      <c r="B435" s="4" t="str">
        <f t="shared" si="260"/>
        <v>From Fiscal</v>
      </c>
      <c r="D435" s="18">
        <f>Fiscal!D$276</f>
        <v>0</v>
      </c>
      <c r="E435" s="19">
        <f ca="1">IF(OFFSET(Assumptions!$B$109,0,$C$1)="BU",0,Fiscal!E$276)</f>
        <v>0</v>
      </c>
      <c r="F435" s="19">
        <f ca="1">IF(OFFSET(Assumptions!$B$109,0,$C$1)="BU",0,Fiscal!F$276)</f>
        <v>0</v>
      </c>
      <c r="G435" s="19">
        <f ca="1">IF(OFFSET(Assumptions!$B$109,0,$C$1)="BU",0,Fiscal!G$276)</f>
        <v>0</v>
      </c>
      <c r="H435" s="19">
        <f ca="1">IF(OFFSET(Assumptions!$B$109,0,$C$1)="BU",0,Fiscal!H$276)</f>
        <v>0</v>
      </c>
      <c r="I435" s="19">
        <f ca="1">IF(OFFSET(Assumptions!$B$109,0,$C$1)="BU",0,Fiscal!I$276)</f>
        <v>0</v>
      </c>
      <c r="J435" s="7">
        <f ca="1">IF(J$6=OFFSET(Assumptions!$B$8,0,$C$1),(OFFSET(J$438,0,-1)-SUM(OFFSET(J$435,0,-5,1,5)))/3,IF(OR(I$6=OFFSET(Assumptions!$B$8,0,$C$1),H$6=OFFSET(Assumptions!$B$8,0,$C$1)),I$435,0))</f>
        <v>0</v>
      </c>
      <c r="K435" s="7">
        <f ca="1">IF(K$6=OFFSET(Assumptions!$B$8,0,$C$1),(OFFSET(K$438,0,-1)-SUM(OFFSET(K$435,0,-5,1,5)))/3,IF(OR(J$6=OFFSET(Assumptions!$B$8,0,$C$1),I$6=OFFSET(Assumptions!$B$8,0,$C$1)),J$435,0))</f>
        <v>0</v>
      </c>
      <c r="L435" s="7">
        <f ca="1">IF(L$6=OFFSET(Assumptions!$B$8,0,$C$1),(OFFSET(L$438,0,-1)-SUM(OFFSET(L$435,0,-5,1,5)))/3,IF(OR(K$6=OFFSET(Assumptions!$B$8,0,$C$1),J$6=OFFSET(Assumptions!$B$8,0,$C$1)),K$435,0))</f>
        <v>0</v>
      </c>
      <c r="M435" s="7">
        <f ca="1">IF(M$6=OFFSET(Assumptions!$B$8,0,$C$1),(OFFSET(M$438,0,-1)-SUM(OFFSET(M$435,0,-5,1,5)))/3,IF(OR(L$6=OFFSET(Assumptions!$B$8,0,$C$1),K$6=OFFSET(Assumptions!$B$8,0,$C$1)),L$435,0))</f>
        <v>0</v>
      </c>
      <c r="N435" s="7">
        <f ca="1">IF(N$6=OFFSET(Assumptions!$B$8,0,$C$1),(OFFSET(N$438,0,-1)-SUM(OFFSET(N$435,0,-5,1,5)))/3,IF(OR(M$6=OFFSET(Assumptions!$B$8,0,$C$1),L$6=OFFSET(Assumptions!$B$8,0,$C$1)),M$435,0))</f>
        <v>0</v>
      </c>
      <c r="O435" s="7">
        <f ca="1">IF(O$6=OFFSET(Assumptions!$B$8,0,$C$1),(OFFSET(O$438,0,-1)-SUM(OFFSET(O$435,0,-5,1,5)))/3,IF(OR(N$6=OFFSET(Assumptions!$B$8,0,$C$1),M$6=OFFSET(Assumptions!$B$8,0,$C$1)),N$435,0))</f>
        <v>0</v>
      </c>
      <c r="P435" s="7">
        <f ca="1">IF(P$6=OFFSET(Assumptions!$B$8,0,$C$1),(OFFSET(P$438,0,-1)-SUM(OFFSET(P$435,0,-5,1,5)))/3,IF(OR(O$6=OFFSET(Assumptions!$B$8,0,$C$1),N$6=OFFSET(Assumptions!$B$8,0,$C$1)),O$435,0))</f>
        <v>0</v>
      </c>
      <c r="Q435" s="7">
        <f ca="1">IF(Q$6=OFFSET(Assumptions!$B$8,0,$C$1),(OFFSET(Q$438,0,-1)-SUM(OFFSET(Q$435,0,-5,1,5)))/3,IF(OR(P$6=OFFSET(Assumptions!$B$8,0,$C$1),O$6=OFFSET(Assumptions!$B$8,0,$C$1)),P$435,0))</f>
        <v>0</v>
      </c>
      <c r="R435" s="7">
        <f ca="1">IF(R$6=OFFSET(Assumptions!$B$8,0,$C$1),(OFFSET(R$438,0,-1)-SUM(OFFSET(R$435,0,-5,1,5)))/3,IF(OR(Q$6=OFFSET(Assumptions!$B$8,0,$C$1),P$6=OFFSET(Assumptions!$B$8,0,$C$1)),Q$435,0))</f>
        <v>0</v>
      </c>
      <c r="S435" s="7">
        <f ca="1">IF(S$6=OFFSET(Assumptions!$B$8,0,$C$1),(OFFSET(S$438,0,-1)-SUM(OFFSET(S$435,0,-5,1,5)))/3,IF(OR(R$6=OFFSET(Assumptions!$B$8,0,$C$1),Q$6=OFFSET(Assumptions!$B$8,0,$C$1)),R$435,0))</f>
        <v>0</v>
      </c>
      <c r="T435" s="7">
        <f ca="1">IF(T$6=OFFSET(Assumptions!$B$8,0,$C$1),(OFFSET(T$438,0,-1)-SUM(OFFSET(T$435,0,-5,1,5)))/3,IF(OR(S$6=OFFSET(Assumptions!$B$8,0,$C$1),R$6=OFFSET(Assumptions!$B$8,0,$C$1)),S$435,0))</f>
        <v>0</v>
      </c>
      <c r="U435" s="7">
        <f ca="1">IF(U$6=OFFSET(Assumptions!$B$8,0,$C$1),(OFFSET(U$438,0,-1)-SUM(OFFSET(U$435,0,-5,1,5)))/3,IF(OR(T$6=OFFSET(Assumptions!$B$8,0,$C$1),S$6=OFFSET(Assumptions!$B$8,0,$C$1)),T$435,0))</f>
        <v>0</v>
      </c>
      <c r="V435" s="7">
        <f ca="1">IF(V$6=OFFSET(Assumptions!$B$8,0,$C$1),(OFFSET(V$438,0,-1)-SUM(OFFSET(V$435,0,-5,1,5)))/3,IF(OR(U$6=OFFSET(Assumptions!$B$8,0,$C$1),T$6=OFFSET(Assumptions!$B$8,0,$C$1)),U$435,0))</f>
        <v>0</v>
      </c>
      <c r="W435" s="7">
        <f ca="1">IF(W$6=OFFSET(Assumptions!$B$8,0,$C$1),(OFFSET(W$438,0,-1)-SUM(OFFSET(W$435,0,-5,1,5)))/3,IF(OR(V$6=OFFSET(Assumptions!$B$8,0,$C$1),U$6=OFFSET(Assumptions!$B$8,0,$C$1)),V$435,0))</f>
        <v>0</v>
      </c>
      <c r="X435" s="7">
        <f ca="1">IF(X$6=OFFSET(Assumptions!$B$8,0,$C$1),(OFFSET(X$438,0,-1)-SUM(OFFSET(X$435,0,-5,1,5)))/3,IF(OR(W$6=OFFSET(Assumptions!$B$8,0,$C$1),V$6=OFFSET(Assumptions!$B$8,0,$C$1)),W$435,0))</f>
        <v>0</v>
      </c>
      <c r="Y435" s="7">
        <f ca="1">IF(Y$6=OFFSET(Assumptions!$B$8,0,$C$1),(OFFSET(Y$438,0,-1)-SUM(OFFSET(Y$435,0,-5,1,5)))/3,IF(OR(X$6=OFFSET(Assumptions!$B$8,0,$C$1),W$6=OFFSET(Assumptions!$B$8,0,$C$1)),X$435,0))</f>
        <v>0</v>
      </c>
      <c r="Z435" s="7">
        <f ca="1">IF(Z$6=OFFSET(Assumptions!$B$8,0,$C$1),(OFFSET(Z$438,0,-1)-SUM(OFFSET(Z$435,0,-5,1,5)))/3,IF(OR(Y$6=OFFSET(Assumptions!$B$8,0,$C$1),X$6=OFFSET(Assumptions!$B$8,0,$C$1)),Y$435,0))</f>
        <v>0</v>
      </c>
      <c r="AA435" s="7">
        <f ca="1">IF(AA$6=OFFSET(Assumptions!$B$8,0,$C$1),(OFFSET(AA$438,0,-1)-SUM(OFFSET(AA$435,0,-5,1,5)))/3,IF(OR(Z$6=OFFSET(Assumptions!$B$8,0,$C$1),Y$6=OFFSET(Assumptions!$B$8,0,$C$1)),Z$435,0))</f>
        <v>0</v>
      </c>
      <c r="AB435" s="7">
        <f ca="1">IF(AB$6=OFFSET(Assumptions!$B$8,0,$C$1),(OFFSET(AB$438,0,-1)-SUM(OFFSET(AB$435,0,-5,1,5)))/3,IF(OR(AA$6=OFFSET(Assumptions!$B$8,0,$C$1),Z$6=OFFSET(Assumptions!$B$8,0,$C$1)),AA$435,0))</f>
        <v>0</v>
      </c>
      <c r="AC435" s="7">
        <f ca="1">IF(AC$6=OFFSET(Assumptions!$B$8,0,$C$1),(OFFSET(AC$438,0,-1)-SUM(OFFSET(AC$435,0,-5,1,5)))/3,IF(OR(AB$6=OFFSET(Assumptions!$B$8,0,$C$1),AA$6=OFFSET(Assumptions!$B$8,0,$C$1)),AB$435,0))</f>
        <v>0</v>
      </c>
      <c r="AD435" s="7">
        <f ca="1">IF(AD$6=OFFSET(Assumptions!$B$8,0,$C$1),(OFFSET(AD$438,0,-1)-SUM(OFFSET(AD$435,0,-5,1,5)))/3,IF(OR(AC$6=OFFSET(Assumptions!$B$8,0,$C$1),AB$6=OFFSET(Assumptions!$B$8,0,$C$1)),AC$435,0))</f>
        <v>0</v>
      </c>
      <c r="AE435" s="7">
        <f ca="1">IF(AE$6=OFFSET(Assumptions!$B$8,0,$C$1),(OFFSET(AE$438,0,-1)-SUM(OFFSET(AE$435,0,-5,1,5)))/3,IF(OR(AD$6=OFFSET(Assumptions!$B$8,0,$C$1),AC$6=OFFSET(Assumptions!$B$8,0,$C$1)),AD$435,0))</f>
        <v>0</v>
      </c>
      <c r="AF435" s="7">
        <f ca="1">IF(AF$6=OFFSET(Assumptions!$B$8,0,$C$1),(OFFSET(AF$438,0,-1)-SUM(OFFSET(AF$435,0,-5,1,5)))/3,IF(OR(AE$6=OFFSET(Assumptions!$B$8,0,$C$1),AD$6=OFFSET(Assumptions!$B$8,0,$C$1)),AE$435,0))</f>
        <v>0</v>
      </c>
      <c r="AG435" s="7">
        <f ca="1">IF(AG$6=OFFSET(Assumptions!$B$8,0,$C$1),(OFFSET(AG$438,0,-1)-SUM(OFFSET(AG$435,0,-5,1,5)))/3,IF(OR(AF$6=OFFSET(Assumptions!$B$8,0,$C$1),AE$6=OFFSET(Assumptions!$B$8,0,$C$1)),AF$435,0))</f>
        <v>0</v>
      </c>
      <c r="AH435" s="7">
        <f ca="1">IF(AH$6=OFFSET(Assumptions!$B$8,0,$C$1),(OFFSET(AH$438,0,-1)-SUM(OFFSET(AH$435,0,-5,1,5)))/3,IF(OR(AG$6=OFFSET(Assumptions!$B$8,0,$C$1),AF$6=OFFSET(Assumptions!$B$8,0,$C$1)),AG$435,0))</f>
        <v>0</v>
      </c>
      <c r="AI435" s="7">
        <f ca="1">IF(AI$6=OFFSET(Assumptions!$B$8,0,$C$1),(OFFSET(AI$438,0,-1)-SUM(OFFSET(AI$435,0,-5,1,5)))/3,IF(OR(AH$6=OFFSET(Assumptions!$B$8,0,$C$1),AG$6=OFFSET(Assumptions!$B$8,0,$C$1)),AH$435,0))</f>
        <v>0</v>
      </c>
      <c r="AJ435" s="7">
        <f ca="1">IF(AJ$6=OFFSET(Assumptions!$B$8,0,$C$1),(OFFSET(AJ$438,0,-1)-SUM(OFFSET(AJ$435,0,-5,1,5)))/3,IF(OR(AI$6=OFFSET(Assumptions!$B$8,0,$C$1),AH$6=OFFSET(Assumptions!$B$8,0,$C$1)),AI$435,0))</f>
        <v>0</v>
      </c>
      <c r="AK435" s="7">
        <f ca="1">IF(AK$6=OFFSET(Assumptions!$B$8,0,$C$1),(OFFSET(AK$438,0,-1)-SUM(OFFSET(AK$435,0,-5,1,5)))/3,IF(OR(AJ$6=OFFSET(Assumptions!$B$8,0,$C$1),AI$6=OFFSET(Assumptions!$B$8,0,$C$1)),AJ$435,0))</f>
        <v>0</v>
      </c>
      <c r="AL435" s="7">
        <f ca="1">IF(AL$6=OFFSET(Assumptions!$B$8,0,$C$1),(OFFSET(AL$438,0,-1)-SUM(OFFSET(AL$435,0,-5,1,5)))/3,IF(OR(AK$6=OFFSET(Assumptions!$B$8,0,$C$1),AJ$6=OFFSET(Assumptions!$B$8,0,$C$1)),AK$435,0))</f>
        <v>0</v>
      </c>
      <c r="AM435" s="7">
        <f ca="1">IF(AM$6=OFFSET(Assumptions!$B$8,0,$C$1),(OFFSET(AM$438,0,-1)-SUM(OFFSET(AM$435,0,-5,1,5)))/3,IF(OR(AL$6=OFFSET(Assumptions!$B$8,0,$C$1),AK$6=OFFSET(Assumptions!$B$8,0,$C$1)),AL$435,0))</f>
        <v>0</v>
      </c>
      <c r="AN435" s="7">
        <f ca="1">IF(AN$6=OFFSET(Assumptions!$B$8,0,$C$1),(OFFSET(AN$438,0,-1)-SUM(OFFSET(AN$435,0,-5,1,5)))/3,IF(OR(AM$6=OFFSET(Assumptions!$B$8,0,$C$1),AL$6=OFFSET(Assumptions!$B$8,0,$C$1)),AM$435,0))</f>
        <v>0</v>
      </c>
      <c r="AO435" s="7">
        <f ca="1">IF(AO$6=OFFSET(Assumptions!$B$8,0,$C$1),(OFFSET(AO$438,0,-1)-SUM(OFFSET(AO$435,0,-5,1,5)))/3,IF(OR(AN$6=OFFSET(Assumptions!$B$8,0,$C$1),AM$6=OFFSET(Assumptions!$B$8,0,$C$1)),AN$435,0))</f>
        <v>0</v>
      </c>
      <c r="AP435" s="7">
        <f ca="1">IF(AP$6=OFFSET(Assumptions!$B$8,0,$C$1),(OFFSET(AP$438,0,-1)-SUM(OFFSET(AP$435,0,-5,1,5)))/3,IF(OR(AO$6=OFFSET(Assumptions!$B$8,0,$C$1),AN$6=OFFSET(Assumptions!$B$8,0,$C$1)),AO$435,0))</f>
        <v>0</v>
      </c>
      <c r="AQ435" s="7">
        <f ca="1">IF(AQ$6=OFFSET(Assumptions!$B$8,0,$C$1),(OFFSET(AQ$438,0,-1)-SUM(OFFSET(AQ$435,0,-5,1,5)))/3,IF(OR(AP$6=OFFSET(Assumptions!$B$8,0,$C$1),AO$6=OFFSET(Assumptions!$B$8,0,$C$1)),AP$435,0))</f>
        <v>0</v>
      </c>
      <c r="AR435" s="7">
        <f ca="1">IF(AR$6=OFFSET(Assumptions!$B$8,0,$C$1),(OFFSET(AR$438,0,-1)-SUM(OFFSET(AR$435,0,-5,1,5)))/3,IF(OR(AQ$6=OFFSET(Assumptions!$B$8,0,$C$1),AP$6=OFFSET(Assumptions!$B$8,0,$C$1)),AQ$435,0))</f>
        <v>0</v>
      </c>
      <c r="AS435" s="7">
        <f ca="1">IF(AS$6=OFFSET(Assumptions!$B$8,0,$C$1),(OFFSET(AS$438,0,-1)-SUM(OFFSET(AS$435,0,-5,1,5)))/3,IF(OR(AR$6=OFFSET(Assumptions!$B$8,0,$C$1),AQ$6=OFFSET(Assumptions!$B$8,0,$C$1)),AR$435,0))</f>
        <v>0</v>
      </c>
      <c r="AT435" s="7">
        <f ca="1">IF(AT$6=OFFSET(Assumptions!$B$8,0,$C$1),(OFFSET(AT$438,0,-1)-SUM(OFFSET(AT$435,0,-5,1,5)))/3,IF(OR(AS$6=OFFSET(Assumptions!$B$8,0,$C$1),AR$6=OFFSET(Assumptions!$B$8,0,$C$1)),AS$435,0))</f>
        <v>0</v>
      </c>
      <c r="AU435" s="7">
        <f ca="1">IF(AU$6=OFFSET(Assumptions!$B$8,0,$C$1),(OFFSET(AU$438,0,-1)-SUM(OFFSET(AU$435,0,-5,1,5)))/3,IF(OR(AT$6=OFFSET(Assumptions!$B$8,0,$C$1),AS$6=OFFSET(Assumptions!$B$8,0,$C$1)),AT$435,0))</f>
        <v>0</v>
      </c>
      <c r="AV435" s="7">
        <f ca="1">IF(AV$6=OFFSET(Assumptions!$B$8,0,$C$1),(OFFSET(AV$438,0,-1)-SUM(OFFSET(AV$435,0,-5,1,5)))/3,IF(OR(AU$6=OFFSET(Assumptions!$B$8,0,$C$1),AT$6=OFFSET(Assumptions!$B$8,0,$C$1)),AU$435,0))</f>
        <v>0</v>
      </c>
      <c r="AW435" s="7">
        <f ca="1">IF(AW$6=OFFSET(Assumptions!$B$8,0,$C$1),(OFFSET(AW$438,0,-1)-SUM(OFFSET(AW$435,0,-5,1,5)))/3,IF(OR(AV$6=OFFSET(Assumptions!$B$8,0,$C$1),AU$6=OFFSET(Assumptions!$B$8,0,$C$1)),AV$435,0))</f>
        <v>0</v>
      </c>
    </row>
    <row r="436" spans="1:49" ht="15" x14ac:dyDescent="0.25">
      <c r="A436" s="1" t="s">
        <v>664</v>
      </c>
      <c r="B436" s="4"/>
      <c r="C436" s="69">
        <f ca="1">OFFSET(Assumptions!$B$9,0,$C$1)</f>
        <v>0</v>
      </c>
      <c r="D436" s="18">
        <f t="shared" ref="D436:I436" ca="1" si="261">C$436</f>
        <v>0</v>
      </c>
      <c r="E436" s="19">
        <f t="shared" ca="1" si="261"/>
        <v>0</v>
      </c>
      <c r="F436" s="19">
        <f t="shared" ca="1" si="261"/>
        <v>0</v>
      </c>
      <c r="G436" s="19">
        <f t="shared" ca="1" si="261"/>
        <v>0</v>
      </c>
      <c r="H436" s="19">
        <f t="shared" ca="1" si="261"/>
        <v>0</v>
      </c>
      <c r="I436" s="19">
        <f t="shared" ca="1" si="261"/>
        <v>0</v>
      </c>
      <c r="J436" s="7">
        <f ca="1">IF(J$6=OFFSET(Assumptions!$B$8,0,$C$1),J$438,IF(I$6=OFFSET(Assumptions!$B$8,0,$C$1),SUM(I$438:J$438),IF(H$6=OFFSET(Assumptions!$B$8,0,$C$1),SUM(H$438:J$438),SUM(G$438:J$438))))/4</f>
        <v>0</v>
      </c>
      <c r="K436" s="7">
        <f ca="1">IF(K$6=OFFSET(Assumptions!$B$8,0,$C$1),K$438,IF(J$6=OFFSET(Assumptions!$B$8,0,$C$1),SUM(J$438:K$438),IF(I$6=OFFSET(Assumptions!$B$8,0,$C$1),SUM(I$438:K$438),SUM(H$438:K$438))))/4</f>
        <v>0</v>
      </c>
      <c r="L436" s="7">
        <f ca="1">IF(L$6=OFFSET(Assumptions!$B$8,0,$C$1),L$438,IF(K$6=OFFSET(Assumptions!$B$8,0,$C$1),SUM(K$438:L$438),IF(J$6=OFFSET(Assumptions!$B$8,0,$C$1),SUM(J$438:L$438),SUM(I$438:L$438))))/4</f>
        <v>0</v>
      </c>
      <c r="M436" s="7">
        <f ca="1">IF(M$6=OFFSET(Assumptions!$B$8,0,$C$1),M$438,IF(L$6=OFFSET(Assumptions!$B$8,0,$C$1),SUM(L$438:M$438),IF(K$6=OFFSET(Assumptions!$B$8,0,$C$1),SUM(K$438:M$438),SUM(J$438:M$438))))/4</f>
        <v>0</v>
      </c>
      <c r="N436" s="7">
        <f ca="1">IF(N$6=OFFSET(Assumptions!$B$8,0,$C$1),N$438,IF(M$6=OFFSET(Assumptions!$B$8,0,$C$1),SUM(M$438:N$438),IF(L$6=OFFSET(Assumptions!$B$8,0,$C$1),SUM(L$438:N$438),SUM(K$438:N$438))))/4</f>
        <v>0</v>
      </c>
      <c r="O436" s="7">
        <f ca="1">IF(O$6=OFFSET(Assumptions!$B$8,0,$C$1),O$438,IF(N$6=OFFSET(Assumptions!$B$8,0,$C$1),SUM(N$438:O$438),IF(M$6=OFFSET(Assumptions!$B$8,0,$C$1),SUM(M$438:O$438),SUM(L$438:O$438))))/4</f>
        <v>0</v>
      </c>
      <c r="P436" s="7">
        <f ca="1">IF(P$6=OFFSET(Assumptions!$B$8,0,$C$1),P$438,IF(O$6=OFFSET(Assumptions!$B$8,0,$C$1),SUM(O$438:P$438),IF(N$6=OFFSET(Assumptions!$B$8,0,$C$1),SUM(N$438:P$438),SUM(M$438:P$438))))/4</f>
        <v>0</v>
      </c>
      <c r="Q436" s="7">
        <f ca="1">IF(Q$6=OFFSET(Assumptions!$B$8,0,$C$1),Q$438,IF(P$6=OFFSET(Assumptions!$B$8,0,$C$1),SUM(P$438:Q$438),IF(O$6=OFFSET(Assumptions!$B$8,0,$C$1),SUM(O$438:Q$438),SUM(N$438:Q$438))))/4</f>
        <v>0</v>
      </c>
      <c r="R436" s="7">
        <f ca="1">IF(R$6=OFFSET(Assumptions!$B$8,0,$C$1),R$438,IF(Q$6=OFFSET(Assumptions!$B$8,0,$C$1),SUM(Q$438:R$438),IF(P$6=OFFSET(Assumptions!$B$8,0,$C$1),SUM(P$438:R$438),SUM(O$438:R$438))))/4</f>
        <v>0</v>
      </c>
      <c r="S436" s="7">
        <f ca="1">IF(S$6=OFFSET(Assumptions!$B$8,0,$C$1),S$438,IF(R$6=OFFSET(Assumptions!$B$8,0,$C$1),SUM(R$438:S$438),IF(Q$6=OFFSET(Assumptions!$B$8,0,$C$1),SUM(Q$438:S$438),SUM(P$438:S$438))))/4</f>
        <v>0</v>
      </c>
      <c r="T436" s="7">
        <f ca="1">IF(T$6=OFFSET(Assumptions!$B$8,0,$C$1),T$438,IF(S$6=OFFSET(Assumptions!$B$8,0,$C$1),SUM(S$438:T$438),IF(R$6=OFFSET(Assumptions!$B$8,0,$C$1),SUM(R$438:T$438),SUM(Q$438:T$438))))/4</f>
        <v>0</v>
      </c>
      <c r="U436" s="7">
        <f ca="1">IF(U$6=OFFSET(Assumptions!$B$8,0,$C$1),U$438,IF(T$6=OFFSET(Assumptions!$B$8,0,$C$1),SUM(T$438:U$438),IF(S$6=OFFSET(Assumptions!$B$8,0,$C$1),SUM(S$438:U$438),SUM(R$438:U$438))))/4</f>
        <v>0</v>
      </c>
      <c r="V436" s="7">
        <f ca="1">IF(V$6=OFFSET(Assumptions!$B$8,0,$C$1),V$438,IF(U$6=OFFSET(Assumptions!$B$8,0,$C$1),SUM(U$438:V$438),IF(T$6=OFFSET(Assumptions!$B$8,0,$C$1),SUM(T$438:V$438),SUM(S$438:V$438))))/4</f>
        <v>0</v>
      </c>
      <c r="W436" s="7">
        <f ca="1">IF(W$6=OFFSET(Assumptions!$B$8,0,$C$1),W$438,IF(V$6=OFFSET(Assumptions!$B$8,0,$C$1),SUM(V$438:W$438),IF(U$6=OFFSET(Assumptions!$B$8,0,$C$1),SUM(U$438:W$438),SUM(T$438:W$438))))/4</f>
        <v>0</v>
      </c>
      <c r="X436" s="7">
        <f ca="1">IF(X$6=OFFSET(Assumptions!$B$8,0,$C$1),X$438,IF(W$6=OFFSET(Assumptions!$B$8,0,$C$1),SUM(W$438:X$438),IF(V$6=OFFSET(Assumptions!$B$8,0,$C$1),SUM(V$438:X$438),SUM(U$438:X$438))))/4</f>
        <v>0</v>
      </c>
      <c r="Y436" s="7">
        <f ca="1">IF(Y$6=OFFSET(Assumptions!$B$8,0,$C$1),Y$438,IF(X$6=OFFSET(Assumptions!$B$8,0,$C$1),SUM(X$438:Y$438),IF(W$6=OFFSET(Assumptions!$B$8,0,$C$1),SUM(W$438:Y$438),SUM(V$438:Y$438))))/4</f>
        <v>0</v>
      </c>
      <c r="Z436" s="7">
        <f ca="1">IF(Z$6=OFFSET(Assumptions!$B$8,0,$C$1),Z$438,IF(Y$6=OFFSET(Assumptions!$B$8,0,$C$1),SUM(Y$438:Z$438),IF(X$6=OFFSET(Assumptions!$B$8,0,$C$1),SUM(X$438:Z$438),SUM(W$438:Z$438))))/4</f>
        <v>0</v>
      </c>
      <c r="AA436" s="7">
        <f ca="1">IF(AA$6=OFFSET(Assumptions!$B$8,0,$C$1),AA$438,IF(Z$6=OFFSET(Assumptions!$B$8,0,$C$1),SUM(Z$438:AA$438),IF(Y$6=OFFSET(Assumptions!$B$8,0,$C$1),SUM(Y$438:AA$438),SUM(X$438:AA$438))))/4</f>
        <v>0</v>
      </c>
      <c r="AB436" s="7">
        <f ca="1">IF(AB$6=OFFSET(Assumptions!$B$8,0,$C$1),AB$438,IF(AA$6=OFFSET(Assumptions!$B$8,0,$C$1),SUM(AA$438:AB$438),IF(Z$6=OFFSET(Assumptions!$B$8,0,$C$1),SUM(Z$438:AB$438),SUM(Y$438:AB$438))))/4</f>
        <v>0</v>
      </c>
      <c r="AC436" s="7">
        <f ca="1">IF(AC$6=OFFSET(Assumptions!$B$8,0,$C$1),AC$438,IF(AB$6=OFFSET(Assumptions!$B$8,0,$C$1),SUM(AB$438:AC$438),IF(AA$6=OFFSET(Assumptions!$B$8,0,$C$1),SUM(AA$438:AC$438),SUM(Z$438:AC$438))))/4</f>
        <v>0</v>
      </c>
      <c r="AD436" s="7">
        <f ca="1">IF(AD$6=OFFSET(Assumptions!$B$8,0,$C$1),AD$438,IF(AC$6=OFFSET(Assumptions!$B$8,0,$C$1),SUM(AC$438:AD$438),IF(AB$6=OFFSET(Assumptions!$B$8,0,$C$1),SUM(AB$438:AD$438),SUM(AA$438:AD$438))))/4</f>
        <v>0</v>
      </c>
      <c r="AE436" s="7">
        <f ca="1">IF(AE$6=OFFSET(Assumptions!$B$8,0,$C$1),AE$438,IF(AD$6=OFFSET(Assumptions!$B$8,0,$C$1),SUM(AD$438:AE$438),IF(AC$6=OFFSET(Assumptions!$B$8,0,$C$1),SUM(AC$438:AE$438),SUM(AB$438:AE$438))))/4</f>
        <v>0</v>
      </c>
      <c r="AF436" s="7">
        <f ca="1">IF(AF$6=OFFSET(Assumptions!$B$8,0,$C$1),AF$438,IF(AE$6=OFFSET(Assumptions!$B$8,0,$C$1),SUM(AE$438:AF$438),IF(AD$6=OFFSET(Assumptions!$B$8,0,$C$1),SUM(AD$438:AF$438),SUM(AC$438:AF$438))))/4</f>
        <v>0</v>
      </c>
      <c r="AG436" s="7">
        <f ca="1">IF(AG$6=OFFSET(Assumptions!$B$8,0,$C$1),AG$438,IF(AF$6=OFFSET(Assumptions!$B$8,0,$C$1),SUM(AF$438:AG$438),IF(AE$6=OFFSET(Assumptions!$B$8,0,$C$1),SUM(AE$438:AG$438),SUM(AD$438:AG$438))))/4</f>
        <v>0</v>
      </c>
      <c r="AH436" s="7">
        <f ca="1">IF(AH$6=OFFSET(Assumptions!$B$8,0,$C$1),AH$438,IF(AG$6=OFFSET(Assumptions!$B$8,0,$C$1),SUM(AG$438:AH$438),IF(AF$6=OFFSET(Assumptions!$B$8,0,$C$1),SUM(AF$438:AH$438),SUM(AE$438:AH$438))))/4</f>
        <v>0</v>
      </c>
      <c r="AI436" s="7">
        <f ca="1">IF(AI$6=OFFSET(Assumptions!$B$8,0,$C$1),AI$438,IF(AH$6=OFFSET(Assumptions!$B$8,0,$C$1),SUM(AH$438:AI$438),IF(AG$6=OFFSET(Assumptions!$B$8,0,$C$1),SUM(AG$438:AI$438),SUM(AF$438:AI$438))))/4</f>
        <v>0</v>
      </c>
      <c r="AJ436" s="7">
        <f ca="1">IF(AJ$6=OFFSET(Assumptions!$B$8,0,$C$1),AJ$438,IF(AI$6=OFFSET(Assumptions!$B$8,0,$C$1),SUM(AI$438:AJ$438),IF(AH$6=OFFSET(Assumptions!$B$8,0,$C$1),SUM(AH$438:AJ$438),SUM(AG$438:AJ$438))))/4</f>
        <v>0</v>
      </c>
      <c r="AK436" s="7">
        <f ca="1">IF(AK$6=OFFSET(Assumptions!$B$8,0,$C$1),AK$438,IF(AJ$6=OFFSET(Assumptions!$B$8,0,$C$1),SUM(AJ$438:AK$438),IF(AI$6=OFFSET(Assumptions!$B$8,0,$C$1),SUM(AI$438:AK$438),SUM(AH$438:AK$438))))/4</f>
        <v>0</v>
      </c>
      <c r="AL436" s="7">
        <f ca="1">IF(AL$6=OFFSET(Assumptions!$B$8,0,$C$1),AL$438,IF(AK$6=OFFSET(Assumptions!$B$8,0,$C$1),SUM(AK$438:AL$438),IF(AJ$6=OFFSET(Assumptions!$B$8,0,$C$1),SUM(AJ$438:AL$438),SUM(AI$438:AL$438))))/4</f>
        <v>0</v>
      </c>
      <c r="AM436" s="7">
        <f ca="1">IF(AM$6=OFFSET(Assumptions!$B$8,0,$C$1),AM$438,IF(AL$6=OFFSET(Assumptions!$B$8,0,$C$1),SUM(AL$438:AM$438),IF(AK$6=OFFSET(Assumptions!$B$8,0,$C$1),SUM(AK$438:AM$438),SUM(AJ$438:AM$438))))/4</f>
        <v>0</v>
      </c>
      <c r="AN436" s="7">
        <f ca="1">IF(AN$6=OFFSET(Assumptions!$B$8,0,$C$1),AN$438,IF(AM$6=OFFSET(Assumptions!$B$8,0,$C$1),SUM(AM$438:AN$438),IF(AL$6=OFFSET(Assumptions!$B$8,0,$C$1),SUM(AL$438:AN$438),SUM(AK$438:AN$438))))/4</f>
        <v>0</v>
      </c>
      <c r="AO436" s="7">
        <f ca="1">IF(AO$6=OFFSET(Assumptions!$B$8,0,$C$1),AO$438,IF(AN$6=OFFSET(Assumptions!$B$8,0,$C$1),SUM(AN$438:AO$438),IF(AM$6=OFFSET(Assumptions!$B$8,0,$C$1),SUM(AM$438:AO$438),SUM(AL$438:AO$438))))/4</f>
        <v>0</v>
      </c>
      <c r="AP436" s="7">
        <f ca="1">IF(AP$6=OFFSET(Assumptions!$B$8,0,$C$1),AP$438,IF(AO$6=OFFSET(Assumptions!$B$8,0,$C$1),SUM(AO$438:AP$438),IF(AN$6=OFFSET(Assumptions!$B$8,0,$C$1),SUM(AN$438:AP$438),SUM(AM$438:AP$438))))/4</f>
        <v>0</v>
      </c>
      <c r="AQ436" s="7">
        <f ca="1">IF(AQ$6=OFFSET(Assumptions!$B$8,0,$C$1),AQ$438,IF(AP$6=OFFSET(Assumptions!$B$8,0,$C$1),SUM(AP$438:AQ$438),IF(AO$6=OFFSET(Assumptions!$B$8,0,$C$1),SUM(AO$438:AQ$438),SUM(AN$438:AQ$438))))/4</f>
        <v>0</v>
      </c>
      <c r="AR436" s="7">
        <f ca="1">IF(AR$6=OFFSET(Assumptions!$B$8,0,$C$1),AR$438,IF(AQ$6=OFFSET(Assumptions!$B$8,0,$C$1),SUM(AQ$438:AR$438),IF(AP$6=OFFSET(Assumptions!$B$8,0,$C$1),SUM(AP$438:AR$438),SUM(AO$438:AR$438))))/4</f>
        <v>0</v>
      </c>
      <c r="AS436" s="7">
        <f ca="1">IF(AS$6=OFFSET(Assumptions!$B$8,0,$C$1),AS$438,IF(AR$6=OFFSET(Assumptions!$B$8,0,$C$1),SUM(AR$438:AS$438),IF(AQ$6=OFFSET(Assumptions!$B$8,0,$C$1),SUM(AQ$438:AS$438),SUM(AP$438:AS$438))))/4</f>
        <v>0</v>
      </c>
      <c r="AT436" s="7">
        <f ca="1">IF(AT$6=OFFSET(Assumptions!$B$8,0,$C$1),AT$438,IF(AS$6=OFFSET(Assumptions!$B$8,0,$C$1),SUM(AS$438:AT$438),IF(AR$6=OFFSET(Assumptions!$B$8,0,$C$1),SUM(AR$438:AT$438),SUM(AQ$438:AT$438))))/4</f>
        <v>0</v>
      </c>
      <c r="AU436" s="7">
        <f ca="1">IF(AU$6=OFFSET(Assumptions!$B$8,0,$C$1),AU$438,IF(AT$6=OFFSET(Assumptions!$B$8,0,$C$1),SUM(AT$438:AU$438),IF(AS$6=OFFSET(Assumptions!$B$8,0,$C$1),SUM(AS$438:AU$438),SUM(AR$438:AU$438))))/4</f>
        <v>0</v>
      </c>
      <c r="AV436" s="7">
        <f ca="1">IF(AV$6=OFFSET(Assumptions!$B$8,0,$C$1),AV$438,IF(AU$6=OFFSET(Assumptions!$B$8,0,$C$1),SUM(AU$438:AV$438),IF(AT$6=OFFSET(Assumptions!$B$8,0,$C$1),SUM(AT$438:AV$438),SUM(AS$438:AV$438))))/4</f>
        <v>0</v>
      </c>
      <c r="AW436" s="7">
        <f ca="1">IF(AW$6=OFFSET(Assumptions!$B$8,0,$C$1),AW$438,IF(AV$6=OFFSET(Assumptions!$B$8,0,$C$1),SUM(AV$438:AW$438),IF(AU$6=OFFSET(Assumptions!$B$8,0,$C$1),SUM(AU$438:AW$438),SUM(AT$438:AW$438))))/4</f>
        <v>0</v>
      </c>
    </row>
    <row r="437" spans="1:49" ht="15" x14ac:dyDescent="0.25">
      <c r="A437" s="2" t="s">
        <v>665</v>
      </c>
      <c r="B437" s="4"/>
      <c r="D437" s="40">
        <f t="shared" ref="D437:AW437" ca="1" si="262">SUM(D$430:D$436)</f>
        <v>0</v>
      </c>
      <c r="E437" s="39">
        <f t="shared" ca="1" si="262"/>
        <v>0</v>
      </c>
      <c r="F437" s="39">
        <f t="shared" ca="1" si="262"/>
        <v>0</v>
      </c>
      <c r="G437" s="39">
        <f t="shared" ca="1" si="262"/>
        <v>0</v>
      </c>
      <c r="H437" s="39">
        <f t="shared" ca="1" si="262"/>
        <v>0</v>
      </c>
      <c r="I437" s="39">
        <f t="shared" ca="1" si="262"/>
        <v>0</v>
      </c>
      <c r="J437" s="43">
        <f t="shared" ca="1" si="262"/>
        <v>0</v>
      </c>
      <c r="K437" s="43">
        <f t="shared" ca="1" si="262"/>
        <v>0</v>
      </c>
      <c r="L437" s="43">
        <f t="shared" ca="1" si="262"/>
        <v>0</v>
      </c>
      <c r="M437" s="43">
        <f t="shared" ca="1" si="262"/>
        <v>0</v>
      </c>
      <c r="N437" s="43">
        <f t="shared" ca="1" si="262"/>
        <v>0</v>
      </c>
      <c r="O437" s="43">
        <f t="shared" ca="1" si="262"/>
        <v>0</v>
      </c>
      <c r="P437" s="43">
        <f t="shared" ca="1" si="262"/>
        <v>0</v>
      </c>
      <c r="Q437" s="43">
        <f t="shared" ca="1" si="262"/>
        <v>0</v>
      </c>
      <c r="R437" s="43">
        <f t="shared" ca="1" si="262"/>
        <v>0</v>
      </c>
      <c r="S437" s="43">
        <f t="shared" ca="1" si="262"/>
        <v>0</v>
      </c>
      <c r="T437" s="43">
        <f t="shared" ca="1" si="262"/>
        <v>0</v>
      </c>
      <c r="U437" s="43">
        <f t="shared" ca="1" si="262"/>
        <v>0</v>
      </c>
      <c r="V437" s="43">
        <f t="shared" ca="1" si="262"/>
        <v>0</v>
      </c>
      <c r="W437" s="43">
        <f t="shared" ca="1" si="262"/>
        <v>0</v>
      </c>
      <c r="X437" s="43">
        <f t="shared" ca="1" si="262"/>
        <v>0</v>
      </c>
      <c r="Y437" s="43">
        <f t="shared" ca="1" si="262"/>
        <v>0</v>
      </c>
      <c r="Z437" s="43">
        <f t="shared" ca="1" si="262"/>
        <v>0</v>
      </c>
      <c r="AA437" s="43">
        <f t="shared" ca="1" si="262"/>
        <v>0</v>
      </c>
      <c r="AB437" s="43">
        <f t="shared" ca="1" si="262"/>
        <v>0</v>
      </c>
      <c r="AC437" s="43">
        <f t="shared" ca="1" si="262"/>
        <v>0</v>
      </c>
      <c r="AD437" s="43">
        <f t="shared" ca="1" si="262"/>
        <v>0</v>
      </c>
      <c r="AE437" s="43">
        <f t="shared" ca="1" si="262"/>
        <v>0</v>
      </c>
      <c r="AF437" s="43">
        <f t="shared" ca="1" si="262"/>
        <v>0</v>
      </c>
      <c r="AG437" s="43">
        <f t="shared" ca="1" si="262"/>
        <v>0</v>
      </c>
      <c r="AH437" s="43">
        <f t="shared" ca="1" si="262"/>
        <v>0</v>
      </c>
      <c r="AI437" s="43">
        <f t="shared" ca="1" si="262"/>
        <v>0</v>
      </c>
      <c r="AJ437" s="43">
        <f t="shared" ca="1" si="262"/>
        <v>0</v>
      </c>
      <c r="AK437" s="43">
        <f t="shared" ca="1" si="262"/>
        <v>0</v>
      </c>
      <c r="AL437" s="43">
        <f t="shared" ca="1" si="262"/>
        <v>0</v>
      </c>
      <c r="AM437" s="43">
        <f t="shared" ca="1" si="262"/>
        <v>0</v>
      </c>
      <c r="AN437" s="43">
        <f t="shared" ca="1" si="262"/>
        <v>0</v>
      </c>
      <c r="AO437" s="43">
        <f t="shared" ca="1" si="262"/>
        <v>0</v>
      </c>
      <c r="AP437" s="43">
        <f t="shared" ca="1" si="262"/>
        <v>0</v>
      </c>
      <c r="AQ437" s="43">
        <f t="shared" ca="1" si="262"/>
        <v>0</v>
      </c>
      <c r="AR437" s="43">
        <f t="shared" ca="1" si="262"/>
        <v>0</v>
      </c>
      <c r="AS437" s="43">
        <f t="shared" ca="1" si="262"/>
        <v>0</v>
      </c>
      <c r="AT437" s="43">
        <f t="shared" ca="1" si="262"/>
        <v>0</v>
      </c>
      <c r="AU437" s="43">
        <f t="shared" ca="1" si="262"/>
        <v>0</v>
      </c>
      <c r="AV437" s="43">
        <f t="shared" ca="1" si="262"/>
        <v>0</v>
      </c>
      <c r="AW437" s="43">
        <f t="shared" ca="1" si="262"/>
        <v>0</v>
      </c>
    </row>
    <row r="438" spans="1:49" ht="15" x14ac:dyDescent="0.25">
      <c r="A438" s="2" t="s">
        <v>666</v>
      </c>
      <c r="B438" s="4" t="str">
        <f t="shared" ref="B438:B443" si="263">$B$43</f>
        <v>From Fiscal</v>
      </c>
      <c r="D438" s="18">
        <f>Fiscal!D$278</f>
        <v>0</v>
      </c>
      <c r="E438" s="19">
        <f ca="1">IF(OFFSET(Assumptions!$B$109,0,$C$1)="BU",0,Fiscal!E$278)</f>
        <v>0</v>
      </c>
      <c r="F438" s="19">
        <f ca="1">IF(OFFSET(Assumptions!$B$109,0,$C$1)="BU",0,Fiscal!F$278)</f>
        <v>0</v>
      </c>
      <c r="G438" s="19">
        <f ca="1">IF(OFFSET(Assumptions!$B$109,0,$C$1)="BU",0,Fiscal!G$278)</f>
        <v>0</v>
      </c>
      <c r="H438" s="19">
        <f ca="1">IF(OFFSET(Assumptions!$B$109,0,$C$1)="BU",0,Fiscal!H$278)</f>
        <v>0</v>
      </c>
      <c r="I438" s="19">
        <f ca="1">IF(OFFSET(Assumptions!$B$109,0,$C$1)="BU",0,Fiscal!I$278)</f>
        <v>0</v>
      </c>
      <c r="J438" s="7">
        <f ca="1">IF(OFFSET(Assumptions!$B$109,0,$C$1)="BU",0,IF(J$6=OFFSET(Assumptions!$B$8,0,$C$1),OFFSET(Assumptions!$B$57,0,$C$1),I$438*(1+OFFSET(Assumptions!$B$58,0,$C$1))))</f>
        <v>0</v>
      </c>
      <c r="K438" s="7">
        <f ca="1">IF(OFFSET(Assumptions!$B$109,0,$C$1)="BU",0,IF(K$6=OFFSET(Assumptions!$B$8,0,$C$1),OFFSET(Assumptions!$B$57,0,$C$1),J$438*(1+OFFSET(Assumptions!$B$58,0,$C$1))))</f>
        <v>0</v>
      </c>
      <c r="L438" s="7">
        <f ca="1">IF(OFFSET(Assumptions!$B$109,0,$C$1)="BU",0,IF(L$6=OFFSET(Assumptions!$B$8,0,$C$1),OFFSET(Assumptions!$B$57,0,$C$1),K$438*(1+OFFSET(Assumptions!$B$58,0,$C$1))))</f>
        <v>0</v>
      </c>
      <c r="M438" s="7">
        <f ca="1">IF(OFFSET(Assumptions!$B$109,0,$C$1)="BU",0,IF(M$6=OFFSET(Assumptions!$B$8,0,$C$1),OFFSET(Assumptions!$B$57,0,$C$1),L$438*(1+OFFSET(Assumptions!$B$58,0,$C$1))))</f>
        <v>0</v>
      </c>
      <c r="N438" s="7">
        <f ca="1">IF(OFFSET(Assumptions!$B$109,0,$C$1)="BU",0,IF(N$6=OFFSET(Assumptions!$B$8,0,$C$1),OFFSET(Assumptions!$B$57,0,$C$1),M$438*(1+OFFSET(Assumptions!$B$58,0,$C$1))))</f>
        <v>0</v>
      </c>
      <c r="O438" s="7">
        <f ca="1">IF(OFFSET(Assumptions!$B$109,0,$C$1)="BU",0,IF(O$6=OFFSET(Assumptions!$B$8,0,$C$1),OFFSET(Assumptions!$B$57,0,$C$1),N$438*(1+OFFSET(Assumptions!$B$58,0,$C$1))))</f>
        <v>0</v>
      </c>
      <c r="P438" s="7">
        <f ca="1">IF(OFFSET(Assumptions!$B$109,0,$C$1)="BU",0,IF(P$6=OFFSET(Assumptions!$B$8,0,$C$1),OFFSET(Assumptions!$B$57,0,$C$1),O$438*(1+OFFSET(Assumptions!$B$58,0,$C$1))))</f>
        <v>0</v>
      </c>
      <c r="Q438" s="7">
        <f ca="1">IF(OFFSET(Assumptions!$B$109,0,$C$1)="BU",0,IF(Q$6=OFFSET(Assumptions!$B$8,0,$C$1),OFFSET(Assumptions!$B$57,0,$C$1),P$438*(1+OFFSET(Assumptions!$B$58,0,$C$1))))</f>
        <v>0</v>
      </c>
      <c r="R438" s="7">
        <f ca="1">IF(OFFSET(Assumptions!$B$109,0,$C$1)="BU",0,IF(R$6=OFFSET(Assumptions!$B$8,0,$C$1),OFFSET(Assumptions!$B$57,0,$C$1),Q$438*(1+OFFSET(Assumptions!$B$58,0,$C$1))))</f>
        <v>0</v>
      </c>
      <c r="S438" s="7">
        <f ca="1">IF(OFFSET(Assumptions!$B$109,0,$C$1)="BU",0,IF(S$6=OFFSET(Assumptions!$B$8,0,$C$1),OFFSET(Assumptions!$B$57,0,$C$1),R$438*(1+OFFSET(Assumptions!$B$58,0,$C$1))))</f>
        <v>0</v>
      </c>
      <c r="T438" s="7">
        <f ca="1">IF(OFFSET(Assumptions!$B$109,0,$C$1)="BU",0,IF(T$6=OFFSET(Assumptions!$B$8,0,$C$1),OFFSET(Assumptions!$B$57,0,$C$1),S$438*(1+OFFSET(Assumptions!$B$58,0,$C$1))))</f>
        <v>0</v>
      </c>
      <c r="U438" s="7">
        <f ca="1">IF(OFFSET(Assumptions!$B$109,0,$C$1)="BU",0,IF(U$6=OFFSET(Assumptions!$B$8,0,$C$1),OFFSET(Assumptions!$B$57,0,$C$1),T$438*(1+OFFSET(Assumptions!$B$58,0,$C$1))))</f>
        <v>0</v>
      </c>
      <c r="V438" s="7">
        <f ca="1">IF(OFFSET(Assumptions!$B$109,0,$C$1)="BU",0,IF(V$6=OFFSET(Assumptions!$B$8,0,$C$1),OFFSET(Assumptions!$B$57,0,$C$1),U$438*(1+OFFSET(Assumptions!$B$58,0,$C$1))))</f>
        <v>0</v>
      </c>
      <c r="W438" s="7">
        <f ca="1">IF(OFFSET(Assumptions!$B$109,0,$C$1)="BU",0,IF(W$6=OFFSET(Assumptions!$B$8,0,$C$1),OFFSET(Assumptions!$B$57,0,$C$1),V$438*(1+OFFSET(Assumptions!$B$58,0,$C$1))))</f>
        <v>0</v>
      </c>
      <c r="X438" s="7">
        <f ca="1">IF(OFFSET(Assumptions!$B$109,0,$C$1)="BU",0,IF(X$6=OFFSET(Assumptions!$B$8,0,$C$1),OFFSET(Assumptions!$B$57,0,$C$1),W$438*(1+OFFSET(Assumptions!$B$58,0,$C$1))))</f>
        <v>0</v>
      </c>
      <c r="Y438" s="7">
        <f ca="1">IF(OFFSET(Assumptions!$B$109,0,$C$1)="BU",0,IF(Y$6=OFFSET(Assumptions!$B$8,0,$C$1),OFFSET(Assumptions!$B$57,0,$C$1),X$438*(1+OFFSET(Assumptions!$B$58,0,$C$1))))</f>
        <v>0</v>
      </c>
      <c r="Z438" s="7">
        <f ca="1">IF(OFFSET(Assumptions!$B$109,0,$C$1)="BU",0,IF(Z$6=OFFSET(Assumptions!$B$8,0,$C$1),OFFSET(Assumptions!$B$57,0,$C$1),Y$438*(1+OFFSET(Assumptions!$B$58,0,$C$1))))</f>
        <v>0</v>
      </c>
      <c r="AA438" s="7">
        <f ca="1">IF(OFFSET(Assumptions!$B$109,0,$C$1)="BU",0,IF(AA$6=OFFSET(Assumptions!$B$8,0,$C$1),OFFSET(Assumptions!$B$57,0,$C$1),Z$438*(1+OFFSET(Assumptions!$B$58,0,$C$1))))</f>
        <v>0</v>
      </c>
      <c r="AB438" s="7">
        <f ca="1">IF(OFFSET(Assumptions!$B$109,0,$C$1)="BU",0,IF(AB$6=OFFSET(Assumptions!$B$8,0,$C$1),OFFSET(Assumptions!$B$57,0,$C$1),AA$438*(1+OFFSET(Assumptions!$B$58,0,$C$1))))</f>
        <v>0</v>
      </c>
      <c r="AC438" s="7">
        <f ca="1">IF(OFFSET(Assumptions!$B$109,0,$C$1)="BU",0,IF(AC$6=OFFSET(Assumptions!$B$8,0,$C$1),OFFSET(Assumptions!$B$57,0,$C$1),AB$438*(1+OFFSET(Assumptions!$B$58,0,$C$1))))</f>
        <v>0</v>
      </c>
      <c r="AD438" s="7">
        <f ca="1">IF(OFFSET(Assumptions!$B$109,0,$C$1)="BU",0,IF(AD$6=OFFSET(Assumptions!$B$8,0,$C$1),OFFSET(Assumptions!$B$57,0,$C$1),AC$438*(1+OFFSET(Assumptions!$B$58,0,$C$1))))</f>
        <v>0</v>
      </c>
      <c r="AE438" s="7">
        <f ca="1">IF(OFFSET(Assumptions!$B$109,0,$C$1)="BU",0,IF(AE$6=OFFSET(Assumptions!$B$8,0,$C$1),OFFSET(Assumptions!$B$57,0,$C$1),AD$438*(1+OFFSET(Assumptions!$B$58,0,$C$1))))</f>
        <v>0</v>
      </c>
      <c r="AF438" s="7">
        <f ca="1">IF(OFFSET(Assumptions!$B$109,0,$C$1)="BU",0,IF(AF$6=OFFSET(Assumptions!$B$8,0,$C$1),OFFSET(Assumptions!$B$57,0,$C$1),AE$438*(1+OFFSET(Assumptions!$B$58,0,$C$1))))</f>
        <v>0</v>
      </c>
      <c r="AG438" s="7">
        <f ca="1">IF(OFFSET(Assumptions!$B$109,0,$C$1)="BU",0,IF(AG$6=OFFSET(Assumptions!$B$8,0,$C$1),OFFSET(Assumptions!$B$57,0,$C$1),AF$438*(1+OFFSET(Assumptions!$B$58,0,$C$1))))</f>
        <v>0</v>
      </c>
      <c r="AH438" s="7">
        <f ca="1">IF(OFFSET(Assumptions!$B$109,0,$C$1)="BU",0,IF(AH$6=OFFSET(Assumptions!$B$8,0,$C$1),OFFSET(Assumptions!$B$57,0,$C$1),AG$438*(1+OFFSET(Assumptions!$B$58,0,$C$1))))</f>
        <v>0</v>
      </c>
      <c r="AI438" s="7">
        <f ca="1">IF(OFFSET(Assumptions!$B$109,0,$C$1)="BU",0,IF(AI$6=OFFSET(Assumptions!$B$8,0,$C$1),OFFSET(Assumptions!$B$57,0,$C$1),AH$438*(1+OFFSET(Assumptions!$B$58,0,$C$1))))</f>
        <v>0</v>
      </c>
      <c r="AJ438" s="7">
        <f ca="1">IF(OFFSET(Assumptions!$B$109,0,$C$1)="BU",0,IF(AJ$6=OFFSET(Assumptions!$B$8,0,$C$1),OFFSET(Assumptions!$B$57,0,$C$1),AI$438*(1+OFFSET(Assumptions!$B$58,0,$C$1))))</f>
        <v>0</v>
      </c>
      <c r="AK438" s="7">
        <f ca="1">IF(OFFSET(Assumptions!$B$109,0,$C$1)="BU",0,IF(AK$6=OFFSET(Assumptions!$B$8,0,$C$1),OFFSET(Assumptions!$B$57,0,$C$1),AJ$438*(1+OFFSET(Assumptions!$B$58,0,$C$1))))</f>
        <v>0</v>
      </c>
      <c r="AL438" s="7">
        <f ca="1">IF(OFFSET(Assumptions!$B$109,0,$C$1)="BU",0,IF(AL$6=OFFSET(Assumptions!$B$8,0,$C$1),OFFSET(Assumptions!$B$57,0,$C$1),AK$438*(1+OFFSET(Assumptions!$B$58,0,$C$1))))</f>
        <v>0</v>
      </c>
      <c r="AM438" s="7">
        <f ca="1">IF(OFFSET(Assumptions!$B$109,0,$C$1)="BU",0,IF(AM$6=OFFSET(Assumptions!$B$8,0,$C$1),OFFSET(Assumptions!$B$57,0,$C$1),AL$438*(1+OFFSET(Assumptions!$B$58,0,$C$1))))</f>
        <v>0</v>
      </c>
      <c r="AN438" s="7">
        <f ca="1">IF(OFFSET(Assumptions!$B$109,0,$C$1)="BU",0,IF(AN$6=OFFSET(Assumptions!$B$8,0,$C$1),OFFSET(Assumptions!$B$57,0,$C$1),AM$438*(1+OFFSET(Assumptions!$B$58,0,$C$1))))</f>
        <v>0</v>
      </c>
      <c r="AO438" s="7">
        <f ca="1">IF(OFFSET(Assumptions!$B$109,0,$C$1)="BU",0,IF(AO$6=OFFSET(Assumptions!$B$8,0,$C$1),OFFSET(Assumptions!$B$57,0,$C$1),AN$438*(1+OFFSET(Assumptions!$B$58,0,$C$1))))</f>
        <v>0</v>
      </c>
      <c r="AP438" s="7">
        <f ca="1">IF(OFFSET(Assumptions!$B$109,0,$C$1)="BU",0,IF(AP$6=OFFSET(Assumptions!$B$8,0,$C$1),OFFSET(Assumptions!$B$57,0,$C$1),AO$438*(1+OFFSET(Assumptions!$B$58,0,$C$1))))</f>
        <v>0</v>
      </c>
      <c r="AQ438" s="7">
        <f ca="1">IF(OFFSET(Assumptions!$B$109,0,$C$1)="BU",0,IF(AQ$6=OFFSET(Assumptions!$B$8,0,$C$1),OFFSET(Assumptions!$B$57,0,$C$1),AP$438*(1+OFFSET(Assumptions!$B$58,0,$C$1))))</f>
        <v>0</v>
      </c>
      <c r="AR438" s="7">
        <f ca="1">IF(OFFSET(Assumptions!$B$109,0,$C$1)="BU",0,IF(AR$6=OFFSET(Assumptions!$B$8,0,$C$1),OFFSET(Assumptions!$B$57,0,$C$1),AQ$438*(1+OFFSET(Assumptions!$B$58,0,$C$1))))</f>
        <v>0</v>
      </c>
      <c r="AS438" s="7">
        <f ca="1">IF(OFFSET(Assumptions!$B$109,0,$C$1)="BU",0,IF(AS$6=OFFSET(Assumptions!$B$8,0,$C$1),OFFSET(Assumptions!$B$57,0,$C$1),AR$438*(1+OFFSET(Assumptions!$B$58,0,$C$1))))</f>
        <v>0</v>
      </c>
      <c r="AT438" s="7">
        <f ca="1">IF(OFFSET(Assumptions!$B$109,0,$C$1)="BU",0,IF(AT$6=OFFSET(Assumptions!$B$8,0,$C$1),OFFSET(Assumptions!$B$57,0,$C$1),AS$438*(1+OFFSET(Assumptions!$B$58,0,$C$1))))</f>
        <v>0</v>
      </c>
      <c r="AU438" s="7">
        <f ca="1">IF(OFFSET(Assumptions!$B$109,0,$C$1)="BU",0,IF(AU$6=OFFSET(Assumptions!$B$8,0,$C$1),OFFSET(Assumptions!$B$57,0,$C$1),AT$438*(1+OFFSET(Assumptions!$B$58,0,$C$1))))</f>
        <v>0</v>
      </c>
      <c r="AV438" s="7">
        <f ca="1">IF(OFFSET(Assumptions!$B$109,0,$C$1)="BU",0,IF(AV$6=OFFSET(Assumptions!$B$8,0,$C$1),OFFSET(Assumptions!$B$57,0,$C$1),AU$438*(1+OFFSET(Assumptions!$B$58,0,$C$1))))</f>
        <v>0</v>
      </c>
      <c r="AW438" s="7">
        <f ca="1">IF(OFFSET(Assumptions!$B$109,0,$C$1)="BU",0,IF(AW$6=OFFSET(Assumptions!$B$8,0,$C$1),OFFSET(Assumptions!$B$57,0,$C$1),AV$438*(1+OFFSET(Assumptions!$B$58,0,$C$1))))</f>
        <v>0</v>
      </c>
    </row>
    <row r="439" spans="1:49" ht="15" x14ac:dyDescent="0.25">
      <c r="A439" s="2" t="s">
        <v>667</v>
      </c>
      <c r="B439" s="4" t="str">
        <f t="shared" si="263"/>
        <v>From Fiscal</v>
      </c>
      <c r="D439" s="47">
        <f>Fiscal!D$124</f>
        <v>0</v>
      </c>
      <c r="E439" s="44">
        <f ca="1">IF(OFFSET(Assumptions!$B$109,0,$C$1)="BU",0,Fiscal!E$124)</f>
        <v>0</v>
      </c>
      <c r="F439" s="44">
        <f ca="1">IF(OFFSET(Assumptions!$B$109,0,$C$1)="BU",0,Fiscal!F$124)</f>
        <v>0</v>
      </c>
      <c r="G439" s="44">
        <f ca="1">IF(OFFSET(Assumptions!$B$109,0,$C$1)="BU",0,Fiscal!G$124)</f>
        <v>0</v>
      </c>
      <c r="H439" s="44">
        <f ca="1">IF(OFFSET(Assumptions!$B$109,0,$C$1)="BU",0,Fiscal!H$124)</f>
        <v>0</v>
      </c>
      <c r="I439" s="44">
        <f ca="1">IF(OFFSET(Assumptions!$B$109,0,$C$1)="BU",0,Fiscal!I$124)</f>
        <v>0</v>
      </c>
      <c r="J439" s="8">
        <f ca="1">SUM($D$437:J$437)</f>
        <v>0</v>
      </c>
      <c r="K439" s="8">
        <f ca="1">SUM($D$437:K$437)</f>
        <v>0</v>
      </c>
      <c r="L439" s="8">
        <f ca="1">SUM($D$437:L$437)</f>
        <v>0</v>
      </c>
      <c r="M439" s="8">
        <f ca="1">SUM($D$437:M$437)</f>
        <v>0</v>
      </c>
      <c r="N439" s="8">
        <f ca="1">SUM($D$437:N$437)</f>
        <v>0</v>
      </c>
      <c r="O439" s="8">
        <f ca="1">SUM($D$437:O$437)</f>
        <v>0</v>
      </c>
      <c r="P439" s="8">
        <f ca="1">SUM($D$437:P$437)</f>
        <v>0</v>
      </c>
      <c r="Q439" s="8">
        <f ca="1">SUM($D$437:Q$437)</f>
        <v>0</v>
      </c>
      <c r="R439" s="8">
        <f ca="1">SUM($D$437:R$437)</f>
        <v>0</v>
      </c>
      <c r="S439" s="8">
        <f ca="1">SUM($D$437:S$437)</f>
        <v>0</v>
      </c>
      <c r="T439" s="8">
        <f ca="1">SUM($D$437:T$437)</f>
        <v>0</v>
      </c>
      <c r="U439" s="8">
        <f ca="1">SUM($D$437:U$437)</f>
        <v>0</v>
      </c>
      <c r="V439" s="8">
        <f ca="1">SUM($D$437:V$437)</f>
        <v>0</v>
      </c>
      <c r="W439" s="8">
        <f ca="1">SUM($D$437:W$437)</f>
        <v>0</v>
      </c>
      <c r="X439" s="8">
        <f ca="1">SUM($D$437:X$437)</f>
        <v>0</v>
      </c>
      <c r="Y439" s="8">
        <f ca="1">SUM($D$437:Y$437)</f>
        <v>0</v>
      </c>
      <c r="Z439" s="8">
        <f ca="1">SUM($D$437:Z$437)</f>
        <v>0</v>
      </c>
      <c r="AA439" s="8">
        <f ca="1">SUM($D$437:AA$437)</f>
        <v>0</v>
      </c>
      <c r="AB439" s="8">
        <f ca="1">SUM($D$437:AB$437)</f>
        <v>0</v>
      </c>
      <c r="AC439" s="8">
        <f ca="1">SUM($D$437:AC$437)</f>
        <v>0</v>
      </c>
      <c r="AD439" s="8">
        <f ca="1">SUM($D$437:AD$437)</f>
        <v>0</v>
      </c>
      <c r="AE439" s="8">
        <f ca="1">SUM($D$437:AE$437)</f>
        <v>0</v>
      </c>
      <c r="AF439" s="8">
        <f ca="1">SUM($D$437:AF$437)</f>
        <v>0</v>
      </c>
      <c r="AG439" s="8">
        <f ca="1">SUM($D$437:AG$437)</f>
        <v>0</v>
      </c>
      <c r="AH439" s="8">
        <f ca="1">SUM($D$437:AH$437)</f>
        <v>0</v>
      </c>
      <c r="AI439" s="8">
        <f ca="1">SUM($D$437:AI$437)</f>
        <v>0</v>
      </c>
      <c r="AJ439" s="8">
        <f ca="1">SUM($D$437:AJ$437)</f>
        <v>0</v>
      </c>
      <c r="AK439" s="8">
        <f ca="1">SUM($D$437:AK$437)</f>
        <v>0</v>
      </c>
      <c r="AL439" s="8">
        <f ca="1">SUM($D$437:AL$437)</f>
        <v>0</v>
      </c>
      <c r="AM439" s="8">
        <f ca="1">SUM($D$437:AM$437)</f>
        <v>0</v>
      </c>
      <c r="AN439" s="8">
        <f ca="1">SUM($D$437:AN$437)</f>
        <v>0</v>
      </c>
      <c r="AO439" s="8">
        <f ca="1">SUM($D$437:AO$437)</f>
        <v>0</v>
      </c>
      <c r="AP439" s="8">
        <f ca="1">SUM($D$437:AP$437)</f>
        <v>0</v>
      </c>
      <c r="AQ439" s="8">
        <f ca="1">SUM($D$437:AQ$437)</f>
        <v>0</v>
      </c>
      <c r="AR439" s="8">
        <f ca="1">SUM($D$437:AR$437)</f>
        <v>0</v>
      </c>
      <c r="AS439" s="8">
        <f ca="1">SUM($D$437:AS$437)</f>
        <v>0</v>
      </c>
      <c r="AT439" s="8">
        <f ca="1">SUM($D$437:AT$437)</f>
        <v>0</v>
      </c>
      <c r="AU439" s="8">
        <f ca="1">SUM($D$437:AU$437)</f>
        <v>0</v>
      </c>
      <c r="AV439" s="8">
        <f ca="1">SUM($D$437:AV$437)</f>
        <v>0</v>
      </c>
      <c r="AW439" s="8">
        <f ca="1">SUM($D$437:AW$437)</f>
        <v>0</v>
      </c>
    </row>
    <row r="440" spans="1:49" ht="15" x14ac:dyDescent="0.25">
      <c r="A440" s="2" t="s">
        <v>668</v>
      </c>
      <c r="B440" s="4" t="str">
        <f t="shared" si="263"/>
        <v>From Fiscal</v>
      </c>
      <c r="D440" s="47">
        <f>Fiscal!D$125</f>
        <v>0</v>
      </c>
      <c r="E440" s="44">
        <f ca="1">IF(OFFSET(Assumptions!$B$109,0,$C$1)="BU",0,Fiscal!E$125)</f>
        <v>0</v>
      </c>
      <c r="F440" s="44">
        <f ca="1">IF(OFFSET(Assumptions!$B$109,0,$C$1)="BU",0,Fiscal!F$125)</f>
        <v>0</v>
      </c>
      <c r="G440" s="44">
        <f ca="1">IF(OFFSET(Assumptions!$B$109,0,$C$1)="BU",0,Fiscal!G$125)</f>
        <v>0</v>
      </c>
      <c r="H440" s="44">
        <f ca="1">IF(OFFSET(Assumptions!$B$109,0,$C$1)="BU",0,Fiscal!H$125)</f>
        <v>0</v>
      </c>
      <c r="I440" s="44">
        <f ca="1">IF(OFFSET(Assumptions!$B$109,0,$C$1)="BU",0,Fiscal!I$125)</f>
        <v>0</v>
      </c>
      <c r="J440" s="8">
        <f ca="1">I$440*(1+OFFSET(Assumptions!$B$58,0,$C$1))</f>
        <v>0</v>
      </c>
      <c r="K440" s="8">
        <f ca="1">J$440*(1+OFFSET(Assumptions!$B$58,0,$C$1))</f>
        <v>0</v>
      </c>
      <c r="L440" s="8">
        <f ca="1">K$440*(1+OFFSET(Assumptions!$B$58,0,$C$1))</f>
        <v>0</v>
      </c>
      <c r="M440" s="8">
        <f ca="1">L$440*(1+OFFSET(Assumptions!$B$58,0,$C$1))</f>
        <v>0</v>
      </c>
      <c r="N440" s="8">
        <f ca="1">M$440*(1+OFFSET(Assumptions!$B$58,0,$C$1))</f>
        <v>0</v>
      </c>
      <c r="O440" s="8">
        <f ca="1">N$440*(1+OFFSET(Assumptions!$B$58,0,$C$1))</f>
        <v>0</v>
      </c>
      <c r="P440" s="8">
        <f ca="1">O$440*(1+OFFSET(Assumptions!$B$58,0,$C$1))</f>
        <v>0</v>
      </c>
      <c r="Q440" s="8">
        <f ca="1">P$440*(1+OFFSET(Assumptions!$B$58,0,$C$1))</f>
        <v>0</v>
      </c>
      <c r="R440" s="8">
        <f ca="1">Q$440*(1+OFFSET(Assumptions!$B$58,0,$C$1))</f>
        <v>0</v>
      </c>
      <c r="S440" s="8">
        <f ca="1">R$440*(1+OFFSET(Assumptions!$B$58,0,$C$1))</f>
        <v>0</v>
      </c>
      <c r="T440" s="8">
        <f ca="1">S$440*(1+OFFSET(Assumptions!$B$58,0,$C$1))</f>
        <v>0</v>
      </c>
      <c r="U440" s="8">
        <f ca="1">T$440*(1+OFFSET(Assumptions!$B$58,0,$C$1))</f>
        <v>0</v>
      </c>
      <c r="V440" s="8">
        <f ca="1">U$440*(1+OFFSET(Assumptions!$B$58,0,$C$1))</f>
        <v>0</v>
      </c>
      <c r="W440" s="8">
        <f ca="1">V$440*(1+OFFSET(Assumptions!$B$58,0,$C$1))</f>
        <v>0</v>
      </c>
      <c r="X440" s="8">
        <f ca="1">W$440*(1+OFFSET(Assumptions!$B$58,0,$C$1))</f>
        <v>0</v>
      </c>
      <c r="Y440" s="8">
        <f ca="1">X$440*(1+OFFSET(Assumptions!$B$58,0,$C$1))</f>
        <v>0</v>
      </c>
      <c r="Z440" s="8">
        <f ca="1">Y$440*(1+OFFSET(Assumptions!$B$58,0,$C$1))</f>
        <v>0</v>
      </c>
      <c r="AA440" s="8">
        <f ca="1">Z$440*(1+OFFSET(Assumptions!$B$58,0,$C$1))</f>
        <v>0</v>
      </c>
      <c r="AB440" s="8">
        <f ca="1">AA$440*(1+OFFSET(Assumptions!$B$58,0,$C$1))</f>
        <v>0</v>
      </c>
      <c r="AC440" s="8">
        <f ca="1">AB$440*(1+OFFSET(Assumptions!$B$58,0,$C$1))</f>
        <v>0</v>
      </c>
      <c r="AD440" s="8">
        <f ca="1">AC$440*(1+OFFSET(Assumptions!$B$58,0,$C$1))</f>
        <v>0</v>
      </c>
      <c r="AE440" s="8">
        <f ca="1">AD$440*(1+OFFSET(Assumptions!$B$58,0,$C$1))</f>
        <v>0</v>
      </c>
      <c r="AF440" s="8">
        <f ca="1">AE$440*(1+OFFSET(Assumptions!$B$58,0,$C$1))</f>
        <v>0</v>
      </c>
      <c r="AG440" s="8">
        <f ca="1">AF$440*(1+OFFSET(Assumptions!$B$58,0,$C$1))</f>
        <v>0</v>
      </c>
      <c r="AH440" s="8">
        <f ca="1">AG$440*(1+OFFSET(Assumptions!$B$58,0,$C$1))</f>
        <v>0</v>
      </c>
      <c r="AI440" s="8">
        <f ca="1">AH$440*(1+OFFSET(Assumptions!$B$58,0,$C$1))</f>
        <v>0</v>
      </c>
      <c r="AJ440" s="8">
        <f ca="1">AI$440*(1+OFFSET(Assumptions!$B$58,0,$C$1))</f>
        <v>0</v>
      </c>
      <c r="AK440" s="8">
        <f ca="1">AJ$440*(1+OFFSET(Assumptions!$B$58,0,$C$1))</f>
        <v>0</v>
      </c>
      <c r="AL440" s="8">
        <f ca="1">AK$440*(1+OFFSET(Assumptions!$B$58,0,$C$1))</f>
        <v>0</v>
      </c>
      <c r="AM440" s="8">
        <f ca="1">AL$440*(1+OFFSET(Assumptions!$B$58,0,$C$1))</f>
        <v>0</v>
      </c>
      <c r="AN440" s="8">
        <f ca="1">AM$440*(1+OFFSET(Assumptions!$B$58,0,$C$1))</f>
        <v>0</v>
      </c>
      <c r="AO440" s="8">
        <f ca="1">AN$440*(1+OFFSET(Assumptions!$B$58,0,$C$1))</f>
        <v>0</v>
      </c>
      <c r="AP440" s="8">
        <f ca="1">AO$440*(1+OFFSET(Assumptions!$B$58,0,$C$1))</f>
        <v>0</v>
      </c>
      <c r="AQ440" s="8">
        <f ca="1">AP$440*(1+OFFSET(Assumptions!$B$58,0,$C$1))</f>
        <v>0</v>
      </c>
      <c r="AR440" s="8">
        <f ca="1">AQ$440*(1+OFFSET(Assumptions!$B$58,0,$C$1))</f>
        <v>0</v>
      </c>
      <c r="AS440" s="8">
        <f ca="1">AR$440*(1+OFFSET(Assumptions!$B$58,0,$C$1))</f>
        <v>0</v>
      </c>
      <c r="AT440" s="8">
        <f ca="1">AS$440*(1+OFFSET(Assumptions!$B$58,0,$C$1))</f>
        <v>0</v>
      </c>
      <c r="AU440" s="8">
        <f ca="1">AT$440*(1+OFFSET(Assumptions!$B$58,0,$C$1))</f>
        <v>0</v>
      </c>
      <c r="AV440" s="8">
        <f ca="1">AU$440*(1+OFFSET(Assumptions!$B$58,0,$C$1))</f>
        <v>0</v>
      </c>
      <c r="AW440" s="8">
        <f ca="1">AV$440*(1+OFFSET(Assumptions!$B$58,0,$C$1))</f>
        <v>0</v>
      </c>
    </row>
    <row r="441" spans="1:49" ht="15" x14ac:dyDescent="0.25">
      <c r="A441" s="2"/>
      <c r="B441" s="4"/>
      <c r="D441" s="47"/>
      <c r="E441" s="47"/>
      <c r="F441" s="8"/>
      <c r="G441" s="8"/>
      <c r="H441" s="8"/>
      <c r="I441" s="8"/>
      <c r="J441" s="8"/>
      <c r="K441" s="8"/>
      <c r="L441" s="8"/>
      <c r="M441" s="8"/>
      <c r="N441" s="8"/>
      <c r="O441" s="8"/>
      <c r="P441" s="8"/>
      <c r="Q441" s="8"/>
      <c r="R441" s="8"/>
      <c r="S441" s="8"/>
    </row>
    <row r="442" spans="1:49" ht="15" x14ac:dyDescent="0.25">
      <c r="A442" s="22" t="s">
        <v>245</v>
      </c>
      <c r="B442" s="4"/>
      <c r="D442" s="47"/>
      <c r="E442" s="44"/>
      <c r="F442" s="44"/>
      <c r="G442" s="44"/>
      <c r="H442" s="44"/>
      <c r="I442" s="44"/>
      <c r="J442" s="8"/>
      <c r="K442" s="8"/>
      <c r="L442" s="8"/>
      <c r="M442" s="8"/>
      <c r="N442" s="8"/>
      <c r="O442" s="8"/>
      <c r="P442" s="8"/>
      <c r="Q442" s="8"/>
      <c r="R442" s="8"/>
      <c r="S442" s="8"/>
    </row>
    <row r="443" spans="1:49" ht="15" x14ac:dyDescent="0.25">
      <c r="A443" s="2" t="s">
        <v>670</v>
      </c>
      <c r="B443" s="4" t="str">
        <f t="shared" si="263"/>
        <v>From Fiscal</v>
      </c>
      <c r="D443" s="47">
        <f>Fiscal!D$127</f>
        <v>5.3360000000000003</v>
      </c>
      <c r="E443" s="44">
        <f>Fiscal!E$127</f>
        <v>5.9</v>
      </c>
      <c r="F443" s="44">
        <f>Fiscal!F$127</f>
        <v>6.0739999999999998</v>
      </c>
      <c r="G443" s="44">
        <f>Fiscal!G$127</f>
        <v>6.2539999999999996</v>
      </c>
      <c r="H443" s="44">
        <f>Fiscal!H$127</f>
        <v>6.44</v>
      </c>
      <c r="I443" s="44">
        <f>Fiscal!I$127</f>
        <v>6.63</v>
      </c>
      <c r="J443" s="8">
        <f ca="1">(I$443/I$14+ IF(J$2&gt;0,J$2*IF(J$6=OFFSET(Assumptions!$B$8,0,$C$1),SUMPRODUCT(OFFSET(I$443,0,0,1,-OFFSET(Assumptions!$B$67,0,$C$1)),OFFSET(I$16,0,0,1,-OFFSET(Assumptions!$B$67,0,$C$1)))/OFFSET(Assumptions!$B$67,0,$C$1)-I$443/I$14,(I$443/I$14-H$443/H$14)/I$2),0))*J$14</f>
        <v>6.9419691810778552</v>
      </c>
      <c r="K443" s="8">
        <f ca="1">(J$443/J$14+ IF(K$2&gt;0,K$2*IF(K$6=OFFSET(Assumptions!$B$8,0,$C$1),SUMPRODUCT(OFFSET(J$443,0,0,1,-OFFSET(Assumptions!$B$67,0,$C$1)),OFFSET(J$16,0,0,1,-OFFSET(Assumptions!$B$67,0,$C$1)))/OFFSET(Assumptions!$B$67,0,$C$1)-J$443/J$14,(J$443/J$14-I$443/I$14)/J$2),0))*K$14</f>
        <v>7.2592452666015062</v>
      </c>
      <c r="L443" s="8">
        <f ca="1">(K$443/K$14+ IF(L$2&gt;0,L$2*IF(L$6=OFFSET(Assumptions!$B$8,0,$C$1),SUMPRODUCT(OFFSET(K$443,0,0,1,-OFFSET(Assumptions!$B$67,0,$C$1)),OFFSET(K$16,0,0,1,-OFFSET(Assumptions!$B$67,0,$C$1)))/OFFSET(Assumptions!$B$67,0,$C$1)-K$443/K$14,(K$443/K$14-J$443/J$14)/K$2),0))*L$14</f>
        <v>7.5951599907211484</v>
      </c>
      <c r="M443" s="8">
        <f ca="1">(L$443/L$14+ IF(M$2&gt;0,M$2*IF(M$6=OFFSET(Assumptions!$B$8,0,$C$1),SUMPRODUCT(OFFSET(L$443,0,0,1,-OFFSET(Assumptions!$B$67,0,$C$1)),OFFSET(L$16,0,0,1,-OFFSET(Assumptions!$B$67,0,$C$1)))/OFFSET(Assumptions!$B$67,0,$C$1)-L$443/L$14,(L$443/L$14-K$443/K$14)/L$2),0))*M$14</f>
        <v>7.9381060704955591</v>
      </c>
      <c r="N443" s="8">
        <f ca="1">(M$443/M$14+ IF(N$2&gt;0,N$2*IF(N$6=OFFSET(Assumptions!$B$8,0,$C$1),SUMPRODUCT(OFFSET(M$443,0,0,1,-OFFSET(Assumptions!$B$67,0,$C$1)),OFFSET(M$16,0,0,1,-OFFSET(Assumptions!$B$67,0,$C$1)))/OFFSET(Assumptions!$B$67,0,$C$1)-M$443/M$14,(M$443/M$14-L$443/L$14)/M$2),0))*N$14</f>
        <v>8.28816847399351</v>
      </c>
      <c r="O443" s="8">
        <f ca="1">(N$443/N$14+ IF(O$2&gt;0,O$2*IF(O$6=OFFSET(Assumptions!$B$8,0,$C$1),SUMPRODUCT(OFFSET(N$443,0,0,1,-OFFSET(Assumptions!$B$67,0,$C$1)),OFFSET(N$16,0,0,1,-OFFSET(Assumptions!$B$67,0,$C$1)))/OFFSET(Assumptions!$B$67,0,$C$1)-N$443/N$14,(N$443/N$14-M$443/M$14)/N$2),0))*O$14</f>
        <v>8.6419633093935246</v>
      </c>
      <c r="P443" s="8">
        <f ca="1">(O$443/O$14+ IF(P$2&gt;0,P$2*IF(P$6=OFFSET(Assumptions!$B$8,0,$C$1),SUMPRODUCT(OFFSET(O$443,0,0,1,-OFFSET(Assumptions!$B$67,0,$C$1)),OFFSET(O$16,0,0,1,-OFFSET(Assumptions!$B$67,0,$C$1)))/OFFSET(Assumptions!$B$67,0,$C$1)-O$443/O$14,(O$443/O$14-N$443/N$14)/O$2),0))*P$14</f>
        <v>9.0074224421492488</v>
      </c>
      <c r="Q443" s="8">
        <f ca="1">(P$443/P$14+ IF(Q$2&gt;0,Q$2*IF(Q$6=OFFSET(Assumptions!$B$8,0,$C$1),SUMPRODUCT(OFFSET(P$443,0,0,1,-OFFSET(Assumptions!$B$67,0,$C$1)),OFFSET(P$16,0,0,1,-OFFSET(Assumptions!$B$67,0,$C$1)))/OFFSET(Assumptions!$B$67,0,$C$1)-P$443/P$14,(P$443/P$14-O$443/O$14)/P$2),0))*Q$14</f>
        <v>9.3841511092921532</v>
      </c>
      <c r="R443" s="8">
        <f ca="1">(Q$443/Q$14+ IF(R$2&gt;0,R$2*IF(R$6=OFFSET(Assumptions!$B$8,0,$C$1),SUMPRODUCT(OFFSET(Q$443,0,0,1,-OFFSET(Assumptions!$B$67,0,$C$1)),OFFSET(Q$16,0,0,1,-OFFSET(Assumptions!$B$67,0,$C$1)))/OFFSET(Assumptions!$B$67,0,$C$1)-Q$443/Q$14,(Q$443/Q$14-P$443/P$14)/Q$2),0))*R$14</f>
        <v>9.7718696962102811</v>
      </c>
      <c r="S443" s="8">
        <f ca="1">(R$443/R$14+ IF(S$2&gt;0,S$2*IF(S$6=OFFSET(Assumptions!$B$8,0,$C$1),SUMPRODUCT(OFFSET(R$443,0,0,1,-OFFSET(Assumptions!$B$67,0,$C$1)),OFFSET(R$16,0,0,1,-OFFSET(Assumptions!$B$67,0,$C$1)))/OFFSET(Assumptions!$B$67,0,$C$1)-R$443/R$14,(R$443/R$14-Q$443/Q$14)/R$2),0))*S$14</f>
        <v>10.171810356762803</v>
      </c>
      <c r="T443" s="8">
        <f ca="1">(S$443/S$14+ IF(T$2&gt;0,T$2*IF(T$6=OFFSET(Assumptions!$B$8,0,$C$1),SUMPRODUCT(OFFSET(S$443,0,0,1,-OFFSET(Assumptions!$B$67,0,$C$1)),OFFSET(S$16,0,0,1,-OFFSET(Assumptions!$B$67,0,$C$1)))/OFFSET(Assumptions!$B$67,0,$C$1)-S$443/S$14,(S$443/S$14-R$443/R$14)/S$2),0))*T$14</f>
        <v>10.584118935767938</v>
      </c>
      <c r="U443" s="8">
        <f ca="1">(T$443/T$14+ IF(U$2&gt;0,U$2*IF(U$6=OFFSET(Assumptions!$B$8,0,$C$1),SUMPRODUCT(OFFSET(T$443,0,0,1,-OFFSET(Assumptions!$B$67,0,$C$1)),OFFSET(T$16,0,0,1,-OFFSET(Assumptions!$B$67,0,$C$1)))/OFFSET(Assumptions!$B$67,0,$C$1)-T$443/T$14,(T$443/T$14-S$443/S$14)/T$2),0))*U$14</f>
        <v>11.010275197847418</v>
      </c>
      <c r="V443" s="8">
        <f ca="1">(U$443/U$14+ IF(V$2&gt;0,V$2*IF(V$6=OFFSET(Assumptions!$B$8,0,$C$1),SUMPRODUCT(OFFSET(U$443,0,0,1,-OFFSET(Assumptions!$B$67,0,$C$1)),OFFSET(U$16,0,0,1,-OFFSET(Assumptions!$B$67,0,$C$1)))/OFFSET(Assumptions!$B$67,0,$C$1)-U$443/U$14,(U$443/U$14-T$443/T$14)/U$2),0))*V$14</f>
        <v>11.45133111216829</v>
      </c>
      <c r="W443" s="8">
        <f ca="1">(V$443/V$14+ IF(W$2&gt;0,W$2*IF(W$6=OFFSET(Assumptions!$B$8,0,$C$1),SUMPRODUCT(OFFSET(V$443,0,0,1,-OFFSET(Assumptions!$B$67,0,$C$1)),OFFSET(V$16,0,0,1,-OFFSET(Assumptions!$B$67,0,$C$1)))/OFFSET(Assumptions!$B$67,0,$C$1)-V$443/V$14,(V$443/V$14-U$443/U$14)/V$2),0))*W$14</f>
        <v>11.908564528965121</v>
      </c>
      <c r="X443" s="8">
        <f ca="1">(W$443/W$14+ IF(X$2&gt;0,X$2*IF(X$6=OFFSET(Assumptions!$B$8,0,$C$1),SUMPRODUCT(OFFSET(W$443,0,0,1,-OFFSET(Assumptions!$B$67,0,$C$1)),OFFSET(W$16,0,0,1,-OFFSET(Assumptions!$B$67,0,$C$1)))/OFFSET(Assumptions!$B$67,0,$C$1)-W$443/W$14,(W$443/W$14-V$443/V$14)/W$2),0))*X$14</f>
        <v>12.383423715575333</v>
      </c>
      <c r="Y443" s="8">
        <f ca="1">(X$443/X$14+ IF(Y$2&gt;0,Y$2*IF(Y$6=OFFSET(Assumptions!$B$8,0,$C$1),SUMPRODUCT(OFFSET(X$443,0,0,1,-OFFSET(Assumptions!$B$67,0,$C$1)),OFFSET(X$16,0,0,1,-OFFSET(Assumptions!$B$67,0,$C$1)))/OFFSET(Assumptions!$B$67,0,$C$1)-X$443/X$14,(X$443/X$14-W$443/W$14)/X$2),0))*Y$14</f>
        <v>12.87586012566708</v>
      </c>
      <c r="Z443" s="8">
        <f ca="1">(Y$443/Y$14+ IF(Z$2&gt;0,Z$2*IF(Z$6=OFFSET(Assumptions!$B$8,0,$C$1),SUMPRODUCT(OFFSET(Y$443,0,0,1,-OFFSET(Assumptions!$B$67,0,$C$1)),OFFSET(Y$16,0,0,1,-OFFSET(Assumptions!$B$67,0,$C$1)))/OFFSET(Assumptions!$B$67,0,$C$1)-Y$443/Y$14,(Y$443/Y$14-X$443/X$14)/Y$2),0))*Z$14</f>
        <v>13.388366296249723</v>
      </c>
      <c r="AA443" s="8">
        <f ca="1">(Z$443/Z$14+ IF(AA$2&gt;0,AA$2*IF(AA$6=OFFSET(Assumptions!$B$8,0,$C$1),SUMPRODUCT(OFFSET(Z$443,0,0,1,-OFFSET(Assumptions!$B$67,0,$C$1)),OFFSET(Z$16,0,0,1,-OFFSET(Assumptions!$B$67,0,$C$1)))/OFFSET(Assumptions!$B$67,0,$C$1)-Z$443/Z$14,(Z$443/Z$14-Y$443/Y$14)/Z$2),0))*AA$14</f>
        <v>13.921771464074642</v>
      </c>
      <c r="AB443" s="8">
        <f ca="1">(AA$443/AA$14+ IF(AB$2&gt;0,AB$2*IF(AB$6=OFFSET(Assumptions!$B$8,0,$C$1),SUMPRODUCT(OFFSET(AA$443,0,0,1,-OFFSET(Assumptions!$B$67,0,$C$1)),OFFSET(AA$16,0,0,1,-OFFSET(Assumptions!$B$67,0,$C$1)))/OFFSET(Assumptions!$B$67,0,$C$1)-AA$443/AA$14,(AA$443/AA$14-Z$443/Z$14)/AA$2),0))*AB$14</f>
        <v>14.477677494121453</v>
      </c>
      <c r="AC443" s="8">
        <f ca="1">(AB$443/AB$14+ IF(AC$2&gt;0,AC$2*IF(AC$6=OFFSET(Assumptions!$B$8,0,$C$1),SUMPRODUCT(OFFSET(AB$443,0,0,1,-OFFSET(Assumptions!$B$67,0,$C$1)),OFFSET(AB$16,0,0,1,-OFFSET(Assumptions!$B$67,0,$C$1)))/OFFSET(Assumptions!$B$67,0,$C$1)-AB$443/AB$14,(AB$443/AB$14-AA$443/AA$14)/AB$2),0))*AC$14</f>
        <v>15.05818300709136</v>
      </c>
      <c r="AD443" s="8">
        <f ca="1">(AC$443/AC$14+ IF(AD$2&gt;0,AD$2*IF(AD$6=OFFSET(Assumptions!$B$8,0,$C$1),SUMPRODUCT(OFFSET(AC$443,0,0,1,-OFFSET(Assumptions!$B$67,0,$C$1)),OFFSET(AC$16,0,0,1,-OFFSET(Assumptions!$B$67,0,$C$1)))/OFFSET(Assumptions!$B$67,0,$C$1)-AC$443/AC$14,(AC$443/AC$14-AB$443/AB$14)/AC$2),0))*AD$14</f>
        <v>15.663899862955974</v>
      </c>
      <c r="AE443" s="8">
        <f ca="1">(AD$443/AD$14+ IF(AE$2&gt;0,AE$2*IF(AE$6=OFFSET(Assumptions!$B$8,0,$C$1),SUMPRODUCT(OFFSET(AD$443,0,0,1,-OFFSET(Assumptions!$B$67,0,$C$1)),OFFSET(AD$16,0,0,1,-OFFSET(Assumptions!$B$67,0,$C$1)))/OFFSET(Assumptions!$B$67,0,$C$1)-AD$443/AD$14,(AD$443/AD$14-AC$443/AC$14)/AD$2),0))*AE$14</f>
        <v>16.294271791516998</v>
      </c>
      <c r="AF443" s="8">
        <f ca="1">(AE$443/AE$14+ IF(AF$2&gt;0,AF$2*IF(AF$6=OFFSET(Assumptions!$B$8,0,$C$1),SUMPRODUCT(OFFSET(AE$443,0,0,1,-OFFSET(Assumptions!$B$67,0,$C$1)),OFFSET(AE$16,0,0,1,-OFFSET(Assumptions!$B$67,0,$C$1)))/OFFSET(Assumptions!$B$67,0,$C$1)-AE$443/AE$14,(AE$443/AE$14-AD$443/AD$14)/AE$2),0))*AF$14</f>
        <v>16.951042779499211</v>
      </c>
      <c r="AG443" s="8">
        <f ca="1">(AF$443/AF$14+ IF(AG$2&gt;0,AG$2*IF(AG$6=OFFSET(Assumptions!$B$8,0,$C$1),SUMPRODUCT(OFFSET(AF$443,0,0,1,-OFFSET(Assumptions!$B$67,0,$C$1)),OFFSET(AF$16,0,0,1,-OFFSET(Assumptions!$B$67,0,$C$1)))/OFFSET(Assumptions!$B$67,0,$C$1)-AF$443/AF$14,(AF$443/AF$14-AE$443/AE$14)/AF$2),0))*AG$14</f>
        <v>17.634580065775943</v>
      </c>
      <c r="AH443" s="8">
        <f ca="1">(AG$443/AG$14+ IF(AH$2&gt;0,AH$2*IF(AH$6=OFFSET(Assumptions!$B$8,0,$C$1),SUMPRODUCT(OFFSET(AG$443,0,0,1,-OFFSET(Assumptions!$B$67,0,$C$1)),OFFSET(AG$16,0,0,1,-OFFSET(Assumptions!$B$67,0,$C$1)))/OFFSET(Assumptions!$B$67,0,$C$1)-AG$443/AG$14,(AG$443/AG$14-AF$443/AF$14)/AG$2),0))*AH$14</f>
        <v>18.345979749813868</v>
      </c>
      <c r="AI443" s="8">
        <f ca="1">(AH$443/AH$14+ IF(AI$2&gt;0,AI$2*IF(AI$6=OFFSET(Assumptions!$B$8,0,$C$1),SUMPRODUCT(OFFSET(AH$443,0,0,1,-OFFSET(Assumptions!$B$67,0,$C$1)),OFFSET(AH$16,0,0,1,-OFFSET(Assumptions!$B$67,0,$C$1)))/OFFSET(Assumptions!$B$67,0,$C$1)-AH$443/AH$14,(AH$443/AH$14-AG$443/AG$14)/AH$2),0))*AI$14</f>
        <v>19.083998780867784</v>
      </c>
      <c r="AJ443" s="8">
        <f ca="1">(AI$443/AI$14+ IF(AJ$2&gt;0,AJ$2*IF(AJ$6=OFFSET(Assumptions!$B$8,0,$C$1),SUMPRODUCT(OFFSET(AI$443,0,0,1,-OFFSET(Assumptions!$B$67,0,$C$1)),OFFSET(AI$16,0,0,1,-OFFSET(Assumptions!$B$67,0,$C$1)))/OFFSET(Assumptions!$B$67,0,$C$1)-AI$443/AI$14,(AI$443/AI$14-AH$443/AH$14)/AI$2),0))*AJ$14</f>
        <v>19.851001401599962</v>
      </c>
      <c r="AK443" s="8">
        <f ca="1">(AJ$443/AJ$14+ IF(AK$2&gt;0,AK$2*IF(AK$6=OFFSET(Assumptions!$B$8,0,$C$1),SUMPRODUCT(OFFSET(AJ$443,0,0,1,-OFFSET(Assumptions!$B$67,0,$C$1)),OFFSET(AJ$16,0,0,1,-OFFSET(Assumptions!$B$67,0,$C$1)))/OFFSET(Assumptions!$B$67,0,$C$1)-AJ$443/AJ$14,(AJ$443/AJ$14-AI$443/AI$14)/AJ$2),0))*AK$14</f>
        <v>20.64635665202816</v>
      </c>
      <c r="AL443" s="8">
        <f ca="1">(AK$443/AK$14+ IF(AL$2&gt;0,AL$2*IF(AL$6=OFFSET(Assumptions!$B$8,0,$C$1),SUMPRODUCT(OFFSET(AK$443,0,0,1,-OFFSET(Assumptions!$B$67,0,$C$1)),OFFSET(AK$16,0,0,1,-OFFSET(Assumptions!$B$67,0,$C$1)))/OFFSET(Assumptions!$B$67,0,$C$1)-AK$443/AK$14,(AK$443/AK$14-AJ$443/AJ$14)/AK$2),0))*AL$14</f>
        <v>21.469438008879212</v>
      </c>
      <c r="AM443" s="8">
        <f ca="1">(AL$443/AL$14+ IF(AM$2&gt;0,AM$2*IF(AM$6=OFFSET(Assumptions!$B$8,0,$C$1),SUMPRODUCT(OFFSET(AL$443,0,0,1,-OFFSET(Assumptions!$B$67,0,$C$1)),OFFSET(AL$16,0,0,1,-OFFSET(Assumptions!$B$67,0,$C$1)))/OFFSET(Assumptions!$B$67,0,$C$1)-AL$443/AL$14,(AL$443/AL$14-AK$443/AK$14)/AL$2),0))*AM$14</f>
        <v>22.321369908468473</v>
      </c>
      <c r="AN443" s="8">
        <f ca="1">(AM$443/AM$14+ IF(AN$2&gt;0,AN$2*IF(AN$6=OFFSET(Assumptions!$B$8,0,$C$1),SUMPRODUCT(OFFSET(AM$443,0,0,1,-OFFSET(Assumptions!$B$67,0,$C$1)),OFFSET(AM$16,0,0,1,-OFFSET(Assumptions!$B$67,0,$C$1)))/OFFSET(Assumptions!$B$67,0,$C$1)-AM$443/AM$14,(AM$443/AM$14-AL$443/AL$14)/AM$2),0))*AN$14</f>
        <v>23.20333737981808</v>
      </c>
      <c r="AO443" s="8">
        <f ca="1">(AN$443/AN$14+ IF(AO$2&gt;0,AO$2*IF(AO$6=OFFSET(Assumptions!$B$8,0,$C$1),SUMPRODUCT(OFFSET(AN$443,0,0,1,-OFFSET(Assumptions!$B$67,0,$C$1)),OFFSET(AN$16,0,0,1,-OFFSET(Assumptions!$B$67,0,$C$1)))/OFFSET(Assumptions!$B$67,0,$C$1)-AN$443/AN$14,(AN$443/AN$14-AM$443/AM$14)/AN$2),0))*AO$14</f>
        <v>24.111877241666537</v>
      </c>
      <c r="AP443" s="8">
        <f ca="1">(AO$443/AO$14+ IF(AP$2&gt;0,AP$2*IF(AP$6=OFFSET(Assumptions!$B$8,0,$C$1),SUMPRODUCT(OFFSET(AO$443,0,0,1,-OFFSET(Assumptions!$B$67,0,$C$1)),OFFSET(AO$16,0,0,1,-OFFSET(Assumptions!$B$67,0,$C$1)))/OFFSET(Assumptions!$B$67,0,$C$1)-AO$443/AO$14,(AO$443/AO$14-AN$443/AN$14)/AO$2),0))*AP$14</f>
        <v>25.050847604102014</v>
      </c>
      <c r="AQ443" s="8">
        <f ca="1">(AP$443/AP$14+ IF(AQ$2&gt;0,AQ$2*IF(AQ$6=OFFSET(Assumptions!$B$8,0,$C$1),SUMPRODUCT(OFFSET(AP$443,0,0,1,-OFFSET(Assumptions!$B$67,0,$C$1)),OFFSET(AP$16,0,0,1,-OFFSET(Assumptions!$B$67,0,$C$1)))/OFFSET(Assumptions!$B$67,0,$C$1)-AP$443/AP$14,(AP$443/AP$14-AO$443/AO$14)/AP$2),0))*AQ$14</f>
        <v>26.017617475132099</v>
      </c>
      <c r="AR443" s="8">
        <f ca="1">(AQ$443/AQ$14+ IF(AR$2&gt;0,AR$2*IF(AR$6=OFFSET(Assumptions!$B$8,0,$C$1),SUMPRODUCT(OFFSET(AQ$443,0,0,1,-OFFSET(Assumptions!$B$67,0,$C$1)),OFFSET(AQ$16,0,0,1,-OFFSET(Assumptions!$B$67,0,$C$1)))/OFFSET(Assumptions!$B$67,0,$C$1)-AQ$443/AQ$14,(AQ$443/AQ$14-AP$443/AP$14)/AQ$2),0))*AR$14</f>
        <v>27.013281411202904</v>
      </c>
      <c r="AS443" s="8">
        <f ca="1">(AR$443/AR$14+ IF(AS$2&gt;0,AS$2*IF(AS$6=OFFSET(Assumptions!$B$8,0,$C$1),SUMPRODUCT(OFFSET(AR$443,0,0,1,-OFFSET(Assumptions!$B$67,0,$C$1)),OFFSET(AR$16,0,0,1,-OFFSET(Assumptions!$B$67,0,$C$1)))/OFFSET(Assumptions!$B$67,0,$C$1)-AR$443/AR$14,(AR$443/AR$14-AQ$443/AQ$14)/AR$2),0))*AS$14</f>
        <v>28.040162267558472</v>
      </c>
      <c r="AT443" s="8">
        <f ca="1">(AS$443/AS$14+ IF(AT$2&gt;0,AT$2*IF(AT$6=OFFSET(Assumptions!$B$8,0,$C$1),SUMPRODUCT(OFFSET(AS$443,0,0,1,-OFFSET(Assumptions!$B$67,0,$C$1)),OFFSET(AS$16,0,0,1,-OFFSET(Assumptions!$B$67,0,$C$1)))/OFFSET(Assumptions!$B$67,0,$C$1)-AS$443/AS$14,(AS$443/AS$14-AR$443/AR$14)/AS$2),0))*AT$14</f>
        <v>29.099080180319611</v>
      </c>
      <c r="AU443" s="8">
        <f ca="1">(AT$443/AT$14+ IF(AU$2&gt;0,AU$2*IF(AU$6=OFFSET(Assumptions!$B$8,0,$C$1),SUMPRODUCT(OFFSET(AT$443,0,0,1,-OFFSET(Assumptions!$B$67,0,$C$1)),OFFSET(AT$16,0,0,1,-OFFSET(Assumptions!$B$67,0,$C$1)))/OFFSET(Assumptions!$B$67,0,$C$1)-AT$443/AT$14,(AT$443/AT$14-AS$443/AS$14)/AT$2),0))*AU$14</f>
        <v>30.191443273912586</v>
      </c>
      <c r="AV443" s="8">
        <f ca="1">(AU$443/AU$14+ IF(AV$2&gt;0,AV$2*IF(AV$6=OFFSET(Assumptions!$B$8,0,$C$1),SUMPRODUCT(OFFSET(AU$443,0,0,1,-OFFSET(Assumptions!$B$67,0,$C$1)),OFFSET(AU$16,0,0,1,-OFFSET(Assumptions!$B$67,0,$C$1)))/OFFSET(Assumptions!$B$67,0,$C$1)-AU$443/AU$14,(AU$443/AU$14-AT$443/AT$14)/AU$2),0))*AV$14</f>
        <v>31.32062902367236</v>
      </c>
      <c r="AW443" s="8">
        <f ca="1">(AV$443/AV$14+ IF(AW$2&gt;0,AW$2*IF(AW$6=OFFSET(Assumptions!$B$8,0,$C$1),SUMPRODUCT(OFFSET(AV$443,0,0,1,-OFFSET(Assumptions!$B$67,0,$C$1)),OFFSET(AV$16,0,0,1,-OFFSET(Assumptions!$B$67,0,$C$1)))/OFFSET(Assumptions!$B$67,0,$C$1)-AV$443/AV$14,(AV$443/AV$14-AU$443/AU$14)/AV$2),0))*AW$14</f>
        <v>32.485999940807808</v>
      </c>
    </row>
    <row r="444" spans="1:49" ht="15" x14ac:dyDescent="0.25">
      <c r="A444" s="2"/>
      <c r="B444" s="4"/>
      <c r="D444" s="47"/>
      <c r="E444" s="44"/>
      <c r="F444" s="44"/>
      <c r="G444" s="44"/>
      <c r="H444" s="44"/>
      <c r="I444" s="44"/>
      <c r="J444" s="8"/>
      <c r="K444" s="8"/>
      <c r="L444" s="8"/>
      <c r="M444" s="8"/>
      <c r="N444" s="8"/>
      <c r="O444" s="8"/>
      <c r="P444" s="8"/>
      <c r="Q444" s="8"/>
      <c r="R444" s="8"/>
      <c r="S444" s="8"/>
    </row>
    <row r="445" spans="1:49" ht="15" x14ac:dyDescent="0.25">
      <c r="A445" s="22" t="s">
        <v>246</v>
      </c>
      <c r="B445" s="4"/>
      <c r="D445" s="47"/>
      <c r="E445" s="44"/>
      <c r="F445" s="44"/>
      <c r="G445" s="44"/>
      <c r="H445" s="44"/>
      <c r="I445" s="44"/>
      <c r="J445" s="8"/>
      <c r="K445" s="8"/>
      <c r="L445" s="8"/>
      <c r="M445" s="8"/>
      <c r="N445" s="8"/>
      <c r="O445" s="8"/>
      <c r="P445" s="8"/>
      <c r="Q445" s="8"/>
      <c r="R445" s="8"/>
      <c r="S445" s="8"/>
    </row>
    <row r="446" spans="1:49" x14ac:dyDescent="0.2">
      <c r="A446" s="1" t="s">
        <v>671</v>
      </c>
      <c r="B446" s="4"/>
      <c r="D446" s="18">
        <f t="shared" ref="D446:I446" si="264">IF(AND(D$76&gt;0,D$373&gt;0),D$373-D$76,0)</f>
        <v>0.65200000000000014</v>
      </c>
      <c r="E446" s="19">
        <f t="shared" si="264"/>
        <v>0.873</v>
      </c>
      <c r="F446" s="19">
        <f t="shared" si="264"/>
        <v>1.1759999999999999</v>
      </c>
      <c r="G446" s="19">
        <f t="shared" si="264"/>
        <v>1.2390000000000001</v>
      </c>
      <c r="H446" s="19">
        <f t="shared" si="264"/>
        <v>1.3020000000000003</v>
      </c>
      <c r="I446" s="19">
        <f t="shared" si="264"/>
        <v>1.3669999999999998</v>
      </c>
      <c r="J446" s="7">
        <f ca="1">IF(J$6=OFFSET(Assumptions!$B$8,0,$C$1),AVERAGE(G$446/(G$370-G$372-G$374),H$446/(H$370-H$372-H$374),I$446/(I$370-I$372-I$374)),I$446/(I$370-I$372-I$374))*(J$370-J$372-J$374)</f>
        <v>1.5779321794591239</v>
      </c>
      <c r="K446" s="7">
        <f ca="1">IF(K$6=OFFSET(Assumptions!$B$8,0,$C$1),AVERAGE(H$446/(H$370-H$372-H$374),I$446/(I$370-I$372-I$374),J$446/(J$370-J$372-J$374)),J$446/(J$370-J$372-J$374))*(K$370-K$372-K$374)</f>
        <v>1.773032538161516</v>
      </c>
      <c r="L446" s="7">
        <f ca="1">IF(L$6=OFFSET(Assumptions!$B$8,0,$C$1),AVERAGE(I$446/(I$370-I$372-I$374),J$446/(J$370-J$372-J$374),K$446/(K$370-K$372-K$374)),K$446/(K$370-K$372-K$374))*(L$370-L$372-L$374)</f>
        <v>1.9758797845881766</v>
      </c>
      <c r="M446" s="7">
        <f ca="1">IF(M$6=OFFSET(Assumptions!$B$8,0,$C$1),AVERAGE(J$446/(J$370-J$372-J$374),K$446/(K$370-K$372-K$374),L$446/(L$370-L$372-L$374)),L$446/(L$370-L$372-L$374))*(M$370-M$372-M$374)</f>
        <v>2.1856987242630237</v>
      </c>
      <c r="N446" s="7">
        <f ca="1">IF(N$6=OFFSET(Assumptions!$B$8,0,$C$1),AVERAGE(K$446/(K$370-K$372-K$374),L$446/(L$370-L$372-L$374),M$446/(M$370-M$372-M$374)),M$446/(M$370-M$372-M$374))*(N$370-N$372-N$374)</f>
        <v>2.4020183248013653</v>
      </c>
      <c r="O446" s="7">
        <f ca="1">IF(O$6=OFFSET(Assumptions!$B$8,0,$C$1),AVERAGE(L$446/(L$370-L$372-L$374),M$446/(M$370-M$372-M$374),N$446/(N$370-N$372-N$374)),N$446/(N$370-N$372-N$374))*(O$370-O$372-O$374)</f>
        <v>2.6208858142819671</v>
      </c>
      <c r="P446" s="7">
        <f ca="1">IF(P$6=OFFSET(Assumptions!$B$8,0,$C$1),AVERAGE(M$446/(M$370-M$372-M$374),N$446/(N$370-N$372-N$374),O$446/(O$370-O$372-O$374)),O$446/(O$370-O$372-O$374))*(P$370-P$372-P$374)</f>
        <v>2.8408990770218736</v>
      </c>
      <c r="Q446" s="7">
        <f ca="1">IF(Q$6=OFFSET(Assumptions!$B$8,0,$C$1),AVERAGE(N$446/(N$370-N$372-N$374),O$446/(O$370-O$372-O$374),P$446/(P$370-P$372-P$374)),P$446/(P$370-P$372-P$374))*(Q$370-Q$372-Q$374)</f>
        <v>3.0617093123009922</v>
      </c>
      <c r="R446" s="7">
        <f ca="1">IF(R$6=OFFSET(Assumptions!$B$8,0,$C$1),AVERAGE(O$446/(O$370-O$372-O$374),P$446/(P$370-P$372-P$374),Q$446/(Q$370-Q$372-Q$374)),Q$446/(Q$370-Q$372-Q$374))*(R$370-R$372-R$374)</f>
        <v>3.2835152417933453</v>
      </c>
      <c r="S446" s="7">
        <f ca="1">IF(S$6=OFFSET(Assumptions!$B$8,0,$C$1),AVERAGE(P$446/(P$370-P$372-P$374),Q$446/(Q$370-Q$372-Q$374),R$446/(R$370-R$372-R$374)),R$446/(R$370-R$372-R$374))*(S$370-S$372-S$374)</f>
        <v>3.5077394806968272</v>
      </c>
      <c r="T446" s="7">
        <f ca="1">IF(T$6=OFFSET(Assumptions!$B$8,0,$C$1),AVERAGE(Q$446/(Q$370-Q$372-Q$374),R$446/(R$370-R$372-R$374),S$446/(S$370-S$372-S$374)),S$446/(S$370-S$372-S$374))*(T$370-T$372-T$374)</f>
        <v>3.7348283011517944</v>
      </c>
      <c r="U446" s="7">
        <f ca="1">IF(U$6=OFFSET(Assumptions!$B$8,0,$C$1),AVERAGE(R$446/(R$370-R$372-R$374),S$446/(S$370-S$372-S$374),T$446/(T$370-T$372-T$374)),T$446/(T$370-T$372-T$374))*(U$370-U$372-U$374)</f>
        <v>3.9644589533060568</v>
      </c>
      <c r="V446" s="7">
        <f ca="1">IF(V$6=OFFSET(Assumptions!$B$8,0,$C$1),AVERAGE(S$446/(S$370-S$372-S$374),T$446/(T$370-T$372-T$374),U$446/(U$370-U$372-U$374)),U$446/(U$370-U$372-U$374))*(V$370-V$372-V$374)</f>
        <v>4.1961759336554643</v>
      </c>
      <c r="W446" s="7">
        <f ca="1">IF(W$6=OFFSET(Assumptions!$B$8,0,$C$1),AVERAGE(T$446/(T$370-T$372-T$374),U$446/(U$370-U$372-U$374),V$446/(V$370-V$372-V$374)),V$446/(V$370-V$372-V$374))*(W$370-W$372-W$374)</f>
        <v>4.4295725159648711</v>
      </c>
      <c r="X446" s="7">
        <f ca="1">IF(X$6=OFFSET(Assumptions!$B$8,0,$C$1),AVERAGE(U$446/(U$370-U$372-U$374),V$446/(V$370-V$372-V$374),W$446/(W$370-W$372-W$374)),W$446/(W$370-W$372-W$374))*(X$370-X$372-X$374)</f>
        <v>4.6651648537307144</v>
      </c>
      <c r="Y446" s="7">
        <f ca="1">IF(Y$6=OFFSET(Assumptions!$B$8,0,$C$1),AVERAGE(V$446/(V$370-V$372-V$374),W$446/(W$370-W$372-W$374),X$446/(X$370-X$372-X$374)),X$446/(X$370-X$372-X$374))*(Y$370-Y$372-Y$374)</f>
        <v>4.901681489034436</v>
      </c>
      <c r="Z446" s="7">
        <f ca="1">IF(Z$6=OFFSET(Assumptions!$B$8,0,$C$1),AVERAGE(W$446/(W$370-W$372-W$374),X$446/(X$370-X$372-X$374),Y$446/(Y$370-Y$372-Y$374)),Y$446/(Y$370-Y$372-Y$374))*(Z$370-Z$372-Z$374)</f>
        <v>5.1405408081022212</v>
      </c>
      <c r="AA446" s="7">
        <f ca="1">IF(AA$6=OFFSET(Assumptions!$B$8,0,$C$1),AVERAGE(X$446/(X$370-X$372-X$374),Y$446/(Y$370-Y$372-Y$374),Z$446/(Z$370-Z$372-Z$374)),Z$446/(Z$370-Z$372-Z$374))*(AA$370-AA$372-AA$374)</f>
        <v>5.38438157624332</v>
      </c>
      <c r="AB446" s="7">
        <f ca="1">IF(AB$6=OFFSET(Assumptions!$B$8,0,$C$1),AVERAGE(Y$446/(Y$370-Y$372-Y$374),Z$446/(Z$370-Z$372-Z$374),AA$446/(AA$370-AA$372-AA$374)),AA$446/(AA$370-AA$372-AA$374))*(AB$370-AB$372-AB$374)</f>
        <v>5.6366806773475826</v>
      </c>
      <c r="AC446" s="7">
        <f ca="1">IF(AC$6=OFFSET(Assumptions!$B$8,0,$C$1),AVERAGE(Z$446/(Z$370-Z$372-Z$374),AA$446/(AA$370-AA$372-AA$374),AB$446/(AB$370-AB$372-AB$374)),AB$446/(AB$370-AB$372-AB$374))*(AC$370-AC$372-AC$374)</f>
        <v>5.901575484339336</v>
      </c>
      <c r="AD446" s="7">
        <f ca="1">IF(AD$6=OFFSET(Assumptions!$B$8,0,$C$1),AVERAGE(AA$446/(AA$370-AA$372-AA$374),AB$446/(AB$370-AB$372-AB$374),AC$446/(AC$370-AC$372-AC$374)),AC$446/(AC$370-AC$372-AC$374))*(AD$370-AD$372-AD$374)</f>
        <v>6.1837893447838344</v>
      </c>
      <c r="AE446" s="7">
        <f ca="1">IF(AE$6=OFFSET(Assumptions!$B$8,0,$C$1),AVERAGE(AB$446/(AB$370-AB$372-AB$374),AC$446/(AC$370-AC$372-AC$374),AD$446/(AD$370-AD$372-AD$374)),AD$446/(AD$370-AD$372-AD$374))*(AE$370-AE$372-AE$374)</f>
        <v>6.485598103452495</v>
      </c>
      <c r="AF446" s="7">
        <f ca="1">IF(AF$6=OFFSET(Assumptions!$B$8,0,$C$1),AVERAGE(AC$446/(AC$370-AC$372-AC$374),AD$446/(AD$370-AD$372-AD$374),AE$446/(AE$370-AE$372-AE$374)),AE$446/(AE$370-AE$372-AE$374))*(AF$370-AF$372-AF$374)</f>
        <v>6.8109275616149869</v>
      </c>
      <c r="AG446" s="7">
        <f ca="1">IF(AG$6=OFFSET(Assumptions!$B$8,0,$C$1),AVERAGE(AD$446/(AD$370-AD$372-AD$374),AE$446/(AE$370-AE$372-AE$374),AF$446/(AF$370-AF$372-AF$374)),AF$446/(AF$370-AF$372-AF$374))*(AG$370-AG$372-AG$374)</f>
        <v>7.1608299890575173</v>
      </c>
      <c r="AH446" s="7">
        <f ca="1">IF(AH$6=OFFSET(Assumptions!$B$8,0,$C$1),AVERAGE(AE$446/(AE$370-AE$372-AE$374),AF$446/(AF$370-AF$372-AF$374),AG$446/(AG$370-AG$372-AG$374)),AG$446/(AG$370-AG$372-AG$374))*(AH$370-AH$372-AH$374)</f>
        <v>7.5378972583670087</v>
      </c>
      <c r="AI446" s="7">
        <f ca="1">IF(AI$6=OFFSET(Assumptions!$B$8,0,$C$1),AVERAGE(AF$446/(AF$370-AF$372-AF$374),AG$446/(AG$370-AG$372-AG$374),AH$446/(AH$370-AH$372-AH$374)),AH$446/(AH$370-AH$372-AH$374))*(AI$370-AI$372-AI$374)</f>
        <v>7.9440793084584138</v>
      </c>
      <c r="AJ446" s="7">
        <f ca="1">IF(AJ$6=OFFSET(Assumptions!$B$8,0,$C$1),AVERAGE(AG$446/(AG$370-AG$372-AG$374),AH$446/(AH$370-AH$372-AH$374),AI$446/(AI$370-AI$372-AI$374)),AI$446/(AI$370-AI$372-AI$374))*(AJ$370-AJ$372-AJ$374)</f>
        <v>8.3814415771329482</v>
      </c>
      <c r="AK446" s="7">
        <f ca="1">IF(AK$6=OFFSET(Assumptions!$B$8,0,$C$1),AVERAGE(AH$446/(AH$370-AH$372-AH$374),AI$446/(AI$370-AI$372-AI$374),AJ$446/(AJ$370-AJ$372-AJ$374)),AJ$446/(AJ$370-AJ$372-AJ$374))*(AK$370-AK$372-AK$374)</f>
        <v>8.8506188099370569</v>
      </c>
      <c r="AL446" s="7">
        <f ca="1">IF(AL$6=OFFSET(Assumptions!$B$8,0,$C$1),AVERAGE(AI$446/(AI$370-AI$372-AI$374),AJ$446/(AJ$370-AJ$372-AJ$374),AK$446/(AK$370-AK$372-AK$374)),AK$446/(AK$370-AK$372-AK$374))*(AL$370-AL$372-AL$374)</f>
        <v>9.353760624399726</v>
      </c>
      <c r="AM446" s="7">
        <f ca="1">IF(AM$6=OFFSET(Assumptions!$B$8,0,$C$1),AVERAGE(AJ$446/(AJ$370-AJ$372-AJ$374),AK$446/(AK$370-AK$372-AK$374),AL$446/(AL$370-AL$372-AL$374)),AL$446/(AL$370-AL$372-AL$374))*(AM$370-AM$372-AM$374)</f>
        <v>9.8926894182489704</v>
      </c>
      <c r="AN446" s="7">
        <f ca="1">IF(AN$6=OFFSET(Assumptions!$B$8,0,$C$1),AVERAGE(AK$446/(AK$370-AK$372-AK$374),AL$446/(AL$370-AL$372-AL$374),AM$446/(AM$370-AM$372-AM$374)),AM$446/(AM$370-AM$372-AM$374))*(AN$370-AN$372-AN$374)</f>
        <v>10.467971895387649</v>
      </c>
      <c r="AO446" s="7">
        <f ca="1">IF(AO$6=OFFSET(Assumptions!$B$8,0,$C$1),AVERAGE(AL$446/(AL$370-AL$372-AL$374),AM$446/(AM$370-AM$372-AM$374),AN$446/(AN$370-AN$372-AN$374)),AN$446/(AN$370-AN$372-AN$374))*(AO$370-AO$372-AO$374)</f>
        <v>11.078958325085118</v>
      </c>
      <c r="AP446" s="7">
        <f ca="1">IF(AP$6=OFFSET(Assumptions!$B$8,0,$C$1),AVERAGE(AM$446/(AM$370-AM$372-AM$374),AN$446/(AN$370-AN$372-AN$374),AO$446/(AO$370-AO$372-AO$374)),AO$446/(AO$370-AO$372-AO$374))*(AP$370-AP$372-AP$374)</f>
        <v>11.722687761417061</v>
      </c>
      <c r="AQ446" s="7">
        <f ca="1">IF(AQ$6=OFFSET(Assumptions!$B$8,0,$C$1),AVERAGE(AN$446/(AN$370-AN$372-AN$374),AO$446/(AO$370-AO$372-AO$374),AP$446/(AP$370-AP$372-AP$374)),AP$446/(AP$370-AP$372-AP$374))*(AQ$370-AQ$372-AQ$374)</f>
        <v>12.39628902742087</v>
      </c>
      <c r="AR446" s="7">
        <f ca="1">IF(AR$6=OFFSET(Assumptions!$B$8,0,$C$1),AVERAGE(AO$446/(AO$370-AO$372-AO$374),AP$446/(AP$370-AP$372-AP$374),AQ$446/(AQ$370-AQ$372-AQ$374)),AQ$446/(AQ$370-AQ$372-AQ$374))*(AR$370-AR$372-AR$374)</f>
        <v>13.094599665471906</v>
      </c>
      <c r="AS446" s="7">
        <f ca="1">IF(AS$6=OFFSET(Assumptions!$B$8,0,$C$1),AVERAGE(AP$446/(AP$370-AP$372-AP$374),AQ$446/(AQ$370-AQ$372-AQ$374),AR$446/(AR$370-AR$372-AR$374)),AR$446/(AR$370-AR$372-AR$374))*(AS$370-AS$372-AS$374)</f>
        <v>13.812643859879106</v>
      </c>
      <c r="AT446" s="7">
        <f ca="1">IF(AT$6=OFFSET(Assumptions!$B$8,0,$C$1),AVERAGE(AQ$446/(AQ$370-AQ$372-AQ$374),AR$446/(AR$370-AR$372-AR$374),AS$446/(AS$370-AS$372-AS$374)),AS$446/(AS$370-AS$372-AS$374))*(AT$370-AT$372-AT$374)</f>
        <v>14.551931379255898</v>
      </c>
      <c r="AU446" s="7">
        <f ca="1">IF(AU$6=OFFSET(Assumptions!$B$8,0,$C$1),AVERAGE(AR$446/(AR$370-AR$372-AR$374),AS$446/(AS$370-AS$372-AS$374),AT$446/(AT$370-AT$372-AT$374)),AT$446/(AT$370-AT$372-AT$374))*(AU$370-AU$372-AU$374)</f>
        <v>15.311788688603009</v>
      </c>
      <c r="AV446" s="7">
        <f ca="1">IF(AV$6=OFFSET(Assumptions!$B$8,0,$C$1),AVERAGE(AS$446/(AS$370-AS$372-AS$374),AT$446/(AT$370-AT$372-AT$374),AU$446/(AU$370-AU$372-AU$374)),AU$446/(AU$370-AU$372-AU$374))*(AV$370-AV$372-AV$374)</f>
        <v>16.09328266346796</v>
      </c>
      <c r="AW446" s="7">
        <f ca="1">IF(AW$6=OFFSET(Assumptions!$B$8,0,$C$1),AVERAGE(AT$446/(AT$370-AT$372-AT$374),AU$446/(AU$370-AU$372-AU$374),AV$446/(AV$370-AV$372-AV$374)),AV$446/(AV$370-AV$372-AV$374))*(AW$370-AW$372-AW$374)</f>
        <v>16.894967611612035</v>
      </c>
    </row>
    <row r="447" spans="1:49" x14ac:dyDescent="0.2">
      <c r="A447" s="1" t="s">
        <v>415</v>
      </c>
      <c r="B447" s="4" t="str">
        <f t="shared" ref="B447:B459" si="265">$B$43</f>
        <v>From Fiscal</v>
      </c>
      <c r="D447" s="18">
        <f>Fiscal!D$349</f>
        <v>4.3540000000000001</v>
      </c>
      <c r="E447" s="19">
        <f>Fiscal!E$349</f>
        <v>4.7629999999999999</v>
      </c>
      <c r="F447" s="19">
        <f>Fiscal!F$349</f>
        <v>4.8730000000000002</v>
      </c>
      <c r="G447" s="19">
        <f>Fiscal!G$349</f>
        <v>4.8879999999999999</v>
      </c>
      <c r="H447" s="19">
        <f>Fiscal!H$349</f>
        <v>5.298</v>
      </c>
      <c r="I447" s="19">
        <f>Fiscal!I$349</f>
        <v>5.5810000000000004</v>
      </c>
      <c r="J447" s="7">
        <f ca="1">IF(J$6=OFFSET(Assumptions!$B$8,0,$C$1),AVERAGE(G$447/G$139,H$447/H$139,I$447/I$139),I$447/I$139) *J$139</f>
        <v>5.7980159481642159</v>
      </c>
      <c r="K447" s="7">
        <f ca="1">IF(K$6=OFFSET(Assumptions!$B$8,0,$C$1),AVERAGE(H$447/H$139,I$447/I$139,J$447/J$139),J$447/J$139) *K$139</f>
        <v>6.0659403933706955</v>
      </c>
      <c r="L447" s="7">
        <f ca="1">IF(L$6=OFFSET(Assumptions!$B$8,0,$C$1),AVERAGE(I$447/I$139,J$447/J$139,K$447/K$139),K$447/K$139) *L$139</f>
        <v>6.3390589212729926</v>
      </c>
      <c r="M447" s="7">
        <f ca="1">IF(M$6=OFFSET(Assumptions!$B$8,0,$C$1),AVERAGE(J$447/J$139,K$447/K$139,L$447/L$139),L$447/L$139) *M$139</f>
        <v>6.6129471770232007</v>
      </c>
      <c r="N447" s="7">
        <f ca="1">IF(N$6=OFFSET(Assumptions!$B$8,0,$C$1),AVERAGE(K$447/K$139,L$447/L$139,M$447/M$139),M$447/M$139) *N$139</f>
        <v>6.8981469011004872</v>
      </c>
      <c r="O447" s="7">
        <f ca="1">IF(O$6=OFFSET(Assumptions!$B$8,0,$C$1),AVERAGE(L$447/L$139,M$447/M$139,N$447/N$139),N$447/N$139) *O$139</f>
        <v>7.1931582798509845</v>
      </c>
      <c r="P447" s="7">
        <f ca="1">IF(P$6=OFFSET(Assumptions!$B$8,0,$C$1),AVERAGE(M$447/M$139,N$447/N$139,O$447/O$139),O$447/O$139) *P$139</f>
        <v>7.51048982246094</v>
      </c>
      <c r="Q447" s="7">
        <f ca="1">IF(Q$6=OFFSET(Assumptions!$B$8,0,$C$1),AVERAGE(N$447/N$139,O$447/O$139,P$447/P$139),P$447/P$139) *Q$139</f>
        <v>7.8309007841819271</v>
      </c>
      <c r="R447" s="7">
        <f ca="1">IF(R$6=OFFSET(Assumptions!$B$8,0,$C$1),AVERAGE(O$447/O$139,P$447/P$139,Q$447/Q$139),Q$447/Q$139) *R$139</f>
        <v>8.154444784164264</v>
      </c>
      <c r="S447" s="7">
        <f ca="1">IF(S$6=OFFSET(Assumptions!$B$8,0,$C$1),AVERAGE(P$447/P$139,Q$447/Q$139,R$447/R$139),R$447/R$139) *S$139</f>
        <v>8.4881878788641973</v>
      </c>
      <c r="T447" s="7">
        <f ca="1">IF(T$6=OFFSET(Assumptions!$B$8,0,$C$1),AVERAGE(Q$447/Q$139,R$447/R$139,S$447/S$139),S$447/S$139) *T$139</f>
        <v>8.832251773088915</v>
      </c>
      <c r="U447" s="7">
        <f ca="1">IF(U$6=OFFSET(Assumptions!$B$8,0,$C$1),AVERAGE(R$447/R$139,S$447/S$139,T$447/T$139),T$447/T$139) *U$139</f>
        <v>9.1878713030853749</v>
      </c>
      <c r="V447" s="7">
        <f ca="1">IF(V$6=OFFSET(Assumptions!$B$8,0,$C$1),AVERAGE(S$447/S$139,T$447/T$139,U$447/U$139),U$447/U$139) *V$139</f>
        <v>9.5559243176945916</v>
      </c>
      <c r="W447" s="7">
        <f ca="1">IF(W$6=OFFSET(Assumptions!$B$8,0,$C$1),AVERAGE(T$447/T$139,U$447/U$139,V$447/V$139),V$447/V$139) *W$139</f>
        <v>9.9374771593366074</v>
      </c>
      <c r="X447" s="7">
        <f ca="1">IF(X$6=OFFSET(Assumptions!$B$8,0,$C$1),AVERAGE(U$447/U$139,V$447/V$139,W$447/W$139),W$447/W$139) *X$139</f>
        <v>10.333738380356349</v>
      </c>
      <c r="Y447" s="7">
        <f ca="1">IF(Y$6=OFFSET(Assumptions!$B$8,0,$C$1),AVERAGE(V$447/V$139,W$447/W$139,X$447/X$139),X$447/X$139) *Y$139</f>
        <v>10.744667469736504</v>
      </c>
      <c r="Z447" s="7">
        <f ca="1">IF(Z$6=OFFSET(Assumptions!$B$8,0,$C$1),AVERAGE(W$447/W$139,X$447/X$139,Y$447/Y$139),Y$447/Y$139) *Z$139</f>
        <v>11.172344403576549</v>
      </c>
      <c r="AA447" s="7">
        <f ca="1">IF(AA$6=OFFSET(Assumptions!$B$8,0,$C$1),AVERAGE(X$447/X$139,Y$447/Y$139,Z$447/Z$139),Z$447/Z$139) *AA$139</f>
        <v>11.617461164630273</v>
      </c>
      <c r="AB447" s="7">
        <f ca="1">IF(AB$6=OFFSET(Assumptions!$B$8,0,$C$1),AVERAGE(Y$447/Y$139,Z$447/Z$139,AA$447/AA$139),AA$447/AA$139) *AB$139</f>
        <v>12.081354479638218</v>
      </c>
      <c r="AC447" s="7">
        <f ca="1">IF(AC$6=OFFSET(Assumptions!$B$8,0,$C$1),AVERAGE(Z$447/Z$139,AA$447/AA$139,AB$447/AB$139),AB$447/AB$139) *AC$139</f>
        <v>12.565775608815972</v>
      </c>
      <c r="AD447" s="7">
        <f ca="1">IF(AD$6=OFFSET(Assumptions!$B$8,0,$C$1),AVERAGE(AA$447/AA$139,AB$447/AB$139,AC$447/AC$139),AC$447/AC$139) *AD$139</f>
        <v>13.07123513800936</v>
      </c>
      <c r="AE447" s="7">
        <f ca="1">IF(AE$6=OFFSET(Assumptions!$B$8,0,$C$1),AVERAGE(AB$447/AB$139,AC$447/AC$139,AD$447/AD$139),AD$447/AD$139) *AE$139</f>
        <v>13.597268870011693</v>
      </c>
      <c r="AF447" s="7">
        <f ca="1">IF(AF$6=OFFSET(Assumptions!$B$8,0,$C$1),AVERAGE(AC$447/AC$139,AD$447/AD$139,AE$447/AE$139),AE$447/AE$139) *AF$139</f>
        <v>14.145332129534992</v>
      </c>
      <c r="AG447" s="7">
        <f ca="1">IF(AG$6=OFFSET(Assumptions!$B$8,0,$C$1),AVERAGE(AD$447/AD$139,AE$447/AE$139,AF$447/AF$139),AF$447/AF$139) *AG$139</f>
        <v>14.715731370636496</v>
      </c>
      <c r="AH447" s="7">
        <f ca="1">IF(AH$6=OFFSET(Assumptions!$B$8,0,$C$1),AVERAGE(AE$447/AE$139,AF$447/AF$139,AG$447/AG$139),AG$447/AG$139) *AH$139</f>
        <v>15.309381268077198</v>
      </c>
      <c r="AI447" s="7">
        <f ca="1">IF(AI$6=OFFSET(Assumptions!$B$8,0,$C$1),AVERAGE(AF$447/AF$139,AG$447/AG$139,AH$447/AH$139),AH$447/AH$139) *AI$139</f>
        <v>15.925244518968224</v>
      </c>
      <c r="AJ447" s="7">
        <f ca="1">IF(AJ$6=OFFSET(Assumptions!$B$8,0,$C$1),AVERAGE(AG$447/AG$139,AH$447/AH$139,AI$447/AI$139),AI$447/AI$139) *AJ$139</f>
        <v>16.565294040145876</v>
      </c>
      <c r="AK447" s="7">
        <f ca="1">IF(AK$6=OFFSET(Assumptions!$B$8,0,$C$1),AVERAGE(AH$447/AH$139,AI$447/AI$139,AJ$447/AJ$139),AJ$447/AJ$139) *AK$139</f>
        <v>17.229003307158219</v>
      </c>
      <c r="AL447" s="7">
        <f ca="1">IF(AL$6=OFFSET(Assumptions!$B$8,0,$C$1),AVERAGE(AI$447/AI$139,AJ$447/AJ$139,AK$447/AK$139),AK$447/AK$139) *AL$139</f>
        <v>17.915849497905107</v>
      </c>
      <c r="AM447" s="7">
        <f ca="1">IF(AM$6=OFFSET(Assumptions!$B$8,0,$C$1),AVERAGE(AJ$447/AJ$139,AK$447/AK$139,AL$447/AL$139),AL$447/AL$139) *AM$139</f>
        <v>18.626770933724391</v>
      </c>
      <c r="AN447" s="7">
        <f ca="1">IF(AN$6=OFFSET(Assumptions!$B$8,0,$C$1),AVERAGE(AK$447/AK$139,AL$447/AL$139,AM$447/AM$139),AM$447/AM$139) *AN$139</f>
        <v>19.362756499448679</v>
      </c>
      <c r="AO447" s="7">
        <f ca="1">IF(AO$6=OFFSET(Assumptions!$B$8,0,$C$1),AVERAGE(AL$447/AL$139,AM$447/AM$139,AN$447/AN$139),AN$447/AN$139) *AO$139</f>
        <v>20.120916234276976</v>
      </c>
      <c r="AP447" s="7">
        <f ca="1">IF(AP$6=OFFSET(Assumptions!$B$8,0,$C$1),AVERAGE(AM$447/AM$139,AN$447/AN$139,AO$447/AO$139),AO$447/AO$139) *AP$139</f>
        <v>20.904469659822162</v>
      </c>
      <c r="AQ447" s="7">
        <f ca="1">IF(AQ$6=OFFSET(Assumptions!$B$8,0,$C$1),AVERAGE(AN$447/AN$139,AO$447/AO$139,AP$447/AP$139),AP$447/AP$139) *AQ$139</f>
        <v>21.711221261858551</v>
      </c>
      <c r="AR447" s="7">
        <f ca="1">IF(AR$6=OFFSET(Assumptions!$B$8,0,$C$1),AVERAGE(AO$447/AO$139,AP$447/AP$139,AQ$447/AQ$139),AQ$447/AQ$139) *AR$139</f>
        <v>22.542084427524973</v>
      </c>
      <c r="AS447" s="7">
        <f ca="1">IF(AS$6=OFFSET(Assumptions!$B$8,0,$C$1),AVERAGE(AP$447/AP$139,AQ$447/AQ$139,AR$447/AR$139),AR$447/AR$139) *AS$139</f>
        <v>23.398997536621611</v>
      </c>
      <c r="AT447" s="7">
        <f ca="1">IF(AT$6=OFFSET(Assumptions!$B$8,0,$C$1),AVERAGE(AQ$447/AQ$139,AR$447/AR$139,AS$447/AS$139),AS$447/AS$139) *AT$139</f>
        <v>24.282644977594135</v>
      </c>
      <c r="AU447" s="7">
        <f ca="1">IF(AU$6=OFFSET(Assumptions!$B$8,0,$C$1),AVERAGE(AR$447/AR$139,AS$447/AS$139,AT$447/AT$139),AT$447/AT$139) *AU$139</f>
        <v>25.194201804269518</v>
      </c>
      <c r="AV447" s="7">
        <f ca="1">IF(AV$6=OFFSET(Assumptions!$B$8,0,$C$1),AVERAGE(AS$447/AS$139,AT$447/AT$139,AU$447/AU$139),AU$447/AU$139) *AV$139</f>
        <v>26.136486457435964</v>
      </c>
      <c r="AW447" s="7">
        <f ca="1">IF(AW$6=OFFSET(Assumptions!$B$8,0,$C$1),AVERAGE(AT$447/AT$139,AU$447/AU$139,AV$447/AV$139),AV$447/AV$139) *AW$139</f>
        <v>27.108966964471101</v>
      </c>
    </row>
    <row r="448" spans="1:49" x14ac:dyDescent="0.2">
      <c r="A448" s="1" t="s">
        <v>672</v>
      </c>
      <c r="B448" s="4" t="str">
        <f t="shared" si="265"/>
        <v>From Fiscal</v>
      </c>
      <c r="D448" s="18">
        <f>Fiscal!D$179-SUM(D$446:D$447)</f>
        <v>3.125</v>
      </c>
      <c r="E448" s="19">
        <f>Fiscal!E$179-SUM(E$446:E$447)</f>
        <v>2.9080000000000004</v>
      </c>
      <c r="F448" s="19">
        <f>Fiscal!F$179-SUM(F$446:F$447)</f>
        <v>2.7549999999999999</v>
      </c>
      <c r="G448" s="19">
        <f>Fiscal!G$179-SUM(G$446:G$447)</f>
        <v>2.410000000000001</v>
      </c>
      <c r="H448" s="19">
        <f>Fiscal!H$179-SUM(H$446:H$447)</f>
        <v>2.544999999999999</v>
      </c>
      <c r="I448" s="19">
        <f>Fiscal!I$179-SUM(I$446:I$447)</f>
        <v>2.6359999999999992</v>
      </c>
      <c r="J448" s="7">
        <f ca="1">(I$448/I$14+ IF(J$2&gt;0,J$2*IF(J$6=OFFSET(Assumptions!$B$8,0,$C$1),SUMPRODUCT(OFFSET(I$448,0,0,1,-OFFSET(Assumptions!$B$67,0,$C$1)),OFFSET(I$16,0,0,1,-OFFSET(Assumptions!$B$67,0,$C$1)))/OFFSET(Assumptions!$B$67,0,$C$1)-I$448/I$14,(I$448/I$14-H$448/H$14)/I$2),0))*J$14</f>
        <v>2.7484847290594456</v>
      </c>
      <c r="K448" s="7">
        <f ca="1">(J$448/J$14+ IF(K$2&gt;0,K$2*IF(K$6=OFFSET(Assumptions!$B$8,0,$C$1),SUMPRODUCT(OFFSET(J$448,0,0,1,-OFFSET(Assumptions!$B$67,0,$C$1)),OFFSET(J$16,0,0,1,-OFFSET(Assumptions!$B$67,0,$C$1)))/OFFSET(Assumptions!$B$67,0,$C$1)-J$448/J$14,(J$448/J$14-I$448/I$14)/J$2),0))*K$14</f>
        <v>2.8645206042394498</v>
      </c>
      <c r="L448" s="7">
        <f ca="1">(K$448/K$14+ IF(L$2&gt;0,L$2*IF(L$6=OFFSET(Assumptions!$B$8,0,$C$1),SUMPRODUCT(OFFSET(K$448,0,0,1,-OFFSET(Assumptions!$B$67,0,$C$1)),OFFSET(K$16,0,0,1,-OFFSET(Assumptions!$B$67,0,$C$1)))/OFFSET(Assumptions!$B$67,0,$C$1)-K$448/K$14,(K$448/K$14-J$448/J$14)/K$2),0))*L$14</f>
        <v>2.9896044340412153</v>
      </c>
      <c r="M448" s="7">
        <f ca="1">(L$448/L$14+ IF(M$2&gt;0,M$2*IF(M$6=OFFSET(Assumptions!$B$8,0,$C$1),SUMPRODUCT(OFFSET(L$448,0,0,1,-OFFSET(Assumptions!$B$67,0,$C$1)),OFFSET(L$16,0,0,1,-OFFSET(Assumptions!$B$67,0,$C$1)))/OFFSET(Assumptions!$B$67,0,$C$1)-L$448/L$14,(L$448/L$14-K$448/K$14)/L$2),0))*M$14</f>
        <v>3.1194147180928207</v>
      </c>
      <c r="N448" s="7">
        <f ca="1">(M$448/M$14+ IF(N$2&gt;0,N$2*IF(N$6=OFFSET(Assumptions!$B$8,0,$C$1),SUMPRODUCT(OFFSET(M$448,0,0,1,-OFFSET(Assumptions!$B$67,0,$C$1)),OFFSET(M$16,0,0,1,-OFFSET(Assumptions!$B$67,0,$C$1)))/OFFSET(Assumptions!$B$67,0,$C$1)-M$448/M$14,(M$448/M$14-L$448/L$14)/M$2),0))*N$14</f>
        <v>3.254281044829094</v>
      </c>
      <c r="O448" s="7">
        <f ca="1">(N$448/N$14+ IF(O$2&gt;0,O$2*IF(O$6=OFFSET(Assumptions!$B$8,0,$C$1),SUMPRODUCT(OFFSET(N$448,0,0,1,-OFFSET(Assumptions!$B$67,0,$C$1)),OFFSET(N$16,0,0,1,-OFFSET(Assumptions!$B$67,0,$C$1)))/OFFSET(Assumptions!$B$67,0,$C$1)-N$448/N$14,(N$448/N$14-M$448/M$14)/N$2),0))*O$14</f>
        <v>3.3931956711682401</v>
      </c>
      <c r="P448" s="7">
        <f ca="1">(O$448/O$14+ IF(P$2&gt;0,P$2*IF(P$6=OFFSET(Assumptions!$B$8,0,$C$1),SUMPRODUCT(OFFSET(O$448,0,0,1,-OFFSET(Assumptions!$B$67,0,$C$1)),OFFSET(O$16,0,0,1,-OFFSET(Assumptions!$B$67,0,$C$1)))/OFFSET(Assumptions!$B$67,0,$C$1)-O$448/O$14,(O$448/O$14-N$448/N$14)/O$2),0))*P$14</f>
        <v>3.5366901877334405</v>
      </c>
      <c r="Q448" s="7">
        <f ca="1">(P$448/P$14+ IF(Q$2&gt;0,Q$2*IF(Q$6=OFFSET(Assumptions!$B$8,0,$C$1),SUMPRODUCT(OFFSET(P$448,0,0,1,-OFFSET(Assumptions!$B$67,0,$C$1)),OFFSET(P$16,0,0,1,-OFFSET(Assumptions!$B$67,0,$C$1)))/OFFSET(Assumptions!$B$67,0,$C$1)-P$448/P$14,(P$448/P$14-O$448/O$14)/P$2),0))*Q$14</f>
        <v>3.6846095940985193</v>
      </c>
      <c r="R448" s="7">
        <f ca="1">(Q$448/Q$14+ IF(R$2&gt;0,R$2*IF(R$6=OFFSET(Assumptions!$B$8,0,$C$1),SUMPRODUCT(OFFSET(Q$448,0,0,1,-OFFSET(Assumptions!$B$67,0,$C$1)),OFFSET(Q$16,0,0,1,-OFFSET(Assumptions!$B$67,0,$C$1)))/OFFSET(Assumptions!$B$67,0,$C$1)-Q$448/Q$14,(Q$448/Q$14-P$448/P$14)/Q$2),0))*R$14</f>
        <v>3.8368441018905206</v>
      </c>
      <c r="S448" s="7">
        <f ca="1">(R$448/R$14+ IF(S$2&gt;0,S$2*IF(S$6=OFFSET(Assumptions!$B$8,0,$C$1),SUMPRODUCT(OFFSET(R$448,0,0,1,-OFFSET(Assumptions!$B$67,0,$C$1)),OFFSET(R$16,0,0,1,-OFFSET(Assumptions!$B$67,0,$C$1)))/OFFSET(Assumptions!$B$67,0,$C$1)-R$448/R$14,(R$448/R$14-Q$448/Q$14)/R$2),0))*S$14</f>
        <v>3.9938775061675194</v>
      </c>
      <c r="T448" s="7">
        <f ca="1">(S$448/S$14+ IF(T$2&gt;0,T$2*IF(T$6=OFFSET(Assumptions!$B$8,0,$C$1),SUMPRODUCT(OFFSET(S$448,0,0,1,-OFFSET(Assumptions!$B$67,0,$C$1)),OFFSET(S$16,0,0,1,-OFFSET(Assumptions!$B$67,0,$C$1)))/OFFSET(Assumptions!$B$67,0,$C$1)-S$448/S$14,(S$448/S$14-R$448/R$14)/S$2),0))*T$14</f>
        <v>4.1557670716954176</v>
      </c>
      <c r="U448" s="7">
        <f ca="1">(T$448/T$14+ IF(U$2&gt;0,U$2*IF(U$6=OFFSET(Assumptions!$B$8,0,$C$1),SUMPRODUCT(OFFSET(T$448,0,0,1,-OFFSET(Assumptions!$B$67,0,$C$1)),OFFSET(T$16,0,0,1,-OFFSET(Assumptions!$B$67,0,$C$1)))/OFFSET(Assumptions!$B$67,0,$C$1)-T$448/T$14,(T$448/T$14-S$448/S$14)/T$2),0))*U$14</f>
        <v>4.323093815857538</v>
      </c>
      <c r="V448" s="7">
        <f ca="1">(U$448/U$14+ IF(V$2&gt;0,V$2*IF(V$6=OFFSET(Assumptions!$B$8,0,$C$1),SUMPRODUCT(OFFSET(U$448,0,0,1,-OFFSET(Assumptions!$B$67,0,$C$1)),OFFSET(U$16,0,0,1,-OFFSET(Assumptions!$B$67,0,$C$1)))/OFFSET(Assumptions!$B$67,0,$C$1)-U$448/U$14,(U$448/U$14-T$448/T$14)/U$2),0))*V$14</f>
        <v>4.4962707856775781</v>
      </c>
      <c r="W448" s="7">
        <f ca="1">(V$448/V$14+ IF(W$2&gt;0,W$2*IF(W$6=OFFSET(Assumptions!$B$8,0,$C$1),SUMPRODUCT(OFFSET(V$448,0,0,1,-OFFSET(Assumptions!$B$67,0,$C$1)),OFFSET(V$16,0,0,1,-OFFSET(Assumptions!$B$67,0,$C$1)))/OFFSET(Assumptions!$B$67,0,$C$1)-V$448/V$14,(V$448/V$14-U$448/U$14)/V$2),0))*W$14</f>
        <v>4.6757997185188067</v>
      </c>
      <c r="X448" s="7">
        <f ca="1">(W$448/W$14+ IF(X$2&gt;0,X$2*IF(X$6=OFFSET(Assumptions!$B$8,0,$C$1),SUMPRODUCT(OFFSET(W$448,0,0,1,-OFFSET(Assumptions!$B$67,0,$C$1)),OFFSET(W$16,0,0,1,-OFFSET(Assumptions!$B$67,0,$C$1)))/OFFSET(Assumptions!$B$67,0,$C$1)-W$448/W$14,(W$448/W$14-V$448/V$14)/W$2),0))*X$14</f>
        <v>4.8622492646154472</v>
      </c>
      <c r="Y448" s="7">
        <f ca="1">(X$448/X$14+ IF(Y$2&gt;0,Y$2*IF(Y$6=OFFSET(Assumptions!$B$8,0,$C$1),SUMPRODUCT(OFFSET(X$448,0,0,1,-OFFSET(Assumptions!$B$67,0,$C$1)),OFFSET(X$16,0,0,1,-OFFSET(Assumptions!$B$67,0,$C$1)))/OFFSET(Assumptions!$B$67,0,$C$1)-X$448/X$14,(X$448/X$14-W$448/W$14)/X$2),0))*Y$14</f>
        <v>5.0556003626503916</v>
      </c>
      <c r="Z448" s="7">
        <f ca="1">(Y$448/Y$14+ IF(Z$2&gt;0,Z$2*IF(Z$6=OFFSET(Assumptions!$B$8,0,$C$1),SUMPRODUCT(OFFSET(Y$448,0,0,1,-OFFSET(Assumptions!$B$67,0,$C$1)),OFFSET(Y$16,0,0,1,-OFFSET(Assumptions!$B$67,0,$C$1)))/OFFSET(Assumptions!$B$67,0,$C$1)-Y$448/Y$14,(Y$448/Y$14-X$448/X$14)/Y$2),0))*Z$14</f>
        <v>5.2568316867382601</v>
      </c>
      <c r="AA448" s="7">
        <f ca="1">(Z$448/Z$14+ IF(AA$2&gt;0,AA$2*IF(AA$6=OFFSET(Assumptions!$B$8,0,$C$1),SUMPRODUCT(OFFSET(Z$448,0,0,1,-OFFSET(Assumptions!$B$67,0,$C$1)),OFFSET(Z$16,0,0,1,-OFFSET(Assumptions!$B$67,0,$C$1)))/OFFSET(Assumptions!$B$67,0,$C$1)-Z$448/Z$14,(Z$448/Z$14-Y$448/Y$14)/Z$2),0))*AA$14</f>
        <v>5.4662688298553723</v>
      </c>
      <c r="AB448" s="7">
        <f ca="1">(AA$448/AA$14+ IF(AB$2&gt;0,AB$2*IF(AB$6=OFFSET(Assumptions!$B$8,0,$C$1),SUMPRODUCT(OFFSET(AA$448,0,0,1,-OFFSET(Assumptions!$B$67,0,$C$1)),OFFSET(AA$16,0,0,1,-OFFSET(Assumptions!$B$67,0,$C$1)))/OFFSET(Assumptions!$B$67,0,$C$1)-AA$448/AA$14,(AA$448/AA$14-Z$448/Z$14)/AA$2),0))*AB$14</f>
        <v>5.6845407510842918</v>
      </c>
      <c r="AC448" s="7">
        <f ca="1">(AB$448/AB$14+ IF(AC$2&gt;0,AC$2*IF(AC$6=OFFSET(Assumptions!$B$8,0,$C$1),SUMPRODUCT(OFFSET(AB$448,0,0,1,-OFFSET(Assumptions!$B$67,0,$C$1)),OFFSET(AB$16,0,0,1,-OFFSET(Assumptions!$B$67,0,$C$1)))/OFFSET(Assumptions!$B$67,0,$C$1)-AB$448/AB$14,(AB$448/AB$14-AA$448/AA$14)/AB$2),0))*AC$14</f>
        <v>5.9124714565476806</v>
      </c>
      <c r="AD448" s="7">
        <f ca="1">(AC$448/AC$14+ IF(AD$2&gt;0,AD$2*IF(AD$6=OFFSET(Assumptions!$B$8,0,$C$1),SUMPRODUCT(OFFSET(AC$448,0,0,1,-OFFSET(Assumptions!$B$67,0,$C$1)),OFFSET(AC$16,0,0,1,-OFFSET(Assumptions!$B$67,0,$C$1)))/OFFSET(Assumptions!$B$67,0,$C$1)-AC$448/AC$14,(AC$448/AC$14-AB$448/AB$14)/AC$2),0))*AD$14</f>
        <v>6.150301188020781</v>
      </c>
      <c r="AE448" s="7">
        <f ca="1">(AD$448/AD$14+ IF(AE$2&gt;0,AE$2*IF(AE$6=OFFSET(Assumptions!$B$8,0,$C$1),SUMPRODUCT(OFFSET(AD$448,0,0,1,-OFFSET(Assumptions!$B$67,0,$C$1)),OFFSET(AD$16,0,0,1,-OFFSET(Assumptions!$B$67,0,$C$1)))/OFFSET(Assumptions!$B$67,0,$C$1)-AD$448/AD$14,(AD$448/AD$14-AC$448/AC$14)/AD$2),0))*AE$14</f>
        <v>6.3978115305947005</v>
      </c>
      <c r="AF448" s="7">
        <f ca="1">(AE$448/AE$14+ IF(AF$2&gt;0,AF$2*IF(AF$6=OFFSET(Assumptions!$B$8,0,$C$1),SUMPRODUCT(OFFSET(AE$448,0,0,1,-OFFSET(Assumptions!$B$67,0,$C$1)),OFFSET(AE$16,0,0,1,-OFFSET(Assumptions!$B$67,0,$C$1)))/OFFSET(Assumptions!$B$67,0,$C$1)-AE$448/AE$14,(AE$448/AE$14-AD$448/AD$14)/AE$2),0))*AF$14</f>
        <v>6.6556872462839545</v>
      </c>
      <c r="AG448" s="7">
        <f ca="1">(AF$448/AF$14+ IF(AG$2&gt;0,AG$2*IF(AG$6=OFFSET(Assumptions!$B$8,0,$C$1),SUMPRODUCT(OFFSET(AF$448,0,0,1,-OFFSET(Assumptions!$B$67,0,$C$1)),OFFSET(AF$16,0,0,1,-OFFSET(Assumptions!$B$67,0,$C$1)))/OFFSET(Assumptions!$B$67,0,$C$1)-AF$448/AF$14,(AF$448/AF$14-AE$448/AE$14)/AF$2),0))*AG$14</f>
        <v>6.9240725284055777</v>
      </c>
      <c r="AH448" s="7">
        <f ca="1">(AG$448/AG$14+ IF(AH$2&gt;0,AH$2*IF(AH$6=OFFSET(Assumptions!$B$8,0,$C$1),SUMPRODUCT(OFFSET(AG$448,0,0,1,-OFFSET(Assumptions!$B$67,0,$C$1)),OFFSET(AG$16,0,0,1,-OFFSET(Assumptions!$B$67,0,$C$1)))/OFFSET(Assumptions!$B$67,0,$C$1)-AG$448/AG$14,(AG$448/AG$14-AF$448/AF$14)/AG$2),0))*AH$14</f>
        <v>7.203397751381714</v>
      </c>
      <c r="AI448" s="7">
        <f ca="1">(AH$448/AH$14+ IF(AI$2&gt;0,AI$2*IF(AI$6=OFFSET(Assumptions!$B$8,0,$C$1),SUMPRODUCT(OFFSET(AH$448,0,0,1,-OFFSET(Assumptions!$B$67,0,$C$1)),OFFSET(AH$16,0,0,1,-OFFSET(Assumptions!$B$67,0,$C$1)))/OFFSET(Assumptions!$B$67,0,$C$1)-AH$448/AH$14,(AH$448/AH$14-AG$448/AG$14)/AH$2),0))*AI$14</f>
        <v>7.4931748415817969</v>
      </c>
      <c r="AJ448" s="7">
        <f ca="1">(AI$448/AI$14+ IF(AJ$2&gt;0,AJ$2*IF(AJ$6=OFFSET(Assumptions!$B$8,0,$C$1),SUMPRODUCT(OFFSET(AI$448,0,0,1,-OFFSET(Assumptions!$B$67,0,$C$1)),OFFSET(AI$16,0,0,1,-OFFSET(Assumptions!$B$67,0,$C$1)))/OFFSET(Assumptions!$B$67,0,$C$1)-AI$448/AI$14,(AI$448/AI$14-AH$448/AH$14)/AI$2),0))*AJ$14</f>
        <v>7.7943320994023875</v>
      </c>
      <c r="AK448" s="7">
        <f ca="1">(AJ$448/AJ$14+ IF(AK$2&gt;0,AK$2*IF(AK$6=OFFSET(Assumptions!$B$8,0,$C$1),SUMPRODUCT(OFFSET(AJ$448,0,0,1,-OFFSET(Assumptions!$B$67,0,$C$1)),OFFSET(AJ$16,0,0,1,-OFFSET(Assumptions!$B$67,0,$C$1)))/OFFSET(Assumptions!$B$67,0,$C$1)-AJ$448/AJ$14,(AJ$448/AJ$14-AI$448/AI$14)/AJ$2),0))*AK$14</f>
        <v>8.1066217836064833</v>
      </c>
      <c r="AL448" s="7">
        <f ca="1">(AK$448/AK$14+ IF(AL$2&gt;0,AL$2*IF(AL$6=OFFSET(Assumptions!$B$8,0,$C$1),SUMPRODUCT(OFFSET(AK$448,0,0,1,-OFFSET(Assumptions!$B$67,0,$C$1)),OFFSET(AK$16,0,0,1,-OFFSET(Assumptions!$B$67,0,$C$1)))/OFFSET(Assumptions!$B$67,0,$C$1)-AK$448/AK$14,(AK$448/AK$14-AJ$448/AJ$14)/AK$2),0))*AL$14</f>
        <v>8.4297978949943335</v>
      </c>
      <c r="AM448" s="7">
        <f ca="1">(AL$448/AL$14+ IF(AM$2&gt;0,AM$2*IF(AM$6=OFFSET(Assumptions!$B$8,0,$C$1),SUMPRODUCT(OFFSET(AL$448,0,0,1,-OFFSET(Assumptions!$B$67,0,$C$1)),OFFSET(AL$16,0,0,1,-OFFSET(Assumptions!$B$67,0,$C$1)))/OFFSET(Assumptions!$B$67,0,$C$1)-AL$448/AL$14,(AL$448/AL$14-AK$448/AK$14)/AL$2),0))*AM$14</f>
        <v>8.7643019342181798</v>
      </c>
      <c r="AN448" s="7">
        <f ca="1">(AM$448/AM$14+ IF(AN$2&gt;0,AN$2*IF(AN$6=OFFSET(Assumptions!$B$8,0,$C$1),SUMPRODUCT(OFFSET(AM$448,0,0,1,-OFFSET(Assumptions!$B$67,0,$C$1)),OFFSET(AM$16,0,0,1,-OFFSET(Assumptions!$B$67,0,$C$1)))/OFFSET(Assumptions!$B$67,0,$C$1)-AM$448/AM$14,(AM$448/AM$14-AL$448/AL$14)/AM$2),0))*AN$14</f>
        <v>9.1105991931572152</v>
      </c>
      <c r="AO448" s="7">
        <f ca="1">(AN$448/AN$14+ IF(AO$2&gt;0,AO$2*IF(AO$6=OFFSET(Assumptions!$B$8,0,$C$1),SUMPRODUCT(OFFSET(AN$448,0,0,1,-OFFSET(Assumptions!$B$67,0,$C$1)),OFFSET(AN$16,0,0,1,-OFFSET(Assumptions!$B$67,0,$C$1)))/OFFSET(Assumptions!$B$67,0,$C$1)-AN$448/AN$14,(AN$448/AN$14-AM$448/AM$14)/AN$2),0))*AO$14</f>
        <v>9.467329882230727</v>
      </c>
      <c r="AP448" s="7">
        <f ca="1">(AO$448/AO$14+ IF(AP$2&gt;0,AP$2*IF(AP$6=OFFSET(Assumptions!$B$8,0,$C$1),SUMPRODUCT(OFFSET(AO$448,0,0,1,-OFFSET(Assumptions!$B$67,0,$C$1)),OFFSET(AO$16,0,0,1,-OFFSET(Assumptions!$B$67,0,$C$1)))/OFFSET(Assumptions!$B$67,0,$C$1)-AO$448/AO$14,(AO$448/AO$14-AN$448/AN$14)/AO$2),0))*AP$14</f>
        <v>9.8360088565684372</v>
      </c>
      <c r="AQ448" s="7">
        <f ca="1">(AP$448/AP$14+ IF(AQ$2&gt;0,AQ$2*IF(AQ$6=OFFSET(Assumptions!$B$8,0,$C$1),SUMPRODUCT(OFFSET(AP$448,0,0,1,-OFFSET(Assumptions!$B$67,0,$C$1)),OFFSET(AP$16,0,0,1,-OFFSET(Assumptions!$B$67,0,$C$1)))/OFFSET(Assumptions!$B$67,0,$C$1)-AP$448/AP$14,(AP$448/AP$14-AO$448/AO$14)/AP$2),0))*AQ$14</f>
        <v>10.215603078847701</v>
      </c>
      <c r="AR448" s="7">
        <f ca="1">(AQ$448/AQ$14+ IF(AR$2&gt;0,AR$2*IF(AR$6=OFFSET(Assumptions!$B$8,0,$C$1),SUMPRODUCT(OFFSET(AQ$448,0,0,1,-OFFSET(Assumptions!$B$67,0,$C$1)),OFFSET(AQ$16,0,0,1,-OFFSET(Assumptions!$B$67,0,$C$1)))/OFFSET(Assumptions!$B$67,0,$C$1)-AQ$448/AQ$14,(AQ$448/AQ$14-AP$448/AP$14)/AQ$2),0))*AR$14</f>
        <v>10.606542317636356</v>
      </c>
      <c r="AS448" s="7">
        <f ca="1">(AR$448/AR$14+ IF(AS$2&gt;0,AS$2*IF(AS$6=OFFSET(Assumptions!$B$8,0,$C$1),SUMPRODUCT(OFFSET(AR$448,0,0,1,-OFFSET(Assumptions!$B$67,0,$C$1)),OFFSET(AR$16,0,0,1,-OFFSET(Assumptions!$B$67,0,$C$1)))/OFFSET(Assumptions!$B$67,0,$C$1)-AR$448/AR$14,(AR$448/AR$14-AQ$448/AQ$14)/AR$2),0))*AS$14</f>
        <v>11.009738622902292</v>
      </c>
      <c r="AT448" s="7">
        <f ca="1">(AS$448/AS$14+ IF(AT$2&gt;0,AT$2*IF(AT$6=OFFSET(Assumptions!$B$8,0,$C$1),SUMPRODUCT(OFFSET(AS$448,0,0,1,-OFFSET(Assumptions!$B$67,0,$C$1)),OFFSET(AS$16,0,0,1,-OFFSET(Assumptions!$B$67,0,$C$1)))/OFFSET(Assumptions!$B$67,0,$C$1)-AS$448/AS$14,(AS$448/AS$14-AR$448/AR$14)/AS$2),0))*AT$14</f>
        <v>11.425514014334237</v>
      </c>
      <c r="AU448" s="7">
        <f ca="1">(AT$448/AT$14+ IF(AU$2&gt;0,AU$2*IF(AU$6=OFFSET(Assumptions!$B$8,0,$C$1),SUMPRODUCT(OFFSET(AT$448,0,0,1,-OFFSET(Assumptions!$B$67,0,$C$1)),OFFSET(AT$16,0,0,1,-OFFSET(Assumptions!$B$67,0,$C$1)))/OFFSET(Assumptions!$B$67,0,$C$1)-AT$448/AT$14,(AT$448/AT$14-AS$448/AS$14)/AT$2),0))*AU$14</f>
        <v>11.854421380383185</v>
      </c>
      <c r="AV448" s="7">
        <f ca="1">(AU$448/AU$14+ IF(AV$2&gt;0,AV$2*IF(AV$6=OFFSET(Assumptions!$B$8,0,$C$1),SUMPRODUCT(OFFSET(AU$448,0,0,1,-OFFSET(Assumptions!$B$67,0,$C$1)),OFFSET(AU$16,0,0,1,-OFFSET(Assumptions!$B$67,0,$C$1)))/OFFSET(Assumptions!$B$67,0,$C$1)-AU$448/AU$14,(AU$448/AU$14-AT$448/AT$14)/AU$2),0))*AV$14</f>
        <v>12.297786858904132</v>
      </c>
      <c r="AW448" s="7">
        <f ca="1">(AV$448/AV$14+ IF(AW$2&gt;0,AW$2*IF(AW$6=OFFSET(Assumptions!$B$8,0,$C$1),SUMPRODUCT(OFFSET(AV$448,0,0,1,-OFFSET(Assumptions!$B$67,0,$C$1)),OFFSET(AV$16,0,0,1,-OFFSET(Assumptions!$B$67,0,$C$1)))/OFFSET(Assumptions!$B$67,0,$C$1)-AV$448/AV$14,(AV$448/AV$14-AU$448/AU$14)/AV$2),0))*AW$14</f>
        <v>12.755360145177072</v>
      </c>
    </row>
    <row r="449" spans="1:49" ht="15" x14ac:dyDescent="0.25">
      <c r="A449" s="2" t="s">
        <v>673</v>
      </c>
      <c r="B449" s="4"/>
      <c r="D449" s="40">
        <f t="shared" ref="D449:I449" si="266">SUM(D$446:D$448)</f>
        <v>8.1310000000000002</v>
      </c>
      <c r="E449" s="39">
        <f t="shared" si="266"/>
        <v>8.5440000000000005</v>
      </c>
      <c r="F449" s="39">
        <f t="shared" si="266"/>
        <v>8.8040000000000003</v>
      </c>
      <c r="G449" s="39">
        <f t="shared" si="266"/>
        <v>8.5370000000000008</v>
      </c>
      <c r="H449" s="39">
        <f t="shared" si="266"/>
        <v>9.1449999999999996</v>
      </c>
      <c r="I449" s="39">
        <f t="shared" si="266"/>
        <v>9.5839999999999996</v>
      </c>
      <c r="J449" s="43">
        <f t="shared" ref="J449:AW449" ca="1" si="267">SUM(J$446:J$448)</f>
        <v>10.124432856682786</v>
      </c>
      <c r="K449" s="43">
        <f t="shared" ca="1" si="267"/>
        <v>10.703493535771662</v>
      </c>
      <c r="L449" s="43">
        <f t="shared" ca="1" si="267"/>
        <v>11.304543139902385</v>
      </c>
      <c r="M449" s="43">
        <f t="shared" ca="1" si="267"/>
        <v>11.918060619379045</v>
      </c>
      <c r="N449" s="43">
        <f t="shared" ca="1" si="267"/>
        <v>12.554446270730947</v>
      </c>
      <c r="O449" s="43">
        <f t="shared" ca="1" si="267"/>
        <v>13.207239765301191</v>
      </c>
      <c r="P449" s="43">
        <f t="shared" ca="1" si="267"/>
        <v>13.888079087216255</v>
      </c>
      <c r="Q449" s="43">
        <f t="shared" ca="1" si="267"/>
        <v>14.577219690581439</v>
      </c>
      <c r="R449" s="43">
        <f t="shared" ca="1" si="267"/>
        <v>15.27480412784813</v>
      </c>
      <c r="S449" s="43">
        <f t="shared" ca="1" si="267"/>
        <v>15.989804865728544</v>
      </c>
      <c r="T449" s="43">
        <f t="shared" ca="1" si="267"/>
        <v>16.722847145936129</v>
      </c>
      <c r="U449" s="43">
        <f t="shared" ca="1" si="267"/>
        <v>17.47542407224897</v>
      </c>
      <c r="V449" s="43">
        <f t="shared" ca="1" si="267"/>
        <v>18.248371037027635</v>
      </c>
      <c r="W449" s="43">
        <f t="shared" ca="1" si="267"/>
        <v>19.042849393820283</v>
      </c>
      <c r="X449" s="43">
        <f t="shared" ca="1" si="267"/>
        <v>19.861152498702509</v>
      </c>
      <c r="Y449" s="43">
        <f t="shared" ca="1" si="267"/>
        <v>20.701949321421331</v>
      </c>
      <c r="Z449" s="43">
        <f t="shared" ca="1" si="267"/>
        <v>21.569716898417028</v>
      </c>
      <c r="AA449" s="43">
        <f t="shared" ca="1" si="267"/>
        <v>22.468111570728965</v>
      </c>
      <c r="AB449" s="43">
        <f t="shared" ca="1" si="267"/>
        <v>23.402575908070091</v>
      </c>
      <c r="AC449" s="43">
        <f t="shared" ca="1" si="267"/>
        <v>24.37982254970299</v>
      </c>
      <c r="AD449" s="43">
        <f t="shared" ca="1" si="267"/>
        <v>25.405325670813976</v>
      </c>
      <c r="AE449" s="43">
        <f t="shared" ca="1" si="267"/>
        <v>26.48067850405889</v>
      </c>
      <c r="AF449" s="43">
        <f t="shared" ca="1" si="267"/>
        <v>27.611946937433935</v>
      </c>
      <c r="AG449" s="43">
        <f t="shared" ca="1" si="267"/>
        <v>28.80063388809959</v>
      </c>
      <c r="AH449" s="43">
        <f t="shared" ca="1" si="267"/>
        <v>30.050676277825922</v>
      </c>
      <c r="AI449" s="43">
        <f t="shared" ca="1" si="267"/>
        <v>31.362498669008435</v>
      </c>
      <c r="AJ449" s="43">
        <f t="shared" ca="1" si="267"/>
        <v>32.741067716681215</v>
      </c>
      <c r="AK449" s="43">
        <f t="shared" ca="1" si="267"/>
        <v>34.186243900701761</v>
      </c>
      <c r="AL449" s="43">
        <f t="shared" ca="1" si="267"/>
        <v>35.699408017299163</v>
      </c>
      <c r="AM449" s="43">
        <f t="shared" ca="1" si="267"/>
        <v>37.283762286191539</v>
      </c>
      <c r="AN449" s="43">
        <f t="shared" ca="1" si="267"/>
        <v>38.941327587993541</v>
      </c>
      <c r="AO449" s="43">
        <f t="shared" ca="1" si="267"/>
        <v>40.667204441592823</v>
      </c>
      <c r="AP449" s="43">
        <f t="shared" ca="1" si="267"/>
        <v>42.463166277807659</v>
      </c>
      <c r="AQ449" s="43">
        <f t="shared" ca="1" si="267"/>
        <v>44.323113368127117</v>
      </c>
      <c r="AR449" s="43">
        <f t="shared" ca="1" si="267"/>
        <v>46.243226410633234</v>
      </c>
      <c r="AS449" s="43">
        <f t="shared" ca="1" si="267"/>
        <v>48.221380019403007</v>
      </c>
      <c r="AT449" s="43">
        <f t="shared" ca="1" si="267"/>
        <v>50.260090371184276</v>
      </c>
      <c r="AU449" s="43">
        <f t="shared" ca="1" si="267"/>
        <v>52.360411873255714</v>
      </c>
      <c r="AV449" s="43">
        <f t="shared" ca="1" si="267"/>
        <v>54.527555979808056</v>
      </c>
      <c r="AW449" s="43">
        <f t="shared" ca="1" si="267"/>
        <v>56.759294721260211</v>
      </c>
    </row>
    <row r="450" spans="1:49" ht="15" x14ac:dyDescent="0.25">
      <c r="A450" s="2" t="s">
        <v>674</v>
      </c>
      <c r="B450" s="4" t="str">
        <f t="shared" si="265"/>
        <v>From Fiscal</v>
      </c>
      <c r="D450" s="47">
        <f>Fiscal!D$128</f>
        <v>11.952999999999999</v>
      </c>
      <c r="E450" s="44">
        <f>Fiscal!E$128</f>
        <v>12.087999999999999</v>
      </c>
      <c r="F450" s="44">
        <f>Fiscal!F$128</f>
        <v>12.282</v>
      </c>
      <c r="G450" s="44">
        <f>Fiscal!G$128</f>
        <v>11.922000000000001</v>
      </c>
      <c r="H450" s="44">
        <f>Fiscal!H$128</f>
        <v>12.638</v>
      </c>
      <c r="I450" s="44">
        <f>Fiscal!I$128</f>
        <v>13.247999999999999</v>
      </c>
      <c r="J450" s="8">
        <f ca="1">((I$450-I$449-I$107)/I$14+ IF(J$2&gt;0,J$2*IF(J$6=OFFSET(Assumptions!$B$8,0,$C$1),(SUMPRODUCT(OFFSET(I$450,0,0,1,-OFFSET(Assumptions!$B$67,0,$C$1)),OFFSET(I$16,0,0,1,-OFFSET(Assumptions!$B$67,0,$C$1)))-SUMPRODUCT(OFFSET(I$449,0,0,1,-OFFSET(Assumptions!$B$67,0,$C$1)),OFFSET(I$16,0,0,1,-OFFSET(Assumptions!$B$67,0,$C$1)))-SUMPRODUCT(OFFSET(I$107,0,0,1,-OFFSET(Assumptions!$B$67,0,$C$1)),OFFSET(I$16,0,0,1,-OFFSET(Assumptions!$B$67,0,$C$1))))/OFFSET(Assumptions!$B$67,0,$C$1)-(I$450-I$449-I$107)/I$14,((I$450-I$449-I$107)/I$14-(H$450-H$449-H$107)/H$14)/I$2),0))*J$14 +J$449+J$107</f>
        <v>13.947609870932382</v>
      </c>
      <c r="K450" s="8">
        <f ca="1">((J$450-J$449-J$107)/J$14+ IF(K$2&gt;0,K$2*IF(K$6=OFFSET(Assumptions!$B$8,0,$C$1),(SUMPRODUCT(OFFSET(J$450,0,0,1,-OFFSET(Assumptions!$B$67,0,$C$1)),OFFSET(J$16,0,0,1,-OFFSET(Assumptions!$B$67,0,$C$1)))-SUMPRODUCT(OFFSET(J$449,0,0,1,-OFFSET(Assumptions!$B$67,0,$C$1)),OFFSET(J$16,0,0,1,-OFFSET(Assumptions!$B$67,0,$C$1)))-SUMPRODUCT(OFFSET(J$107,0,0,1,-OFFSET(Assumptions!$B$67,0,$C$1)),OFFSET(J$16,0,0,1,-OFFSET(Assumptions!$B$67,0,$C$1))))/OFFSET(Assumptions!$B$67,0,$C$1)-(J$450-J$449-J$107)/J$14,((J$450-J$449-J$107)/J$14-(I$450-I$449-I$107)/I$14)/J$2),0))*K$14 +K$449+K$107</f>
        <v>14.670128020095703</v>
      </c>
      <c r="L450" s="8">
        <f ca="1">((K$450-K$449-K$107)/K$14+ IF(L$2&gt;0,L$2*IF(L$6=OFFSET(Assumptions!$B$8,0,$C$1),(SUMPRODUCT(OFFSET(K$450,0,0,1,-OFFSET(Assumptions!$B$67,0,$C$1)),OFFSET(K$16,0,0,1,-OFFSET(Assumptions!$B$67,0,$C$1)))-SUMPRODUCT(OFFSET(K$449,0,0,1,-OFFSET(Assumptions!$B$67,0,$C$1)),OFFSET(K$16,0,0,1,-OFFSET(Assumptions!$B$67,0,$C$1)))-SUMPRODUCT(OFFSET(K$107,0,0,1,-OFFSET(Assumptions!$B$67,0,$C$1)),OFFSET(K$16,0,0,1,-OFFSET(Assumptions!$B$67,0,$C$1))))/OFFSET(Assumptions!$B$67,0,$C$1)-(K$450-K$449-K$107)/K$14,((K$450-K$449-K$107)/K$14-(J$450-J$449-J$107)/J$14)/K$2),0))*L$14 +L$449+L$107</f>
        <v>15.425941556162821</v>
      </c>
      <c r="M450" s="8">
        <f ca="1">((L$450-L$449-L$107)/L$14+ IF(M$2&gt;0,M$2*IF(M$6=OFFSET(Assumptions!$B$8,0,$C$1),(SUMPRODUCT(OFFSET(L$450,0,0,1,-OFFSET(Assumptions!$B$67,0,$C$1)),OFFSET(L$16,0,0,1,-OFFSET(Assumptions!$B$67,0,$C$1)))-SUMPRODUCT(OFFSET(L$449,0,0,1,-OFFSET(Assumptions!$B$67,0,$C$1)),OFFSET(L$16,0,0,1,-OFFSET(Assumptions!$B$67,0,$C$1)))-SUMPRODUCT(OFFSET(L$107,0,0,1,-OFFSET(Assumptions!$B$67,0,$C$1)),OFFSET(L$16,0,0,1,-OFFSET(Assumptions!$B$67,0,$C$1))))/OFFSET(Assumptions!$B$67,0,$C$1)-(L$450-L$449-L$107)/L$14,((L$450-L$449-L$107)/L$14-(K$450-K$449-K$107)/K$14)/L$2),0))*M$14 +M$449+M$107</f>
        <v>16.200451023943486</v>
      </c>
      <c r="N450" s="8">
        <f ca="1">((M$450-M$449-M$107)/M$14+ IF(N$2&gt;0,N$2*IF(N$6=OFFSET(Assumptions!$B$8,0,$C$1),(SUMPRODUCT(OFFSET(M$450,0,0,1,-OFFSET(Assumptions!$B$67,0,$C$1)),OFFSET(M$16,0,0,1,-OFFSET(Assumptions!$B$67,0,$C$1)))-SUMPRODUCT(OFFSET(M$449,0,0,1,-OFFSET(Assumptions!$B$67,0,$C$1)),OFFSET(M$16,0,0,1,-OFFSET(Assumptions!$B$67,0,$C$1)))-SUMPRODUCT(OFFSET(M$107,0,0,1,-OFFSET(Assumptions!$B$67,0,$C$1)),OFFSET(M$16,0,0,1,-OFFSET(Assumptions!$B$67,0,$C$1))))/OFFSET(Assumptions!$B$67,0,$C$1)-(M$450-M$449-M$107)/M$14,((M$450-M$449-M$107)/M$14-(L$450-L$449-L$107)/L$14)/M$2),0))*N$14 +N$449+N$107</f>
        <v>17.004411891556195</v>
      </c>
      <c r="O450" s="8">
        <f ca="1">((N$450-N$449-N$107)/N$14+ IF(O$2&gt;0,O$2*IF(O$6=OFFSET(Assumptions!$B$8,0,$C$1),(SUMPRODUCT(OFFSET(N$450,0,0,1,-OFFSET(Assumptions!$B$67,0,$C$1)),OFFSET(N$16,0,0,1,-OFFSET(Assumptions!$B$67,0,$C$1)))-SUMPRODUCT(OFFSET(N$449,0,0,1,-OFFSET(Assumptions!$B$67,0,$C$1)),OFFSET(N$16,0,0,1,-OFFSET(Assumptions!$B$67,0,$C$1)))-SUMPRODUCT(OFFSET(N$107,0,0,1,-OFFSET(Assumptions!$B$67,0,$C$1)),OFFSET(N$16,0,0,1,-OFFSET(Assumptions!$B$67,0,$C$1))))/OFFSET(Assumptions!$B$67,0,$C$1)-(N$450-N$449-N$107)/N$14,((N$450-N$449-N$107)/N$14-(M$450-M$449-M$107)/M$14)/N$2),0))*O$14 +O$449+O$107</f>
        <v>17.830140858752333</v>
      </c>
      <c r="P450" s="8">
        <f ca="1">((O$450-O$449-O$107)/O$14+ IF(P$2&gt;0,P$2*IF(P$6=OFFSET(Assumptions!$B$8,0,$C$1),(SUMPRODUCT(OFFSET(O$450,0,0,1,-OFFSET(Assumptions!$B$67,0,$C$1)),OFFSET(O$16,0,0,1,-OFFSET(Assumptions!$B$67,0,$C$1)))-SUMPRODUCT(OFFSET(O$449,0,0,1,-OFFSET(Assumptions!$B$67,0,$C$1)),OFFSET(O$16,0,0,1,-OFFSET(Assumptions!$B$67,0,$C$1)))-SUMPRODUCT(OFFSET(O$107,0,0,1,-OFFSET(Assumptions!$B$67,0,$C$1)),OFFSET(O$16,0,0,1,-OFFSET(Assumptions!$B$67,0,$C$1))))/OFFSET(Assumptions!$B$67,0,$C$1)-(O$450-O$449-O$107)/O$14,((O$450-O$449-O$107)/O$14-(N$450-N$449-N$107)/N$14)/O$2),0))*P$14 +P$449+P$107</f>
        <v>18.69030543114663</v>
      </c>
      <c r="Q450" s="8">
        <f ca="1">((P$450-P$449-P$107)/P$14+ IF(Q$2&gt;0,Q$2*IF(Q$6=OFFSET(Assumptions!$B$8,0,$C$1),(SUMPRODUCT(OFFSET(P$450,0,0,1,-OFFSET(Assumptions!$B$67,0,$C$1)),OFFSET(P$16,0,0,1,-OFFSET(Assumptions!$B$67,0,$C$1)))-SUMPRODUCT(OFFSET(P$449,0,0,1,-OFFSET(Assumptions!$B$67,0,$C$1)),OFFSET(P$16,0,0,1,-OFFSET(Assumptions!$B$67,0,$C$1)))-SUMPRODUCT(OFFSET(P$107,0,0,1,-OFFSET(Assumptions!$B$67,0,$C$1)),OFFSET(P$16,0,0,1,-OFFSET(Assumptions!$B$67,0,$C$1))))/OFFSET(Assumptions!$B$67,0,$C$1)-(P$450-P$449-P$107)/P$14,((P$450-P$449-P$107)/P$14-(O$450-O$449-O$107)/O$14)/P$2),0))*Q$14 +Q$449+Q$107</f>
        <v>19.564986591309623</v>
      </c>
      <c r="R450" s="8">
        <f ca="1">((Q$450-Q$449-Q$107)/Q$14+ IF(R$2&gt;0,R$2*IF(R$6=OFFSET(Assumptions!$B$8,0,$C$1),(SUMPRODUCT(OFFSET(Q$450,0,0,1,-OFFSET(Assumptions!$B$67,0,$C$1)),OFFSET(Q$16,0,0,1,-OFFSET(Assumptions!$B$67,0,$C$1)))-SUMPRODUCT(OFFSET(Q$449,0,0,1,-OFFSET(Assumptions!$B$67,0,$C$1)),OFFSET(Q$16,0,0,1,-OFFSET(Assumptions!$B$67,0,$C$1)))-SUMPRODUCT(OFFSET(Q$107,0,0,1,-OFFSET(Assumptions!$B$67,0,$C$1)),OFFSET(Q$16,0,0,1,-OFFSET(Assumptions!$B$67,0,$C$1))))/OFFSET(Assumptions!$B$67,0,$C$1)-(Q$450-Q$449-Q$107)/Q$14,((Q$450-Q$449-Q$107)/Q$14-(P$450-P$449-P$107)/P$14)/Q$2),0))*R$14 +R$449+R$107</f>
        <v>20.454203987423451</v>
      </c>
      <c r="S450" s="8">
        <f ca="1">((R$450-R$449-R$107)/R$14+ IF(S$2&gt;0,S$2*IF(S$6=OFFSET(Assumptions!$B$8,0,$C$1),(SUMPRODUCT(OFFSET(R$450,0,0,1,-OFFSET(Assumptions!$B$67,0,$C$1)),OFFSET(R$16,0,0,1,-OFFSET(Assumptions!$B$67,0,$C$1)))-SUMPRODUCT(OFFSET(R$449,0,0,1,-OFFSET(Assumptions!$B$67,0,$C$1)),OFFSET(R$16,0,0,1,-OFFSET(Assumptions!$B$67,0,$C$1)))-SUMPRODUCT(OFFSET(R$107,0,0,1,-OFFSET(Assumptions!$B$67,0,$C$1)),OFFSET(R$16,0,0,1,-OFFSET(Assumptions!$B$67,0,$C$1))))/OFFSET(Assumptions!$B$67,0,$C$1)-(R$450-R$449-R$107)/R$14,((R$450-R$449-R$107)/R$14-(Q$450-Q$449-Q$107)/Q$14)/R$2),0))*S$14 +S$449+S$107</f>
        <v>21.367505969534754</v>
      </c>
      <c r="T450" s="8">
        <f ca="1">((S$450-S$449-S$107)/S$14+ IF(T$2&gt;0,T$2*IF(T$6=OFFSET(Assumptions!$B$8,0,$C$1),(SUMPRODUCT(OFFSET(S$450,0,0,1,-OFFSET(Assumptions!$B$67,0,$C$1)),OFFSET(S$16,0,0,1,-OFFSET(Assumptions!$B$67,0,$C$1)))-SUMPRODUCT(OFFSET(S$449,0,0,1,-OFFSET(Assumptions!$B$67,0,$C$1)),OFFSET(S$16,0,0,1,-OFFSET(Assumptions!$B$67,0,$C$1)))-SUMPRODUCT(OFFSET(S$107,0,0,1,-OFFSET(Assumptions!$B$67,0,$C$1)),OFFSET(S$16,0,0,1,-OFFSET(Assumptions!$B$67,0,$C$1))))/OFFSET(Assumptions!$B$67,0,$C$1)-(S$450-S$449-S$107)/S$14,((S$450-S$449-S$107)/S$14-(R$450-R$449-R$107)/R$14)/S$2),0))*T$14 +T$449+T$107</f>
        <v>22.305594998427171</v>
      </c>
      <c r="U450" s="8">
        <f ca="1">((T$450-T$449-T$107)/T$14+ IF(U$2&gt;0,U$2*IF(U$6=OFFSET(Assumptions!$B$8,0,$C$1),(SUMPRODUCT(OFFSET(T$450,0,0,1,-OFFSET(Assumptions!$B$67,0,$C$1)),OFFSET(T$16,0,0,1,-OFFSET(Assumptions!$B$67,0,$C$1)))-SUMPRODUCT(OFFSET(T$449,0,0,1,-OFFSET(Assumptions!$B$67,0,$C$1)),OFFSET(T$16,0,0,1,-OFFSET(Assumptions!$B$67,0,$C$1)))-SUMPRODUCT(OFFSET(T$107,0,0,1,-OFFSET(Assumptions!$B$67,0,$C$1)),OFFSET(T$16,0,0,1,-OFFSET(Assumptions!$B$67,0,$C$1))))/OFFSET(Assumptions!$B$67,0,$C$1)-(T$450-T$449-T$107)/T$14,((T$450-T$449-T$107)/T$14-(S$450-S$449-S$107)/S$14)/T$2),0))*U$14 +U$449+U$107</f>
        <v>23.270659293199827</v>
      </c>
      <c r="V450" s="8">
        <f ca="1">((U$450-U$449-U$107)/U$14+ IF(V$2&gt;0,V$2*IF(V$6=OFFSET(Assumptions!$B$8,0,$C$1),(SUMPRODUCT(OFFSET(U$450,0,0,1,-OFFSET(Assumptions!$B$67,0,$C$1)),OFFSET(U$16,0,0,1,-OFFSET(Assumptions!$B$67,0,$C$1)))-SUMPRODUCT(OFFSET(U$449,0,0,1,-OFFSET(Assumptions!$B$67,0,$C$1)),OFFSET(U$16,0,0,1,-OFFSET(Assumptions!$B$67,0,$C$1)))-SUMPRODUCT(OFFSET(U$107,0,0,1,-OFFSET(Assumptions!$B$67,0,$C$1)),OFFSET(U$16,0,0,1,-OFFSET(Assumptions!$B$67,0,$C$1))))/OFFSET(Assumptions!$B$67,0,$C$1)-(U$450-U$449-U$107)/U$14,((U$450-U$449-U$107)/U$14-(T$450-T$449-T$107)/T$14)/U$2),0))*V$14 +V$449+V$107</f>
        <v>24.264036390134628</v>
      </c>
      <c r="W450" s="8">
        <f ca="1">((V$450-V$449-V$107)/V$14+ IF(W$2&gt;0,W$2*IF(W$6=OFFSET(Assumptions!$B$8,0,$C$1),(SUMPRODUCT(OFFSET(V$450,0,0,1,-OFFSET(Assumptions!$B$67,0,$C$1)),OFFSET(V$16,0,0,1,-OFFSET(Assumptions!$B$67,0,$C$1)))-SUMPRODUCT(OFFSET(V$449,0,0,1,-OFFSET(Assumptions!$B$67,0,$C$1)),OFFSET(V$16,0,0,1,-OFFSET(Assumptions!$B$67,0,$C$1)))-SUMPRODUCT(OFFSET(V$107,0,0,1,-OFFSET(Assumptions!$B$67,0,$C$1)),OFFSET(V$16,0,0,1,-OFFSET(Assumptions!$B$67,0,$C$1))))/OFFSET(Assumptions!$B$67,0,$C$1)-(V$450-V$449-V$107)/V$14,((V$450-V$449-V$107)/V$14-(U$450-U$449-U$107)/U$14)/V$2),0))*W$14 +W$449+W$107</f>
        <v>25.287497749280011</v>
      </c>
      <c r="X450" s="8">
        <f ca="1">((W$450-W$449-W$107)/W$14+ IF(X$2&gt;0,X$2*IF(X$6=OFFSET(Assumptions!$B$8,0,$C$1),(SUMPRODUCT(OFFSET(W$450,0,0,1,-OFFSET(Assumptions!$B$67,0,$C$1)),OFFSET(W$16,0,0,1,-OFFSET(Assumptions!$B$67,0,$C$1)))-SUMPRODUCT(OFFSET(W$449,0,0,1,-OFFSET(Assumptions!$B$67,0,$C$1)),OFFSET(W$16,0,0,1,-OFFSET(Assumptions!$B$67,0,$C$1)))-SUMPRODUCT(OFFSET(W$107,0,0,1,-OFFSET(Assumptions!$B$67,0,$C$1)),OFFSET(W$16,0,0,1,-OFFSET(Assumptions!$B$67,0,$C$1))))/OFFSET(Assumptions!$B$67,0,$C$1)-(W$450-W$449-W$107)/W$14,((W$450-W$449-W$107)/W$14-(V$450-V$449-V$107)/V$14)/W$2),0))*X$14 +X$449+X$107</f>
        <v>26.344029829442899</v>
      </c>
      <c r="Y450" s="8">
        <f ca="1">((X$450-X$449-X$107)/X$14+ IF(Y$2&gt;0,Y$2*IF(Y$6=OFFSET(Assumptions!$B$8,0,$C$1),(SUMPRODUCT(OFFSET(X$450,0,0,1,-OFFSET(Assumptions!$B$67,0,$C$1)),OFFSET(X$16,0,0,1,-OFFSET(Assumptions!$B$67,0,$C$1)))-SUMPRODUCT(OFFSET(X$449,0,0,1,-OFFSET(Assumptions!$B$67,0,$C$1)),OFFSET(X$16,0,0,1,-OFFSET(Assumptions!$B$67,0,$C$1)))-SUMPRODUCT(OFFSET(X$107,0,0,1,-OFFSET(Assumptions!$B$67,0,$C$1)),OFFSET(X$16,0,0,1,-OFFSET(Assumptions!$B$67,0,$C$1))))/OFFSET(Assumptions!$B$67,0,$C$1)-(X$450-X$449-X$107)/X$14,((X$450-X$449-X$107)/X$14-(W$450-W$449-W$107)/W$14)/X$2),0))*Y$14 +Y$449+Y$107</f>
        <v>27.432306142155788</v>
      </c>
      <c r="Z450" s="8">
        <f ca="1">((Y$450-Y$449-Y$107)/Y$14+ IF(Z$2&gt;0,Z$2*IF(Z$6=OFFSET(Assumptions!$B$8,0,$C$1),(SUMPRODUCT(OFFSET(Y$450,0,0,1,-OFFSET(Assumptions!$B$67,0,$C$1)),OFFSET(Y$16,0,0,1,-OFFSET(Assumptions!$B$67,0,$C$1)))-SUMPRODUCT(OFFSET(Y$449,0,0,1,-OFFSET(Assumptions!$B$67,0,$C$1)),OFFSET(Y$16,0,0,1,-OFFSET(Assumptions!$B$67,0,$C$1)))-SUMPRODUCT(OFFSET(Y$107,0,0,1,-OFFSET(Assumptions!$B$67,0,$C$1)),OFFSET(Y$16,0,0,1,-OFFSET(Assumptions!$B$67,0,$C$1))))/OFFSET(Assumptions!$B$67,0,$C$1)-(Y$450-Y$449-Y$107)/Y$14,((Y$450-Y$449-Y$107)/Y$14-(X$450-X$449-X$107)/X$14)/Y$2),0))*Z$14 +Z$449+Z$107</f>
        <v>28.557983832275436</v>
      </c>
      <c r="AA450" s="8">
        <f ca="1">((Z$450-Z$449-Z$107)/Z$14+ IF(AA$2&gt;0,AA$2*IF(AA$6=OFFSET(Assumptions!$B$8,0,$C$1),(SUMPRODUCT(OFFSET(Z$450,0,0,1,-OFFSET(Assumptions!$B$67,0,$C$1)),OFFSET(Z$16,0,0,1,-OFFSET(Assumptions!$B$67,0,$C$1)))-SUMPRODUCT(OFFSET(Z$449,0,0,1,-OFFSET(Assumptions!$B$67,0,$C$1)),OFFSET(Z$16,0,0,1,-OFFSET(Assumptions!$B$67,0,$C$1)))-SUMPRODUCT(OFFSET(Z$107,0,0,1,-OFFSET(Assumptions!$B$67,0,$C$1)),OFFSET(Z$16,0,0,1,-OFFSET(Assumptions!$B$67,0,$C$1))))/OFFSET(Assumptions!$B$67,0,$C$1)-(Z$450-Z$449-Z$107)/Z$14,((Z$450-Z$449-Z$107)/Z$14-(Y$450-Y$449-Y$107)/Y$14)/Z$2),0))*AA$14 +AA$449+AA$107</f>
        <v>29.72513743669171</v>
      </c>
      <c r="AB450" s="8">
        <f ca="1">((AA$450-AA$449-AA$107)/AA$14+ IF(AB$2&gt;0,AB$2*IF(AB$6=OFFSET(Assumptions!$B$8,0,$C$1),(SUMPRODUCT(OFFSET(AA$450,0,0,1,-OFFSET(Assumptions!$B$67,0,$C$1)),OFFSET(AA$16,0,0,1,-OFFSET(Assumptions!$B$67,0,$C$1)))-SUMPRODUCT(OFFSET(AA$449,0,0,1,-OFFSET(Assumptions!$B$67,0,$C$1)),OFFSET(AA$16,0,0,1,-OFFSET(Assumptions!$B$67,0,$C$1)))-SUMPRODUCT(OFFSET(AA$107,0,0,1,-OFFSET(Assumptions!$B$67,0,$C$1)),OFFSET(AA$16,0,0,1,-OFFSET(Assumptions!$B$67,0,$C$1))))/OFFSET(Assumptions!$B$67,0,$C$1)-(AA$450-AA$449-AA$107)/AA$14,((AA$450-AA$449-AA$107)/AA$14-(Z$450-Z$449-Z$107)/Z$14)/AA$2),0))*AB$14 +AB$449+AB$107</f>
        <v>30.939987364954021</v>
      </c>
      <c r="AC450" s="8">
        <f ca="1">((AB$450-AB$449-AB$107)/AB$14+ IF(AC$2&gt;0,AC$2*IF(AC$6=OFFSET(Assumptions!$B$8,0,$C$1),(SUMPRODUCT(OFFSET(AB$450,0,0,1,-OFFSET(Assumptions!$B$67,0,$C$1)),OFFSET(AB$16,0,0,1,-OFFSET(Assumptions!$B$67,0,$C$1)))-SUMPRODUCT(OFFSET(AB$449,0,0,1,-OFFSET(Assumptions!$B$67,0,$C$1)),OFFSET(AB$16,0,0,1,-OFFSET(Assumptions!$B$67,0,$C$1)))-SUMPRODUCT(OFFSET(AB$107,0,0,1,-OFFSET(Assumptions!$B$67,0,$C$1)),OFFSET(AB$16,0,0,1,-OFFSET(Assumptions!$B$67,0,$C$1))))/OFFSET(Assumptions!$B$67,0,$C$1)-(AB$450-AB$449-AB$107)/AB$14,((AB$450-AB$449-AB$107)/AB$14-(AA$450-AA$449-AA$107)/AA$14)/AB$2),0))*AC$14 +AC$449+AC$107</f>
        <v>32.210258785435883</v>
      </c>
      <c r="AD450" s="8">
        <f ca="1">((AC$450-AC$449-AC$107)/AC$14+ IF(AD$2&gt;0,AD$2*IF(AD$6=OFFSET(Assumptions!$B$8,0,$C$1),(SUMPRODUCT(OFFSET(AC$450,0,0,1,-OFFSET(Assumptions!$B$67,0,$C$1)),OFFSET(AC$16,0,0,1,-OFFSET(Assumptions!$B$67,0,$C$1)))-SUMPRODUCT(OFFSET(AC$449,0,0,1,-OFFSET(Assumptions!$B$67,0,$C$1)),OFFSET(AC$16,0,0,1,-OFFSET(Assumptions!$B$67,0,$C$1)))-SUMPRODUCT(OFFSET(AC$107,0,0,1,-OFFSET(Assumptions!$B$67,0,$C$1)),OFFSET(AC$16,0,0,1,-OFFSET(Assumptions!$B$67,0,$C$1))))/OFFSET(Assumptions!$B$67,0,$C$1)-(AC$450-AC$449-AC$107)/AC$14,((AC$450-AC$449-AC$107)/AC$14-(AB$450-AB$449-AB$107)/AB$14)/AC$2),0))*AD$14 +AD$449+AD$107</f>
        <v>33.541756259577554</v>
      </c>
      <c r="AE450" s="8">
        <f ca="1">((AD$450-AD$449-AD$107)/AD$14+ IF(AE$2&gt;0,AE$2*IF(AE$6=OFFSET(Assumptions!$B$8,0,$C$1),(SUMPRODUCT(OFFSET(AD$450,0,0,1,-OFFSET(Assumptions!$B$67,0,$C$1)),OFFSET(AD$16,0,0,1,-OFFSET(Assumptions!$B$67,0,$C$1)))-SUMPRODUCT(OFFSET(AD$449,0,0,1,-OFFSET(Assumptions!$B$67,0,$C$1)),OFFSET(AD$16,0,0,1,-OFFSET(Assumptions!$B$67,0,$C$1)))-SUMPRODUCT(OFFSET(AD$107,0,0,1,-OFFSET(Assumptions!$B$67,0,$C$1)),OFFSET(AD$16,0,0,1,-OFFSET(Assumptions!$B$67,0,$C$1))))/OFFSET(Assumptions!$B$67,0,$C$1)-(AD$450-AD$449-AD$107)/AD$14,((AD$450-AD$449-AD$107)/AD$14-(AC$450-AC$449-AC$107)/AC$14)/AD$2),0))*AE$14 +AE$449+AE$107</f>
        <v>34.935863086644098</v>
      </c>
      <c r="AF450" s="8">
        <f ca="1">((AE$450-AE$449-AE$107)/AE$14+ IF(AF$2&gt;0,AF$2*IF(AF$6=OFFSET(Assumptions!$B$8,0,$C$1),(SUMPRODUCT(OFFSET(AE$450,0,0,1,-OFFSET(Assumptions!$B$67,0,$C$1)),OFFSET(AE$16,0,0,1,-OFFSET(Assumptions!$B$67,0,$C$1)))-SUMPRODUCT(OFFSET(AE$449,0,0,1,-OFFSET(Assumptions!$B$67,0,$C$1)),OFFSET(AE$16,0,0,1,-OFFSET(Assumptions!$B$67,0,$C$1)))-SUMPRODUCT(OFFSET(AE$107,0,0,1,-OFFSET(Assumptions!$B$67,0,$C$1)),OFFSET(AE$16,0,0,1,-OFFSET(Assumptions!$B$67,0,$C$1))))/OFFSET(Assumptions!$B$67,0,$C$1)-(AE$450-AE$449-AE$107)/AE$14,((AE$450-AE$449-AE$107)/AE$14-(AD$450-AD$449-AD$107)/AD$14)/AE$2),0))*AF$14 +AF$449+AF$107</f>
        <v>36.399496662348</v>
      </c>
      <c r="AG450" s="8">
        <f ca="1">((AF$450-AF$449-AF$107)/AF$14+ IF(AG$2&gt;0,AG$2*IF(AG$6=OFFSET(Assumptions!$B$8,0,$C$1),(SUMPRODUCT(OFFSET(AF$450,0,0,1,-OFFSET(Assumptions!$B$67,0,$C$1)),OFFSET(AF$16,0,0,1,-OFFSET(Assumptions!$B$67,0,$C$1)))-SUMPRODUCT(OFFSET(AF$449,0,0,1,-OFFSET(Assumptions!$B$67,0,$C$1)),OFFSET(AF$16,0,0,1,-OFFSET(Assumptions!$B$67,0,$C$1)))-SUMPRODUCT(OFFSET(AF$107,0,0,1,-OFFSET(Assumptions!$B$67,0,$C$1)),OFFSET(AF$16,0,0,1,-OFFSET(Assumptions!$B$67,0,$C$1))))/OFFSET(Assumptions!$B$67,0,$C$1)-(AF$450-AF$449-AF$107)/AF$14,((AF$450-AF$449-AF$107)/AF$14-(AE$450-AE$449-AE$107)/AE$14)/AF$2),0))*AG$14 +AG$449+AG$107</f>
        <v>37.934378787264237</v>
      </c>
      <c r="AH450" s="8">
        <f ca="1">((AG$450-AG$449-AG$107)/AG$14+ IF(AH$2&gt;0,AH$2*IF(AH$6=OFFSET(Assumptions!$B$8,0,$C$1),(SUMPRODUCT(OFFSET(AG$450,0,0,1,-OFFSET(Assumptions!$B$67,0,$C$1)),OFFSET(AG$16,0,0,1,-OFFSET(Assumptions!$B$67,0,$C$1)))-SUMPRODUCT(OFFSET(AG$449,0,0,1,-OFFSET(Assumptions!$B$67,0,$C$1)),OFFSET(AG$16,0,0,1,-OFFSET(Assumptions!$B$67,0,$C$1)))-SUMPRODUCT(OFFSET(AG$107,0,0,1,-OFFSET(Assumptions!$B$67,0,$C$1)),OFFSET(AG$16,0,0,1,-OFFSET(Assumptions!$B$67,0,$C$1))))/OFFSET(Assumptions!$B$67,0,$C$1)-(AG$450-AG$449-AG$107)/AG$14,((AG$450-AG$449-AG$107)/AG$14-(AF$450-AF$449-AF$107)/AF$14)/AG$2),0))*AH$14 +AH$449+AH$107</f>
        <v>39.545002418052995</v>
      </c>
      <c r="AI450" s="8">
        <f ca="1">((AH$450-AH$449-AH$107)/AH$14+ IF(AI$2&gt;0,AI$2*IF(AI$6=OFFSET(Assumptions!$B$8,0,$C$1),(SUMPRODUCT(OFFSET(AH$450,0,0,1,-OFFSET(Assumptions!$B$67,0,$C$1)),OFFSET(AH$16,0,0,1,-OFFSET(Assumptions!$B$67,0,$C$1)))-SUMPRODUCT(OFFSET(AH$449,0,0,1,-OFFSET(Assumptions!$B$67,0,$C$1)),OFFSET(AH$16,0,0,1,-OFFSET(Assumptions!$B$67,0,$C$1)))-SUMPRODUCT(OFFSET(AH$107,0,0,1,-OFFSET(Assumptions!$B$67,0,$C$1)),OFFSET(AH$16,0,0,1,-OFFSET(Assumptions!$B$67,0,$C$1))))/OFFSET(Assumptions!$B$67,0,$C$1)-(AH$450-AH$449-AH$107)/AH$14,((AH$450-AH$449-AH$107)/AH$14-(AG$450-AG$449-AG$107)/AG$14)/AH$2),0))*AI$14 +AI$449+AI$107</f>
        <v>41.231267310691663</v>
      </c>
      <c r="AJ450" s="8">
        <f ca="1">((AI$450-AI$449-AI$107)/AI$14+ IF(AJ$2&gt;0,AJ$2*IF(AJ$6=OFFSET(Assumptions!$B$8,0,$C$1),(SUMPRODUCT(OFFSET(AI$450,0,0,1,-OFFSET(Assumptions!$B$67,0,$C$1)),OFFSET(AI$16,0,0,1,-OFFSET(Assumptions!$B$67,0,$C$1)))-SUMPRODUCT(OFFSET(AI$449,0,0,1,-OFFSET(Assumptions!$B$67,0,$C$1)),OFFSET(AI$16,0,0,1,-OFFSET(Assumptions!$B$67,0,$C$1)))-SUMPRODUCT(OFFSET(AI$107,0,0,1,-OFFSET(Assumptions!$B$67,0,$C$1)),OFFSET(AI$16,0,0,1,-OFFSET(Assumptions!$B$67,0,$C$1))))/OFFSET(Assumptions!$B$67,0,$C$1)-(AI$450-AI$449-AI$107)/AI$14,((AI$450-AI$449-AI$107)/AI$14-(AH$450-AH$449-AH$107)/AH$14)/AI$2),0))*AJ$14 +AJ$449+AJ$107</f>
        <v>42.999279351220224</v>
      </c>
      <c r="AK450" s="8">
        <f ca="1">((AJ$450-AJ$449-AJ$107)/AJ$14+ IF(AK$2&gt;0,AK$2*IF(AK$6=OFFSET(Assumptions!$B$8,0,$C$1),(SUMPRODUCT(OFFSET(AJ$450,0,0,1,-OFFSET(Assumptions!$B$67,0,$C$1)),OFFSET(AJ$16,0,0,1,-OFFSET(Assumptions!$B$67,0,$C$1)))-SUMPRODUCT(OFFSET(AJ$449,0,0,1,-OFFSET(Assumptions!$B$67,0,$C$1)),OFFSET(AJ$16,0,0,1,-OFFSET(Assumptions!$B$67,0,$C$1)))-SUMPRODUCT(OFFSET(AJ$107,0,0,1,-OFFSET(Assumptions!$B$67,0,$C$1)),OFFSET(AJ$16,0,0,1,-OFFSET(Assumptions!$B$67,0,$C$1))))/OFFSET(Assumptions!$B$67,0,$C$1)-(AJ$450-AJ$449-AJ$107)/AJ$14,((AJ$450-AJ$449-AJ$107)/AJ$14-(AI$450-AI$449-AI$107)/AI$14)/AJ$2),0))*AK$14 +AK$449+AK$107</f>
        <v>44.848658446499904</v>
      </c>
      <c r="AL450" s="8">
        <f ca="1">((AK$450-AK$449-AK$107)/AK$14+ IF(AL$2&gt;0,AL$2*IF(AL$6=OFFSET(Assumptions!$B$8,0,$C$1),(SUMPRODUCT(OFFSET(AK$450,0,0,1,-OFFSET(Assumptions!$B$67,0,$C$1)),OFFSET(AK$16,0,0,1,-OFFSET(Assumptions!$B$67,0,$C$1)))-SUMPRODUCT(OFFSET(AK$449,0,0,1,-OFFSET(Assumptions!$B$67,0,$C$1)),OFFSET(AK$16,0,0,1,-OFFSET(Assumptions!$B$67,0,$C$1)))-SUMPRODUCT(OFFSET(AK$107,0,0,1,-OFFSET(Assumptions!$B$67,0,$C$1)),OFFSET(AK$16,0,0,1,-OFFSET(Assumptions!$B$67,0,$C$1))))/OFFSET(Assumptions!$B$67,0,$C$1)-(AK$450-AK$449-AK$107)/AK$14,((AK$450-AK$449-AK$107)/AK$14-(AJ$450-AJ$449-AJ$107)/AJ$14)/AK$2),0))*AL$14 +AL$449+AL$107</f>
        <v>46.780542720700836</v>
      </c>
      <c r="AM450" s="8">
        <f ca="1">((AL$450-AL$449-AL$107)/AL$14+ IF(AM$2&gt;0,AM$2*IF(AM$6=OFFSET(Assumptions!$B$8,0,$C$1),(SUMPRODUCT(OFFSET(AL$450,0,0,1,-OFFSET(Assumptions!$B$67,0,$C$1)),OFFSET(AL$16,0,0,1,-OFFSET(Assumptions!$B$67,0,$C$1)))-SUMPRODUCT(OFFSET(AL$449,0,0,1,-OFFSET(Assumptions!$B$67,0,$C$1)),OFFSET(AL$16,0,0,1,-OFFSET(Assumptions!$B$67,0,$C$1)))-SUMPRODUCT(OFFSET(AL$107,0,0,1,-OFFSET(Assumptions!$B$67,0,$C$1)),OFFSET(AL$16,0,0,1,-OFFSET(Assumptions!$B$67,0,$C$1))))/OFFSET(Assumptions!$B$67,0,$C$1)-(AL$450-AL$449-AL$107)/AL$14,((AL$450-AL$449-AL$107)/AL$14-(AK$450-AK$449-AK$107)/AK$14)/AL$2),0))*AM$14 +AM$449+AM$107</f>
        <v>48.798698546967799</v>
      </c>
      <c r="AN450" s="8">
        <f ca="1">((AM$450-AM$449-AM$107)/AM$14+ IF(AN$2&gt;0,AN$2*IF(AN$6=OFFSET(Assumptions!$B$8,0,$C$1),(SUMPRODUCT(OFFSET(AM$450,0,0,1,-OFFSET(Assumptions!$B$67,0,$C$1)),OFFSET(AM$16,0,0,1,-OFFSET(Assumptions!$B$67,0,$C$1)))-SUMPRODUCT(OFFSET(AM$449,0,0,1,-OFFSET(Assumptions!$B$67,0,$C$1)),OFFSET(AM$16,0,0,1,-OFFSET(Assumptions!$B$67,0,$C$1)))-SUMPRODUCT(OFFSET(AM$107,0,0,1,-OFFSET(Assumptions!$B$67,0,$C$1)),OFFSET(AM$16,0,0,1,-OFFSET(Assumptions!$B$67,0,$C$1))))/OFFSET(Assumptions!$B$67,0,$C$1)-(AM$450-AM$449-AM$107)/AM$14,((AM$450-AM$449-AM$107)/AM$14-(AL$450-AL$449-AL$107)/AL$14)/AM$2),0))*AN$14 +AN$449+AN$107</f>
        <v>50.905741647354553</v>
      </c>
      <c r="AO450" s="8">
        <f ca="1">((AN$450-AN$449-AN$107)/AN$14+ IF(AO$2&gt;0,AO$2*IF(AO$6=OFFSET(Assumptions!$B$8,0,$C$1),(SUMPRODUCT(OFFSET(AN$450,0,0,1,-OFFSET(Assumptions!$B$67,0,$C$1)),OFFSET(AN$16,0,0,1,-OFFSET(Assumptions!$B$67,0,$C$1)))-SUMPRODUCT(OFFSET(AN$449,0,0,1,-OFFSET(Assumptions!$B$67,0,$C$1)),OFFSET(AN$16,0,0,1,-OFFSET(Assumptions!$B$67,0,$C$1)))-SUMPRODUCT(OFFSET(AN$107,0,0,1,-OFFSET(Assumptions!$B$67,0,$C$1)),OFFSET(AN$16,0,0,1,-OFFSET(Assumptions!$B$67,0,$C$1))))/OFFSET(Assumptions!$B$67,0,$C$1)-(AN$450-AN$449-AN$107)/AN$14,((AN$450-AN$449-AN$107)/AN$14-(AM$450-AM$449-AM$107)/AM$14)/AN$2),0))*AO$14 +AO$449+AO$107</f>
        <v>53.095217697977574</v>
      </c>
      <c r="AP450" s="8">
        <f ca="1">((AO$450-AO$449-AO$107)/AO$14+ IF(AP$2&gt;0,AP$2*IF(AP$6=OFFSET(Assumptions!$B$8,0,$C$1),(SUMPRODUCT(OFFSET(AO$450,0,0,1,-OFFSET(Assumptions!$B$67,0,$C$1)),OFFSET(AO$16,0,0,1,-OFFSET(Assumptions!$B$67,0,$C$1)))-SUMPRODUCT(OFFSET(AO$449,0,0,1,-OFFSET(Assumptions!$B$67,0,$C$1)),OFFSET(AO$16,0,0,1,-OFFSET(Assumptions!$B$67,0,$C$1)))-SUMPRODUCT(OFFSET(AO$107,0,0,1,-OFFSET(Assumptions!$B$67,0,$C$1)),OFFSET(AO$16,0,0,1,-OFFSET(Assumptions!$B$67,0,$C$1))))/OFFSET(Assumptions!$B$67,0,$C$1)-(AO$450-AO$449-AO$107)/AO$14,((AO$450-AO$449-AO$107)/AO$14-(AN$450-AN$449-AN$107)/AN$14)/AO$2),0))*AP$14 +AP$449+AP$107</f>
        <v>55.37072101749758</v>
      </c>
      <c r="AQ450" s="8">
        <f ca="1">((AP$450-AP$449-AP$107)/AP$14+ IF(AQ$2&gt;0,AQ$2*IF(AQ$6=OFFSET(Assumptions!$B$8,0,$C$1),(SUMPRODUCT(OFFSET(AP$450,0,0,1,-OFFSET(Assumptions!$B$67,0,$C$1)),OFFSET(AP$16,0,0,1,-OFFSET(Assumptions!$B$67,0,$C$1)))-SUMPRODUCT(OFFSET(AP$449,0,0,1,-OFFSET(Assumptions!$B$67,0,$C$1)),OFFSET(AP$16,0,0,1,-OFFSET(Assumptions!$B$67,0,$C$1)))-SUMPRODUCT(OFFSET(AP$107,0,0,1,-OFFSET(Assumptions!$B$67,0,$C$1)),OFFSET(AP$16,0,0,1,-OFFSET(Assumptions!$B$67,0,$C$1))))/OFFSET(Assumptions!$B$67,0,$C$1)-(AP$450-AP$449-AP$107)/AP$14,((AP$450-AP$449-AP$107)/AP$14-(AO$450-AO$449-AO$107)/AO$14)/AP$2),0))*AQ$14 +AQ$449+AQ$107</f>
        <v>57.724980926767437</v>
      </c>
      <c r="AR450" s="8">
        <f ca="1">((AQ$450-AQ$449-AQ$107)/AQ$14+ IF(AR$2&gt;0,AR$2*IF(AR$6=OFFSET(Assumptions!$B$8,0,$C$1),(SUMPRODUCT(OFFSET(AQ$450,0,0,1,-OFFSET(Assumptions!$B$67,0,$C$1)),OFFSET(AQ$16,0,0,1,-OFFSET(Assumptions!$B$67,0,$C$1)))-SUMPRODUCT(OFFSET(AQ$449,0,0,1,-OFFSET(Assumptions!$B$67,0,$C$1)),OFFSET(AQ$16,0,0,1,-OFFSET(Assumptions!$B$67,0,$C$1)))-SUMPRODUCT(OFFSET(AQ$107,0,0,1,-OFFSET(Assumptions!$B$67,0,$C$1)),OFFSET(AQ$16,0,0,1,-OFFSET(Assumptions!$B$67,0,$C$1))))/OFFSET(Assumptions!$B$67,0,$C$1)-(AQ$450-AQ$449-AQ$107)/AQ$14,((AQ$450-AQ$449-AQ$107)/AQ$14-(AP$450-AP$449-AP$107)/AP$14)/AQ$2),0))*AR$14 +AR$449+AR$107</f>
        <v>60.1547209557475</v>
      </c>
      <c r="AS450" s="8">
        <f ca="1">((AR$450-AR$449-AR$107)/AR$14+ IF(AS$2&gt;0,AS$2*IF(AS$6=OFFSET(Assumptions!$B$8,0,$C$1),(SUMPRODUCT(OFFSET(AR$450,0,0,1,-OFFSET(Assumptions!$B$67,0,$C$1)),OFFSET(AR$16,0,0,1,-OFFSET(Assumptions!$B$67,0,$C$1)))-SUMPRODUCT(OFFSET(AR$449,0,0,1,-OFFSET(Assumptions!$B$67,0,$C$1)),OFFSET(AR$16,0,0,1,-OFFSET(Assumptions!$B$67,0,$C$1)))-SUMPRODUCT(OFFSET(AR$107,0,0,1,-OFFSET(Assumptions!$B$67,0,$C$1)),OFFSET(AR$16,0,0,1,-OFFSET(Assumptions!$B$67,0,$C$1))))/OFFSET(Assumptions!$B$67,0,$C$1)-(AR$450-AR$449-AR$107)/AR$14,((AR$450-AR$449-AR$107)/AR$14-(AQ$450-AQ$449-AQ$107)/AQ$14)/AR$2),0))*AS$14 +AS$449+AS$107</f>
        <v>62.658930120881671</v>
      </c>
      <c r="AT450" s="8">
        <f ca="1">((AS$450-AS$449-AS$107)/AS$14+ IF(AT$2&gt;0,AT$2*IF(AT$6=OFFSET(Assumptions!$B$8,0,$C$1),(SUMPRODUCT(OFFSET(AS$450,0,0,1,-OFFSET(Assumptions!$B$67,0,$C$1)),OFFSET(AS$16,0,0,1,-OFFSET(Assumptions!$B$67,0,$C$1)))-SUMPRODUCT(OFFSET(AS$449,0,0,1,-OFFSET(Assumptions!$B$67,0,$C$1)),OFFSET(AS$16,0,0,1,-OFFSET(Assumptions!$B$67,0,$C$1)))-SUMPRODUCT(OFFSET(AS$107,0,0,1,-OFFSET(Assumptions!$B$67,0,$C$1)),OFFSET(AS$16,0,0,1,-OFFSET(Assumptions!$B$67,0,$C$1))))/OFFSET(Assumptions!$B$67,0,$C$1)-(AS$450-AS$449-AS$107)/AS$14,((AS$450-AS$449-AS$107)/AS$14-(AR$450-AR$449-AR$107)/AR$14)/AS$2),0))*AT$14 +AT$449+AT$107</f>
        <v>65.240550367547158</v>
      </c>
      <c r="AU450" s="8">
        <f ca="1">((AT$450-AT$449-AT$107)/AT$14+ IF(AU$2&gt;0,AU$2*IF(AU$6=OFFSET(Assumptions!$B$8,0,$C$1),(SUMPRODUCT(OFFSET(AT$450,0,0,1,-OFFSET(Assumptions!$B$67,0,$C$1)),OFFSET(AT$16,0,0,1,-OFFSET(Assumptions!$B$67,0,$C$1)))-SUMPRODUCT(OFFSET(AT$449,0,0,1,-OFFSET(Assumptions!$B$67,0,$C$1)),OFFSET(AT$16,0,0,1,-OFFSET(Assumptions!$B$67,0,$C$1)))-SUMPRODUCT(OFFSET(AT$107,0,0,1,-OFFSET(Assumptions!$B$67,0,$C$1)),OFFSET(AT$16,0,0,1,-OFFSET(Assumptions!$B$67,0,$C$1))))/OFFSET(Assumptions!$B$67,0,$C$1)-(AT$450-AT$449-AT$107)/AT$14,((AT$450-AT$449-AT$107)/AT$14-(AS$450-AS$449-AS$107)/AS$14)/AT$2),0))*AU$14 +AU$449+AU$107</f>
        <v>67.901335565418137</v>
      </c>
      <c r="AV450" s="8">
        <f ca="1">((AU$450-AU$449-AU$107)/AU$14+ IF(AV$2&gt;0,AV$2*IF(AV$6=OFFSET(Assumptions!$B$8,0,$C$1),(SUMPRODUCT(OFFSET(AU$450,0,0,1,-OFFSET(Assumptions!$B$67,0,$C$1)),OFFSET(AU$16,0,0,1,-OFFSET(Assumptions!$B$67,0,$C$1)))-SUMPRODUCT(OFFSET(AU$449,0,0,1,-OFFSET(Assumptions!$B$67,0,$C$1)),OFFSET(AU$16,0,0,1,-OFFSET(Assumptions!$B$67,0,$C$1)))-SUMPRODUCT(OFFSET(AU$107,0,0,1,-OFFSET(Assumptions!$B$67,0,$C$1)),OFFSET(AU$16,0,0,1,-OFFSET(Assumptions!$B$67,0,$C$1))))/OFFSET(Assumptions!$B$67,0,$C$1)-(AU$450-AU$449-AU$107)/AU$14,((AU$450-AU$449-AU$107)/AU$14-(AT$450-AT$449-AT$107)/AT$14)/AU$2),0))*AV$14 +AV$449+AV$107</f>
        <v>70.64811211798775</v>
      </c>
      <c r="AW450" s="8">
        <f ca="1">((AV$450-AV$449-AV$107)/AV$14+ IF(AW$2&gt;0,AW$2*IF(AW$6=OFFSET(Assumptions!$B$8,0,$C$1),(SUMPRODUCT(OFFSET(AV$450,0,0,1,-OFFSET(Assumptions!$B$67,0,$C$1)),OFFSET(AV$16,0,0,1,-OFFSET(Assumptions!$B$67,0,$C$1)))-SUMPRODUCT(OFFSET(AV$449,0,0,1,-OFFSET(Assumptions!$B$67,0,$C$1)),OFFSET(AV$16,0,0,1,-OFFSET(Assumptions!$B$67,0,$C$1)))-SUMPRODUCT(OFFSET(AV$107,0,0,1,-OFFSET(Assumptions!$B$67,0,$C$1)),OFFSET(AV$16,0,0,1,-OFFSET(Assumptions!$B$67,0,$C$1))))/OFFSET(Assumptions!$B$67,0,$C$1)-(AV$450-AV$449-AV$107)/AV$14,((AV$450-AV$449-AV$107)/AV$14-(AU$450-AU$449-AU$107)/AU$14)/AV$2),0))*AW$14 +AW$449+AW$107</f>
        <v>73.478418500071641</v>
      </c>
    </row>
    <row r="451" spans="1:49" ht="15" x14ac:dyDescent="0.25">
      <c r="A451" s="2"/>
      <c r="B451" s="4"/>
      <c r="D451" s="47"/>
      <c r="E451" s="44"/>
      <c r="F451" s="44"/>
      <c r="G451" s="44"/>
      <c r="H451" s="44"/>
      <c r="I451" s="44"/>
      <c r="J451" s="8"/>
      <c r="K451" s="8"/>
      <c r="L451" s="8"/>
      <c r="M451" s="8"/>
      <c r="N451" s="8"/>
      <c r="O451" s="8"/>
      <c r="P451" s="8"/>
      <c r="Q451" s="8"/>
      <c r="R451" s="8"/>
      <c r="S451" s="8"/>
    </row>
    <row r="452" spans="1:49" ht="15" x14ac:dyDescent="0.25">
      <c r="A452" s="22" t="s">
        <v>247</v>
      </c>
      <c r="B452" s="4"/>
      <c r="D452" s="47"/>
      <c r="E452" s="44"/>
      <c r="F452" s="44"/>
      <c r="G452" s="44"/>
      <c r="H452" s="44"/>
      <c r="I452" s="44"/>
      <c r="J452" s="8"/>
      <c r="K452" s="8"/>
      <c r="L452" s="8"/>
      <c r="M452" s="8"/>
      <c r="N452" s="8"/>
      <c r="O452" s="8"/>
      <c r="P452" s="8"/>
      <c r="Q452" s="8"/>
      <c r="R452" s="8"/>
      <c r="S452" s="8"/>
    </row>
    <row r="453" spans="1:49" ht="15" x14ac:dyDescent="0.25">
      <c r="A453" s="2" t="s">
        <v>675</v>
      </c>
      <c r="B453" s="4" t="str">
        <f t="shared" si="265"/>
        <v>From Fiscal</v>
      </c>
      <c r="D453" s="47">
        <f>Fiscal!D$180</f>
        <v>0.57299999999999995</v>
      </c>
      <c r="E453" s="44">
        <f>Fiscal!E$180</f>
        <v>0.53</v>
      </c>
      <c r="F453" s="44">
        <f>Fiscal!F$180</f>
        <v>0.5</v>
      </c>
      <c r="G453" s="44">
        <f>Fiscal!G$180</f>
        <v>0.47399999999999998</v>
      </c>
      <c r="H453" s="44">
        <f>Fiscal!H$180</f>
        <v>0.44600000000000001</v>
      </c>
      <c r="I453" s="44">
        <f>Fiscal!I$180</f>
        <v>0.41899999999999998</v>
      </c>
      <c r="J453" s="8">
        <f ca="1">(I$453/I$14+ IF(J$2&gt;0,J$2*IF(J$6=OFFSET(Assumptions!$B$8,0,$C$1),SUMPRODUCT(OFFSET(I$453,0,0,1,-OFFSET(Assumptions!$B$67,0,$C$1)),OFFSET(I$16,0,0,1,-OFFSET(Assumptions!$B$67,0,$C$1)))/OFFSET(Assumptions!$B$67,0,$C$1)-I$453/I$14,(I$453/I$14-H$453/H$14)/I$2),0))*J$14</f>
        <v>0.45338947012555347</v>
      </c>
      <c r="K453" s="8">
        <f ca="1">(J$453/J$14+ IF(K$2&gt;0,K$2*IF(K$6=OFFSET(Assumptions!$B$8,0,$C$1),SUMPRODUCT(OFFSET(J$453,0,0,1,-OFFSET(Assumptions!$B$67,0,$C$1)),OFFSET(J$16,0,0,1,-OFFSET(Assumptions!$B$67,0,$C$1)))/OFFSET(Assumptions!$B$67,0,$C$1)-J$453/J$14,(J$453/J$14-I$453/I$14)/J$2),0))*K$14</f>
        <v>0.48628336525098409</v>
      </c>
      <c r="L453" s="8">
        <f ca="1">(K$453/K$14+ IF(L$2&gt;0,L$2*IF(L$6=OFFSET(Assumptions!$B$8,0,$C$1),SUMPRODUCT(OFFSET(K$453,0,0,1,-OFFSET(Assumptions!$B$67,0,$C$1)),OFFSET(K$16,0,0,1,-OFFSET(Assumptions!$B$67,0,$C$1)))/OFFSET(Assumptions!$B$67,0,$C$1)-K$453/K$14,(K$453/K$14-J$453/J$14)/K$2),0))*L$14</f>
        <v>0.51827484517714284</v>
      </c>
      <c r="M453" s="8">
        <f ca="1">(L$453/L$14+ IF(M$2&gt;0,M$2*IF(M$6=OFFSET(Assumptions!$B$8,0,$C$1),SUMPRODUCT(OFFSET(L$453,0,0,1,-OFFSET(Assumptions!$B$67,0,$C$1)),OFFSET(L$16,0,0,1,-OFFSET(Assumptions!$B$67,0,$C$1)))/OFFSET(Assumptions!$B$67,0,$C$1)-L$453/L$14,(L$453/L$14-K$453/K$14)/L$2),0))*M$14</f>
        <v>0.54825760661076339</v>
      </c>
      <c r="N453" s="8">
        <f ca="1">(M$453/M$14+ IF(N$2&gt;0,N$2*IF(N$6=OFFSET(Assumptions!$B$8,0,$C$1),SUMPRODUCT(OFFSET(M$453,0,0,1,-OFFSET(Assumptions!$B$67,0,$C$1)),OFFSET(M$16,0,0,1,-OFFSET(Assumptions!$B$67,0,$C$1)))/OFFSET(Assumptions!$B$67,0,$C$1)-M$453/M$14,(M$453/M$14-L$453/L$14)/M$2),0))*N$14</f>
        <v>0.57586121288309366</v>
      </c>
      <c r="O453" s="8">
        <f ca="1">(N$453/N$14+ IF(O$2&gt;0,O$2*IF(O$6=OFFSET(Assumptions!$B$8,0,$C$1),SUMPRODUCT(OFFSET(N$453,0,0,1,-OFFSET(Assumptions!$B$67,0,$C$1)),OFFSET(N$16,0,0,1,-OFFSET(Assumptions!$B$67,0,$C$1)))/OFFSET(Assumptions!$B$67,0,$C$1)-N$453/N$14,(N$453/N$14-M$453/M$14)/N$2),0))*O$14</f>
        <v>0.60044284677054527</v>
      </c>
      <c r="P453" s="8">
        <f ca="1">(O$453/O$14+ IF(P$2&gt;0,P$2*IF(P$6=OFFSET(Assumptions!$B$8,0,$C$1),SUMPRODUCT(OFFSET(O$453,0,0,1,-OFFSET(Assumptions!$B$67,0,$C$1)),OFFSET(O$16,0,0,1,-OFFSET(Assumptions!$B$67,0,$C$1)))/OFFSET(Assumptions!$B$67,0,$C$1)-O$453/O$14,(O$453/O$14-N$453/N$14)/O$2),0))*P$14</f>
        <v>0.62583491500712529</v>
      </c>
      <c r="Q453" s="8">
        <f ca="1">(P$453/P$14+ IF(Q$2&gt;0,Q$2*IF(Q$6=OFFSET(Assumptions!$B$8,0,$C$1),SUMPRODUCT(OFFSET(P$453,0,0,1,-OFFSET(Assumptions!$B$67,0,$C$1)),OFFSET(P$16,0,0,1,-OFFSET(Assumptions!$B$67,0,$C$1)))/OFFSET(Assumptions!$B$67,0,$C$1)-P$453/P$14,(P$453/P$14-O$453/O$14)/P$2),0))*Q$14</f>
        <v>0.65200998949667821</v>
      </c>
      <c r="R453" s="8">
        <f ca="1">(Q$453/Q$14+ IF(R$2&gt;0,R$2*IF(R$6=OFFSET(Assumptions!$B$8,0,$C$1),SUMPRODUCT(OFFSET(Q$453,0,0,1,-OFFSET(Assumptions!$B$67,0,$C$1)),OFFSET(Q$16,0,0,1,-OFFSET(Assumptions!$B$67,0,$C$1)))/OFFSET(Assumptions!$B$67,0,$C$1)-Q$453/Q$14,(Q$453/Q$14-P$453/P$14)/Q$2),0))*R$14</f>
        <v>0.67894864264068366</v>
      </c>
      <c r="S453" s="8">
        <f ca="1">(R$453/R$14+ IF(S$2&gt;0,S$2*IF(S$6=OFFSET(Assumptions!$B$8,0,$C$1),SUMPRODUCT(OFFSET(R$453,0,0,1,-OFFSET(Assumptions!$B$67,0,$C$1)),OFFSET(R$16,0,0,1,-OFFSET(Assumptions!$B$67,0,$C$1)))/OFFSET(Assumptions!$B$67,0,$C$1)-R$453/R$14,(R$453/R$14-Q$453/Q$14)/R$2),0))*S$14</f>
        <v>0.70673648438035208</v>
      </c>
      <c r="T453" s="8">
        <f ca="1">(S$453/S$14+ IF(T$2&gt;0,T$2*IF(T$6=OFFSET(Assumptions!$B$8,0,$C$1),SUMPRODUCT(OFFSET(S$453,0,0,1,-OFFSET(Assumptions!$B$67,0,$C$1)),OFFSET(S$16,0,0,1,-OFFSET(Assumptions!$B$67,0,$C$1)))/OFFSET(Assumptions!$B$67,0,$C$1)-S$453/S$14,(S$453/S$14-R$453/R$14)/S$2),0))*T$14</f>
        <v>0.73538364800076039</v>
      </c>
      <c r="U453" s="8">
        <f ca="1">(T$453/T$14+ IF(U$2&gt;0,U$2*IF(U$6=OFFSET(Assumptions!$B$8,0,$C$1),SUMPRODUCT(OFFSET(T$453,0,0,1,-OFFSET(Assumptions!$B$67,0,$C$1)),OFFSET(T$16,0,0,1,-OFFSET(Assumptions!$B$67,0,$C$1)))/OFFSET(Assumptions!$B$67,0,$C$1)-T$453/T$14,(T$453/T$14-S$453/S$14)/T$2),0))*U$14</f>
        <v>0.7649929474170124</v>
      </c>
      <c r="V453" s="8">
        <f ca="1">(U$453/U$14+ IF(V$2&gt;0,V$2*IF(V$6=OFFSET(Assumptions!$B$8,0,$C$1),SUMPRODUCT(OFFSET(U$453,0,0,1,-OFFSET(Assumptions!$B$67,0,$C$1)),OFFSET(U$16,0,0,1,-OFFSET(Assumptions!$B$67,0,$C$1)))/OFFSET(Assumptions!$B$67,0,$C$1)-U$453/U$14,(U$453/U$14-T$453/T$14)/U$2),0))*V$14</f>
        <v>0.79563747335383861</v>
      </c>
      <c r="W453" s="8">
        <f ca="1">(V$453/V$14+ IF(W$2&gt;0,W$2*IF(W$6=OFFSET(Assumptions!$B$8,0,$C$1),SUMPRODUCT(OFFSET(V$453,0,0,1,-OFFSET(Assumptions!$B$67,0,$C$1)),OFFSET(V$16,0,0,1,-OFFSET(Assumptions!$B$67,0,$C$1)))/OFFSET(Assumptions!$B$67,0,$C$1)-V$453/V$14,(V$453/V$14-U$453/U$14)/V$2),0))*W$14</f>
        <v>0.82740601073257225</v>
      </c>
      <c r="X453" s="8">
        <f ca="1">(W$453/W$14+ IF(X$2&gt;0,X$2*IF(X$6=OFFSET(Assumptions!$B$8,0,$C$1),SUMPRODUCT(OFFSET(W$453,0,0,1,-OFFSET(Assumptions!$B$67,0,$C$1)),OFFSET(W$16,0,0,1,-OFFSET(Assumptions!$B$67,0,$C$1)))/OFFSET(Assumptions!$B$67,0,$C$1)-W$453/W$14,(W$453/W$14-V$453/V$14)/W$2),0))*X$14</f>
        <v>0.86039918503978774</v>
      </c>
      <c r="Y453" s="8">
        <f ca="1">(X$453/X$14+ IF(Y$2&gt;0,Y$2*IF(Y$6=OFFSET(Assumptions!$B$8,0,$C$1),SUMPRODUCT(OFFSET(X$453,0,0,1,-OFFSET(Assumptions!$B$67,0,$C$1)),OFFSET(X$16,0,0,1,-OFFSET(Assumptions!$B$67,0,$C$1)))/OFFSET(Assumptions!$B$67,0,$C$1)-X$453/X$14,(X$453/X$14-W$453/W$14)/X$2),0))*Y$14</f>
        <v>0.89461362328063998</v>
      </c>
      <c r="Z453" s="8">
        <f ca="1">(Y$453/Y$14+ IF(Z$2&gt;0,Z$2*IF(Z$6=OFFSET(Assumptions!$B$8,0,$C$1),SUMPRODUCT(OFFSET(Y$453,0,0,1,-OFFSET(Assumptions!$B$67,0,$C$1)),OFFSET(Y$16,0,0,1,-OFFSET(Assumptions!$B$67,0,$C$1)))/OFFSET(Assumptions!$B$67,0,$C$1)-Y$453/Y$14,(Y$453/Y$14-X$453/X$14)/Y$2),0))*Z$14</f>
        <v>0.93022250670619444</v>
      </c>
      <c r="AA453" s="8">
        <f ca="1">(Z$453/Z$14+ IF(AA$2&gt;0,AA$2*IF(AA$6=OFFSET(Assumptions!$B$8,0,$C$1),SUMPRODUCT(OFFSET(Z$453,0,0,1,-OFFSET(Assumptions!$B$67,0,$C$1)),OFFSET(Z$16,0,0,1,-OFFSET(Assumptions!$B$67,0,$C$1)))/OFFSET(Assumptions!$B$67,0,$C$1)-Z$453/Z$14,(Z$453/Z$14-Y$453/Y$14)/Z$2),0))*AA$14</f>
        <v>0.96728345061263077</v>
      </c>
      <c r="AB453" s="8">
        <f ca="1">(AA$453/AA$14+ IF(AB$2&gt;0,AB$2*IF(AB$6=OFFSET(Assumptions!$B$8,0,$C$1),SUMPRODUCT(OFFSET(AA$453,0,0,1,-OFFSET(Assumptions!$B$67,0,$C$1)),OFFSET(AA$16,0,0,1,-OFFSET(Assumptions!$B$67,0,$C$1)))/OFFSET(Assumptions!$B$67,0,$C$1)-AA$453/AA$14,(AA$453/AA$14-Z$453/Z$14)/AA$2),0))*AB$14</f>
        <v>1.0059077524371249</v>
      </c>
      <c r="AC453" s="8">
        <f ca="1">(AB$453/AB$14+ IF(AC$2&gt;0,AC$2*IF(AC$6=OFFSET(Assumptions!$B$8,0,$C$1),SUMPRODUCT(OFFSET(AB$453,0,0,1,-OFFSET(Assumptions!$B$67,0,$C$1)),OFFSET(AB$16,0,0,1,-OFFSET(Assumptions!$B$67,0,$C$1)))/OFFSET(Assumptions!$B$67,0,$C$1)-AB$453/AB$14,(AB$453/AB$14-AA$453/AA$14)/AB$2),0))*AC$14</f>
        <v>1.0462412241604742</v>
      </c>
      <c r="AD453" s="8">
        <f ca="1">(AC$453/AC$14+ IF(AD$2&gt;0,AD$2*IF(AD$6=OFFSET(Assumptions!$B$8,0,$C$1),SUMPRODUCT(OFFSET(AC$453,0,0,1,-OFFSET(Assumptions!$B$67,0,$C$1)),OFFSET(AC$16,0,0,1,-OFFSET(Assumptions!$B$67,0,$C$1)))/OFFSET(Assumptions!$B$67,0,$C$1)-AC$453/AC$14,(AC$453/AC$14-AB$453/AB$14)/AC$2),0))*AD$14</f>
        <v>1.0883263777594168</v>
      </c>
      <c r="AE453" s="8">
        <f ca="1">(AD$453/AD$14+ IF(AE$2&gt;0,AE$2*IF(AE$6=OFFSET(Assumptions!$B$8,0,$C$1),SUMPRODUCT(OFFSET(AD$453,0,0,1,-OFFSET(Assumptions!$B$67,0,$C$1)),OFFSET(AD$16,0,0,1,-OFFSET(Assumptions!$B$67,0,$C$1)))/OFFSET(Assumptions!$B$67,0,$C$1)-AD$453/AD$14,(AD$453/AD$14-AC$453/AC$14)/AD$2),0))*AE$14</f>
        <v>1.1321245636297501</v>
      </c>
      <c r="AF453" s="8">
        <f ca="1">(AE$453/AE$14+ IF(AF$2&gt;0,AF$2*IF(AF$6=OFFSET(Assumptions!$B$8,0,$C$1),SUMPRODUCT(OFFSET(AE$453,0,0,1,-OFFSET(Assumptions!$B$67,0,$C$1)),OFFSET(AE$16,0,0,1,-OFFSET(Assumptions!$B$67,0,$C$1)))/OFFSET(Assumptions!$B$67,0,$C$1)-AE$453/AE$14,(AE$453/AE$14-AD$453/AD$14)/AE$2),0))*AF$14</f>
        <v>1.1777569538149402</v>
      </c>
      <c r="AG453" s="8">
        <f ca="1">(AF$453/AF$14+ IF(AG$2&gt;0,AG$2*IF(AG$6=OFFSET(Assumptions!$B$8,0,$C$1),SUMPRODUCT(OFFSET(AF$453,0,0,1,-OFFSET(Assumptions!$B$67,0,$C$1)),OFFSET(AF$16,0,0,1,-OFFSET(Assumptions!$B$67,0,$C$1)))/OFFSET(Assumptions!$B$67,0,$C$1)-AF$453/AF$14,(AF$453/AF$14-AE$453/AE$14)/AF$2),0))*AG$14</f>
        <v>1.2252490640394416</v>
      </c>
      <c r="AH453" s="8">
        <f ca="1">(AG$453/AG$14+ IF(AH$2&gt;0,AH$2*IF(AH$6=OFFSET(Assumptions!$B$8,0,$C$1),SUMPRODUCT(OFFSET(AG$453,0,0,1,-OFFSET(Assumptions!$B$67,0,$C$1)),OFFSET(AG$16,0,0,1,-OFFSET(Assumptions!$B$67,0,$C$1)))/OFFSET(Assumptions!$B$67,0,$C$1)-AG$453/AG$14,(AG$453/AG$14-AF$453/AF$14)/AG$2),0))*AH$14</f>
        <v>1.2746770511973013</v>
      </c>
      <c r="AI453" s="8">
        <f ca="1">(AH$453/AH$14+ IF(AI$2&gt;0,AI$2*IF(AI$6=OFFSET(Assumptions!$B$8,0,$C$1),SUMPRODUCT(OFFSET(AH$453,0,0,1,-OFFSET(Assumptions!$B$67,0,$C$1)),OFFSET(AH$16,0,0,1,-OFFSET(Assumptions!$B$67,0,$C$1)))/OFFSET(Assumptions!$B$67,0,$C$1)-AH$453/AH$14,(AH$453/AH$14-AG$453/AG$14)/AH$2),0))*AI$14</f>
        <v>1.3259545482326307</v>
      </c>
      <c r="AJ453" s="8">
        <f ca="1">(AI$453/AI$14+ IF(AJ$2&gt;0,AJ$2*IF(AJ$6=OFFSET(Assumptions!$B$8,0,$C$1),SUMPRODUCT(OFFSET(AI$453,0,0,1,-OFFSET(Assumptions!$B$67,0,$C$1)),OFFSET(AI$16,0,0,1,-OFFSET(Assumptions!$B$67,0,$C$1)))/OFFSET(Assumptions!$B$67,0,$C$1)-AI$453/AI$14,(AI$453/AI$14-AH$453/AH$14)/AI$2),0))*AJ$14</f>
        <v>1.3792458225166007</v>
      </c>
      <c r="AK453" s="8">
        <f ca="1">(AJ$453/AJ$14+ IF(AK$2&gt;0,AK$2*IF(AK$6=OFFSET(Assumptions!$B$8,0,$C$1),SUMPRODUCT(OFFSET(AJ$453,0,0,1,-OFFSET(Assumptions!$B$67,0,$C$1)),OFFSET(AJ$16,0,0,1,-OFFSET(Assumptions!$B$67,0,$C$1)))/OFFSET(Assumptions!$B$67,0,$C$1)-AJ$453/AJ$14,(AJ$453/AJ$14-AI$453/AI$14)/AJ$2),0))*AK$14</f>
        <v>1.4345070350054234</v>
      </c>
      <c r="AL453" s="8">
        <f ca="1">(AK$453/AK$14+ IF(AL$2&gt;0,AL$2*IF(AL$6=OFFSET(Assumptions!$B$8,0,$C$1),SUMPRODUCT(OFFSET(AK$453,0,0,1,-OFFSET(Assumptions!$B$67,0,$C$1)),OFFSET(AK$16,0,0,1,-OFFSET(Assumptions!$B$67,0,$C$1)))/OFFSET(Assumptions!$B$67,0,$C$1)-AK$453/AK$14,(AK$453/AK$14-AJ$453/AJ$14)/AK$2),0))*AL$14</f>
        <v>1.4916946549174654</v>
      </c>
      <c r="AM453" s="8">
        <f ca="1">(AL$453/AL$14+ IF(AM$2&gt;0,AM$2*IF(AM$6=OFFSET(Assumptions!$B$8,0,$C$1),SUMPRODUCT(OFFSET(AL$453,0,0,1,-OFFSET(Assumptions!$B$67,0,$C$1)),OFFSET(AL$16,0,0,1,-OFFSET(Assumptions!$B$67,0,$C$1)))/OFFSET(Assumptions!$B$67,0,$C$1)-AL$453/AL$14,(AL$453/AL$14-AK$453/AK$14)/AL$2),0))*AM$14</f>
        <v>1.5508868079885147</v>
      </c>
      <c r="AN453" s="8">
        <f ca="1">(AM$453/AM$14+ IF(AN$2&gt;0,AN$2*IF(AN$6=OFFSET(Assumptions!$B$8,0,$C$1),SUMPRODUCT(OFFSET(AM$453,0,0,1,-OFFSET(Assumptions!$B$67,0,$C$1)),OFFSET(AM$16,0,0,1,-OFFSET(Assumptions!$B$67,0,$C$1)))/OFFSET(Assumptions!$B$67,0,$C$1)-AM$453/AM$14,(AM$453/AM$14-AL$453/AL$14)/AM$2),0))*AN$14</f>
        <v>1.612165829930271</v>
      </c>
      <c r="AO453" s="8">
        <f ca="1">(AN$453/AN$14+ IF(AO$2&gt;0,AO$2*IF(AO$6=OFFSET(Assumptions!$B$8,0,$C$1),SUMPRODUCT(OFFSET(AN$453,0,0,1,-OFFSET(Assumptions!$B$67,0,$C$1)),OFFSET(AN$16,0,0,1,-OFFSET(Assumptions!$B$67,0,$C$1)))/OFFSET(Assumptions!$B$67,0,$C$1)-AN$453/AN$14,(AN$453/AN$14-AM$453/AM$14)/AN$2),0))*AO$14</f>
        <v>1.6752910992148367</v>
      </c>
      <c r="AP453" s="8">
        <f ca="1">(AO$453/AO$14+ IF(AP$2&gt;0,AP$2*IF(AP$6=OFFSET(Assumptions!$B$8,0,$C$1),SUMPRODUCT(OFFSET(AO$453,0,0,1,-OFFSET(Assumptions!$B$67,0,$C$1)),OFFSET(AO$16,0,0,1,-OFFSET(Assumptions!$B$67,0,$C$1)))/OFFSET(Assumptions!$B$67,0,$C$1)-AO$453/AO$14,(AO$453/AO$14-AN$453/AN$14)/AO$2),0))*AP$14</f>
        <v>1.7405306769900741</v>
      </c>
      <c r="AQ453" s="8">
        <f ca="1">(AP$453/AP$14+ IF(AQ$2&gt;0,AQ$2*IF(AQ$6=OFFSET(Assumptions!$B$8,0,$C$1),SUMPRODUCT(OFFSET(AP$453,0,0,1,-OFFSET(Assumptions!$B$67,0,$C$1)),OFFSET(AP$16,0,0,1,-OFFSET(Assumptions!$B$67,0,$C$1)))/OFFSET(Assumptions!$B$67,0,$C$1)-AP$453/AP$14,(AP$453/AP$14-AO$453/AO$14)/AP$2),0))*AQ$14</f>
        <v>1.8077017621649354</v>
      </c>
      <c r="AR453" s="8">
        <f ca="1">(AQ$453/AQ$14+ IF(AR$2&gt;0,AR$2*IF(AR$6=OFFSET(Assumptions!$B$8,0,$C$1),SUMPRODUCT(OFFSET(AQ$453,0,0,1,-OFFSET(Assumptions!$B$67,0,$C$1)),OFFSET(AQ$16,0,0,1,-OFFSET(Assumptions!$B$67,0,$C$1)))/OFFSET(Assumptions!$B$67,0,$C$1)-AQ$453/AQ$14,(AQ$453/AQ$14-AP$453/AP$14)/AQ$2),0))*AR$14</f>
        <v>1.8768804044245351</v>
      </c>
      <c r="AS453" s="8">
        <f ca="1">(AR$453/AR$14+ IF(AS$2&gt;0,AS$2*IF(AS$6=OFFSET(Assumptions!$B$8,0,$C$1),SUMPRODUCT(OFFSET(AR$453,0,0,1,-OFFSET(Assumptions!$B$67,0,$C$1)),OFFSET(AR$16,0,0,1,-OFFSET(Assumptions!$B$67,0,$C$1)))/OFFSET(Assumptions!$B$67,0,$C$1)-AR$453/AR$14,(AR$453/AR$14-AQ$453/AQ$14)/AR$2),0))*AS$14</f>
        <v>1.9482279955458843</v>
      </c>
      <c r="AT453" s="8">
        <f ca="1">(AS$453/AS$14+ IF(AT$2&gt;0,AT$2*IF(AT$6=OFFSET(Assumptions!$B$8,0,$C$1),SUMPRODUCT(OFFSET(AS$453,0,0,1,-OFFSET(Assumptions!$B$67,0,$C$1)),OFFSET(AS$16,0,0,1,-OFFSET(Assumptions!$B$67,0,$C$1)))/OFFSET(Assumptions!$B$67,0,$C$1)-AS$453/AS$14,(AS$453/AS$14-AR$453/AR$14)/AS$2),0))*AT$14</f>
        <v>2.0218015185141556</v>
      </c>
      <c r="AU453" s="8">
        <f ca="1">(AT$453/AT$14+ IF(AU$2&gt;0,AU$2*IF(AU$6=OFFSET(Assumptions!$B$8,0,$C$1),SUMPRODUCT(OFFSET(AT$453,0,0,1,-OFFSET(Assumptions!$B$67,0,$C$1)),OFFSET(AT$16,0,0,1,-OFFSET(Assumptions!$B$67,0,$C$1)))/OFFSET(Assumptions!$B$67,0,$C$1)-AT$453/AT$14,(AT$453/AT$14-AS$453/AS$14)/AT$2),0))*AU$14</f>
        <v>2.0976988096900047</v>
      </c>
      <c r="AV453" s="8">
        <f ca="1">(AU$453/AU$14+ IF(AV$2&gt;0,AV$2*IF(AV$6=OFFSET(Assumptions!$B$8,0,$C$1),SUMPRODUCT(OFFSET(AU$453,0,0,1,-OFFSET(Assumptions!$B$67,0,$C$1)),OFFSET(AU$16,0,0,1,-OFFSET(Assumptions!$B$67,0,$C$1)))/OFFSET(Assumptions!$B$67,0,$C$1)-AU$453/AU$14,(AU$453/AU$14-AT$453/AT$14)/AU$2),0))*AV$14</f>
        <v>2.1761545357611296</v>
      </c>
      <c r="AW453" s="8">
        <f ca="1">(AV$453/AV$14+ IF(AW$2&gt;0,AW$2*IF(AW$6=OFFSET(Assumptions!$B$8,0,$C$1),SUMPRODUCT(OFFSET(AV$453,0,0,1,-OFFSET(Assumptions!$B$67,0,$C$1)),OFFSET(AV$16,0,0,1,-OFFSET(Assumptions!$B$67,0,$C$1)))/OFFSET(Assumptions!$B$67,0,$C$1)-AV$453/AV$14,(AV$453/AV$14-AU$453/AU$14)/AV$2),0))*AW$14</f>
        <v>2.2571244040626781</v>
      </c>
    </row>
    <row r="454" spans="1:49" ht="15" x14ac:dyDescent="0.25">
      <c r="A454" s="2" t="s">
        <v>676</v>
      </c>
      <c r="B454" s="4" t="str">
        <f t="shared" si="265"/>
        <v>From Fiscal</v>
      </c>
      <c r="D454" s="47">
        <f>Fiscal!D$129</f>
        <v>2.1120000000000001</v>
      </c>
      <c r="E454" s="44">
        <f>Fiscal!E$129</f>
        <v>2.13</v>
      </c>
      <c r="F454" s="44">
        <f>Fiscal!F$129</f>
        <v>2.1269999999999998</v>
      </c>
      <c r="G454" s="44">
        <f>Fiscal!G$129</f>
        <v>2.1429999999999998</v>
      </c>
      <c r="H454" s="44">
        <f>Fiscal!H$129</f>
        <v>2.169</v>
      </c>
      <c r="I454" s="44">
        <f>Fiscal!I$129</f>
        <v>2.1829999999999998</v>
      </c>
      <c r="J454" s="8">
        <f ca="1">((I$454-I$453)/I$14+ IF(J$2&gt;0,J$2*IF(J$6=OFFSET(Assumptions!$B$8,0,$C$1),(SUMPRODUCT(OFFSET(I$454,0,0,1,-OFFSET(Assumptions!$B$67,0,$C$1)),OFFSET(I$16,0,0,1,-OFFSET(Assumptions!$B$67,0,$C$1)))-SUMPRODUCT(OFFSET(I$453,0,0,1,-OFFSET(Assumptions!$B$67,0,$C$1)),OFFSET(I$16,0,0,1,-OFFSET(Assumptions!$B$67,0,$C$1))))/OFFSET(Assumptions!$B$67,0,$C$1)-(I$454-I$453)/I$14,((I$454-I$453)/I$14-(H$454-H$453)/H$14)/I$2),0))*J$14 +J$453</f>
        <v>2.3021823877874956</v>
      </c>
      <c r="K454" s="8">
        <f ca="1">((J$454-J$453)/J$14+ IF(K$2&gt;0,K$2*IF(K$6=OFFSET(Assumptions!$B$8,0,$C$1),(SUMPRODUCT(OFFSET(J$454,0,0,1,-OFFSET(Assumptions!$B$67,0,$C$1)),OFFSET(J$16,0,0,1,-OFFSET(Assumptions!$B$67,0,$C$1)))-SUMPRODUCT(OFFSET(J$453,0,0,1,-OFFSET(Assumptions!$B$67,0,$C$1)),OFFSET(J$16,0,0,1,-OFFSET(Assumptions!$B$67,0,$C$1))))/OFFSET(Assumptions!$B$67,0,$C$1)-(J$454-J$453)/J$14,((J$454-J$453)/J$14-(I$454-I$453)/I$14)/J$2),0))*K$14 +K$453</f>
        <v>2.4210579021206451</v>
      </c>
      <c r="L454" s="8">
        <f ca="1">((K$454-K$453)/K$14+ IF(L$2&gt;0,L$2*IF(L$6=OFFSET(Assumptions!$B$8,0,$C$1),(SUMPRODUCT(OFFSET(K$454,0,0,1,-OFFSET(Assumptions!$B$67,0,$C$1)),OFFSET(K$16,0,0,1,-OFFSET(Assumptions!$B$67,0,$C$1)))-SUMPRODUCT(OFFSET(K$453,0,0,1,-OFFSET(Assumptions!$B$67,0,$C$1)),OFFSET(K$16,0,0,1,-OFFSET(Assumptions!$B$67,0,$C$1))))/OFFSET(Assumptions!$B$67,0,$C$1)-(K$454-K$453)/K$14,((K$454-K$453)/K$14-(J$454-J$453)/J$14)/K$2),0))*L$14 +L$453</f>
        <v>2.5437363794456038</v>
      </c>
      <c r="M454" s="8">
        <f ca="1">((L$454-L$453)/L$14+ IF(M$2&gt;0,M$2*IF(M$6=OFFSET(Assumptions!$B$8,0,$C$1),(SUMPRODUCT(OFFSET(L$454,0,0,1,-OFFSET(Assumptions!$B$67,0,$C$1)),OFFSET(L$16,0,0,1,-OFFSET(Assumptions!$B$67,0,$C$1)))-SUMPRODUCT(OFFSET(L$453,0,0,1,-OFFSET(Assumptions!$B$67,0,$C$1)),OFFSET(L$16,0,0,1,-OFFSET(Assumptions!$B$67,0,$C$1))))/OFFSET(Assumptions!$B$67,0,$C$1)-(L$454-L$453)/L$14,((L$454-L$453)/L$14-(K$454-K$453)/K$14)/L$2),0))*M$14 +M$453</f>
        <v>2.665977789802259</v>
      </c>
      <c r="N454" s="8">
        <f ca="1">((M$454-M$453)/M$14+ IF(N$2&gt;0,N$2*IF(N$6=OFFSET(Assumptions!$B$8,0,$C$1),(SUMPRODUCT(OFFSET(M$454,0,0,1,-OFFSET(Assumptions!$B$67,0,$C$1)),OFFSET(M$16,0,0,1,-OFFSET(Assumptions!$B$67,0,$C$1)))-SUMPRODUCT(OFFSET(M$453,0,0,1,-OFFSET(Assumptions!$B$67,0,$C$1)),OFFSET(M$16,0,0,1,-OFFSET(Assumptions!$B$67,0,$C$1))))/OFFSET(Assumptions!$B$67,0,$C$1)-(M$454-M$453)/M$14,((M$454-M$453)/M$14-(L$454-L$453)/L$14)/M$2),0))*N$14 +N$453</f>
        <v>2.7873884767241073</v>
      </c>
      <c r="O454" s="8">
        <f ca="1">((N$454-N$453)/N$14+ IF(O$2&gt;0,O$2*IF(O$6=OFFSET(Assumptions!$B$8,0,$C$1),(SUMPRODUCT(OFFSET(N$454,0,0,1,-OFFSET(Assumptions!$B$67,0,$C$1)),OFFSET(N$16,0,0,1,-OFFSET(Assumptions!$B$67,0,$C$1)))-SUMPRODUCT(OFFSET(N$453,0,0,1,-OFFSET(Assumptions!$B$67,0,$C$1)),OFFSET(N$16,0,0,1,-OFFSET(Assumptions!$B$67,0,$C$1))))/OFFSET(Assumptions!$B$67,0,$C$1)-(N$454-N$453)/N$14,((N$454-N$453)/N$14-(M$454-M$453)/M$14)/N$2),0))*O$14 +O$453</f>
        <v>2.9063729846299098</v>
      </c>
      <c r="P454" s="8">
        <f ca="1">((O$454-O$453)/O$14+ IF(P$2&gt;0,P$2*IF(P$6=OFFSET(Assumptions!$B$8,0,$C$1),(SUMPRODUCT(OFFSET(O$454,0,0,1,-OFFSET(Assumptions!$B$67,0,$C$1)),OFFSET(O$16,0,0,1,-OFFSET(Assumptions!$B$67,0,$C$1)))-SUMPRODUCT(OFFSET(O$453,0,0,1,-OFFSET(Assumptions!$B$67,0,$C$1)),OFFSET(O$16,0,0,1,-OFFSET(Assumptions!$B$67,0,$C$1))))/OFFSET(Assumptions!$B$67,0,$C$1)-(O$454-O$453)/O$14,((O$454-O$453)/O$14-(N$454-N$453)/N$14)/O$2),0))*P$14 +P$453</f>
        <v>3.0292803046914263</v>
      </c>
      <c r="Q454" s="8">
        <f ca="1">((P$454-P$453)/P$14+ IF(Q$2&gt;0,Q$2*IF(Q$6=OFFSET(Assumptions!$B$8,0,$C$1),(SUMPRODUCT(OFFSET(P$454,0,0,1,-OFFSET(Assumptions!$B$67,0,$C$1)),OFFSET(P$16,0,0,1,-OFFSET(Assumptions!$B$67,0,$C$1)))-SUMPRODUCT(OFFSET(P$453,0,0,1,-OFFSET(Assumptions!$B$67,0,$C$1)),OFFSET(P$16,0,0,1,-OFFSET(Assumptions!$B$67,0,$C$1))))/OFFSET(Assumptions!$B$67,0,$C$1)-(P$454-P$453)/P$14,((P$454-P$453)/P$14-(O$454-O$453)/O$14)/P$2),0))*Q$14 +Q$453</f>
        <v>3.1559776744349</v>
      </c>
      <c r="R454" s="8">
        <f ca="1">((Q$454-Q$453)/Q$14+ IF(R$2&gt;0,R$2*IF(R$6=OFFSET(Assumptions!$B$8,0,$C$1),(SUMPRODUCT(OFFSET(Q$454,0,0,1,-OFFSET(Assumptions!$B$67,0,$C$1)),OFFSET(Q$16,0,0,1,-OFFSET(Assumptions!$B$67,0,$C$1)))-SUMPRODUCT(OFFSET(Q$453,0,0,1,-OFFSET(Assumptions!$B$67,0,$C$1)),OFFSET(Q$16,0,0,1,-OFFSET(Assumptions!$B$67,0,$C$1))))/OFFSET(Assumptions!$B$67,0,$C$1)-(Q$454-Q$453)/Q$14,((Q$454-Q$453)/Q$14-(P$454-P$453)/P$14)/Q$2),0))*R$14 +R$453</f>
        <v>3.2863710568544802</v>
      </c>
      <c r="S454" s="8">
        <f ca="1">((R$454-R$453)/R$14+ IF(S$2&gt;0,S$2*IF(S$6=OFFSET(Assumptions!$B$8,0,$C$1),(SUMPRODUCT(OFFSET(R$454,0,0,1,-OFFSET(Assumptions!$B$67,0,$C$1)),OFFSET(R$16,0,0,1,-OFFSET(Assumptions!$B$67,0,$C$1)))-SUMPRODUCT(OFFSET(R$453,0,0,1,-OFFSET(Assumptions!$B$67,0,$C$1)),OFFSET(R$16,0,0,1,-OFFSET(Assumptions!$B$67,0,$C$1))))/OFFSET(Assumptions!$B$67,0,$C$1)-(R$454-R$453)/R$14,((R$454-R$453)/R$14-(Q$454-Q$453)/Q$14)/R$2),0))*S$14 +S$453</f>
        <v>3.4208748368024255</v>
      </c>
      <c r="T454" s="8">
        <f ca="1">((S$454-S$453)/S$14+ IF(T$2&gt;0,T$2*IF(T$6=OFFSET(Assumptions!$B$8,0,$C$1),(SUMPRODUCT(OFFSET(S$454,0,0,1,-OFFSET(Assumptions!$B$67,0,$C$1)),OFFSET(S$16,0,0,1,-OFFSET(Assumptions!$B$67,0,$C$1)))-SUMPRODUCT(OFFSET(S$453,0,0,1,-OFFSET(Assumptions!$B$67,0,$C$1)),OFFSET(S$16,0,0,1,-OFFSET(Assumptions!$B$67,0,$C$1))))/OFFSET(Assumptions!$B$67,0,$C$1)-(S$454-S$453)/S$14,((S$454-S$453)/S$14-(R$454-R$453)/R$14)/S$2),0))*T$14 +T$453</f>
        <v>3.5595380632534259</v>
      </c>
      <c r="U454" s="8">
        <f ca="1">((T$454-T$453)/T$14+ IF(U$2&gt;0,U$2*IF(U$6=OFFSET(Assumptions!$B$8,0,$C$1),(SUMPRODUCT(OFFSET(T$454,0,0,1,-OFFSET(Assumptions!$B$67,0,$C$1)),OFFSET(T$16,0,0,1,-OFFSET(Assumptions!$B$67,0,$C$1)))-SUMPRODUCT(OFFSET(T$453,0,0,1,-OFFSET(Assumptions!$B$67,0,$C$1)),OFFSET(T$16,0,0,1,-OFFSET(Assumptions!$B$67,0,$C$1))))/OFFSET(Assumptions!$B$67,0,$C$1)-(T$454-T$453)/T$14,((T$454-T$453)/T$14-(S$454-S$453)/S$14)/T$2),0))*U$14 +U$453</f>
        <v>3.7028583948720963</v>
      </c>
      <c r="V454" s="8">
        <f ca="1">((U$454-U$453)/U$14+ IF(V$2&gt;0,V$2*IF(V$6=OFFSET(Assumptions!$B$8,0,$C$1),(SUMPRODUCT(OFFSET(U$454,0,0,1,-OFFSET(Assumptions!$B$67,0,$C$1)),OFFSET(U$16,0,0,1,-OFFSET(Assumptions!$B$67,0,$C$1)))-SUMPRODUCT(OFFSET(U$453,0,0,1,-OFFSET(Assumptions!$B$67,0,$C$1)),OFFSET(U$16,0,0,1,-OFFSET(Assumptions!$B$67,0,$C$1))))/OFFSET(Assumptions!$B$67,0,$C$1)-(U$454-U$453)/U$14,((U$454-U$453)/U$14-(T$454-T$453)/T$14)/U$2),0))*V$14 +V$453</f>
        <v>3.85118961871565</v>
      </c>
      <c r="W454" s="8">
        <f ca="1">((V$454-V$453)/V$14+ IF(W$2&gt;0,W$2*IF(W$6=OFFSET(Assumptions!$B$8,0,$C$1),(SUMPRODUCT(OFFSET(V$454,0,0,1,-OFFSET(Assumptions!$B$67,0,$C$1)),OFFSET(V$16,0,0,1,-OFFSET(Assumptions!$B$67,0,$C$1)))-SUMPRODUCT(OFFSET(V$453,0,0,1,-OFFSET(Assumptions!$B$67,0,$C$1)),OFFSET(V$16,0,0,1,-OFFSET(Assumptions!$B$67,0,$C$1))))/OFFSET(Assumptions!$B$67,0,$C$1)-(V$454-V$453)/V$14,((V$454-V$453)/V$14-(U$454-U$453)/U$14)/V$2),0))*W$14 +W$453</f>
        <v>4.0049614877542377</v>
      </c>
      <c r="X454" s="8">
        <f ca="1">((W$454-W$453)/W$14+ IF(X$2&gt;0,X$2*IF(X$6=OFFSET(Assumptions!$B$8,0,$C$1),(SUMPRODUCT(OFFSET(W$454,0,0,1,-OFFSET(Assumptions!$B$67,0,$C$1)),OFFSET(W$16,0,0,1,-OFFSET(Assumptions!$B$67,0,$C$1)))-SUMPRODUCT(OFFSET(W$453,0,0,1,-OFFSET(Assumptions!$B$67,0,$C$1)),OFFSET(W$16,0,0,1,-OFFSET(Assumptions!$B$67,0,$C$1))))/OFFSET(Assumptions!$B$67,0,$C$1)-(W$454-W$453)/W$14,((W$454-W$453)/W$14-(V$454-V$453)/V$14)/W$2),0))*X$14 +X$453</f>
        <v>4.1646610678215481</v>
      </c>
      <c r="Y454" s="8">
        <f ca="1">((X$454-X$453)/X$14+ IF(Y$2&gt;0,Y$2*IF(Y$6=OFFSET(Assumptions!$B$8,0,$C$1),(SUMPRODUCT(OFFSET(X$454,0,0,1,-OFFSET(Assumptions!$B$67,0,$C$1)),OFFSET(X$16,0,0,1,-OFFSET(Assumptions!$B$67,0,$C$1)))-SUMPRODUCT(OFFSET(X$453,0,0,1,-OFFSET(Assumptions!$B$67,0,$C$1)),OFFSET(X$16,0,0,1,-OFFSET(Assumptions!$B$67,0,$C$1))))/OFFSET(Assumptions!$B$67,0,$C$1)-(X$454-X$453)/X$14,((X$454-X$453)/X$14-(W$454-W$453)/W$14)/X$2),0))*Y$14 +Y$453</f>
        <v>4.330272032332716</v>
      </c>
      <c r="Z454" s="8">
        <f ca="1">((Y$454-Y$453)/Y$14+ IF(Z$2&gt;0,Z$2*IF(Z$6=OFFSET(Assumptions!$B$8,0,$C$1),(SUMPRODUCT(OFFSET(Y$454,0,0,1,-OFFSET(Assumptions!$B$67,0,$C$1)),OFFSET(Y$16,0,0,1,-OFFSET(Assumptions!$B$67,0,$C$1)))-SUMPRODUCT(OFFSET(Y$453,0,0,1,-OFFSET(Assumptions!$B$67,0,$C$1)),OFFSET(Y$16,0,0,1,-OFFSET(Assumptions!$B$67,0,$C$1))))/OFFSET(Assumptions!$B$67,0,$C$1)-(Y$454-Y$453)/Y$14,((Y$454-Y$453)/Y$14-(X$454-X$453)/X$14)/Y$2),0))*Z$14 +Z$453</f>
        <v>4.5026326447665195</v>
      </c>
      <c r="AA454" s="8">
        <f ca="1">((Z$454-Z$453)/Z$14+ IF(AA$2&gt;0,AA$2*IF(AA$6=OFFSET(Assumptions!$B$8,0,$C$1),(SUMPRODUCT(OFFSET(Z$454,0,0,1,-OFFSET(Assumptions!$B$67,0,$C$1)),OFFSET(Z$16,0,0,1,-OFFSET(Assumptions!$B$67,0,$C$1)))-SUMPRODUCT(OFFSET(Z$453,0,0,1,-OFFSET(Assumptions!$B$67,0,$C$1)),OFFSET(Z$16,0,0,1,-OFFSET(Assumptions!$B$67,0,$C$1))))/OFFSET(Assumptions!$B$67,0,$C$1)-(Z$454-Z$453)/Z$14,((Z$454-Z$453)/Z$14-(Y$454-Y$453)/Y$14)/Z$2),0))*AA$14 +AA$453</f>
        <v>4.68202178518826</v>
      </c>
      <c r="AB454" s="8">
        <f ca="1">((AA$454-AA$453)/AA$14+ IF(AB$2&gt;0,AB$2*IF(AB$6=OFFSET(Assumptions!$B$8,0,$C$1),(SUMPRODUCT(OFFSET(AA$454,0,0,1,-OFFSET(Assumptions!$B$67,0,$C$1)),OFFSET(AA$16,0,0,1,-OFFSET(Assumptions!$B$67,0,$C$1)))-SUMPRODUCT(OFFSET(AA$453,0,0,1,-OFFSET(Assumptions!$B$67,0,$C$1)),OFFSET(AA$16,0,0,1,-OFFSET(Assumptions!$B$67,0,$C$1))))/OFFSET(Assumptions!$B$67,0,$C$1)-(AA$454-AA$453)/AA$14,((AA$454-AA$453)/AA$14-(Z$454-Z$453)/Z$14)/AA$2),0))*AB$14 +AB$453</f>
        <v>4.8689781757534378</v>
      </c>
      <c r="AC454" s="8">
        <f ca="1">((AB$454-AB$453)/AB$14+ IF(AC$2&gt;0,AC$2*IF(AC$6=OFFSET(Assumptions!$B$8,0,$C$1),(SUMPRODUCT(OFFSET(AB$454,0,0,1,-OFFSET(Assumptions!$B$67,0,$C$1)),OFFSET(AB$16,0,0,1,-OFFSET(Assumptions!$B$67,0,$C$1)))-SUMPRODUCT(OFFSET(AB$453,0,0,1,-OFFSET(Assumptions!$B$67,0,$C$1)),OFFSET(AB$16,0,0,1,-OFFSET(Assumptions!$B$67,0,$C$1))))/OFFSET(Assumptions!$B$67,0,$C$1)-(AB$454-AB$453)/AB$14,((AB$454-AB$453)/AB$14-(AA$454-AA$453)/AA$14)/AB$2),0))*AC$14 +AC$453</f>
        <v>5.0642076022068663</v>
      </c>
      <c r="AD454" s="8">
        <f ca="1">((AC$454-AC$453)/AC$14+ IF(AD$2&gt;0,AD$2*IF(AD$6=OFFSET(Assumptions!$B$8,0,$C$1),(SUMPRODUCT(OFFSET(AC$454,0,0,1,-OFFSET(Assumptions!$B$67,0,$C$1)),OFFSET(AC$16,0,0,1,-OFFSET(Assumptions!$B$67,0,$C$1)))-SUMPRODUCT(OFFSET(AC$453,0,0,1,-OFFSET(Assumptions!$B$67,0,$C$1)),OFFSET(AC$16,0,0,1,-OFFSET(Assumptions!$B$67,0,$C$1))))/OFFSET(Assumptions!$B$67,0,$C$1)-(AC$454-AC$453)/AC$14,((AC$454-AC$453)/AC$14-(AB$454-AB$453)/AB$14)/AC$2),0))*AD$14 +AD$453</f>
        <v>5.2679158387723177</v>
      </c>
      <c r="AE454" s="8">
        <f ca="1">((AD$454-AD$453)/AD$14+ IF(AE$2&gt;0,AE$2*IF(AE$6=OFFSET(Assumptions!$B$8,0,$C$1),(SUMPRODUCT(OFFSET(AD$454,0,0,1,-OFFSET(Assumptions!$B$67,0,$C$1)),OFFSET(AD$16,0,0,1,-OFFSET(Assumptions!$B$67,0,$C$1)))-SUMPRODUCT(OFFSET(AD$453,0,0,1,-OFFSET(Assumptions!$B$67,0,$C$1)),OFFSET(AD$16,0,0,1,-OFFSET(Assumptions!$B$67,0,$C$1))))/OFFSET(Assumptions!$B$67,0,$C$1)-(AD$454-AD$453)/AD$14,((AD$454-AD$453)/AD$14-(AC$454-AC$453)/AC$14)/AD$2),0))*AE$14 +AE$453</f>
        <v>5.4799158065860416</v>
      </c>
      <c r="AF454" s="8">
        <f ca="1">((AE$454-AE$453)/AE$14+ IF(AF$2&gt;0,AF$2*IF(AF$6=OFFSET(Assumptions!$B$8,0,$C$1),(SUMPRODUCT(OFFSET(AE$454,0,0,1,-OFFSET(Assumptions!$B$67,0,$C$1)),OFFSET(AE$16,0,0,1,-OFFSET(Assumptions!$B$67,0,$C$1)))-SUMPRODUCT(OFFSET(AE$453,0,0,1,-OFFSET(Assumptions!$B$67,0,$C$1)),OFFSET(AE$16,0,0,1,-OFFSET(Assumptions!$B$67,0,$C$1))))/OFFSET(Assumptions!$B$67,0,$C$1)-(AE$454-AE$453)/AE$14,((AE$454-AE$453)/AE$14-(AD$454-AD$453)/AD$14)/AE$2),0))*AF$14 +AF$453</f>
        <v>5.7007940246739812</v>
      </c>
      <c r="AG454" s="8">
        <f ca="1">((AF$454-AF$453)/AF$14+ IF(AG$2&gt;0,AG$2*IF(AG$6=OFFSET(Assumptions!$B$8,0,$C$1),(SUMPRODUCT(OFFSET(AF$454,0,0,1,-OFFSET(Assumptions!$B$67,0,$C$1)),OFFSET(AF$16,0,0,1,-OFFSET(Assumptions!$B$67,0,$C$1)))-SUMPRODUCT(OFFSET(AF$453,0,0,1,-OFFSET(Assumptions!$B$67,0,$C$1)),OFFSET(AF$16,0,0,1,-OFFSET(Assumptions!$B$67,0,$C$1))))/OFFSET(Assumptions!$B$67,0,$C$1)-(AF$454-AF$453)/AF$14,((AF$454-AF$453)/AF$14-(AE$454-AE$453)/AE$14)/AF$2),0))*AG$14 +AG$453</f>
        <v>5.9306739988995787</v>
      </c>
      <c r="AH454" s="8">
        <f ca="1">((AG$454-AG$453)/AG$14+ IF(AH$2&gt;0,AH$2*IF(AH$6=OFFSET(Assumptions!$B$8,0,$C$1),(SUMPRODUCT(OFFSET(AG$454,0,0,1,-OFFSET(Assumptions!$B$67,0,$C$1)),OFFSET(AG$16,0,0,1,-OFFSET(Assumptions!$B$67,0,$C$1)))-SUMPRODUCT(OFFSET(AG$453,0,0,1,-OFFSET(Assumptions!$B$67,0,$C$1)),OFFSET(AG$16,0,0,1,-OFFSET(Assumptions!$B$67,0,$C$1))))/OFFSET(Assumptions!$B$67,0,$C$1)-(AG$454-AG$453)/AG$14,((AG$454-AG$453)/AG$14-(AF$454-AF$453)/AF$14)/AG$2),0))*AH$14 +AH$453</f>
        <v>6.1699243577520244</v>
      </c>
      <c r="AI454" s="8">
        <f ca="1">((AH$454-AH$453)/AH$14+ IF(AI$2&gt;0,AI$2*IF(AI$6=OFFSET(Assumptions!$B$8,0,$C$1),(SUMPRODUCT(OFFSET(AH$454,0,0,1,-OFFSET(Assumptions!$B$67,0,$C$1)),OFFSET(AH$16,0,0,1,-OFFSET(Assumptions!$B$67,0,$C$1)))-SUMPRODUCT(OFFSET(AH$453,0,0,1,-OFFSET(Assumptions!$B$67,0,$C$1)),OFFSET(AH$16,0,0,1,-OFFSET(Assumptions!$B$67,0,$C$1))))/OFFSET(Assumptions!$B$67,0,$C$1)-(AH$454-AH$453)/AH$14,((AH$454-AH$453)/AH$14-(AG$454-AG$453)/AG$14)/AH$2),0))*AI$14 +AI$453</f>
        <v>6.418127051654503</v>
      </c>
      <c r="AJ454" s="8">
        <f ca="1">((AI$454-AI$453)/AI$14+ IF(AJ$2&gt;0,AJ$2*IF(AJ$6=OFFSET(Assumptions!$B$8,0,$C$1),(SUMPRODUCT(OFFSET(AI$454,0,0,1,-OFFSET(Assumptions!$B$67,0,$C$1)),OFFSET(AI$16,0,0,1,-OFFSET(Assumptions!$B$67,0,$C$1)))-SUMPRODUCT(OFFSET(AI$453,0,0,1,-OFFSET(Assumptions!$B$67,0,$C$1)),OFFSET(AI$16,0,0,1,-OFFSET(Assumptions!$B$67,0,$C$1))))/OFFSET(Assumptions!$B$67,0,$C$1)-(AI$454-AI$453)/AI$14,((AI$454-AI$453)/AI$14-(AH$454-AH$453)/AH$14)/AI$2),0))*AJ$14 +AJ$453</f>
        <v>6.6760771974984774</v>
      </c>
      <c r="AK454" s="8">
        <f ca="1">((AJ$454-AJ$453)/AJ$14+ IF(AK$2&gt;0,AK$2*IF(AK$6=OFFSET(Assumptions!$B$8,0,$C$1),(SUMPRODUCT(OFFSET(AJ$454,0,0,1,-OFFSET(Assumptions!$B$67,0,$C$1)),OFFSET(AJ$16,0,0,1,-OFFSET(Assumptions!$B$67,0,$C$1)))-SUMPRODUCT(OFFSET(AJ$453,0,0,1,-OFFSET(Assumptions!$B$67,0,$C$1)),OFFSET(AJ$16,0,0,1,-OFFSET(Assumptions!$B$67,0,$C$1))))/OFFSET(Assumptions!$B$67,0,$C$1)-(AJ$454-AJ$453)/AJ$14,((AJ$454-AJ$453)/AJ$14-(AI$454-AI$453)/AI$14)/AJ$2),0))*AK$14 +AK$453</f>
        <v>6.9435625975481905</v>
      </c>
      <c r="AL454" s="8">
        <f ca="1">((AK$454-AK$453)/AK$14+ IF(AL$2&gt;0,AL$2*IF(AL$6=OFFSET(Assumptions!$B$8,0,$C$1),(SUMPRODUCT(OFFSET(AK$454,0,0,1,-OFFSET(Assumptions!$B$67,0,$C$1)),OFFSET(AK$16,0,0,1,-OFFSET(Assumptions!$B$67,0,$C$1)))-SUMPRODUCT(OFFSET(AK$453,0,0,1,-OFFSET(Assumptions!$B$67,0,$C$1)),OFFSET(AK$16,0,0,1,-OFFSET(Assumptions!$B$67,0,$C$1))))/OFFSET(Assumptions!$B$67,0,$C$1)-(AK$454-AK$453)/AK$14,((AK$454-AK$453)/AK$14-(AJ$454-AJ$453)/AJ$14)/AK$2),0))*AL$14 +AL$453</f>
        <v>7.2203725461745876</v>
      </c>
      <c r="AM454" s="8">
        <f ca="1">((AL$454-AL$453)/AL$14+ IF(AM$2&gt;0,AM$2*IF(AM$6=OFFSET(Assumptions!$B$8,0,$C$1),(SUMPRODUCT(OFFSET(AL$454,0,0,1,-OFFSET(Assumptions!$B$67,0,$C$1)),OFFSET(AL$16,0,0,1,-OFFSET(Assumptions!$B$67,0,$C$1)))-SUMPRODUCT(OFFSET(AL$453,0,0,1,-OFFSET(Assumptions!$B$67,0,$C$1)),OFFSET(AL$16,0,0,1,-OFFSET(Assumptions!$B$67,0,$C$1))))/OFFSET(Assumptions!$B$67,0,$C$1)-(AL$454-AL$453)/AL$14,((AL$454-AL$453)/AL$14-(AK$454-AK$453)/AK$14)/AL$2),0))*AM$14 +AM$453</f>
        <v>7.5068852018137644</v>
      </c>
      <c r="AN454" s="8">
        <f ca="1">((AM$454-AM$453)/AM$14+ IF(AN$2&gt;0,AN$2*IF(AN$6=OFFSET(Assumptions!$B$8,0,$C$1),(SUMPRODUCT(OFFSET(AM$454,0,0,1,-OFFSET(Assumptions!$B$67,0,$C$1)),OFFSET(AM$16,0,0,1,-OFFSET(Assumptions!$B$67,0,$C$1)))-SUMPRODUCT(OFFSET(AM$453,0,0,1,-OFFSET(Assumptions!$B$67,0,$C$1)),OFFSET(AM$16,0,0,1,-OFFSET(Assumptions!$B$67,0,$C$1))))/OFFSET(Assumptions!$B$67,0,$C$1)-(AM$454-AM$453)/AM$14,((AM$454-AM$453)/AM$14-(AL$454-AL$453)/AL$14)/AM$2),0))*AN$14 +AN$453</f>
        <v>7.8034991007951007</v>
      </c>
      <c r="AO454" s="8">
        <f ca="1">((AN$454-AN$453)/AN$14+ IF(AO$2&gt;0,AO$2*IF(AO$6=OFFSET(Assumptions!$B$8,0,$C$1),(SUMPRODUCT(OFFSET(AN$454,0,0,1,-OFFSET(Assumptions!$B$67,0,$C$1)),OFFSET(AN$16,0,0,1,-OFFSET(Assumptions!$B$67,0,$C$1)))-SUMPRODUCT(OFFSET(AN$453,0,0,1,-OFFSET(Assumptions!$B$67,0,$C$1)),OFFSET(AN$16,0,0,1,-OFFSET(Assumptions!$B$67,0,$C$1))))/OFFSET(Assumptions!$B$67,0,$C$1)-(AN$454-AN$453)/AN$14,((AN$454-AN$453)/AN$14-(AM$454-AM$453)/AM$14)/AN$2),0))*AO$14 +AO$453</f>
        <v>8.1090495429111336</v>
      </c>
      <c r="AP454" s="8">
        <f ca="1">((AO$454-AO$453)/AO$14+ IF(AP$2&gt;0,AP$2*IF(AP$6=OFFSET(Assumptions!$B$8,0,$C$1),(SUMPRODUCT(OFFSET(AO$454,0,0,1,-OFFSET(Assumptions!$B$67,0,$C$1)),OFFSET(AO$16,0,0,1,-OFFSET(Assumptions!$B$67,0,$C$1)))-SUMPRODUCT(OFFSET(AO$453,0,0,1,-OFFSET(Assumptions!$B$67,0,$C$1)),OFFSET(AO$16,0,0,1,-OFFSET(Assumptions!$B$67,0,$C$1))))/OFFSET(Assumptions!$B$67,0,$C$1)-(AO$454-AO$453)/AO$14,((AO$454-AO$453)/AO$14-(AN$454-AN$453)/AN$14)/AO$2),0))*AP$14 +AP$453</f>
        <v>8.4248340466227258</v>
      </c>
      <c r="AQ454" s="8">
        <f ca="1">((AP$454-AP$453)/AP$14+ IF(AQ$2&gt;0,AQ$2*IF(AQ$6=OFFSET(Assumptions!$B$8,0,$C$1),(SUMPRODUCT(OFFSET(AP$454,0,0,1,-OFFSET(Assumptions!$B$67,0,$C$1)),OFFSET(AP$16,0,0,1,-OFFSET(Assumptions!$B$67,0,$C$1)))-SUMPRODUCT(OFFSET(AP$453,0,0,1,-OFFSET(Assumptions!$B$67,0,$C$1)),OFFSET(AP$16,0,0,1,-OFFSET(Assumptions!$B$67,0,$C$1))))/OFFSET(Assumptions!$B$67,0,$C$1)-(AP$454-AP$453)/AP$14,((AP$454-AP$453)/AP$14-(AO$454-AO$453)/AO$14)/AP$2),0))*AQ$14 +AQ$453</f>
        <v>8.749967784747005</v>
      </c>
      <c r="AR454" s="8">
        <f ca="1">((AQ$454-AQ$453)/AQ$14+ IF(AR$2&gt;0,AR$2*IF(AR$6=OFFSET(Assumptions!$B$8,0,$C$1),(SUMPRODUCT(OFFSET(AQ$454,0,0,1,-OFFSET(Assumptions!$B$67,0,$C$1)),OFFSET(AQ$16,0,0,1,-OFFSET(Assumptions!$B$67,0,$C$1)))-SUMPRODUCT(OFFSET(AQ$453,0,0,1,-OFFSET(Assumptions!$B$67,0,$C$1)),OFFSET(AQ$16,0,0,1,-OFFSET(Assumptions!$B$67,0,$C$1))))/OFFSET(Assumptions!$B$67,0,$C$1)-(AQ$454-AQ$453)/AQ$14,((AQ$454-AQ$453)/AQ$14-(AP$454-AP$453)/AP$14)/AQ$2),0))*AR$14 +AR$453</f>
        <v>9.0848188668409353</v>
      </c>
      <c r="AS454" s="8">
        <f ca="1">((AR$454-AR$453)/AR$14+ IF(AS$2&gt;0,AS$2*IF(AS$6=OFFSET(Assumptions!$B$8,0,$C$1),(SUMPRODUCT(OFFSET(AR$454,0,0,1,-OFFSET(Assumptions!$B$67,0,$C$1)),OFFSET(AR$16,0,0,1,-OFFSET(Assumptions!$B$67,0,$C$1)))-SUMPRODUCT(OFFSET(AR$453,0,0,1,-OFFSET(Assumptions!$B$67,0,$C$1)),OFFSET(AR$16,0,0,1,-OFFSET(Assumptions!$B$67,0,$C$1))))/OFFSET(Assumptions!$B$67,0,$C$1)-(AR$454-AR$453)/AR$14,((AR$454-AR$453)/AR$14-(AQ$454-AQ$453)/AQ$14)/AR$2),0))*AS$14 +AS$453</f>
        <v>9.4301684908206393</v>
      </c>
      <c r="AT454" s="8">
        <f ca="1">((AS$454-AS$453)/AS$14+ IF(AT$2&gt;0,AT$2*IF(AT$6=OFFSET(Assumptions!$B$8,0,$C$1),(SUMPRODUCT(OFFSET(AS$454,0,0,1,-OFFSET(Assumptions!$B$67,0,$C$1)),OFFSET(AS$16,0,0,1,-OFFSET(Assumptions!$B$67,0,$C$1)))-SUMPRODUCT(OFFSET(AS$453,0,0,1,-OFFSET(Assumptions!$B$67,0,$C$1)),OFFSET(AS$16,0,0,1,-OFFSET(Assumptions!$B$67,0,$C$1))))/OFFSET(Assumptions!$B$67,0,$C$1)-(AS$454-AS$453)/AS$14,((AS$454-AS$453)/AS$14-(AR$454-AR$453)/AR$14)/AS$2),0))*AT$14 +AT$453</f>
        <v>9.7862924761243502</v>
      </c>
      <c r="AU454" s="8">
        <f ca="1">((AT$454-AT$453)/AT$14+ IF(AU$2&gt;0,AU$2*IF(AU$6=OFFSET(Assumptions!$B$8,0,$C$1),(SUMPRODUCT(OFFSET(AT$454,0,0,1,-OFFSET(Assumptions!$B$67,0,$C$1)),OFFSET(AT$16,0,0,1,-OFFSET(Assumptions!$B$67,0,$C$1)))-SUMPRODUCT(OFFSET(AT$453,0,0,1,-OFFSET(Assumptions!$B$67,0,$C$1)),OFFSET(AT$16,0,0,1,-OFFSET(Assumptions!$B$67,0,$C$1))))/OFFSET(Assumptions!$B$67,0,$C$1)-(AT$454-AT$453)/AT$14,((AT$454-AT$453)/AT$14-(AS$454-AS$453)/AS$14)/AT$2),0))*AU$14 +AU$453</f>
        <v>10.153664388149764</v>
      </c>
      <c r="AV454" s="8">
        <f ca="1">((AU$454-AU$453)/AU$14+ IF(AV$2&gt;0,AV$2*IF(AV$6=OFFSET(Assumptions!$B$8,0,$C$1),(SUMPRODUCT(OFFSET(AU$454,0,0,1,-OFFSET(Assumptions!$B$67,0,$C$1)),OFFSET(AU$16,0,0,1,-OFFSET(Assumptions!$B$67,0,$C$1)))-SUMPRODUCT(OFFSET(AU$453,0,0,1,-OFFSET(Assumptions!$B$67,0,$C$1)),OFFSET(AU$16,0,0,1,-OFFSET(Assumptions!$B$67,0,$C$1))))/OFFSET(Assumptions!$B$67,0,$C$1)-(AU$454-AU$453)/AU$14,((AU$454-AU$453)/AU$14-(AT$454-AT$453)/AT$14)/AU$2),0))*AV$14 +AV$453</f>
        <v>10.533420103400676</v>
      </c>
      <c r="AW454" s="8">
        <f ca="1">((AV$454-AV$453)/AV$14+ IF(AW$2&gt;0,AW$2*IF(AW$6=OFFSET(Assumptions!$B$8,0,$C$1),(SUMPRODUCT(OFFSET(AV$454,0,0,1,-OFFSET(Assumptions!$B$67,0,$C$1)),OFFSET(AV$16,0,0,1,-OFFSET(Assumptions!$B$67,0,$C$1)))-SUMPRODUCT(OFFSET(AV$453,0,0,1,-OFFSET(Assumptions!$B$67,0,$C$1)),OFFSET(AV$16,0,0,1,-OFFSET(Assumptions!$B$67,0,$C$1))))/OFFSET(Assumptions!$B$67,0,$C$1)-(AV$454-AV$453)/AV$14,((AV$454-AV$453)/AV$14-(AU$454-AU$453)/AU$14)/AV$2),0))*AW$14 +AW$453</f>
        <v>10.925345228441913</v>
      </c>
    </row>
    <row r="455" spans="1:49" ht="15" x14ac:dyDescent="0.25">
      <c r="A455" s="2"/>
      <c r="B455" s="4"/>
      <c r="D455" s="47"/>
      <c r="E455" s="44"/>
      <c r="F455" s="44"/>
      <c r="G455" s="44"/>
      <c r="H455" s="44"/>
      <c r="I455" s="44"/>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row>
    <row r="456" spans="1:49" ht="15" x14ac:dyDescent="0.25">
      <c r="A456" s="22" t="s">
        <v>249</v>
      </c>
      <c r="B456" s="4"/>
      <c r="D456" s="47"/>
      <c r="E456" s="44"/>
      <c r="F456" s="44"/>
      <c r="G456" s="44"/>
      <c r="H456" s="44"/>
      <c r="I456" s="44"/>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row>
    <row r="457" spans="1:49" x14ac:dyDescent="0.2">
      <c r="A457" s="1" t="s">
        <v>680</v>
      </c>
      <c r="B457" s="4" t="str">
        <f t="shared" si="265"/>
        <v>From Fiscal</v>
      </c>
      <c r="D457" s="18">
        <f>Fiscal!D$181</f>
        <v>2.3E-2</v>
      </c>
      <c r="E457" s="19">
        <f>Fiscal!E$181</f>
        <v>1.0999999999999999E-2</v>
      </c>
      <c r="F457" s="19">
        <f>Fiscal!F$181</f>
        <v>1.0999999999999999E-2</v>
      </c>
      <c r="G457" s="19">
        <f>Fiscal!G$181</f>
        <v>1.0999999999999999E-2</v>
      </c>
      <c r="H457" s="19">
        <f>Fiscal!H$181</f>
        <v>1.0999999999999999E-2</v>
      </c>
      <c r="I457" s="19">
        <f>Fiscal!I$181</f>
        <v>1.0999999999999999E-2</v>
      </c>
      <c r="J457" s="7">
        <f ca="1">IF(J$6=OFFSET(Assumptions!$B$8,0,$C$1),AVERAGE(G$457/G$14,H$457/H$14,I$457/I$14),I$457/I$14) *J$14</f>
        <v>1.1976707958578171E-2</v>
      </c>
      <c r="K457" s="7">
        <f ca="1">IF(K$6=OFFSET(Assumptions!$B$8,0,$C$1),AVERAGE(H$457/H$14,I$457/I$14,J$457/J$14),J$457/J$14) *K$14</f>
        <v>1.2477216947666981E-2</v>
      </c>
      <c r="L457" s="7">
        <f ca="1">IF(L$6=OFFSET(Assumptions!$B$8,0,$C$1),AVERAGE(I$457/I$14,J$457/J$14,K$457/K$14),K$457/K$14) *L$14</f>
        <v>1.3018045538627267E-2</v>
      </c>
      <c r="M457" s="7">
        <f ca="1">IF(M$6=OFFSET(Assumptions!$B$8,0,$C$1),AVERAGE(J$457/J$14,K$457/K$14,L$457/L$14),L$457/L$14) *M$14</f>
        <v>1.3580509120387982E-2</v>
      </c>
      <c r="N457" s="7">
        <f ca="1">IF(N$6=OFFSET(Assumptions!$B$8,0,$C$1),AVERAGE(K$457/K$14,L$457/L$14,M$457/M$14),M$457/M$14) *N$14</f>
        <v>1.4166202208550105E-2</v>
      </c>
      <c r="O457" s="7">
        <f ca="1">IF(O$6=OFFSET(Assumptions!$B$8,0,$C$1),AVERAGE(L$457/L$14,M$457/M$14,N$457/N$14),N$457/N$14) *O$14</f>
        <v>1.4770911101032643E-2</v>
      </c>
      <c r="P457" s="7">
        <f ca="1">IF(P$6=OFFSET(Assumptions!$B$8,0,$C$1),AVERAGE(M$457/M$14,N$457/N$14,O$457/O$14),O$457/O$14) *P$14</f>
        <v>1.5395556701544239E-2</v>
      </c>
      <c r="Q457" s="7">
        <f ca="1">IF(Q$6=OFFSET(Assumptions!$B$8,0,$C$1),AVERAGE(N$457/N$14,O$457/O$14,P$457/P$14),P$457/P$14) *Q$14</f>
        <v>1.6039464278139685E-2</v>
      </c>
      <c r="R457" s="7">
        <f ca="1">IF(R$6=OFFSET(Assumptions!$B$8,0,$C$1),AVERAGE(O$457/O$14,P$457/P$14,Q$457/Q$14),Q$457/Q$14) *R$14</f>
        <v>1.6702155911343063E-2</v>
      </c>
      <c r="S457" s="7">
        <f ca="1">IF(S$6=OFFSET(Assumptions!$B$8,0,$C$1),AVERAGE(P$457/P$14,Q$457/Q$14,R$457/R$14),R$457/R$14) *S$14</f>
        <v>1.7385737608142021E-2</v>
      </c>
      <c r="T457" s="7">
        <f ca="1">IF(T$6=OFFSET(Assumptions!$B$8,0,$C$1),AVERAGE(Q$457/Q$14,R$457/R$14,S$457/S$14),S$457/S$14) *T$14</f>
        <v>1.8090458647637538E-2</v>
      </c>
      <c r="U457" s="7">
        <f ca="1">IF(U$6=OFFSET(Assumptions!$B$8,0,$C$1),AVERAGE(R$457/R$14,S$457/S$14,T$457/T$14),T$457/T$14) *U$14</f>
        <v>1.8818848255064149E-2</v>
      </c>
      <c r="V457" s="7">
        <f ca="1">IF(V$6=OFFSET(Assumptions!$B$8,0,$C$1),AVERAGE(S$457/S$14,T$457/T$14,U$457/U$14),U$457/U$14) *V$14</f>
        <v>1.9572704464328187E-2</v>
      </c>
      <c r="W457" s="7">
        <f ca="1">IF(W$6=OFFSET(Assumptions!$B$8,0,$C$1),AVERAGE(T$457/T$14,U$457/U$14,V$457/V$14),V$457/V$14) *W$14</f>
        <v>2.0354211387018577E-2</v>
      </c>
      <c r="X457" s="7">
        <f ca="1">IF(X$6=OFFSET(Assumptions!$B$8,0,$C$1),AVERAGE(U$457/U$14,V$457/V$14,W$457/W$14),W$457/W$14) *X$14</f>
        <v>2.1165844412965817E-2</v>
      </c>
      <c r="Y457" s="7">
        <f ca="1">IF(Y$6=OFFSET(Assumptions!$B$8,0,$C$1),AVERAGE(V$457/V$14,W$457/W$14,X$457/X$14),X$457/X$14) *Y$14</f>
        <v>2.2007520566400828E-2</v>
      </c>
      <c r="Z457" s="7">
        <f ca="1">IF(Z$6=OFFSET(Assumptions!$B$8,0,$C$1),AVERAGE(W$457/W$14,X$457/X$14,Y$457/Y$14),Y$457/Y$14) *Z$14</f>
        <v>2.288350011102333E-2</v>
      </c>
      <c r="AA457" s="7">
        <f ca="1">IF(AA$6=OFFSET(Assumptions!$B$8,0,$C$1),AVERAGE(X$457/X$14,Y$457/Y$14,Z$457/Z$14),Z$457/Z$14) *AA$14</f>
        <v>2.3795200384757329E-2</v>
      </c>
      <c r="AB457" s="7">
        <f ca="1">IF(AB$6=OFFSET(Assumptions!$B$8,0,$C$1),AVERAGE(Y$457/Y$14,Z$457/Z$14,AA$457/AA$14),AA$457/AA$14) *AB$14</f>
        <v>2.4745359307721523E-2</v>
      </c>
      <c r="AC457" s="7">
        <f ca="1">IF(AC$6=OFFSET(Assumptions!$B$8,0,$C$1),AVERAGE(Z$457/Z$14,AA$457/AA$14,AB$457/AB$14),AB$457/AB$14) *AC$14</f>
        <v>2.5737563858788934E-2</v>
      </c>
      <c r="AD457" s="7">
        <f ca="1">IF(AD$6=OFFSET(Assumptions!$B$8,0,$C$1),AVERAGE(AA$457/AA$14,AB$457/AB$14,AC$457/AC$14),AC$457/AC$14) *AD$14</f>
        <v>2.6772859833795924E-2</v>
      </c>
      <c r="AE457" s="7">
        <f ca="1">IF(AE$6=OFFSET(Assumptions!$B$8,0,$C$1),AVERAGE(AB$457/AB$14,AC$457/AC$14,AD$457/AD$14),AD$457/AD$14) *AE$14</f>
        <v>2.7850296451380315E-2</v>
      </c>
      <c r="AF457" s="7">
        <f ca="1">IF(AF$6=OFFSET(Assumptions!$B$8,0,$C$1),AVERAGE(AC$457/AC$14,AD$457/AD$14,AE$457/AE$14),AE$457/AE$14) *AF$14</f>
        <v>2.8972854547256264E-2</v>
      </c>
      <c r="AG457" s="7">
        <f ca="1">IF(AG$6=OFFSET(Assumptions!$B$8,0,$C$1),AVERAGE(AD$457/AD$14,AE$457/AE$14,AF$457/AF$14),AF$457/AF$14) *AG$14</f>
        <v>3.0141161808970765E-2</v>
      </c>
      <c r="AH457" s="7">
        <f ca="1">IF(AH$6=OFFSET(Assumptions!$B$8,0,$C$1),AVERAGE(AE$457/AE$14,AF$457/AF$14,AG$457/AG$14),AG$457/AG$14) *AH$14</f>
        <v>3.1357091698282491E-2</v>
      </c>
      <c r="AI457" s="7">
        <f ca="1">IF(AI$6=OFFSET(Assumptions!$B$8,0,$C$1),AVERAGE(AF$457/AF$14,AG$457/AG$14,AH$457/AH$14),AH$457/AH$14) *AI$14</f>
        <v>3.2618519583161192E-2</v>
      </c>
      <c r="AJ457" s="7">
        <f ca="1">IF(AJ$6=OFFSET(Assumptions!$B$8,0,$C$1),AVERAGE(AG$457/AG$14,AH$457/AH$14,AI$457/AI$14),AI$457/AI$14) *AJ$14</f>
        <v>3.3929486445607768E-2</v>
      </c>
      <c r="AK457" s="7">
        <f ca="1">IF(AK$6=OFFSET(Assumptions!$B$8,0,$C$1),AVERAGE(AH$457/AH$14,AI$457/AI$14,AJ$457/AJ$14),AJ$457/AJ$14) *AK$14</f>
        <v>3.5288913843898692E-2</v>
      </c>
      <c r="AL457" s="7">
        <f ca="1">IF(AL$6=OFFSET(Assumptions!$B$8,0,$C$1),AVERAGE(AI$457/AI$14,AJ$457/AJ$14,AK$457/AK$14),AK$457/AK$14) *AL$14</f>
        <v>3.6695730919568202E-2</v>
      </c>
      <c r="AM457" s="7">
        <f ca="1">IF(AM$6=OFFSET(Assumptions!$B$8,0,$C$1),AVERAGE(AJ$457/AJ$14,AK$457/AK$14,AL$457/AL$14),AL$457/AL$14) *AM$14</f>
        <v>3.8151859567937797E-2</v>
      </c>
      <c r="AN457" s="7">
        <f ca="1">IF(AN$6=OFFSET(Assumptions!$B$8,0,$C$1),AVERAGE(AK$457/AK$14,AL$457/AL$14,AM$457/AM$14),AM$457/AM$14) *AN$14</f>
        <v>3.9659325249856076E-2</v>
      </c>
      <c r="AO457" s="7">
        <f ca="1">IF(AO$6=OFFSET(Assumptions!$B$8,0,$C$1),AVERAGE(AL$457/AL$14,AM$457/AM$14,AN$457/AN$14),AN$457/AN$14) *AO$14</f>
        <v>4.1212208668895932E-2</v>
      </c>
      <c r="AP457" s="7">
        <f ca="1">IF(AP$6=OFFSET(Assumptions!$B$8,0,$C$1),AVERAGE(AM$457/AM$14,AN$457/AN$14,AO$457/AO$14),AO$457/AO$14) *AP$14</f>
        <v>4.2817104136915696E-2</v>
      </c>
      <c r="AQ457" s="7">
        <f ca="1">IF(AQ$6=OFFSET(Assumptions!$B$8,0,$C$1),AVERAGE(AN$457/AN$14,AO$457/AO$14,AP$457/AP$14),AP$457/AP$14) *AQ$14</f>
        <v>4.4469514741878602E-2</v>
      </c>
      <c r="AR457" s="7">
        <f ca="1">IF(AR$6=OFFSET(Assumptions!$B$8,0,$C$1),AVERAGE(AO$457/AO$14,AP$457/AP$14,AQ$457/AQ$14),AQ$457/AQ$14) *AR$14</f>
        <v>4.6171311308200548E-2</v>
      </c>
      <c r="AS457" s="7">
        <f ca="1">IF(AS$6=OFFSET(Assumptions!$B$8,0,$C$1),AVERAGE(AP$457/AP$14,AQ$457/AQ$14,AR$457/AR$14),AR$457/AR$14) *AS$14</f>
        <v>4.7926464078184336E-2</v>
      </c>
      <c r="AT457" s="7">
        <f ca="1">IF(AT$6=OFFSET(Assumptions!$B$8,0,$C$1),AVERAGE(AQ$457/AQ$14,AR$457/AR$14,AS$457/AS$14),AS$457/AS$14) *AT$14</f>
        <v>4.9736374834885237E-2</v>
      </c>
      <c r="AU457" s="7">
        <f ca="1">IF(AU$6=OFFSET(Assumptions!$B$8,0,$C$1),AVERAGE(AR$457/AR$14,AS$457/AS$14,AT$457/AT$14),AT$457/AT$14) *AU$14</f>
        <v>5.1603450355556843E-2</v>
      </c>
      <c r="AV457" s="7">
        <f ca="1">IF(AV$6=OFFSET(Assumptions!$B$8,0,$C$1),AVERAGE(AS$457/AS$14,AT$457/AT$14,AU$457/AU$14),AU$457/AU$14) *AV$14</f>
        <v>5.3533463447388054E-2</v>
      </c>
      <c r="AW457" s="7">
        <f ca="1">IF(AW$6=OFFSET(Assumptions!$B$8,0,$C$1),AVERAGE(AT$457/AT$14,AU$457/AU$14,AV$457/AV$14),AV$457/AV$14) *AW$14</f>
        <v>5.5525324509564281E-2</v>
      </c>
    </row>
    <row r="458" spans="1:49" x14ac:dyDescent="0.2">
      <c r="A458" s="1" t="s">
        <v>677</v>
      </c>
      <c r="B458" s="4" t="str">
        <f t="shared" si="265"/>
        <v>From Fiscal</v>
      </c>
      <c r="D458" s="18">
        <f>Fiscal!D$352</f>
        <v>32.518000000000001</v>
      </c>
      <c r="E458" s="19">
        <f>Fiscal!E$352</f>
        <v>36.975999999999999</v>
      </c>
      <c r="F458" s="19">
        <f>Fiscal!F$352</f>
        <v>38.25</v>
      </c>
      <c r="G458" s="19">
        <f>Fiscal!G$352</f>
        <v>39.436999999999998</v>
      </c>
      <c r="H458" s="19">
        <f>Fiscal!H$352</f>
        <v>40.725999999999999</v>
      </c>
      <c r="I458" s="19">
        <f>Fiscal!I$352</f>
        <v>42.137</v>
      </c>
      <c r="J458" s="7">
        <f>I$458*Exogenous!Q$29/Exogenous!P$29</f>
        <v>43.912695102714821</v>
      </c>
      <c r="K458" s="7">
        <f>J$458*Exogenous!R$29/Exogenous!Q$29</f>
        <v>45.776808130552709</v>
      </c>
      <c r="L458" s="7">
        <f>K$458*Exogenous!S$29/Exogenous!R$29</f>
        <v>47.726819323971611</v>
      </c>
      <c r="M458" s="7">
        <f>L$458*Exogenous!T$29/Exogenous!S$29</f>
        <v>49.748807088047968</v>
      </c>
      <c r="N458" s="7">
        <f>M$458*Exogenous!U$29/Exogenous!T$29</f>
        <v>51.877942894319091</v>
      </c>
      <c r="O458" s="7">
        <f>N$458*Exogenous!V$29/Exogenous!U$29</f>
        <v>54.017221180331994</v>
      </c>
      <c r="P458" s="7">
        <f>O$458*Exogenous!W$29/Exogenous!V$29</f>
        <v>56.229739450625068</v>
      </c>
      <c r="Q458" s="7">
        <f>P$458*Exogenous!X$29/Exogenous!W$29</f>
        <v>58.496426321293107</v>
      </c>
      <c r="R458" s="7">
        <f>Q$458*Exogenous!Y$29/Exogenous!X$29</f>
        <v>60.822506522144494</v>
      </c>
      <c r="S458" s="7">
        <f>R$458*Exogenous!Z$29/Exogenous!Y$29</f>
        <v>63.233595824478982</v>
      </c>
      <c r="T458" s="7">
        <f>S$458*Exogenous!AA$29/Exogenous!Z$29</f>
        <v>65.733739963455449</v>
      </c>
      <c r="U458" s="7">
        <f>T$458*Exogenous!AB$29/Exogenous!AA$29</f>
        <v>68.322324234959964</v>
      </c>
      <c r="V458" s="7">
        <f>U$458*Exogenous!AC$29/Exogenous!AB$29</f>
        <v>70.998161068341261</v>
      </c>
      <c r="W458" s="7">
        <f>V$458*Exogenous!AD$29/Exogenous!AC$29</f>
        <v>73.75447578806957</v>
      </c>
      <c r="X458" s="7">
        <f>W$458*Exogenous!AE$29/Exogenous!AD$29</f>
        <v>76.611387649552469</v>
      </c>
      <c r="Y458" s="7">
        <f>X$458*Exogenous!AF$29/Exogenous!AE$29</f>
        <v>79.58078804812402</v>
      </c>
      <c r="Z458" s="7">
        <f>Y$458*Exogenous!AG$29/Exogenous!AF$29</f>
        <v>82.664643976647724</v>
      </c>
      <c r="AA458" s="7">
        <f>Z$458*Exogenous!AH$29/Exogenous!AG$29</f>
        <v>85.865355682081912</v>
      </c>
      <c r="AB458" s="7">
        <f>AA$458*Exogenous!AI$29/Exogenous!AH$29</f>
        <v>89.182682431173049</v>
      </c>
      <c r="AC458" s="7">
        <f>AB$458*Exogenous!AJ$29/Exogenous!AI$29</f>
        <v>92.643716761610349</v>
      </c>
      <c r="AD458" s="7">
        <f>AC$458*Exogenous!AK$29/Exogenous!AJ$29</f>
        <v>96.294179270774805</v>
      </c>
      <c r="AE458" s="7">
        <f>AD$458*Exogenous!AL$29/Exogenous!AK$29</f>
        <v>100.14881792561971</v>
      </c>
      <c r="AF458" s="7">
        <f>AE$458*Exogenous!AM$29/Exogenous!AL$29</f>
        <v>104.17199924197244</v>
      </c>
      <c r="AG458" s="7">
        <f>AF$458*Exogenous!AN$29/Exogenous!AM$29</f>
        <v>108.35432747462076</v>
      </c>
      <c r="AH458" s="7">
        <f>AG$458*Exogenous!AO$29/Exogenous!AN$29</f>
        <v>112.70367141478683</v>
      </c>
      <c r="AI458" s="7">
        <f>AH$458*Exogenous!AP$29/Exogenous!AO$29</f>
        <v>117.22831159170386</v>
      </c>
      <c r="AJ458" s="7">
        <f>AI$458*Exogenous!AQ$29/Exogenous!AP$29</f>
        <v>121.9369632079632</v>
      </c>
      <c r="AK458" s="7">
        <f>AJ$458*Exogenous!AR$29/Exogenous!AQ$29</f>
        <v>126.83880043384906</v>
      </c>
      <c r="AL458" s="7">
        <f>AK$458*Exogenous!AS$29/Exogenous!AR$29</f>
        <v>131.94348214569092</v>
      </c>
      <c r="AM458" s="7">
        <f>AL$458*Exogenous!AT$29/Exogenous!AS$29</f>
        <v>137.2611791988233</v>
      </c>
      <c r="AN458" s="7">
        <f>AM$458*Exogenous!AU$29/Exogenous!AT$29</f>
        <v>142.8026033316695</v>
      </c>
      <c r="AO458" s="7">
        <f>AN$458*Exogenous!AV$29/Exogenous!AU$29</f>
        <v>148.57903780379786</v>
      </c>
      <c r="AP458" s="7">
        <f>AO$458*Exogenous!AW$29/Exogenous!AV$29</f>
        <v>154.60236987756255</v>
      </c>
      <c r="AQ458" s="7">
        <f>AP$458*Exogenous!AX$29/Exogenous!AW$29</f>
        <v>160.88512526015532</v>
      </c>
      <c r="AR458" s="7">
        <f>AQ$458*Exogenous!AY$29/Exogenous!AX$29</f>
        <v>167.44050463060131</v>
      </c>
      <c r="AS458" s="7">
        <f>AR$458*Exogenous!AZ$29/Exogenous!AY$29</f>
        <v>174.28242238446714</v>
      </c>
      <c r="AT458" s="7">
        <f>AS$458*Exogenous!BA$29/Exogenous!AZ$29</f>
        <v>181.37507376404872</v>
      </c>
      <c r="AU458" s="7">
        <f>AT$458*Exogenous!BB$29/Exogenous!BA$29</f>
        <v>188.75636987844643</v>
      </c>
      <c r="AV458" s="7">
        <f>AU$458*Exogenous!BC$29/Exogenous!BB$29</f>
        <v>196.43805750308715</v>
      </c>
      <c r="AW458" s="7">
        <f>AV$458*Exogenous!BD$29/Exogenous!BC$29</f>
        <v>204.43236146380471</v>
      </c>
    </row>
    <row r="459" spans="1:49" x14ac:dyDescent="0.2">
      <c r="A459" s="1" t="s">
        <v>678</v>
      </c>
      <c r="B459" s="4" t="str">
        <f t="shared" si="265"/>
        <v>From Fiscal</v>
      </c>
      <c r="D459" s="18">
        <f>SUM(Fiscal!D$353:D$354)-D$457</f>
        <v>3.8899999999999997</v>
      </c>
      <c r="E459" s="19">
        <f>SUM(Fiscal!E$353:E$354)-E$457</f>
        <v>2.3379999999999996</v>
      </c>
      <c r="F459" s="19">
        <f>SUM(Fiscal!F$353:F$354)-F$457</f>
        <v>1.0200000000000002</v>
      </c>
      <c r="G459" s="19">
        <f>SUM(Fiscal!G$353:G$354)-G$457</f>
        <v>0.312</v>
      </c>
      <c r="H459" s="19">
        <f>SUM(Fiscal!H$353:H$354)-H$457</f>
        <v>0.21999999999999997</v>
      </c>
      <c r="I459" s="19">
        <f>SUM(Fiscal!I$353:I$354)-I$457</f>
        <v>0.22399999999999998</v>
      </c>
      <c r="J459" s="7">
        <f ca="1">(I$459/I$14+ IF(J$2&gt;0,J$2*IF(J$6=OFFSET(Assumptions!$B$8,0,$C$1),SUMPRODUCT(OFFSET(I$459,0,0,1,-OFFSET(Assumptions!$B$67,0,$C$1)),OFFSET(I$16,0,0,1,-OFFSET(Assumptions!$B$67,0,$C$1)))/OFFSET(Assumptions!$B$67,0,$C$1)-I$459/I$14,(I$459/I$14-H$459/H$14)/I$2),0))*J$14</f>
        <v>0.24758227485678008</v>
      </c>
      <c r="K459" s="7">
        <f ca="1">(J$459/J$14+ IF(K$2&gt;0,K$2*IF(K$6=OFFSET(Assumptions!$B$8,0,$C$1),SUMPRODUCT(OFFSET(J$459,0,0,1,-OFFSET(Assumptions!$B$67,0,$C$1)),OFFSET(J$16,0,0,1,-OFFSET(Assumptions!$B$67,0,$C$1)))/OFFSET(Assumptions!$B$67,0,$C$1)-J$459/J$14,(J$459/J$14-I$459/I$14)/J$2),0))*K$14</f>
        <v>0.26971648037680163</v>
      </c>
      <c r="L459" s="7">
        <f ca="1">(K$459/K$14+ IF(L$2&gt;0,L$2*IF(L$6=OFFSET(Assumptions!$B$8,0,$C$1),SUMPRODUCT(OFFSET(K$459,0,0,1,-OFFSET(Assumptions!$B$67,0,$C$1)),OFFSET(K$16,0,0,1,-OFFSET(Assumptions!$B$67,0,$C$1)))/OFFSET(Assumptions!$B$67,0,$C$1)-K$459/K$14,(K$459/K$14-J$459/J$14)/K$2),0))*L$14</f>
        <v>0.29063139531330728</v>
      </c>
      <c r="M459" s="7">
        <f ca="1">(L$459/L$14+ IF(M$2&gt;0,M$2*IF(M$6=OFFSET(Assumptions!$B$8,0,$C$1),SUMPRODUCT(OFFSET(L$459,0,0,1,-OFFSET(Assumptions!$B$67,0,$C$1)),OFFSET(L$16,0,0,1,-OFFSET(Assumptions!$B$67,0,$C$1)))/OFFSET(Assumptions!$B$67,0,$C$1)-L$459/L$14,(L$459/L$14-K$459/K$14)/L$2),0))*M$14</f>
        <v>0.309603554619718</v>
      </c>
      <c r="N459" s="7">
        <f ca="1">(M$459/M$14+ IF(N$2&gt;0,N$2*IF(N$6=OFFSET(Assumptions!$B$8,0,$C$1),SUMPRODUCT(OFFSET(M$459,0,0,1,-OFFSET(Assumptions!$B$67,0,$C$1)),OFFSET(M$16,0,0,1,-OFFSET(Assumptions!$B$67,0,$C$1)))/OFFSET(Assumptions!$B$67,0,$C$1)-M$459/M$14,(M$459/M$14-L$459/L$14)/M$2),0))*N$14</f>
        <v>0.32630180988219221</v>
      </c>
      <c r="O459" s="7">
        <f ca="1">(N$459/N$14+ IF(O$2&gt;0,O$2*IF(O$6=OFFSET(Assumptions!$B$8,0,$C$1),SUMPRODUCT(OFFSET(N$459,0,0,1,-OFFSET(Assumptions!$B$67,0,$C$1)),OFFSET(N$16,0,0,1,-OFFSET(Assumptions!$B$67,0,$C$1)))/OFFSET(Assumptions!$B$67,0,$C$1)-N$459/N$14,(N$459/N$14-M$459/M$14)/N$2),0))*O$14</f>
        <v>0.34023056814527958</v>
      </c>
      <c r="P459" s="7">
        <f ca="1">(O$459/O$14+ IF(P$2&gt;0,P$2*IF(P$6=OFFSET(Assumptions!$B$8,0,$C$1),SUMPRODUCT(OFFSET(O$459,0,0,1,-OFFSET(Assumptions!$B$67,0,$C$1)),OFFSET(O$16,0,0,1,-OFFSET(Assumptions!$B$67,0,$C$1)))/OFFSET(Assumptions!$B$67,0,$C$1)-O$459/O$14,(O$459/O$14-N$459/N$14)/O$2),0))*P$14</f>
        <v>0.35461854503430518</v>
      </c>
      <c r="Q459" s="7">
        <f ca="1">(P$459/P$14+ IF(Q$2&gt;0,Q$2*IF(Q$6=OFFSET(Assumptions!$B$8,0,$C$1),SUMPRODUCT(OFFSET(P$459,0,0,1,-OFFSET(Assumptions!$B$67,0,$C$1)),OFFSET(P$16,0,0,1,-OFFSET(Assumptions!$B$67,0,$C$1)))/OFFSET(Assumptions!$B$67,0,$C$1)-P$459/P$14,(P$459/P$14-O$459/O$14)/P$2),0))*Q$14</f>
        <v>0.36945019889232639</v>
      </c>
      <c r="R459" s="7">
        <f ca="1">(Q$459/Q$14+ IF(R$2&gt;0,R$2*IF(R$6=OFFSET(Assumptions!$B$8,0,$C$1),SUMPRODUCT(OFFSET(Q$459,0,0,1,-OFFSET(Assumptions!$B$67,0,$C$1)),OFFSET(Q$16,0,0,1,-OFFSET(Assumptions!$B$67,0,$C$1)))/OFFSET(Assumptions!$B$67,0,$C$1)-Q$459/Q$14,(Q$459/Q$14-P$459/P$14)/Q$2),0))*R$14</f>
        <v>0.38471452140619933</v>
      </c>
      <c r="S459" s="7">
        <f ca="1">(R$459/R$14+ IF(S$2&gt;0,S$2*IF(S$6=OFFSET(Assumptions!$B$8,0,$C$1),SUMPRODUCT(OFFSET(R$459,0,0,1,-OFFSET(Assumptions!$B$67,0,$C$1)),OFFSET(R$16,0,0,1,-OFFSET(Assumptions!$B$67,0,$C$1)))/OFFSET(Assumptions!$B$67,0,$C$1)-R$459/R$14,(R$459/R$14-Q$459/Q$14)/R$2),0))*S$14</f>
        <v>0.40046002197043767</v>
      </c>
      <c r="T459" s="7">
        <f ca="1">(S$459/S$14+ IF(T$2&gt;0,T$2*IF(T$6=OFFSET(Assumptions!$B$8,0,$C$1),SUMPRODUCT(OFFSET(S$459,0,0,1,-OFFSET(Assumptions!$B$67,0,$C$1)),OFFSET(S$16,0,0,1,-OFFSET(Assumptions!$B$67,0,$C$1)))/OFFSET(Assumptions!$B$67,0,$C$1)-S$459/S$14,(S$459/S$14-R$459/R$14)/S$2),0))*T$14</f>
        <v>0.41669244243600601</v>
      </c>
      <c r="U459" s="7">
        <f ca="1">(T$459/T$14+ IF(U$2&gt;0,U$2*IF(U$6=OFFSET(Assumptions!$B$8,0,$C$1),SUMPRODUCT(OFFSET(T$459,0,0,1,-OFFSET(Assumptions!$B$67,0,$C$1)),OFFSET(T$16,0,0,1,-OFFSET(Assumptions!$B$67,0,$C$1)))/OFFSET(Assumptions!$B$67,0,$C$1)-T$459/T$14,(T$459/T$14-S$459/S$14)/T$2),0))*U$14</f>
        <v>0.43347004053207394</v>
      </c>
      <c r="V459" s="7">
        <f ca="1">(U$459/U$14+ IF(V$2&gt;0,V$2*IF(V$6=OFFSET(Assumptions!$B$8,0,$C$1),SUMPRODUCT(OFFSET(U$459,0,0,1,-OFFSET(Assumptions!$B$67,0,$C$1)),OFFSET(U$16,0,0,1,-OFFSET(Assumptions!$B$67,0,$C$1)))/OFFSET(Assumptions!$B$67,0,$C$1)-U$459/U$14,(U$459/U$14-T$459/T$14)/U$2),0))*V$14</f>
        <v>0.45083423185537141</v>
      </c>
      <c r="W459" s="7">
        <f ca="1">(V$459/V$14+ IF(W$2&gt;0,W$2*IF(W$6=OFFSET(Assumptions!$B$8,0,$C$1),SUMPRODUCT(OFFSET(V$459,0,0,1,-OFFSET(Assumptions!$B$67,0,$C$1)),OFFSET(V$16,0,0,1,-OFFSET(Assumptions!$B$67,0,$C$1)))/OFFSET(Assumptions!$B$67,0,$C$1)-V$459/V$14,(V$459/V$14-U$459/U$14)/V$2),0))*W$14</f>
        <v>0.46883532484805973</v>
      </c>
      <c r="X459" s="7">
        <f ca="1">(W$459/W$14+ IF(X$2&gt;0,X$2*IF(X$6=OFFSET(Assumptions!$B$8,0,$C$1),SUMPRODUCT(OFFSET(W$459,0,0,1,-OFFSET(Assumptions!$B$67,0,$C$1)),OFFSET(W$16,0,0,1,-OFFSET(Assumptions!$B$67,0,$C$1)))/OFFSET(Assumptions!$B$67,0,$C$1)-W$459/W$14,(W$459/W$14-V$459/V$14)/W$2),0))*X$14</f>
        <v>0.4875303372040814</v>
      </c>
      <c r="Y459" s="7">
        <f ca="1">(X$459/X$14+ IF(Y$2&gt;0,Y$2*IF(Y$6=OFFSET(Assumptions!$B$8,0,$C$1),SUMPRODUCT(OFFSET(X$459,0,0,1,-OFFSET(Assumptions!$B$67,0,$C$1)),OFFSET(X$16,0,0,1,-OFFSET(Assumptions!$B$67,0,$C$1)))/OFFSET(Assumptions!$B$67,0,$C$1)-X$459/X$14,(X$459/X$14-W$459/W$14)/X$2),0))*Y$14</f>
        <v>0.50691735767416646</v>
      </c>
      <c r="Z459" s="7">
        <f ca="1">(Y$459/Y$14+ IF(Z$2&gt;0,Z$2*IF(Z$6=OFFSET(Assumptions!$B$8,0,$C$1),SUMPRODUCT(OFFSET(Y$459,0,0,1,-OFFSET(Assumptions!$B$67,0,$C$1)),OFFSET(Y$16,0,0,1,-OFFSET(Assumptions!$B$67,0,$C$1)))/OFFSET(Assumptions!$B$67,0,$C$1)-Y$459/Y$14,(Y$459/Y$14-X$459/X$14)/Y$2),0))*Z$14</f>
        <v>0.52709451642300764</v>
      </c>
      <c r="AA459" s="7">
        <f ca="1">(Z$459/Z$14+ IF(AA$2&gt;0,AA$2*IF(AA$6=OFFSET(Assumptions!$B$8,0,$C$1),SUMPRODUCT(OFFSET(Z$459,0,0,1,-OFFSET(Assumptions!$B$67,0,$C$1)),OFFSET(Z$16,0,0,1,-OFFSET(Assumptions!$B$67,0,$C$1)))/OFFSET(Assumptions!$B$67,0,$C$1)-Z$459/Z$14,(Z$459/Z$14-Y$459/Y$14)/Z$2),0))*AA$14</f>
        <v>0.54809446016304142</v>
      </c>
      <c r="AB459" s="7">
        <f ca="1">(AA$459/AA$14+ IF(AB$2&gt;0,AB$2*IF(AB$6=OFFSET(Assumptions!$B$8,0,$C$1),SUMPRODUCT(OFFSET(AA$459,0,0,1,-OFFSET(Assumptions!$B$67,0,$C$1)),OFFSET(AA$16,0,0,1,-OFFSET(Assumptions!$B$67,0,$C$1)))/OFFSET(Assumptions!$B$67,0,$C$1)-AA$459/AA$14,(AA$459/AA$14-Z$459/Z$14)/AA$2),0))*AB$14</f>
        <v>0.5699802536646903</v>
      </c>
      <c r="AC459" s="7">
        <f ca="1">(AB$459/AB$14+ IF(AC$2&gt;0,AC$2*IF(AC$6=OFFSET(Assumptions!$B$8,0,$C$1),SUMPRODUCT(OFFSET(AB$459,0,0,1,-OFFSET(Assumptions!$B$67,0,$C$1)),OFFSET(AB$16,0,0,1,-OFFSET(Assumptions!$B$67,0,$C$1)))/OFFSET(Assumptions!$B$67,0,$C$1)-AB$459/AB$14,(AB$459/AB$14-AA$459/AA$14)/AB$2),0))*AC$14</f>
        <v>0.59283451876837756</v>
      </c>
      <c r="AD459" s="7">
        <f ca="1">(AC$459/AC$14+ IF(AD$2&gt;0,AD$2*IF(AD$6=OFFSET(Assumptions!$B$8,0,$C$1),SUMPRODUCT(OFFSET(AC$459,0,0,1,-OFFSET(Assumptions!$B$67,0,$C$1)),OFFSET(AC$16,0,0,1,-OFFSET(Assumptions!$B$67,0,$C$1)))/OFFSET(Assumptions!$B$67,0,$C$1)-AC$459/AC$14,(AC$459/AC$14-AB$459/AB$14)/AC$2),0))*AD$14</f>
        <v>0.61668134415144582</v>
      </c>
      <c r="AE459" s="7">
        <f ca="1">(AD$459/AD$14+ IF(AE$2&gt;0,AE$2*IF(AE$6=OFFSET(Assumptions!$B$8,0,$C$1),SUMPRODUCT(OFFSET(AD$459,0,0,1,-OFFSET(Assumptions!$B$67,0,$C$1)),OFFSET(AD$16,0,0,1,-OFFSET(Assumptions!$B$67,0,$C$1)))/OFFSET(Assumptions!$B$67,0,$C$1)-AD$459/AD$14,(AD$459/AD$14-AC$459/AC$14)/AD$2),0))*AE$14</f>
        <v>0.6414988296832379</v>
      </c>
      <c r="AF459" s="7">
        <f ca="1">(AE$459/AE$14+ IF(AF$2&gt;0,AF$2*IF(AF$6=OFFSET(Assumptions!$B$8,0,$C$1),SUMPRODUCT(OFFSET(AE$459,0,0,1,-OFFSET(Assumptions!$B$67,0,$C$1)),OFFSET(AE$16,0,0,1,-OFFSET(Assumptions!$B$67,0,$C$1)))/OFFSET(Assumptions!$B$67,0,$C$1)-AE$459/AE$14,(AE$459/AE$14-AD$459/AD$14)/AE$2),0))*AF$14</f>
        <v>0.66735563540927445</v>
      </c>
      <c r="AG459" s="7">
        <f ca="1">(AF$459/AF$14+ IF(AG$2&gt;0,AG$2*IF(AG$6=OFFSET(Assumptions!$B$8,0,$C$1),SUMPRODUCT(OFFSET(AF$459,0,0,1,-OFFSET(Assumptions!$B$67,0,$C$1)),OFFSET(AF$16,0,0,1,-OFFSET(Assumptions!$B$67,0,$C$1)))/OFFSET(Assumptions!$B$67,0,$C$1)-AF$459/AF$14,(AF$459/AF$14-AE$459/AE$14)/AF$2),0))*AG$14</f>
        <v>0.6942662193741046</v>
      </c>
      <c r="AH459" s="7">
        <f ca="1">(AG$459/AG$14+ IF(AH$2&gt;0,AH$2*IF(AH$6=OFFSET(Assumptions!$B$8,0,$C$1),SUMPRODUCT(OFFSET(AG$459,0,0,1,-OFFSET(Assumptions!$B$67,0,$C$1)),OFFSET(AG$16,0,0,1,-OFFSET(Assumptions!$B$67,0,$C$1)))/OFFSET(Assumptions!$B$67,0,$C$1)-AG$459/AG$14,(AG$459/AG$14-AF$459/AF$14)/AG$2),0))*AH$14</f>
        <v>0.72227373456634181</v>
      </c>
      <c r="AI459" s="7">
        <f ca="1">(AH$459/AH$14+ IF(AI$2&gt;0,AI$2*IF(AI$6=OFFSET(Assumptions!$B$8,0,$C$1),SUMPRODUCT(OFFSET(AH$459,0,0,1,-OFFSET(Assumptions!$B$67,0,$C$1)),OFFSET(AH$16,0,0,1,-OFFSET(Assumptions!$B$67,0,$C$1)))/OFFSET(Assumptions!$B$67,0,$C$1)-AH$459/AH$14,(AH$459/AH$14-AG$459/AG$14)/AH$2),0))*AI$14</f>
        <v>0.75132924258551714</v>
      </c>
      <c r="AJ459" s="7">
        <f ca="1">(AI$459/AI$14+ IF(AJ$2&gt;0,AJ$2*IF(AJ$6=OFFSET(Assumptions!$B$8,0,$C$1),SUMPRODUCT(OFFSET(AI$459,0,0,1,-OFFSET(Assumptions!$B$67,0,$C$1)),OFFSET(AI$16,0,0,1,-OFFSET(Assumptions!$B$67,0,$C$1)))/OFFSET(Assumptions!$B$67,0,$C$1)-AI$459/AI$14,(AI$459/AI$14-AH$459/AH$14)/AI$2),0))*AJ$14</f>
        <v>0.7815258227002434</v>
      </c>
      <c r="AK459" s="7">
        <f ca="1">(AJ$459/AJ$14+ IF(AK$2&gt;0,AK$2*IF(AK$6=OFFSET(Assumptions!$B$8,0,$C$1),SUMPRODUCT(OFFSET(AJ$459,0,0,1,-OFFSET(Assumptions!$B$67,0,$C$1)),OFFSET(AJ$16,0,0,1,-OFFSET(Assumptions!$B$67,0,$C$1)))/OFFSET(Assumptions!$B$67,0,$C$1)-AJ$459/AJ$14,(AJ$459/AJ$14-AI$459/AI$14)/AJ$2),0))*AK$14</f>
        <v>0.81283863427355552</v>
      </c>
      <c r="AL459" s="7">
        <f ca="1">(AK$459/AK$14+ IF(AL$2&gt;0,AL$2*IF(AL$6=OFFSET(Assumptions!$B$8,0,$C$1),SUMPRODUCT(OFFSET(AK$459,0,0,1,-OFFSET(Assumptions!$B$67,0,$C$1)),OFFSET(AK$16,0,0,1,-OFFSET(Assumptions!$B$67,0,$C$1)))/OFFSET(Assumptions!$B$67,0,$C$1)-AK$459/AK$14,(AK$459/AK$14-AJ$459/AJ$14)/AK$2),0))*AL$14</f>
        <v>0.84524301133991386</v>
      </c>
      <c r="AM459" s="7">
        <f ca="1">(AL$459/AL$14+ IF(AM$2&gt;0,AM$2*IF(AM$6=OFFSET(Assumptions!$B$8,0,$C$1),SUMPRODUCT(OFFSET(AL$459,0,0,1,-OFFSET(Assumptions!$B$67,0,$C$1)),OFFSET(AL$16,0,0,1,-OFFSET(Assumptions!$B$67,0,$C$1)))/OFFSET(Assumptions!$B$67,0,$C$1)-AL$459/AL$14,(AL$459/AL$14-AK$459/AK$14)/AL$2),0))*AM$14</f>
        <v>0.87878322249809826</v>
      </c>
      <c r="AN459" s="7">
        <f ca="1">(AM$459/AM$14+ IF(AN$2&gt;0,AN$2*IF(AN$6=OFFSET(Assumptions!$B$8,0,$C$1),SUMPRODUCT(OFFSET(AM$459,0,0,1,-OFFSET(Assumptions!$B$67,0,$C$1)),OFFSET(AM$16,0,0,1,-OFFSET(Assumptions!$B$67,0,$C$1)))/OFFSET(Assumptions!$B$67,0,$C$1)-AM$459/AM$14,(AM$459/AM$14-AL$459/AL$14)/AM$2),0))*AN$14</f>
        <v>0.91350592185702328</v>
      </c>
      <c r="AO459" s="7">
        <f ca="1">(AN$459/AN$14+ IF(AO$2&gt;0,AO$2*IF(AO$6=OFFSET(Assumptions!$B$8,0,$C$1),SUMPRODUCT(OFFSET(AN$459,0,0,1,-OFFSET(Assumptions!$B$67,0,$C$1)),OFFSET(AN$16,0,0,1,-OFFSET(Assumptions!$B$67,0,$C$1)))/OFFSET(Assumptions!$B$67,0,$C$1)-AN$459/AN$14,(AN$459/AN$14-AM$459/AM$14)/AN$2),0))*AO$14</f>
        <v>0.9492747653839726</v>
      </c>
      <c r="AP459" s="7">
        <f ca="1">(AO$459/AO$14+ IF(AP$2&gt;0,AP$2*IF(AP$6=OFFSET(Assumptions!$B$8,0,$C$1),SUMPRODUCT(OFFSET(AO$459,0,0,1,-OFFSET(Assumptions!$B$67,0,$C$1)),OFFSET(AO$16,0,0,1,-OFFSET(Assumptions!$B$67,0,$C$1)))/OFFSET(Assumptions!$B$67,0,$C$1)-AO$459/AO$14,(AO$459/AO$14-AN$459/AN$14)/AO$2),0))*AP$14</f>
        <v>0.98624164529837255</v>
      </c>
      <c r="AQ459" s="7">
        <f ca="1">(AP$459/AP$14+ IF(AQ$2&gt;0,AQ$2*IF(AQ$6=OFFSET(Assumptions!$B$8,0,$C$1),SUMPRODUCT(OFFSET(AP$459,0,0,1,-OFFSET(Assumptions!$B$67,0,$C$1)),OFFSET(AP$16,0,0,1,-OFFSET(Assumptions!$B$67,0,$C$1)))/OFFSET(Assumptions!$B$67,0,$C$1)-AP$459/AP$14,(AP$459/AP$14-AO$459/AO$14)/AP$2),0))*AQ$14</f>
        <v>1.0243029805193604</v>
      </c>
      <c r="AR459" s="7">
        <f ca="1">(AQ$459/AQ$14+ IF(AR$2&gt;0,AR$2*IF(AR$6=OFFSET(Assumptions!$B$8,0,$C$1),SUMPRODUCT(OFFSET(AQ$459,0,0,1,-OFFSET(Assumptions!$B$67,0,$C$1)),OFFSET(AQ$16,0,0,1,-OFFSET(Assumptions!$B$67,0,$C$1)))/OFFSET(Assumptions!$B$67,0,$C$1)-AQ$459/AQ$14,(AQ$459/AQ$14-AP$459/AP$14)/AQ$2),0))*AR$14</f>
        <v>1.06350186328746</v>
      </c>
      <c r="AS459" s="7">
        <f ca="1">(AR$459/AR$14+ IF(AS$2&gt;0,AS$2*IF(AS$6=OFFSET(Assumptions!$B$8,0,$C$1),SUMPRODUCT(OFFSET(AR$459,0,0,1,-OFFSET(Assumptions!$B$67,0,$C$1)),OFFSET(AR$16,0,0,1,-OFFSET(Assumptions!$B$67,0,$C$1)))/OFFSET(Assumptions!$B$67,0,$C$1)-AR$459/AR$14,(AR$459/AR$14-AQ$459/AQ$14)/AR$2),0))*AS$14</f>
        <v>1.1039297434655215</v>
      </c>
      <c r="AT459" s="7">
        <f ca="1">(AS$459/AS$14+ IF(AT$2&gt;0,AT$2*IF(AT$6=OFFSET(Assumptions!$B$8,0,$C$1),SUMPRODUCT(OFFSET(AS$459,0,0,1,-OFFSET(Assumptions!$B$67,0,$C$1)),OFFSET(AS$16,0,0,1,-OFFSET(Assumptions!$B$67,0,$C$1)))/OFFSET(Assumptions!$B$67,0,$C$1)-AS$459/AS$14,(AS$459/AS$14-AR$459/AR$14)/AS$2),0))*AT$14</f>
        <v>1.1456189094778706</v>
      </c>
      <c r="AU459" s="7">
        <f ca="1">(AT$459/AT$14+ IF(AU$2&gt;0,AU$2*IF(AU$6=OFFSET(Assumptions!$B$8,0,$C$1),SUMPRODUCT(OFFSET(AT$459,0,0,1,-OFFSET(Assumptions!$B$67,0,$C$1)),OFFSET(AT$16,0,0,1,-OFFSET(Assumptions!$B$67,0,$C$1)))/OFFSET(Assumptions!$B$67,0,$C$1)-AT$459/AT$14,(AT$459/AT$14-AS$459/AS$14)/AT$2),0))*AU$14</f>
        <v>1.1886247986084222</v>
      </c>
      <c r="AV459" s="7">
        <f ca="1">(AU$459/AU$14+ IF(AV$2&gt;0,AV$2*IF(AV$6=OFFSET(Assumptions!$B$8,0,$C$1),SUMPRODUCT(OFFSET(AU$459,0,0,1,-OFFSET(Assumptions!$B$67,0,$C$1)),OFFSET(AU$16,0,0,1,-OFFSET(Assumptions!$B$67,0,$C$1)))/OFFSET(Assumptions!$B$67,0,$C$1)-AU$459/AU$14,(AU$459/AU$14-AT$459/AT$14)/AU$2),0))*AV$14</f>
        <v>1.2330803806825474</v>
      </c>
      <c r="AW459" s="7">
        <f ca="1">(AV$459/AV$14+ IF(AW$2&gt;0,AW$2*IF(AW$6=OFFSET(Assumptions!$B$8,0,$C$1),SUMPRODUCT(OFFSET(AV$459,0,0,1,-OFFSET(Assumptions!$B$67,0,$C$1)),OFFSET(AV$16,0,0,1,-OFFSET(Assumptions!$B$67,0,$C$1)))/OFFSET(Assumptions!$B$67,0,$C$1)-AV$459/AV$14,(AV$459/AV$14-AU$459/AU$14)/AV$2),0))*AW$14</f>
        <v>1.2789605580267398</v>
      </c>
    </row>
    <row r="460" spans="1:49" ht="15" x14ac:dyDescent="0.25">
      <c r="A460" s="2" t="s">
        <v>679</v>
      </c>
      <c r="B460" s="4"/>
      <c r="D460" s="40">
        <f t="shared" ref="D460:I460" si="268">SUM(D$457:D$459)</f>
        <v>36.431000000000004</v>
      </c>
      <c r="E460" s="39">
        <f t="shared" si="268"/>
        <v>39.325000000000003</v>
      </c>
      <c r="F460" s="39">
        <f t="shared" si="268"/>
        <v>39.281000000000006</v>
      </c>
      <c r="G460" s="39">
        <f t="shared" si="268"/>
        <v>39.76</v>
      </c>
      <c r="H460" s="39">
        <f t="shared" si="268"/>
        <v>40.957000000000001</v>
      </c>
      <c r="I460" s="39">
        <f t="shared" si="268"/>
        <v>42.372</v>
      </c>
      <c r="J460" s="43">
        <f t="shared" ref="J460:AW460" ca="1" si="269">SUM(J$457:J$459)</f>
        <v>44.172254085530184</v>
      </c>
      <c r="K460" s="43">
        <f t="shared" ca="1" si="269"/>
        <v>46.059001827877175</v>
      </c>
      <c r="L460" s="43">
        <f t="shared" ca="1" si="269"/>
        <v>48.030468764823546</v>
      </c>
      <c r="M460" s="43">
        <f t="shared" ca="1" si="269"/>
        <v>50.071991151788076</v>
      </c>
      <c r="N460" s="43">
        <f t="shared" ca="1" si="269"/>
        <v>52.218410906409829</v>
      </c>
      <c r="O460" s="43">
        <f t="shared" ca="1" si="269"/>
        <v>54.372222659578306</v>
      </c>
      <c r="P460" s="43">
        <f t="shared" ca="1" si="269"/>
        <v>56.599753552360916</v>
      </c>
      <c r="Q460" s="43">
        <f t="shared" ca="1" si="269"/>
        <v>58.881915984463568</v>
      </c>
      <c r="R460" s="43">
        <f t="shared" ca="1" si="269"/>
        <v>61.223923199462043</v>
      </c>
      <c r="S460" s="43">
        <f t="shared" ca="1" si="269"/>
        <v>63.651441584057565</v>
      </c>
      <c r="T460" s="43">
        <f t="shared" ca="1" si="269"/>
        <v>66.168522864539085</v>
      </c>
      <c r="U460" s="43">
        <f t="shared" ca="1" si="269"/>
        <v>68.774613123747102</v>
      </c>
      <c r="V460" s="43">
        <f t="shared" ca="1" si="269"/>
        <v>71.468568004660952</v>
      </c>
      <c r="W460" s="43">
        <f t="shared" ca="1" si="269"/>
        <v>74.243665324304644</v>
      </c>
      <c r="X460" s="43">
        <f t="shared" ca="1" si="269"/>
        <v>77.120083831169509</v>
      </c>
      <c r="Y460" s="43">
        <f t="shared" ca="1" si="269"/>
        <v>80.109712926364594</v>
      </c>
      <c r="Z460" s="43">
        <f t="shared" ca="1" si="269"/>
        <v>83.214621993181751</v>
      </c>
      <c r="AA460" s="43">
        <f t="shared" ca="1" si="269"/>
        <v>86.437245342629708</v>
      </c>
      <c r="AB460" s="43">
        <f t="shared" ca="1" si="269"/>
        <v>89.77740804414546</v>
      </c>
      <c r="AC460" s="43">
        <f t="shared" ca="1" si="269"/>
        <v>93.262288844237517</v>
      </c>
      <c r="AD460" s="43">
        <f t="shared" ca="1" si="269"/>
        <v>96.937633474760048</v>
      </c>
      <c r="AE460" s="43">
        <f t="shared" ca="1" si="269"/>
        <v>100.81816705175433</v>
      </c>
      <c r="AF460" s="43">
        <f t="shared" ca="1" si="269"/>
        <v>104.86832773192899</v>
      </c>
      <c r="AG460" s="43">
        <f t="shared" ca="1" si="269"/>
        <v>109.07873485580383</v>
      </c>
      <c r="AH460" s="43">
        <f t="shared" ca="1" si="269"/>
        <v>113.45730224105145</v>
      </c>
      <c r="AI460" s="43">
        <f t="shared" ca="1" si="269"/>
        <v>118.01225935387254</v>
      </c>
      <c r="AJ460" s="43">
        <f t="shared" ca="1" si="269"/>
        <v>122.75241851710905</v>
      </c>
      <c r="AK460" s="43">
        <f t="shared" ca="1" si="269"/>
        <v>127.68692798196652</v>
      </c>
      <c r="AL460" s="43">
        <f t="shared" ca="1" si="269"/>
        <v>132.8254208879504</v>
      </c>
      <c r="AM460" s="43">
        <f t="shared" ca="1" si="269"/>
        <v>138.17811428088933</v>
      </c>
      <c r="AN460" s="43">
        <f t="shared" ca="1" si="269"/>
        <v>143.75576857877638</v>
      </c>
      <c r="AO460" s="43">
        <f t="shared" ca="1" si="269"/>
        <v>149.56952477785072</v>
      </c>
      <c r="AP460" s="43">
        <f t="shared" ca="1" si="269"/>
        <v>155.63142862699786</v>
      </c>
      <c r="AQ460" s="43">
        <f t="shared" ca="1" si="269"/>
        <v>161.95389775541656</v>
      </c>
      <c r="AR460" s="43">
        <f t="shared" ca="1" si="269"/>
        <v>168.55017780519697</v>
      </c>
      <c r="AS460" s="43">
        <f t="shared" ca="1" si="269"/>
        <v>175.43427859201086</v>
      </c>
      <c r="AT460" s="43">
        <f t="shared" ca="1" si="269"/>
        <v>182.57042904836146</v>
      </c>
      <c r="AU460" s="43">
        <f t="shared" ca="1" si="269"/>
        <v>189.99659812741041</v>
      </c>
      <c r="AV460" s="43">
        <f t="shared" ca="1" si="269"/>
        <v>197.72467134721708</v>
      </c>
      <c r="AW460" s="43">
        <f t="shared" ca="1" si="269"/>
        <v>205.76684734634102</v>
      </c>
    </row>
    <row r="461" spans="1:49" ht="15" x14ac:dyDescent="0.25">
      <c r="A461" s="2"/>
      <c r="B461" s="4"/>
      <c r="D461" s="55"/>
      <c r="E461" s="56"/>
      <c r="F461" s="56"/>
      <c r="G461" s="56"/>
      <c r="H461" s="56"/>
      <c r="I461" s="56"/>
      <c r="J461" s="57"/>
      <c r="K461" s="57"/>
      <c r="L461" s="57"/>
      <c r="M461" s="57"/>
      <c r="N461" s="57"/>
      <c r="O461" s="57"/>
      <c r="P461" s="57"/>
      <c r="Q461" s="57"/>
      <c r="R461" s="57"/>
      <c r="S461" s="57"/>
    </row>
    <row r="462" spans="1:49" ht="15" x14ac:dyDescent="0.25">
      <c r="A462" s="22" t="s">
        <v>681</v>
      </c>
      <c r="B462" s="4"/>
      <c r="D462" s="55"/>
      <c r="E462" s="56"/>
      <c r="F462" s="56"/>
      <c r="G462" s="56"/>
      <c r="H462" s="56"/>
      <c r="I462" s="56"/>
      <c r="J462" s="57"/>
      <c r="K462" s="57"/>
      <c r="L462" s="57"/>
      <c r="M462" s="57"/>
      <c r="N462" s="57"/>
      <c r="O462" s="57"/>
      <c r="P462" s="57"/>
      <c r="Q462" s="57"/>
      <c r="R462" s="57"/>
      <c r="S462" s="57"/>
    </row>
    <row r="463" spans="1:49" x14ac:dyDescent="0.2">
      <c r="A463" s="1" t="s">
        <v>682</v>
      </c>
      <c r="B463" s="4" t="str">
        <f t="shared" ref="B463:B464" si="270">$B$43</f>
        <v>From Fiscal</v>
      </c>
      <c r="D463" s="18">
        <f>Fiscal!D$182</f>
        <v>10.843999999999999</v>
      </c>
      <c r="E463" s="19">
        <f>Fiscal!E$182</f>
        <v>11.297000000000001</v>
      </c>
      <c r="F463" s="19">
        <f>Fiscal!F$182</f>
        <v>10.792</v>
      </c>
      <c r="G463" s="19">
        <f>Fiscal!G$182</f>
        <v>10.287000000000001</v>
      </c>
      <c r="H463" s="19">
        <f>Fiscal!H$182</f>
        <v>9.7899999999999991</v>
      </c>
      <c r="I463" s="19">
        <f>Fiscal!I$182</f>
        <v>9.2989999999999995</v>
      </c>
      <c r="J463" s="7">
        <f>I$463*(Exogenous!Q$34-Exogenous!Q$33)/(Exogenous!P$34-Exogenous!P$33)</f>
        <v>9.0222089930335638</v>
      </c>
      <c r="K463" s="7">
        <f>J$463*(Exogenous!R$34-Exogenous!R$33)/(Exogenous!Q$34-Exogenous!Q$33)</f>
        <v>8.730695060164658</v>
      </c>
      <c r="L463" s="7">
        <f>K$463*(Exogenous!S$34-Exogenous!S$33)/(Exogenous!R$34-Exogenous!R$33)</f>
        <v>8.4323104285412693</v>
      </c>
      <c r="M463" s="7">
        <f>L$463*(Exogenous!T$34-Exogenous!T$33)/(Exogenous!S$34-Exogenous!S$33)</f>
        <v>8.1378519104918681</v>
      </c>
      <c r="N463" s="7">
        <f>M$463*(Exogenous!U$34-Exogenous!U$33)/(Exogenous!T$34-Exogenous!T$33)</f>
        <v>7.8483010344099622</v>
      </c>
      <c r="O463" s="7">
        <f>N$463*(Exogenous!V$34-Exogenous!V$33)/(Exogenous!U$34-Exogenous!U$33)</f>
        <v>7.5675839138695364</v>
      </c>
      <c r="P463" s="7">
        <f>O$463*(Exogenous!W$34-Exogenous!W$33)/(Exogenous!V$34-Exogenous!V$33)</f>
        <v>7.2927559636900963</v>
      </c>
      <c r="Q463" s="7">
        <f>P$463*(Exogenous!X$34-Exogenous!X$33)/(Exogenous!W$34-Exogenous!W$33)</f>
        <v>7.0208725986911533</v>
      </c>
      <c r="R463" s="7">
        <f>Q$463*(Exogenous!Y$34-Exogenous!Y$33)/(Exogenous!X$34-Exogenous!X$33)</f>
        <v>6.7421185349377222</v>
      </c>
      <c r="S463" s="7">
        <f>R$463*(Exogenous!Z$34-Exogenous!Z$33)/(Exogenous!Y$34-Exogenous!Y$33)</f>
        <v>6.4584568292168028</v>
      </c>
      <c r="T463" s="7">
        <f>S$463*(Exogenous!AA$34-Exogenous!AA$33)/(Exogenous!Z$34-Exogenous!Z$33)</f>
        <v>6.1689059531348942</v>
      </c>
      <c r="U463" s="7">
        <f>T$463*(Exogenous!AB$34-Exogenous!AB$33)/(Exogenous!AA$34-Exogenous!AA$33)</f>
        <v>5.876410491872492</v>
      </c>
      <c r="V463" s="7">
        <f>U$463*(Exogenous!AC$34-Exogenous!AC$33)/(Exogenous!AB$34-Exogenous!AB$33)</f>
        <v>5.5780258602491006</v>
      </c>
      <c r="W463" s="7">
        <f>V$463*(Exogenous!AD$34-Exogenous!AD$33)/(Exogenous!AC$34-Exogenous!AC$33)</f>
        <v>5.2776781718387147</v>
      </c>
      <c r="X463" s="7">
        <f>W$463*(Exogenous!AE$34-Exogenous!AE$33)/(Exogenous!AD$34-Exogenous!AD$33)</f>
        <v>4.978312011821826</v>
      </c>
      <c r="Y463" s="7">
        <f>X$463*(Exogenous!AF$34-Exogenous!AF$33)/(Exogenous!AE$34-Exogenous!AE$33)</f>
        <v>4.6887611357399184</v>
      </c>
      <c r="Z463" s="7">
        <f>Y$463*(Exogenous!AG$34-Exogenous!AG$33)/(Exogenous!AF$34-Exogenous!AF$33)</f>
        <v>4.4041179016254999</v>
      </c>
      <c r="AA463" s="7">
        <f>Z$463*(Exogenous!AH$34-Exogenous!AH$33)/(Exogenous!AG$34-Exogenous!AG$33)</f>
        <v>4.1234007810850741</v>
      </c>
      <c r="AB463" s="7">
        <f>AA$463*(Exogenous!AI$34-Exogenous!AI$33)/(Exogenous!AH$34-Exogenous!AH$33)</f>
        <v>3.8485728309056353</v>
      </c>
      <c r="AC463" s="7">
        <f>AB$463*(Exogenous!AJ$34-Exogenous!AJ$33)/(Exogenous!AI$34-Exogenous!AI$33)</f>
        <v>3.5815971078741806</v>
      </c>
      <c r="AD463" s="7">
        <f>AC$463*(Exogenous!AK$34-Exogenous!AK$33)/(Exogenous!AJ$34-Exogenous!AJ$33)</f>
        <v>3.3214920835972124</v>
      </c>
      <c r="AE463" s="7">
        <f>AD$463*(Exogenous!AL$34-Exogenous!AL$33)/(Exogenous!AK$34-Exogenous!AK$33)</f>
        <v>3.0692392864682287</v>
      </c>
      <c r="AF463" s="7">
        <f>AE$463*(Exogenous!AM$34-Exogenous!AM$33)/(Exogenous!AL$34-Exogenous!AL$33)</f>
        <v>2.8277833016677216</v>
      </c>
      <c r="AG463" s="7">
        <f>AF$463*(Exogenous!AN$34-Exogenous!AN$33)/(Exogenous!AM$34-Exogenous!AM$33)</f>
        <v>2.5961426008021946</v>
      </c>
      <c r="AH463" s="7">
        <f>AG$463*(Exogenous!AO$34-Exogenous!AO$33)/(Exogenous!AN$34-Exogenous!AN$33)</f>
        <v>2.3743171838716481</v>
      </c>
      <c r="AI463" s="7">
        <f>AH$463*(Exogenous!AP$34-Exogenous!AP$33)/(Exogenous!AO$34-Exogenous!AO$33)</f>
        <v>2.1642701076630773</v>
      </c>
      <c r="AJ463" s="7">
        <f>AI$463*(Exogenous!AQ$34-Exogenous!AQ$33)/(Exogenous!AP$34-Exogenous!AP$33)</f>
        <v>1.9640383153894867</v>
      </c>
      <c r="AK463" s="7">
        <f>AJ$463*(Exogenous!AR$34-Exogenous!AR$33)/(Exogenous!AQ$34-Exogenous!AQ$33)</f>
        <v>1.7765663922313697</v>
      </c>
      <c r="AL463" s="7">
        <f>AK$463*(Exogenous!AS$34-Exogenous!AS$33)/(Exogenous!AR$34-Exogenous!AR$33)</f>
        <v>1.6008728097952285</v>
      </c>
      <c r="AM463" s="7">
        <f>AL$463*(Exogenous!AT$34-Exogenous!AT$33)/(Exogenous!AS$34-Exogenous!AS$33)</f>
        <v>1.4359760396875656</v>
      </c>
      <c r="AN463" s="7">
        <f>AM$463*(Exogenous!AU$34-Exogenous!AU$33)/(Exogenous!AT$34-Exogenous!AT$33)</f>
        <v>1.2838391386953767</v>
      </c>
      <c r="AO463" s="7">
        <f>AN$463*(Exogenous!AV$34-Exogenous!AV$33)/(Exogenous!AU$34-Exogenous!AU$33)</f>
        <v>1.1424990500316656</v>
      </c>
      <c r="AP463" s="7">
        <f>AO$463*(Exogenous!AW$34-Exogenous!AW$33)/(Exogenous!AV$34-Exogenous!AV$33)</f>
        <v>1.0119557736964322</v>
      </c>
      <c r="AQ463" s="7">
        <f>AP$463*(Exogenous!AX$34-Exogenous!AX$33)/(Exogenous!AW$34-Exogenous!AW$33)</f>
        <v>0.89220930968967704</v>
      </c>
      <c r="AR463" s="7">
        <f>AQ$463*(Exogenous!AY$34-Exogenous!AY$33)/(Exogenous!AX$34-Exogenous!AX$33)</f>
        <v>0.78325965801139941</v>
      </c>
      <c r="AS463" s="7">
        <f>AR$463*(Exogenous!AZ$34-Exogenous!AZ$33)/(Exogenous!AY$34-Exogenous!AY$33)</f>
        <v>0.68314376187460413</v>
      </c>
      <c r="AT463" s="7">
        <f>AS$463*(Exogenous!BA$34-Exogenous!BA$33)/(Exogenous!AZ$34-Exogenous!AZ$33)</f>
        <v>0.59382467806628669</v>
      </c>
      <c r="AU463" s="7">
        <f>AT$463*(Exogenous!BB$34-Exogenous!BB$33)/(Exogenous!BA$34-Exogenous!BA$33)</f>
        <v>0.51333934979945117</v>
      </c>
      <c r="AV463" s="7">
        <f>AU$463*(Exogenous!BC$34-Exogenous!BC$33)/(Exogenous!BB$34-Exogenous!BB$33)</f>
        <v>0.44266930546759553</v>
      </c>
      <c r="AW463" s="7">
        <f>AV$463*(Exogenous!BD$34-Exogenous!BD$33)/(Exogenous!BC$34-Exogenous!BC$33)</f>
        <v>0.37886995989022587</v>
      </c>
    </row>
    <row r="464" spans="1:49" x14ac:dyDescent="0.2">
      <c r="A464" s="1" t="s">
        <v>683</v>
      </c>
      <c r="B464" s="4" t="str">
        <f t="shared" si="270"/>
        <v>From Fiscal</v>
      </c>
      <c r="D464" s="18">
        <f>Fiscal!D$132-D$463</f>
        <v>-9.9999999999997868E-3</v>
      </c>
      <c r="E464" s="19">
        <f>Fiscal!E$132-E$463</f>
        <v>-9.9999999999997868E-3</v>
      </c>
      <c r="F464" s="19">
        <f>Fiscal!F$132-F$463</f>
        <v>-9.9999999999997868E-3</v>
      </c>
      <c r="G464" s="19">
        <f>Fiscal!G$132-G$463</f>
        <v>-1.0000000000001563E-2</v>
      </c>
      <c r="H464" s="19">
        <f>Fiscal!H$132-H$463</f>
        <v>-9.9999999999997868E-3</v>
      </c>
      <c r="I464" s="19">
        <f>Fiscal!I$132-I$463</f>
        <v>-9.9999999999997868E-3</v>
      </c>
      <c r="J464" s="7">
        <f ca="1">IF(J$6=OFFSET(Assumptions!$B$8,0,$C$1),AVERAGE(G$464/G$463,H$464/H$463,I$464/I$463),I$464/I$463)*J$463</f>
        <v>-9.2295261809441833E-3</v>
      </c>
      <c r="K464" s="7">
        <f ca="1">IF(K$6=OFFSET(Assumptions!$B$8,0,$C$1),AVERAGE(H$464/H$463,I$464/I$463,J$464/J$463),J$464/J$463)*K$463</f>
        <v>-8.9313136835833876E-3</v>
      </c>
      <c r="L464" s="7">
        <f ca="1">IF(L$6=OFFSET(Assumptions!$B$8,0,$C$1),AVERAGE(I$464/I$463,J$464/J$463,K$464/K$463),K$464/K$463)*L$463</f>
        <v>-8.6260726088437205E-3</v>
      </c>
      <c r="M464" s="7">
        <f ca="1">IF(M$6=OFFSET(Assumptions!$B$8,0,$C$1),AVERAGE(J$464/J$463,K$464/K$463,L$464/L$463),L$464/L$463)*M$463</f>
        <v>-8.3248478640348348E-3</v>
      </c>
      <c r="N464" s="7">
        <f ca="1">IF(N$6=OFFSET(Assumptions!$B$8,0,$C$1),AVERAGE(K$464/K$463,L$464/L$463,M$464/M$463),M$464/M$463)*N$463</f>
        <v>-8.0286435316394341E-3</v>
      </c>
      <c r="O464" s="7">
        <f ca="1">IF(O$6=OFFSET(Assumptions!$B$8,0,$C$1),AVERAGE(L$464/L$463,M$464/M$463,N$464/N$463),N$464/N$463)*O$463</f>
        <v>-7.7414759415882998E-3</v>
      </c>
      <c r="P464" s="7">
        <f ca="1">IF(P$6=OFFSET(Assumptions!$B$8,0,$C$1),AVERAGE(M$464/M$463,N$464/N$463,O$464/O$463),O$464/O$463)*P$463</f>
        <v>-7.4603328464333402E-3</v>
      </c>
      <c r="Q464" s="7">
        <f ca="1">IF(Q$6=OFFSET(Assumptions!$B$8,0,$C$1),AVERAGE(N$464/N$463,O$464/O$463,P$464/P$463),P$464/P$463)*Q$463</f>
        <v>-7.1822019987264731E-3</v>
      </c>
      <c r="R464" s="7">
        <f ca="1">IF(R$6=OFFSET(Assumptions!$B$8,0,$C$1),AVERAGE(O$464/O$463,P$464/P$463,Q$464/Q$463),Q$464/Q$463)*R$463</f>
        <v>-6.8970425736407295E-3</v>
      </c>
      <c r="S464" s="7">
        <f ca="1">IF(S$6=OFFSET(Assumptions!$B$8,0,$C$1),AVERAGE(P$464/P$463,Q$464/Q$463,R$464/R$463),R$464/R$463)*S$463</f>
        <v>-6.6068627361415061E-3</v>
      </c>
      <c r="T464" s="7">
        <f ca="1">IF(T$6=OFFSET(Assumptions!$B$8,0,$C$1),AVERAGE(Q$464/Q$463,R$464/R$463,S$464/S$463),S$464/S$463)*T$463</f>
        <v>-6.3106584037461045E-3</v>
      </c>
      <c r="U464" s="7">
        <f ca="1">IF(U$6=OFFSET(Assumptions!$B$8,0,$C$1),AVERAGE(R$464/R$463,S$464/S$463,T$464/T$463),T$464/T$463)*U$463</f>
        <v>-6.0114418239026138E-3</v>
      </c>
      <c r="V464" s="7">
        <f ca="1">IF(V$6=OFFSET(Assumptions!$B$8,0,$C$1),AVERAGE(S$464/S$463,T$464/T$463,U$464/U$463),U$464/U$463)*V$463</f>
        <v>-5.7062007491629442E-3</v>
      </c>
      <c r="W464" s="7">
        <f ca="1">IF(W$6=OFFSET(Assumptions!$B$8,0,$C$1),AVERAGE(T$464/T$463,U$464/U$463,V$464/V$463),V$464/V$463)*W$463</f>
        <v>-5.3989515094578838E-3</v>
      </c>
      <c r="X464" s="7">
        <f ca="1">IF(X$6=OFFSET(Assumptions!$B$8,0,$C$1),AVERAGE(U$464/U$463,V$464/V$463,W$464/W$463),W$464/W$463)*X$463</f>
        <v>-5.0927063522355183E-3</v>
      </c>
      <c r="Y464" s="7">
        <f ca="1">IF(Y$6=OFFSET(Assumptions!$B$8,0,$C$1),AVERAGE(V$464/V$463,W$464/W$463,X$464/X$463),X$464/X$463)*Y$463</f>
        <v>-4.7965020198401176E-3</v>
      </c>
      <c r="Z464" s="7">
        <f ca="1">IF(Z$6=OFFSET(Assumptions!$B$8,0,$C$1),AVERAGE(W$464/W$463,X$464/X$463,Y$464/Y$463),Y$464/Y$463)*Z$463</f>
        <v>-4.5053180998581967E-3</v>
      </c>
      <c r="AA464" s="7">
        <f ca="1">IF(AA$6=OFFSET(Assumptions!$B$8,0,$C$1),AVERAGE(X$464/X$463,Y$464/Y$463,Z$464/Z$463),Z$464/Z$463)*AA$463</f>
        <v>-4.2181505098070615E-3</v>
      </c>
      <c r="AB464" s="7">
        <f ca="1">IF(AB$6=OFFSET(Assumptions!$B$8,0,$C$1),AVERAGE(Y$464/Y$463,Z$464/Z$463,AA$464/AA$463),AA$464/AA$463)*AB$463</f>
        <v>-3.9370074146521036E-3</v>
      </c>
      <c r="AC464" s="7">
        <f ca="1">IF(AC$6=OFFSET(Assumptions!$B$8,0,$C$1),AVERAGE(Z$464/Z$463,AA$464/AA$463,AB$464/AB$463),AB$464/AB$463)*AC$463</f>
        <v>-3.6638969793587159E-3</v>
      </c>
      <c r="AD464" s="7">
        <f ca="1">IF(AD$6=OFFSET(Assumptions!$B$8,0,$C$1),AVERAGE(AA$464/AA$463,AB$464/AB$463,AC$464/AC$463),AC$464/AC$463)*AD$463</f>
        <v>-3.3978151214442026E-3</v>
      </c>
      <c r="AE464" s="7">
        <f ca="1">IF(AE$6=OFFSET(Assumptions!$B$8,0,$C$1),AVERAGE(AB$464/AB$463,AC$464/AC$463,AD$464/AD$463),AD$464/AD$463)*AE$463</f>
        <v>-3.1397659233912602E-3</v>
      </c>
      <c r="AF464" s="7">
        <f ca="1">IF(AF$6=OFFSET(Assumptions!$B$8,0,$C$1),AVERAGE(AC$464/AC$463,AD$464/AD$463,AE$464/AE$463),AE$464/AE$463)*AF$463</f>
        <v>-2.8927616326479754E-3</v>
      </c>
      <c r="AG464" s="7">
        <f ca="1">IF(AG$6=OFFSET(Assumptions!$B$8,0,$C$1),AVERAGE(AD$464/AD$463,AE$464/AE$463,AF$464/AF$463),AF$464/AF$463)*AG$463</f>
        <v>-2.6557981667316537E-3</v>
      </c>
      <c r="AH464" s="7">
        <f ca="1">IF(AH$6=OFFSET(Assumptions!$B$8,0,$C$1),AVERAGE(AE$464/AE$463,AF$464/AF$463,AG$464/AG$463),AG$464/AG$463)*AH$463</f>
        <v>-2.4288755256422954E-3</v>
      </c>
      <c r="AI464" s="7">
        <f ca="1">IF(AI$6=OFFSET(Assumptions!$B$8,0,$C$1),AVERAGE(AF$464/AF$463,AG$464/AG$463,AH$464/AH$463),AH$464/AH$463)*AI$463</f>
        <v>-2.2140018743452916E-3</v>
      </c>
      <c r="AJ464" s="7">
        <f ca="1">IF(AJ$6=OFFSET(Assumptions!$B$8,0,$C$1),AVERAGE(AG$464/AG$463,AH$464/AH$463,AI$464/AI$463),AI$464/AI$463)*AJ$463</f>
        <v>-2.0091690478752514E-3</v>
      </c>
      <c r="AK464" s="7">
        <f ca="1">IF(AK$6=OFFSET(Assumptions!$B$8,0,$C$1),AVERAGE(AH$464/AH$463,AI$464/AI$463,AJ$464/AJ$463),AJ$464/AJ$463)*AK$463</f>
        <v>-1.8173892936802624E-3</v>
      </c>
      <c r="AL464" s="7">
        <f ca="1">IF(AL$6=OFFSET(Assumptions!$B$8,0,$C$1),AVERAGE(AI$464/AI$463,AJ$464/AJ$463,AK$464/AK$463),AK$464/AK$463)*AL$463</f>
        <v>-1.6376585292776284E-3</v>
      </c>
      <c r="AM464" s="7">
        <f ca="1">IF(AM$6=OFFSET(Assumptions!$B$8,0,$C$1),AVERAGE(AJ$464/AJ$463,AK$464/AK$463,AL$464/AL$463),AL$464/AL$463)*AM$463</f>
        <v>-1.4689726721846539E-3</v>
      </c>
      <c r="AN464" s="7">
        <f ca="1">IF(AN$6=OFFSET(Assumptions!$B$8,0,$C$1),AVERAGE(AK$464/AK$463,AL$464/AL$463,AM$464/AM$463),AM$464/AM$463)*AN$463</f>
        <v>-1.313339887366731E-3</v>
      </c>
      <c r="AO464" s="7">
        <f ca="1">IF(AO$6=OFFSET(Assumptions!$B$8,0,$C$1),AVERAGE(AL$464/AL$463,AM$464/AM$463,AN$464/AN$463),AN$464/AN$463)*AO$463</f>
        <v>-1.1687520098584672E-3</v>
      </c>
      <c r="AP464" s="7">
        <f ca="1">IF(AP$6=OFFSET(Assumptions!$B$8,0,$C$1),AVERAGE(AM$464/AM$463,AN$464/AN$463,AO$464/AO$463),AO$464/AO$463)*AP$463</f>
        <v>-1.0352090396598622E-3</v>
      </c>
      <c r="AQ464" s="7">
        <f ca="1">IF(AQ$6=OFFSET(Assumptions!$B$8,0,$C$1),AVERAGE(AN$464/AN$463,AO$464/AO$463,AP$464/AP$463),AP$464/AP$463)*AQ$463</f>
        <v>-9.1271097677091649E-4</v>
      </c>
      <c r="AR464" s="7">
        <f ca="1">IF(AR$6=OFFSET(Assumptions!$B$8,0,$C$1),AVERAGE(AO$464/AO$463,AP$464/AP$463,AQ$464/AQ$463),AQ$464/AQ$463)*AR$463</f>
        <v>-8.0125782119162944E-4</v>
      </c>
      <c r="AS464" s="7">
        <f ca="1">IF(AS$6=OFFSET(Assumptions!$B$8,0,$C$1),AVERAGE(AP$464/AP$463,AQ$464/AQ$463,AR$464/AR$463),AR$464/AR$463)*AS$463</f>
        <v>-6.9884140795660921E-4</v>
      </c>
      <c r="AT464" s="7">
        <f ca="1">IF(AT$6=OFFSET(Assumptions!$B$8,0,$C$1),AVERAGE(AQ$464/AQ$463,AR$464/AR$463,AS$464/AS$463),AS$464/AS$463)*AT$463</f>
        <v>-6.07469902031248E-4</v>
      </c>
      <c r="AU464" s="7">
        <f ca="1">IF(AU$6=OFFSET(Assumptions!$B$8,0,$C$1),AVERAGE(AR$464/AR$463,AS$464/AS$463,AT$464/AT$463),AT$464/AT$463)*AU$463</f>
        <v>-5.2513513845015328E-4</v>
      </c>
      <c r="AV464" s="7">
        <f ca="1">IF(AV$6=OFFSET(Assumptions!$B$8,0,$C$1),AVERAGE(AS$464/AS$463,AT$464/AT$463,AU$464/AU$463),AU$464/AU$463)*AV$463</f>
        <v>-4.5284119969602127E-4</v>
      </c>
      <c r="AW464" s="7">
        <f ca="1">IF(AW$6=OFFSET(Assumptions!$B$8,0,$C$1),AVERAGE(AT$464/AT$463,AU$464/AU$463,AV$464/AV$463),AV$464/AV$463)*AW$463</f>
        <v>-3.8757583832076321E-4</v>
      </c>
    </row>
    <row r="465" spans="1:49" ht="15" x14ac:dyDescent="0.25">
      <c r="A465" s="2" t="s">
        <v>684</v>
      </c>
      <c r="B465" s="4"/>
      <c r="D465" s="40">
        <f t="shared" ref="D465:I465" si="271">SUM(D$463:D$464)</f>
        <v>10.834</v>
      </c>
      <c r="E465" s="39">
        <f t="shared" si="271"/>
        <v>11.287000000000001</v>
      </c>
      <c r="F465" s="39">
        <f t="shared" si="271"/>
        <v>10.782</v>
      </c>
      <c r="G465" s="39">
        <f t="shared" si="271"/>
        <v>10.276999999999999</v>
      </c>
      <c r="H465" s="39">
        <f t="shared" si="271"/>
        <v>9.7799999999999994</v>
      </c>
      <c r="I465" s="39">
        <f t="shared" si="271"/>
        <v>9.2889999999999997</v>
      </c>
      <c r="J465" s="43">
        <f t="shared" ref="J465:AW465" ca="1" si="272">SUM(J$463:J$464)</f>
        <v>9.0129794668526202</v>
      </c>
      <c r="K465" s="43">
        <f t="shared" ca="1" si="272"/>
        <v>8.7217637464810753</v>
      </c>
      <c r="L465" s="43">
        <f t="shared" ca="1" si="272"/>
        <v>8.4236843559324264</v>
      </c>
      <c r="M465" s="43">
        <f t="shared" ca="1" si="272"/>
        <v>8.1295270626278331</v>
      </c>
      <c r="N465" s="43">
        <f t="shared" ca="1" si="272"/>
        <v>7.8402723908783232</v>
      </c>
      <c r="O465" s="43">
        <f t="shared" ca="1" si="272"/>
        <v>7.5598424379279479</v>
      </c>
      <c r="P465" s="43">
        <f t="shared" ca="1" si="272"/>
        <v>7.2852956308436632</v>
      </c>
      <c r="Q465" s="43">
        <f t="shared" ca="1" si="272"/>
        <v>7.0136903966924269</v>
      </c>
      <c r="R465" s="43">
        <f t="shared" ca="1" si="272"/>
        <v>6.7352214923640812</v>
      </c>
      <c r="S465" s="43">
        <f t="shared" ca="1" si="272"/>
        <v>6.451849966480661</v>
      </c>
      <c r="T465" s="43">
        <f t="shared" ca="1" si="272"/>
        <v>6.1625952947311484</v>
      </c>
      <c r="U465" s="43">
        <f t="shared" ca="1" si="272"/>
        <v>5.8703990500485892</v>
      </c>
      <c r="V465" s="43">
        <f t="shared" ca="1" si="272"/>
        <v>5.5723196594999376</v>
      </c>
      <c r="W465" s="43">
        <f t="shared" ca="1" si="272"/>
        <v>5.2722792203292572</v>
      </c>
      <c r="X465" s="43">
        <f t="shared" ca="1" si="272"/>
        <v>4.9732193054695903</v>
      </c>
      <c r="Y465" s="43">
        <f t="shared" ca="1" si="272"/>
        <v>4.6839646337200787</v>
      </c>
      <c r="Z465" s="43">
        <f t="shared" ca="1" si="272"/>
        <v>4.3996125835256414</v>
      </c>
      <c r="AA465" s="43">
        <f t="shared" ca="1" si="272"/>
        <v>4.119182630575267</v>
      </c>
      <c r="AB465" s="43">
        <f t="shared" ca="1" si="272"/>
        <v>3.8446358234909832</v>
      </c>
      <c r="AC465" s="43">
        <f t="shared" ca="1" si="272"/>
        <v>3.5779332108948219</v>
      </c>
      <c r="AD465" s="43">
        <f t="shared" ca="1" si="272"/>
        <v>3.3180942684757682</v>
      </c>
      <c r="AE465" s="43">
        <f t="shared" ca="1" si="272"/>
        <v>3.0660995205448374</v>
      </c>
      <c r="AF465" s="43">
        <f t="shared" ca="1" si="272"/>
        <v>2.8248905400350734</v>
      </c>
      <c r="AG465" s="43">
        <f t="shared" ca="1" si="272"/>
        <v>2.5934868026354629</v>
      </c>
      <c r="AH465" s="43">
        <f t="shared" ca="1" si="272"/>
        <v>2.3718883083460058</v>
      </c>
      <c r="AI465" s="43">
        <f t="shared" ca="1" si="272"/>
        <v>2.1620561057887318</v>
      </c>
      <c r="AJ465" s="43">
        <f t="shared" ca="1" si="272"/>
        <v>1.9620291463416115</v>
      </c>
      <c r="AK465" s="43">
        <f t="shared" ca="1" si="272"/>
        <v>1.7747490029376893</v>
      </c>
      <c r="AL465" s="43">
        <f t="shared" ca="1" si="272"/>
        <v>1.5992351512659508</v>
      </c>
      <c r="AM465" s="43">
        <f t="shared" ca="1" si="272"/>
        <v>1.434507067015381</v>
      </c>
      <c r="AN465" s="43">
        <f t="shared" ca="1" si="272"/>
        <v>1.2825257988080099</v>
      </c>
      <c r="AO465" s="43">
        <f t="shared" ca="1" si="272"/>
        <v>1.1413302980218072</v>
      </c>
      <c r="AP465" s="43">
        <f t="shared" ca="1" si="272"/>
        <v>1.0109205646567723</v>
      </c>
      <c r="AQ465" s="43">
        <f t="shared" ca="1" si="272"/>
        <v>0.89129659871290612</v>
      </c>
      <c r="AR465" s="43">
        <f t="shared" ca="1" si="272"/>
        <v>0.78245840019020774</v>
      </c>
      <c r="AS465" s="43">
        <f t="shared" ca="1" si="272"/>
        <v>0.68244492046664751</v>
      </c>
      <c r="AT465" s="43">
        <f t="shared" ca="1" si="272"/>
        <v>0.59321720816425549</v>
      </c>
      <c r="AU465" s="43">
        <f t="shared" ca="1" si="272"/>
        <v>0.51281421466100097</v>
      </c>
      <c r="AV465" s="43">
        <f t="shared" ca="1" si="272"/>
        <v>0.44221646426789951</v>
      </c>
      <c r="AW465" s="43">
        <f t="shared" ca="1" si="272"/>
        <v>0.3784823840519051</v>
      </c>
    </row>
    <row r="466" spans="1:49" ht="15" x14ac:dyDescent="0.25">
      <c r="A466" s="2"/>
      <c r="B466" s="4"/>
      <c r="D466" s="55"/>
      <c r="E466" s="56"/>
      <c r="F466" s="56"/>
      <c r="G466" s="56"/>
      <c r="H466" s="56"/>
      <c r="I466" s="56"/>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row>
    <row r="467" spans="1:49" ht="15" x14ac:dyDescent="0.25">
      <c r="A467" s="22" t="s">
        <v>251</v>
      </c>
      <c r="B467" s="4"/>
      <c r="D467" s="55"/>
      <c r="E467" s="56"/>
      <c r="F467" s="56"/>
      <c r="G467" s="56"/>
      <c r="H467" s="56"/>
      <c r="I467" s="56"/>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row>
    <row r="468" spans="1:49" ht="15" x14ac:dyDescent="0.25">
      <c r="A468" s="2" t="s">
        <v>685</v>
      </c>
      <c r="B468" s="4" t="str">
        <f t="shared" ref="B468:B469" si="273">$B$43</f>
        <v>From Fiscal</v>
      </c>
      <c r="D468" s="55">
        <f>Fiscal!D$183</f>
        <v>4.8550000000000004</v>
      </c>
      <c r="E468" s="44">
        <f>Fiscal!E$183</f>
        <v>4.9889999999999999</v>
      </c>
      <c r="F468" s="44">
        <f>Fiscal!F$183</f>
        <v>4.1740000000000004</v>
      </c>
      <c r="G468" s="44">
        <f>Fiscal!G$183</f>
        <v>3.8050000000000002</v>
      </c>
      <c r="H468" s="44">
        <f>Fiscal!H$183</f>
        <v>3.4729999999999999</v>
      </c>
      <c r="I468" s="44">
        <f>Fiscal!I$183</f>
        <v>3.0710000000000002</v>
      </c>
      <c r="J468" s="8">
        <f ca="1">(I$468/I$14+ IF(J$2&gt;0,J$2*IF(J$6=OFFSET(Assumptions!$B$8,0,$C$1),SUMPRODUCT(OFFSET(I$468,0,0,1,-OFFSET(Assumptions!$B$67,0,$C$1)),OFFSET(I$16,0,0,1,-OFFSET(Assumptions!$B$67,0,$C$1)))/OFFSET(Assumptions!$B$67,0,$C$1)-I$468/I$14,(I$468/I$14-H$468/H$14)/I$2),0))*J$14</f>
        <v>3.3895472414420542</v>
      </c>
      <c r="K468" s="8">
        <f ca="1">(J$468/J$14+ IF(K$2&gt;0,K$2*IF(K$6=OFFSET(Assumptions!$B$8,0,$C$1),SUMPRODUCT(OFFSET(J$468,0,0,1,-OFFSET(Assumptions!$B$67,0,$C$1)),OFFSET(J$16,0,0,1,-OFFSET(Assumptions!$B$67,0,$C$1)))/OFFSET(Assumptions!$B$67,0,$C$1)-J$468/J$14,(J$468/J$14-I$468/I$14)/J$2),0))*K$14</f>
        <v>3.688835844074148</v>
      </c>
      <c r="L468" s="8">
        <f ca="1">(K$468/K$14+ IF(L$2&gt;0,L$2*IF(L$6=OFFSET(Assumptions!$B$8,0,$C$1),SUMPRODUCT(OFFSET(K$468,0,0,1,-OFFSET(Assumptions!$B$67,0,$C$1)),OFFSET(K$16,0,0,1,-OFFSET(Assumptions!$B$67,0,$C$1)))/OFFSET(Assumptions!$B$67,0,$C$1)-K$468/K$14,(K$468/K$14-J$468/J$14)/K$2),0))*L$14</f>
        <v>3.9720832437425213</v>
      </c>
      <c r="M468" s="8">
        <f ca="1">(L$468/L$14+ IF(M$2&gt;0,M$2*IF(M$6=OFFSET(Assumptions!$B$8,0,$C$1),SUMPRODUCT(OFFSET(L$468,0,0,1,-OFFSET(Assumptions!$B$67,0,$C$1)),OFFSET(L$16,0,0,1,-OFFSET(Assumptions!$B$67,0,$C$1)))/OFFSET(Assumptions!$B$67,0,$C$1)-L$468/L$14,(L$468/L$14-K$468/K$14)/L$2),0))*M$14</f>
        <v>4.2294918189421882</v>
      </c>
      <c r="N468" s="8">
        <f ca="1">(M$468/M$14+ IF(N$2&gt;0,N$2*IF(N$6=OFFSET(Assumptions!$B$8,0,$C$1),SUMPRODUCT(OFFSET(M$468,0,0,1,-OFFSET(Assumptions!$B$67,0,$C$1)),OFFSET(M$16,0,0,1,-OFFSET(Assumptions!$B$67,0,$C$1)))/OFFSET(Assumptions!$B$67,0,$C$1)-M$468/M$14,(M$468/M$14-L$468/L$14)/M$2),0))*N$14</f>
        <v>4.4566435306097043</v>
      </c>
      <c r="O468" s="8">
        <f ca="1">(N$468/N$14+ IF(O$2&gt;0,O$2*IF(O$6=OFFSET(Assumptions!$B$8,0,$C$1),SUMPRODUCT(OFFSET(N$468,0,0,1,-OFFSET(Assumptions!$B$67,0,$C$1)),OFFSET(N$16,0,0,1,-OFFSET(Assumptions!$B$67,0,$C$1)))/OFFSET(Assumptions!$B$67,0,$C$1)-N$468/N$14,(N$468/N$14-M$468/M$14)/N$2),0))*O$14</f>
        <v>4.6468830834489188</v>
      </c>
      <c r="P468" s="8">
        <f ca="1">(O$468/O$14+ IF(P$2&gt;0,P$2*IF(P$6=OFFSET(Assumptions!$B$8,0,$C$1),SUMPRODUCT(OFFSET(O$468,0,0,1,-OFFSET(Assumptions!$B$67,0,$C$1)),OFFSET(O$16,0,0,1,-OFFSET(Assumptions!$B$67,0,$C$1)))/OFFSET(Assumptions!$B$67,0,$C$1)-O$468/O$14,(O$468/O$14-N$468/N$14)/O$2),0))*P$14</f>
        <v>4.8433946631554141</v>
      </c>
      <c r="Q468" s="8">
        <f ca="1">(P$468/P$14+ IF(Q$2&gt;0,Q$2*IF(Q$6=OFFSET(Assumptions!$B$8,0,$C$1),SUMPRODUCT(OFFSET(P$468,0,0,1,-OFFSET(Assumptions!$B$67,0,$C$1)),OFFSET(P$16,0,0,1,-OFFSET(Assumptions!$B$67,0,$C$1)))/OFFSET(Assumptions!$B$67,0,$C$1)-P$468/P$14,(P$468/P$14-O$468/O$14)/P$2),0))*Q$14</f>
        <v>5.0459660011398935</v>
      </c>
      <c r="R468" s="8">
        <f ca="1">(Q$468/Q$14+ IF(R$2&gt;0,R$2*IF(R$6=OFFSET(Assumptions!$B$8,0,$C$1),SUMPRODUCT(OFFSET(Q$468,0,0,1,-OFFSET(Assumptions!$B$67,0,$C$1)),OFFSET(Q$16,0,0,1,-OFFSET(Assumptions!$B$67,0,$C$1)))/OFFSET(Assumptions!$B$67,0,$C$1)-Q$468/Q$14,(Q$468/Q$14-P$468/P$14)/Q$2),0))*R$14</f>
        <v>5.2544467454089885</v>
      </c>
      <c r="S468" s="8">
        <f ca="1">(R$468/R$14+ IF(S$2&gt;0,S$2*IF(S$6=OFFSET(Assumptions!$B$8,0,$C$1),SUMPRODUCT(OFFSET(R$468,0,0,1,-OFFSET(Assumptions!$B$67,0,$C$1)),OFFSET(R$16,0,0,1,-OFFSET(Assumptions!$B$67,0,$C$1)))/OFFSET(Assumptions!$B$67,0,$C$1)-R$468/R$14,(R$468/R$14-Q$468/Q$14)/R$2),0))*S$14</f>
        <v>5.4694994392667367</v>
      </c>
      <c r="T468" s="8">
        <f ca="1">(S$468/S$14+ IF(T$2&gt;0,T$2*IF(T$6=OFFSET(Assumptions!$B$8,0,$C$1),SUMPRODUCT(OFFSET(S$468,0,0,1,-OFFSET(Assumptions!$B$67,0,$C$1)),OFFSET(S$16,0,0,1,-OFFSET(Assumptions!$B$67,0,$C$1)))/OFFSET(Assumptions!$B$67,0,$C$1)-S$468/S$14,(S$468/S$14-R$468/R$14)/S$2),0))*T$14</f>
        <v>5.6912025051496071</v>
      </c>
      <c r="U468" s="8">
        <f ca="1">(T$468/T$14+ IF(U$2&gt;0,U$2*IF(U$6=OFFSET(Assumptions!$B$8,0,$C$1),SUMPRODUCT(OFFSET(T$468,0,0,1,-OFFSET(Assumptions!$B$67,0,$C$1)),OFFSET(T$16,0,0,1,-OFFSET(Assumptions!$B$67,0,$C$1)))/OFFSET(Assumptions!$B$67,0,$C$1)-T$468/T$14,(T$468/T$14-S$468/S$14)/T$2),0))*U$14</f>
        <v>5.9203516295170342</v>
      </c>
      <c r="V468" s="8">
        <f ca="1">(U$468/U$14+ IF(V$2&gt;0,V$2*IF(V$6=OFFSET(Assumptions!$B$8,0,$C$1),SUMPRODUCT(OFFSET(U$468,0,0,1,-OFFSET(Assumptions!$B$67,0,$C$1)),OFFSET(U$16,0,0,1,-OFFSET(Assumptions!$B$67,0,$C$1)))/OFFSET(Assumptions!$B$67,0,$C$1)-U$468/U$14,(U$468/U$14-T$468/T$14)/U$2),0))*V$14</f>
        <v>6.1575124682913653</v>
      </c>
      <c r="W468" s="8">
        <f ca="1">(V$468/V$14+ IF(W$2&gt;0,W$2*IF(W$6=OFFSET(Assumptions!$B$8,0,$C$1),SUMPRODUCT(OFFSET(V$468,0,0,1,-OFFSET(Assumptions!$B$67,0,$C$1)),OFFSET(V$16,0,0,1,-OFFSET(Assumptions!$B$67,0,$C$1)))/OFFSET(Assumptions!$B$67,0,$C$1)-V$468/V$14,(V$468/V$14-U$468/U$14)/V$2),0))*W$14</f>
        <v>6.4033721362433518</v>
      </c>
      <c r="X468" s="8">
        <f ca="1">(W$468/W$14+ IF(X$2&gt;0,X$2*IF(X$6=OFFSET(Assumptions!$B$8,0,$C$1),SUMPRODUCT(OFFSET(W$468,0,0,1,-OFFSET(Assumptions!$B$67,0,$C$1)),OFFSET(W$16,0,0,1,-OFFSET(Assumptions!$B$67,0,$C$1)))/OFFSET(Assumptions!$B$67,0,$C$1)-W$468/W$14,(W$468/W$14-V$468/V$14)/W$2),0))*X$14</f>
        <v>6.6587093833803292</v>
      </c>
      <c r="Y468" s="8">
        <f ca="1">(X$468/X$14+ IF(Y$2&gt;0,Y$2*IF(Y$6=OFFSET(Assumptions!$B$8,0,$C$1),SUMPRODUCT(OFFSET(X$468,0,0,1,-OFFSET(Assumptions!$B$67,0,$C$1)),OFFSET(X$16,0,0,1,-OFFSET(Assumptions!$B$67,0,$C$1)))/OFFSET(Assumptions!$B$67,0,$C$1)-X$468/X$14,(X$468/X$14-W$468/W$14)/X$2),0))*Y$14</f>
        <v>6.9234981057812162</v>
      </c>
      <c r="Z468" s="8">
        <f ca="1">(Y$468/Y$14+ IF(Z$2&gt;0,Z$2*IF(Z$6=OFFSET(Assumptions!$B$8,0,$C$1),SUMPRODUCT(OFFSET(Y$468,0,0,1,-OFFSET(Assumptions!$B$67,0,$C$1)),OFFSET(Y$16,0,0,1,-OFFSET(Assumptions!$B$67,0,$C$1)))/OFFSET(Assumptions!$B$67,0,$C$1)-Y$468/Y$14,(Y$468/Y$14-X$468/X$14)/Y$2),0))*Z$14</f>
        <v>7.1990785692686048</v>
      </c>
      <c r="AA468" s="8">
        <f ca="1">(Z$468/Z$14+ IF(AA$2&gt;0,AA$2*IF(AA$6=OFFSET(Assumptions!$B$8,0,$C$1),SUMPRODUCT(OFFSET(Z$468,0,0,1,-OFFSET(Assumptions!$B$67,0,$C$1)),OFFSET(Z$16,0,0,1,-OFFSET(Assumptions!$B$67,0,$C$1)))/OFFSET(Assumptions!$B$67,0,$C$1)-Z$468/Z$14,(Z$468/Z$14-Y$468/Y$14)/Z$2),0))*AA$14</f>
        <v>7.4858966639827553</v>
      </c>
      <c r="AB468" s="8">
        <f ca="1">(AA$468/AA$14+ IF(AB$2&gt;0,AB$2*IF(AB$6=OFFSET(Assumptions!$B$8,0,$C$1),SUMPRODUCT(OFFSET(AA$468,0,0,1,-OFFSET(Assumptions!$B$67,0,$C$1)),OFFSET(AA$16,0,0,1,-OFFSET(Assumptions!$B$67,0,$C$1)))/OFFSET(Assumptions!$B$67,0,$C$1)-AA$468/AA$14,(AA$468/AA$14-Z$468/Z$14)/AA$2),0))*AB$14</f>
        <v>7.7848137311501073</v>
      </c>
      <c r="AC468" s="8">
        <f ca="1">(AB$468/AB$14+ IF(AC$2&gt;0,AC$2*IF(AC$6=OFFSET(Assumptions!$B$8,0,$C$1),SUMPRODUCT(OFFSET(AB$468,0,0,1,-OFFSET(Assumptions!$B$67,0,$C$1)),OFFSET(AB$16,0,0,1,-OFFSET(Assumptions!$B$67,0,$C$1)))/OFFSET(Assumptions!$B$67,0,$C$1)-AB$468/AB$14,(AB$468/AB$14-AA$468/AA$14)/AB$2),0))*AC$14</f>
        <v>8.0969582232629769</v>
      </c>
      <c r="AD468" s="8">
        <f ca="1">(AC$468/AC$14+ IF(AD$2&gt;0,AD$2*IF(AD$6=OFFSET(Assumptions!$B$8,0,$C$1),SUMPRODUCT(OFFSET(AC$468,0,0,1,-OFFSET(Assumptions!$B$67,0,$C$1)),OFFSET(AC$16,0,0,1,-OFFSET(Assumptions!$B$67,0,$C$1)))/OFFSET(Assumptions!$B$67,0,$C$1)-AC$468/AC$14,(AC$468/AC$14-AB$468/AB$14)/AC$2),0))*AD$14</f>
        <v>8.4226591444665733</v>
      </c>
      <c r="AE468" s="8">
        <f ca="1">(AD$468/AD$14+ IF(AE$2&gt;0,AE$2*IF(AE$6=OFFSET(Assumptions!$B$8,0,$C$1),SUMPRODUCT(OFFSET(AD$468,0,0,1,-OFFSET(Assumptions!$B$67,0,$C$1)),OFFSET(AD$16,0,0,1,-OFFSET(Assumptions!$B$67,0,$C$1)))/OFFSET(Assumptions!$B$67,0,$C$1)-AD$468/AD$14,(AD$468/AD$14-AC$468/AC$14)/AD$2),0))*AE$14</f>
        <v>8.7616173818762686</v>
      </c>
      <c r="AF468" s="8">
        <f ca="1">(AE$468/AE$14+ IF(AF$2&gt;0,AF$2*IF(AF$6=OFFSET(Assumptions!$B$8,0,$C$1),SUMPRODUCT(OFFSET(AE$468,0,0,1,-OFFSET(Assumptions!$B$67,0,$C$1)),OFFSET(AE$16,0,0,1,-OFFSET(Assumptions!$B$67,0,$C$1)))/OFFSET(Assumptions!$B$67,0,$C$1)-AE$468/AE$14,(AE$468/AE$14-AD$468/AD$14)/AE$2),0))*AF$14</f>
        <v>9.1147706972157607</v>
      </c>
      <c r="AG468" s="8">
        <f ca="1">(AF$468/AF$14+ IF(AG$2&gt;0,AG$2*IF(AG$6=OFFSET(Assumptions!$B$8,0,$C$1),SUMPRODUCT(OFFSET(AF$468,0,0,1,-OFFSET(Assumptions!$B$67,0,$C$1)),OFFSET(AF$16,0,0,1,-OFFSET(Assumptions!$B$67,0,$C$1)))/OFFSET(Assumptions!$B$67,0,$C$1)-AF$468/AF$14,(AF$468/AF$14-AE$468/AE$14)/AF$2),0))*AG$14</f>
        <v>9.4823165590517373</v>
      </c>
      <c r="AH468" s="8">
        <f ca="1">(AG$468/AG$14+ IF(AH$2&gt;0,AH$2*IF(AH$6=OFFSET(Assumptions!$B$8,0,$C$1),SUMPRODUCT(OFFSET(AG$468,0,0,1,-OFFSET(Assumptions!$B$67,0,$C$1)),OFFSET(AG$16,0,0,1,-OFFSET(Assumptions!$B$67,0,$C$1)))/OFFSET(Assumptions!$B$67,0,$C$1)-AG$468/AG$14,(AG$468/AG$14-AF$468/AF$14)/AG$2),0))*AH$14</f>
        <v>9.8648443526763021</v>
      </c>
      <c r="AI468" s="8">
        <f ca="1">(AH$468/AH$14+ IF(AI$2&gt;0,AI$2*IF(AI$6=OFFSET(Assumptions!$B$8,0,$C$1),SUMPRODUCT(OFFSET(AH$468,0,0,1,-OFFSET(Assumptions!$B$67,0,$C$1)),OFFSET(AH$16,0,0,1,-OFFSET(Assumptions!$B$67,0,$C$1)))/OFFSET(Assumptions!$B$67,0,$C$1)-AH$468/AH$14,(AH$468/AH$14-AG$468/AG$14)/AH$2),0))*AI$14</f>
        <v>10.261685675404445</v>
      </c>
      <c r="AJ468" s="8">
        <f ca="1">(AI$468/AI$14+ IF(AJ$2&gt;0,AJ$2*IF(AJ$6=OFFSET(Assumptions!$B$8,0,$C$1),SUMPRODUCT(OFFSET(AI$468,0,0,1,-OFFSET(Assumptions!$B$67,0,$C$1)),OFFSET(AI$16,0,0,1,-OFFSET(Assumptions!$B$67,0,$C$1)))/OFFSET(Assumptions!$B$67,0,$C$1)-AI$468/AI$14,(AI$468/AI$14-AH$468/AH$14)/AI$2),0))*AJ$14</f>
        <v>10.674111807712505</v>
      </c>
      <c r="AK468" s="8">
        <f ca="1">(AJ$468/AJ$14+ IF(AK$2&gt;0,AK$2*IF(AK$6=OFFSET(Assumptions!$B$8,0,$C$1),SUMPRODUCT(OFFSET(AJ$468,0,0,1,-OFFSET(Assumptions!$B$67,0,$C$1)),OFFSET(AJ$16,0,0,1,-OFFSET(Assumptions!$B$67,0,$C$1)))/OFFSET(Assumptions!$B$67,0,$C$1)-AJ$468/AJ$14,(AJ$468/AJ$14-AI$468/AI$14)/AJ$2),0))*AK$14</f>
        <v>11.101783475159845</v>
      </c>
      <c r="AL468" s="8">
        <f ca="1">(AK$468/AK$14+ IF(AL$2&gt;0,AL$2*IF(AL$6=OFFSET(Assumptions!$B$8,0,$C$1),SUMPRODUCT(OFFSET(AK$468,0,0,1,-OFFSET(Assumptions!$B$67,0,$C$1)),OFFSET(AK$16,0,0,1,-OFFSET(Assumptions!$B$67,0,$C$1)))/OFFSET(Assumptions!$B$67,0,$C$1)-AK$468/AK$14,(AK$468/AK$14-AJ$468/AJ$14)/AK$2),0))*AL$14</f>
        <v>11.544363788975337</v>
      </c>
      <c r="AM468" s="8">
        <f ca="1">(AL$468/AL$14+ IF(AM$2&gt;0,AM$2*IF(AM$6=OFFSET(Assumptions!$B$8,0,$C$1),SUMPRODUCT(OFFSET(AL$468,0,0,1,-OFFSET(Assumptions!$B$67,0,$C$1)),OFFSET(AL$16,0,0,1,-OFFSET(Assumptions!$B$67,0,$C$1)))/OFFSET(Assumptions!$B$67,0,$C$1)-AL$468/AL$14,(AL$468/AL$14-AK$468/AK$14)/AL$2),0))*AM$14</f>
        <v>12.002457371500585</v>
      </c>
      <c r="AN468" s="8">
        <f ca="1">(AM$468/AM$14+ IF(AN$2&gt;0,AN$2*IF(AN$6=OFFSET(Assumptions!$B$8,0,$C$1),SUMPRODUCT(OFFSET(AM$468,0,0,1,-OFFSET(Assumptions!$B$67,0,$C$1)),OFFSET(AM$16,0,0,1,-OFFSET(Assumptions!$B$67,0,$C$1)))/OFFSET(Assumptions!$B$67,0,$C$1)-AM$468/AM$14,(AM$468/AM$14-AL$468/AL$14)/AM$2),0))*AN$14</f>
        <v>12.476701426472665</v>
      </c>
      <c r="AO468" s="8">
        <f ca="1">(AN$468/AN$14+ IF(AO$2&gt;0,AO$2*IF(AO$6=OFFSET(Assumptions!$B$8,0,$C$1),SUMPRODUCT(OFFSET(AN$468,0,0,1,-OFFSET(Assumptions!$B$67,0,$C$1)),OFFSET(AN$16,0,0,1,-OFFSET(Assumptions!$B$67,0,$C$1)))/OFFSET(Assumptions!$B$67,0,$C$1)-AN$468/AN$14,(AN$468/AN$14-AM$468/AM$14)/AN$2),0))*AO$14</f>
        <v>12.965233761488895</v>
      </c>
      <c r="AP468" s="8">
        <f ca="1">(AO$468/AO$14+ IF(AP$2&gt;0,AP$2*IF(AP$6=OFFSET(Assumptions!$B$8,0,$C$1),SUMPRODUCT(OFFSET(AO$468,0,0,1,-OFFSET(Assumptions!$B$67,0,$C$1)),OFFSET(AO$16,0,0,1,-OFFSET(Assumptions!$B$67,0,$C$1)))/OFFSET(Assumptions!$B$67,0,$C$1)-AO$468/AO$14,(AO$468/AO$14-AN$468/AN$14)/AO$2),0))*AP$14</f>
        <v>13.470128926725081</v>
      </c>
      <c r="AQ468" s="8">
        <f ca="1">(AP$468/AP$14+ IF(AQ$2&gt;0,AQ$2*IF(AQ$6=OFFSET(Assumptions!$B$8,0,$C$1),SUMPRODUCT(OFFSET(AP$468,0,0,1,-OFFSET(Assumptions!$B$67,0,$C$1)),OFFSET(AP$16,0,0,1,-OFFSET(Assumptions!$B$67,0,$C$1)))/OFFSET(Assumptions!$B$67,0,$C$1)-AP$468/AP$14,(AP$468/AP$14-AO$468/AO$14)/AP$2),0))*AQ$14</f>
        <v>13.989972207521546</v>
      </c>
      <c r="AR468" s="8">
        <f ca="1">(AQ$468/AQ$14+ IF(AR$2&gt;0,AR$2*IF(AR$6=OFFSET(Assumptions!$B$8,0,$C$1),SUMPRODUCT(OFFSET(AQ$468,0,0,1,-OFFSET(Assumptions!$B$67,0,$C$1)),OFFSET(AQ$16,0,0,1,-OFFSET(Assumptions!$B$67,0,$C$1)))/OFFSET(Assumptions!$B$67,0,$C$1)-AQ$468/AQ$14,(AQ$468/AQ$14-AP$468/AP$14)/AQ$2),0))*AR$14</f>
        <v>14.525352159470485</v>
      </c>
      <c r="AS468" s="8">
        <f ca="1">(AR$468/AR$14+ IF(AS$2&gt;0,AS$2*IF(AS$6=OFFSET(Assumptions!$B$8,0,$C$1),SUMPRODUCT(OFFSET(AR$468,0,0,1,-OFFSET(Assumptions!$B$67,0,$C$1)),OFFSET(AR$16,0,0,1,-OFFSET(Assumptions!$B$67,0,$C$1)))/OFFSET(Assumptions!$B$67,0,$C$1)-AR$468/AR$14,(AR$468/AR$14-AQ$468/AQ$14)/AR$2),0))*AS$14</f>
        <v>15.077517808557358</v>
      </c>
      <c r="AT468" s="8">
        <f ca="1">(AS$468/AS$14+ IF(AT$2&gt;0,AT$2*IF(AT$6=OFFSET(Assumptions!$B$8,0,$C$1),SUMPRODUCT(OFFSET(AS$468,0,0,1,-OFFSET(Assumptions!$B$67,0,$C$1)),OFFSET(AS$16,0,0,1,-OFFSET(Assumptions!$B$67,0,$C$1)))/OFFSET(Assumptions!$B$67,0,$C$1)-AS$468/AS$14,(AS$468/AS$14-AR$468/AR$14)/AS$2),0))*AT$14</f>
        <v>15.646910151408685</v>
      </c>
      <c r="AU468" s="8">
        <f ca="1">(AT$468/AT$14+ IF(AU$2&gt;0,AU$2*IF(AU$6=OFFSET(Assumptions!$B$8,0,$C$1),SUMPRODUCT(OFFSET(AT$468,0,0,1,-OFFSET(Assumptions!$B$67,0,$C$1)),OFFSET(AT$16,0,0,1,-OFFSET(Assumptions!$B$67,0,$C$1)))/OFFSET(Assumptions!$B$67,0,$C$1)-AT$468/AT$14,(AT$468/AT$14-AS$468/AS$14)/AT$2),0))*AU$14</f>
        <v>16.234286352726688</v>
      </c>
      <c r="AV468" s="8">
        <f ca="1">(AU$468/AU$14+ IF(AV$2&gt;0,AV$2*IF(AV$6=OFFSET(Assumptions!$B$8,0,$C$1),SUMPRODUCT(OFFSET(AU$468,0,0,1,-OFFSET(Assumptions!$B$67,0,$C$1)),OFFSET(AU$16,0,0,1,-OFFSET(Assumptions!$B$67,0,$C$1)))/OFFSET(Assumptions!$B$67,0,$C$1)-AU$468/AU$14,(AU$468/AU$14-AT$468/AT$14)/AU$2),0))*AV$14</f>
        <v>16.841462519851436</v>
      </c>
      <c r="AW468" s="8">
        <f ca="1">(AV$468/AV$14+ IF(AW$2&gt;0,AW$2*IF(AW$6=OFFSET(Assumptions!$B$8,0,$C$1),SUMPRODUCT(OFFSET(AV$468,0,0,1,-OFFSET(Assumptions!$B$67,0,$C$1)),OFFSET(AV$16,0,0,1,-OFFSET(Assumptions!$B$67,0,$C$1)))/OFFSET(Assumptions!$B$67,0,$C$1)-AV$468/AV$14,(AV$468/AV$14-AU$468/AU$14)/AV$2),0))*AW$14</f>
        <v>17.468095867726657</v>
      </c>
    </row>
    <row r="469" spans="1:49" ht="15" x14ac:dyDescent="0.25">
      <c r="A469" s="2" t="s">
        <v>686</v>
      </c>
      <c r="B469" s="4" t="str">
        <f t="shared" si="273"/>
        <v>From Fiscal</v>
      </c>
      <c r="D469" s="55">
        <f>Fiscal!D$133</f>
        <v>7.2210000000000001</v>
      </c>
      <c r="E469" s="44">
        <f>Fiscal!E$133</f>
        <v>7.3520000000000003</v>
      </c>
      <c r="F469" s="44">
        <f>Fiscal!F$133</f>
        <v>6.9189999999999996</v>
      </c>
      <c r="G469" s="44">
        <f>Fiscal!G$133</f>
        <v>6.7460000000000004</v>
      </c>
      <c r="H469" s="44">
        <f>Fiscal!H$133</f>
        <v>6.4530000000000003</v>
      </c>
      <c r="I469" s="44">
        <f>Fiscal!I$133</f>
        <v>6.2240000000000002</v>
      </c>
      <c r="J469" s="8">
        <f ca="1">((I$469-I$468)/I$14+ IF(J$2&gt;0,J$2*IF(J$6=OFFSET(Assumptions!$B$8,0,$C$1),(SUMPRODUCT(OFFSET(I$469,0,0,1,-OFFSET(Assumptions!$B$67,0,$C$1)),OFFSET(I$16,0,0,1,-OFFSET(Assumptions!$B$67,0,$C$1)))-SUMPRODUCT(OFFSET(I$468,0,0,1,-OFFSET(Assumptions!$B$67,0,$C$1)),OFFSET(I$16,0,0,1,-OFFSET(Assumptions!$B$67,0,$C$1))))/OFFSET(Assumptions!$B$67,0,$C$1)-(I$469-I$468)/I$14,((I$469-I$468)/I$14-(H$469-H$468)/H$14)/I$2),0))*J$14 +J$468</f>
        <v>6.6767467491093075</v>
      </c>
      <c r="K469" s="8">
        <f ca="1">((J$469-J$468)/J$14+ IF(K$2&gt;0,K$2*IF(K$6=OFFSET(Assumptions!$B$8,0,$C$1),(SUMPRODUCT(OFFSET(J$469,0,0,1,-OFFSET(Assumptions!$B$67,0,$C$1)),OFFSET(J$16,0,0,1,-OFFSET(Assumptions!$B$67,0,$C$1)))-SUMPRODUCT(OFFSET(J$468,0,0,1,-OFFSET(Assumptions!$B$67,0,$C$1)),OFFSET(J$16,0,0,1,-OFFSET(Assumptions!$B$67,0,$C$1))))/OFFSET(Assumptions!$B$67,0,$C$1)-(J$469-J$468)/J$14,((J$469-J$468)/J$14-(I$469-I$468)/I$14)/J$2),0))*K$14 +K$468</f>
        <v>7.1145257799131745</v>
      </c>
      <c r="L469" s="8">
        <f ca="1">((K$469-K$468)/K$14+ IF(L$2&gt;0,L$2*IF(L$6=OFFSET(Assumptions!$B$8,0,$C$1),(SUMPRODUCT(OFFSET(K$469,0,0,1,-OFFSET(Assumptions!$B$67,0,$C$1)),OFFSET(K$16,0,0,1,-OFFSET(Assumptions!$B$67,0,$C$1)))-SUMPRODUCT(OFFSET(K$468,0,0,1,-OFFSET(Assumptions!$B$67,0,$C$1)),OFFSET(K$16,0,0,1,-OFFSET(Assumptions!$B$67,0,$C$1))))/OFFSET(Assumptions!$B$67,0,$C$1)-(K$469-K$468)/K$14,((K$469-K$468)/K$14-(J$469-J$468)/J$14)/K$2),0))*L$14 +L$468</f>
        <v>7.5471353240900587</v>
      </c>
      <c r="M469" s="8">
        <f ca="1">((L$469-L$468)/L$14+ IF(M$2&gt;0,M$2*IF(M$6=OFFSET(Assumptions!$B$8,0,$C$1),(SUMPRODUCT(OFFSET(L$469,0,0,1,-OFFSET(Assumptions!$B$67,0,$C$1)),OFFSET(L$16,0,0,1,-OFFSET(Assumptions!$B$67,0,$C$1)))-SUMPRODUCT(OFFSET(L$468,0,0,1,-OFFSET(Assumptions!$B$67,0,$C$1)),OFFSET(L$16,0,0,1,-OFFSET(Assumptions!$B$67,0,$C$1))))/OFFSET(Assumptions!$B$67,0,$C$1)-(L$469-L$468)/L$14,((L$469-L$468)/L$14-(K$469-K$468)/K$14)/L$2),0))*M$14 +M$468</f>
        <v>7.9596174940654354</v>
      </c>
      <c r="N469" s="8">
        <f ca="1">((M$469-M$468)/M$14+ IF(N$2&gt;0,N$2*IF(N$6=OFFSET(Assumptions!$B$8,0,$C$1),(SUMPRODUCT(OFFSET(M$469,0,0,1,-OFFSET(Assumptions!$B$67,0,$C$1)),OFFSET(M$16,0,0,1,-OFFSET(Assumptions!$B$67,0,$C$1)))-SUMPRODUCT(OFFSET(M$468,0,0,1,-OFFSET(Assumptions!$B$67,0,$C$1)),OFFSET(M$16,0,0,1,-OFFSET(Assumptions!$B$67,0,$C$1))))/OFFSET(Assumptions!$B$67,0,$C$1)-(M$469-M$468)/M$14,((M$469-M$468)/M$14-(L$469-L$468)/L$14)/M$2),0))*N$14 +N$468</f>
        <v>8.3479573661241009</v>
      </c>
      <c r="O469" s="8">
        <f ca="1">((N$469-N$468)/N$14+ IF(O$2&gt;0,O$2*IF(O$6=OFFSET(Assumptions!$B$8,0,$C$1),(SUMPRODUCT(OFFSET(N$469,0,0,1,-OFFSET(Assumptions!$B$67,0,$C$1)),OFFSET(N$16,0,0,1,-OFFSET(Assumptions!$B$67,0,$C$1)))-SUMPRODUCT(OFFSET(N$468,0,0,1,-OFFSET(Assumptions!$B$67,0,$C$1)),OFFSET(N$16,0,0,1,-OFFSET(Assumptions!$B$67,0,$C$1))))/OFFSET(Assumptions!$B$67,0,$C$1)-(N$469-N$468)/N$14,((N$469-N$468)/N$14-(M$469-M$468)/M$14)/N$2),0))*O$14 +O$468</f>
        <v>8.7043043940038487</v>
      </c>
      <c r="P469" s="8">
        <f ca="1">((O$469-O$468)/O$14+ IF(P$2&gt;0,P$2*IF(P$6=OFFSET(Assumptions!$B$8,0,$C$1),(SUMPRODUCT(OFFSET(O$469,0,0,1,-OFFSET(Assumptions!$B$67,0,$C$1)),OFFSET(O$16,0,0,1,-OFFSET(Assumptions!$B$67,0,$C$1)))-SUMPRODUCT(OFFSET(O$468,0,0,1,-OFFSET(Assumptions!$B$67,0,$C$1)),OFFSET(O$16,0,0,1,-OFFSET(Assumptions!$B$67,0,$C$1))))/OFFSET(Assumptions!$B$67,0,$C$1)-(O$469-O$468)/O$14,((O$469-O$468)/O$14-(N$469-N$468)/N$14)/O$2),0))*P$14 +P$468</f>
        <v>9.0723998627287372</v>
      </c>
      <c r="Q469" s="8">
        <f ca="1">((P$469-P$468)/P$14+ IF(Q$2&gt;0,Q$2*IF(Q$6=OFFSET(Assumptions!$B$8,0,$C$1),(SUMPRODUCT(OFFSET(P$469,0,0,1,-OFFSET(Assumptions!$B$67,0,$C$1)),OFFSET(P$16,0,0,1,-OFFSET(Assumptions!$B$67,0,$C$1)))-SUMPRODUCT(OFFSET(P$468,0,0,1,-OFFSET(Assumptions!$B$67,0,$C$1)),OFFSET(P$16,0,0,1,-OFFSET(Assumptions!$B$67,0,$C$1))))/OFFSET(Assumptions!$B$67,0,$C$1)-(P$469-P$468)/P$14,((P$469-P$468)/P$14-(O$469-O$468)/O$14)/P$2),0))*Q$14 +Q$468</f>
        <v>9.4518461616033065</v>
      </c>
      <c r="R469" s="8">
        <f ca="1">((Q$469-Q$468)/Q$14+ IF(R$2&gt;0,R$2*IF(R$6=OFFSET(Assumptions!$B$8,0,$C$1),(SUMPRODUCT(OFFSET(Q$469,0,0,1,-OFFSET(Assumptions!$B$67,0,$C$1)),OFFSET(Q$16,0,0,1,-OFFSET(Assumptions!$B$67,0,$C$1)))-SUMPRODUCT(OFFSET(Q$468,0,0,1,-OFFSET(Assumptions!$B$67,0,$C$1)),OFFSET(Q$16,0,0,1,-OFFSET(Assumptions!$B$67,0,$C$1))))/OFFSET(Assumptions!$B$67,0,$C$1)-(Q$469-Q$468)/Q$14,((Q$469-Q$468)/Q$14-(P$469-P$468)/P$14)/Q$2),0))*R$14 +R$468</f>
        <v>9.8423616589417549</v>
      </c>
      <c r="S469" s="8">
        <f ca="1">((R$469-R$468)/R$14+ IF(S$2&gt;0,S$2*IF(S$6=OFFSET(Assumptions!$B$8,0,$C$1),(SUMPRODUCT(OFFSET(R$469,0,0,1,-OFFSET(Assumptions!$B$67,0,$C$1)),OFFSET(R$16,0,0,1,-OFFSET(Assumptions!$B$67,0,$C$1)))-SUMPRODUCT(OFFSET(R$468,0,0,1,-OFFSET(Assumptions!$B$67,0,$C$1)),OFFSET(R$16,0,0,1,-OFFSET(Assumptions!$B$67,0,$C$1))))/OFFSET(Assumptions!$B$67,0,$C$1)-(R$469-R$468)/R$14,((R$469-R$468)/R$14-(Q$469-Q$468)/Q$14)/R$2),0))*S$14 +S$468</f>
        <v>10.245187397070517</v>
      </c>
      <c r="T469" s="8">
        <f ca="1">((S$469-S$468)/S$14+ IF(T$2&gt;0,T$2*IF(T$6=OFFSET(Assumptions!$B$8,0,$C$1),(SUMPRODUCT(OFFSET(S$469,0,0,1,-OFFSET(Assumptions!$B$67,0,$C$1)),OFFSET(S$16,0,0,1,-OFFSET(Assumptions!$B$67,0,$C$1)))-SUMPRODUCT(OFFSET(S$468,0,0,1,-OFFSET(Assumptions!$B$67,0,$C$1)),OFFSET(S$16,0,0,1,-OFFSET(Assumptions!$B$67,0,$C$1))))/OFFSET(Assumptions!$B$67,0,$C$1)-(S$469-S$468)/S$14,((S$469-S$468)/S$14-(R$469-R$468)/R$14)/S$2),0))*T$14 +T$468</f>
        <v>10.660470272897925</v>
      </c>
      <c r="U469" s="8">
        <f ca="1">((T$469-T$468)/T$14+ IF(U$2&gt;0,U$2*IF(U$6=OFFSET(Assumptions!$B$8,0,$C$1),(SUMPRODUCT(OFFSET(T$469,0,0,1,-OFFSET(Assumptions!$B$67,0,$C$1)),OFFSET(T$16,0,0,1,-OFFSET(Assumptions!$B$67,0,$C$1)))-SUMPRODUCT(OFFSET(T$468,0,0,1,-OFFSET(Assumptions!$B$67,0,$C$1)),OFFSET(T$16,0,0,1,-OFFSET(Assumptions!$B$67,0,$C$1))))/OFFSET(Assumptions!$B$67,0,$C$1)-(T$469-T$468)/T$14,((T$469-T$468)/T$14-(S$469-S$468)/S$14)/T$2),0))*U$14 +U$468</f>
        <v>11.089700725718604</v>
      </c>
      <c r="V469" s="8">
        <f ca="1">((U$469-U$468)/U$14+ IF(V$2&gt;0,V$2*IF(V$6=OFFSET(Assumptions!$B$8,0,$C$1),(SUMPRODUCT(OFFSET(U$469,0,0,1,-OFFSET(Assumptions!$B$67,0,$C$1)),OFFSET(U$16,0,0,1,-OFFSET(Assumptions!$B$67,0,$C$1)))-SUMPRODUCT(OFFSET(U$468,0,0,1,-OFFSET(Assumptions!$B$67,0,$C$1)),OFFSET(U$16,0,0,1,-OFFSET(Assumptions!$B$67,0,$C$1))))/OFFSET(Assumptions!$B$67,0,$C$1)-(U$469-U$468)/U$14,((U$469-U$468)/U$14-(T$469-T$468)/T$14)/U$2),0))*V$14 +V$468</f>
        <v>11.533938313357005</v>
      </c>
      <c r="W469" s="8">
        <f ca="1">((V$469-V$468)/V$14+ IF(W$2&gt;0,W$2*IF(W$6=OFFSET(Assumptions!$B$8,0,$C$1),(SUMPRODUCT(OFFSET(V$469,0,0,1,-OFFSET(Assumptions!$B$67,0,$C$1)),OFFSET(V$16,0,0,1,-OFFSET(Assumptions!$B$67,0,$C$1)))-SUMPRODUCT(OFFSET(V$468,0,0,1,-OFFSET(Assumptions!$B$67,0,$C$1)),OFFSET(V$16,0,0,1,-OFFSET(Assumptions!$B$67,0,$C$1))))/OFFSET(Assumptions!$B$67,0,$C$1)-(V$469-V$468)/V$14,((V$469-V$468)/V$14-(U$469-U$468)/U$14)/V$2),0))*W$14 +W$468</f>
        <v>11.994470104157834</v>
      </c>
      <c r="X469" s="8">
        <f ca="1">((W$469-W$468)/W$14+ IF(X$2&gt;0,X$2*IF(X$6=OFFSET(Assumptions!$B$8,0,$C$1),(SUMPRODUCT(OFFSET(W$469,0,0,1,-OFFSET(Assumptions!$B$67,0,$C$1)),OFFSET(W$16,0,0,1,-OFFSET(Assumptions!$B$67,0,$C$1)))-SUMPRODUCT(OFFSET(W$468,0,0,1,-OFFSET(Assumptions!$B$67,0,$C$1)),OFFSET(W$16,0,0,1,-OFFSET(Assumptions!$B$67,0,$C$1))))/OFFSET(Assumptions!$B$67,0,$C$1)-(W$469-W$468)/W$14,((W$469-W$468)/W$14-(V$469-V$468)/V$14)/W$2),0))*X$14 +X$468</f>
        <v>12.472754812917426</v>
      </c>
      <c r="Y469" s="8">
        <f ca="1">((X$469-X$468)/X$14+ IF(Y$2&gt;0,Y$2*IF(Y$6=OFFSET(Assumptions!$B$8,0,$C$1),(SUMPRODUCT(OFFSET(X$469,0,0,1,-OFFSET(Assumptions!$B$67,0,$C$1)),OFFSET(X$16,0,0,1,-OFFSET(Assumptions!$B$67,0,$C$1)))-SUMPRODUCT(OFFSET(X$468,0,0,1,-OFFSET(Assumptions!$B$67,0,$C$1)),OFFSET(X$16,0,0,1,-OFFSET(Assumptions!$B$67,0,$C$1))))/OFFSET(Assumptions!$B$67,0,$C$1)-(X$469-X$468)/X$14,((X$469-X$468)/X$14-(W$469-W$468)/W$14)/X$2),0))*Y$14 +Y$468</f>
        <v>12.96874354310215</v>
      </c>
      <c r="Z469" s="8">
        <f ca="1">((Y$469-Y$468)/Y$14+ IF(Z$2&gt;0,Z$2*IF(Z$6=OFFSET(Assumptions!$B$8,0,$C$1),(SUMPRODUCT(OFFSET(Y$469,0,0,1,-OFFSET(Assumptions!$B$67,0,$C$1)),OFFSET(Y$16,0,0,1,-OFFSET(Assumptions!$B$67,0,$C$1)))-SUMPRODUCT(OFFSET(Y$468,0,0,1,-OFFSET(Assumptions!$B$67,0,$C$1)),OFFSET(Y$16,0,0,1,-OFFSET(Assumptions!$B$67,0,$C$1))))/OFFSET(Assumptions!$B$67,0,$C$1)-(Y$469-Y$468)/Y$14,((Y$469-Y$468)/Y$14-(X$469-X$468)/X$14)/Y$2),0))*Z$14 +Z$468</f>
        <v>13.484946812295346</v>
      </c>
      <c r="AA469" s="8">
        <f ca="1">((Z$469-Z$468)/Z$14+ IF(AA$2&gt;0,AA$2*IF(AA$6=OFFSET(Assumptions!$B$8,0,$C$1),(SUMPRODUCT(OFFSET(Z$469,0,0,1,-OFFSET(Assumptions!$B$67,0,$C$1)),OFFSET(Z$16,0,0,1,-OFFSET(Assumptions!$B$67,0,$C$1)))-SUMPRODUCT(OFFSET(Z$468,0,0,1,-OFFSET(Assumptions!$B$67,0,$C$1)),OFFSET(Z$16,0,0,1,-OFFSET(Assumptions!$B$67,0,$C$1))))/OFFSET(Assumptions!$B$67,0,$C$1)-(Z$469-Z$468)/Z$14,((Z$469-Z$468)/Z$14-(Y$469-Y$468)/Y$14)/Z$2),0))*AA$14 +AA$468</f>
        <v>14.022199839166696</v>
      </c>
      <c r="AB469" s="8">
        <f ca="1">((AA$469-AA$468)/AA$14+ IF(AB$2&gt;0,AB$2*IF(AB$6=OFFSET(Assumptions!$B$8,0,$C$1),(SUMPRODUCT(OFFSET(AA$469,0,0,1,-OFFSET(Assumptions!$B$67,0,$C$1)),OFFSET(AA$16,0,0,1,-OFFSET(Assumptions!$B$67,0,$C$1)))-SUMPRODUCT(OFFSET(AA$468,0,0,1,-OFFSET(Assumptions!$B$67,0,$C$1)),OFFSET(AA$16,0,0,1,-OFFSET(Assumptions!$B$67,0,$C$1))))/OFFSET(Assumptions!$B$67,0,$C$1)-(AA$469-AA$468)/AA$14,((AA$469-AA$468)/AA$14-(Z$469-Z$468)/Z$14)/AA$2),0))*AB$14 +AB$468</f>
        <v>14.582116044171883</v>
      </c>
      <c r="AC469" s="8">
        <f ca="1">((AB$469-AB$468)/AB$14+ IF(AC$2&gt;0,AC$2*IF(AC$6=OFFSET(Assumptions!$B$8,0,$C$1),(SUMPRODUCT(OFFSET(AB$469,0,0,1,-OFFSET(Assumptions!$B$67,0,$C$1)),OFFSET(AB$16,0,0,1,-OFFSET(Assumptions!$B$67,0,$C$1)))-SUMPRODUCT(OFFSET(AB$468,0,0,1,-OFFSET(Assumptions!$B$67,0,$C$1)),OFFSET(AB$16,0,0,1,-OFFSET(Assumptions!$B$67,0,$C$1))))/OFFSET(Assumptions!$B$67,0,$C$1)-(AB$469-AB$468)/AB$14,((AB$469-AB$468)/AB$14-(AA$469-AA$468)/AA$14)/AB$2),0))*AC$14 +AC$468</f>
        <v>15.166809186966773</v>
      </c>
      <c r="AD469" s="8">
        <f ca="1">((AC$469-AC$468)/AC$14+ IF(AD$2&gt;0,AD$2*IF(AD$6=OFFSET(Assumptions!$B$8,0,$C$1),(SUMPRODUCT(OFFSET(AC$469,0,0,1,-OFFSET(Assumptions!$B$67,0,$C$1)),OFFSET(AC$16,0,0,1,-OFFSET(Assumptions!$B$67,0,$C$1)))-SUMPRODUCT(OFFSET(AC$468,0,0,1,-OFFSET(Assumptions!$B$67,0,$C$1)),OFFSET(AC$16,0,0,1,-OFFSET(Assumptions!$B$67,0,$C$1))))/OFFSET(Assumptions!$B$67,0,$C$1)-(AC$469-AC$468)/AC$14,((AC$469-AC$468)/AC$14-(AB$469-AB$468)/AB$14)/AC$2),0))*AD$14 +AD$468</f>
        <v>15.776895541336469</v>
      </c>
      <c r="AE469" s="8">
        <f ca="1">((AD$469-AD$468)/AD$14+ IF(AE$2&gt;0,AE$2*IF(AE$6=OFFSET(Assumptions!$B$8,0,$C$1),(SUMPRODUCT(OFFSET(AD$469,0,0,1,-OFFSET(Assumptions!$B$67,0,$C$1)),OFFSET(AD$16,0,0,1,-OFFSET(Assumptions!$B$67,0,$C$1)))-SUMPRODUCT(OFFSET(AD$468,0,0,1,-OFFSET(Assumptions!$B$67,0,$C$1)),OFFSET(AD$16,0,0,1,-OFFSET(Assumptions!$B$67,0,$C$1))))/OFFSET(Assumptions!$B$67,0,$C$1)-(AD$469-AD$468)/AD$14,((AD$469-AD$468)/AD$14-(AC$469-AC$468)/AC$14)/AD$2),0))*AE$14 +AE$468</f>
        <v>16.41181482428069</v>
      </c>
      <c r="AF469" s="8">
        <f ca="1">((AE$469-AE$468)/AE$14+ IF(AF$2&gt;0,AF$2*IF(AF$6=OFFSET(Assumptions!$B$8,0,$C$1),(SUMPRODUCT(OFFSET(AE$469,0,0,1,-OFFSET(Assumptions!$B$67,0,$C$1)),OFFSET(AE$16,0,0,1,-OFFSET(Assumptions!$B$67,0,$C$1)))-SUMPRODUCT(OFFSET(AE$468,0,0,1,-OFFSET(Assumptions!$B$67,0,$C$1)),OFFSET(AE$16,0,0,1,-OFFSET(Assumptions!$B$67,0,$C$1))))/OFFSET(Assumptions!$B$67,0,$C$1)-(AE$469-AE$468)/AE$14,((AE$469-AE$468)/AE$14-(AD$469-AD$468)/AD$14)/AE$2),0))*AF$14 +AF$468</f>
        <v>17.073323603233028</v>
      </c>
      <c r="AG469" s="8">
        <f ca="1">((AF$469-AF$468)/AF$14+ IF(AG$2&gt;0,AG$2*IF(AG$6=OFFSET(Assumptions!$B$8,0,$C$1),(SUMPRODUCT(OFFSET(AF$469,0,0,1,-OFFSET(Assumptions!$B$67,0,$C$1)),OFFSET(AF$16,0,0,1,-OFFSET(Assumptions!$B$67,0,$C$1)))-SUMPRODUCT(OFFSET(AF$468,0,0,1,-OFFSET(Assumptions!$B$67,0,$C$1)),OFFSET(AF$16,0,0,1,-OFFSET(Assumptions!$B$67,0,$C$1))))/OFFSET(Assumptions!$B$67,0,$C$1)-(AF$469-AF$468)/AF$14,((AF$469-AF$468)/AF$14-(AE$469-AE$468)/AE$14)/AF$2),0))*AG$14 +AG$468</f>
        <v>17.761791766241416</v>
      </c>
      <c r="AH469" s="8">
        <f ca="1">((AG$469-AG$468)/AG$14+ IF(AH$2&gt;0,AH$2*IF(AH$6=OFFSET(Assumptions!$B$8,0,$C$1),(SUMPRODUCT(OFFSET(AG$469,0,0,1,-OFFSET(Assumptions!$B$67,0,$C$1)),OFFSET(AG$16,0,0,1,-OFFSET(Assumptions!$B$67,0,$C$1)))-SUMPRODUCT(OFFSET(AG$468,0,0,1,-OFFSET(Assumptions!$B$67,0,$C$1)),OFFSET(AG$16,0,0,1,-OFFSET(Assumptions!$B$67,0,$C$1))))/OFFSET(Assumptions!$B$67,0,$C$1)-(AG$469-AG$468)/AG$14,((AG$469-AG$468)/AG$14-(AF$469-AF$468)/AF$14)/AG$2),0))*AH$14 +AH$468</f>
        <v>18.478323319775498</v>
      </c>
      <c r="AI469" s="8">
        <f ca="1">((AH$469-AH$468)/AH$14+ IF(AI$2&gt;0,AI$2*IF(AI$6=OFFSET(Assumptions!$B$8,0,$C$1),(SUMPRODUCT(OFFSET(AH$469,0,0,1,-OFFSET(Assumptions!$B$67,0,$C$1)),OFFSET(AH$16,0,0,1,-OFFSET(Assumptions!$B$67,0,$C$1)))-SUMPRODUCT(OFFSET(AH$468,0,0,1,-OFFSET(Assumptions!$B$67,0,$C$1)),OFFSET(AH$16,0,0,1,-OFFSET(Assumptions!$B$67,0,$C$1))))/OFFSET(Assumptions!$B$67,0,$C$1)-(AH$469-AH$468)/AH$14,((AH$469-AH$468)/AH$14-(AG$469-AG$468)/AG$14)/AH$2),0))*AI$14 +AI$468</f>
        <v>19.221666246015239</v>
      </c>
      <c r="AJ469" s="8">
        <f ca="1">((AI$469-AI$468)/AI$14+ IF(AJ$2&gt;0,AJ$2*IF(AJ$6=OFFSET(Assumptions!$B$8,0,$C$1),(SUMPRODUCT(OFFSET(AI$469,0,0,1,-OFFSET(Assumptions!$B$67,0,$C$1)),OFFSET(AI$16,0,0,1,-OFFSET(Assumptions!$B$67,0,$C$1)))-SUMPRODUCT(OFFSET(AI$468,0,0,1,-OFFSET(Assumptions!$B$67,0,$C$1)),OFFSET(AI$16,0,0,1,-OFFSET(Assumptions!$B$67,0,$C$1))))/OFFSET(Assumptions!$B$67,0,$C$1)-(AI$469-AI$468)/AI$14,((AI$469-AI$468)/AI$14-(AH$469-AH$468)/AH$14)/AI$2),0))*AJ$14 +AJ$468</f>
        <v>19.994201842711732</v>
      </c>
      <c r="AK469" s="8">
        <f ca="1">((AJ$469-AJ$468)/AJ$14+ IF(AK$2&gt;0,AK$2*IF(AK$6=OFFSET(Assumptions!$B$8,0,$C$1),(SUMPRODUCT(OFFSET(AJ$469,0,0,1,-OFFSET(Assumptions!$B$67,0,$C$1)),OFFSET(AJ$16,0,0,1,-OFFSET(Assumptions!$B$67,0,$C$1)))-SUMPRODUCT(OFFSET(AJ$468,0,0,1,-OFFSET(Assumptions!$B$67,0,$C$1)),OFFSET(AJ$16,0,0,1,-OFFSET(Assumptions!$B$67,0,$C$1))))/OFFSET(Assumptions!$B$67,0,$C$1)-(AJ$469-AJ$468)/AJ$14,((AJ$469-AJ$468)/AJ$14-(AI$469-AI$468)/AI$14)/AJ$2),0))*AK$14 +AK$468</f>
        <v>20.795294598286276</v>
      </c>
      <c r="AL469" s="8">
        <f ca="1">((AK$469-AK$468)/AK$14+ IF(AL$2&gt;0,AL$2*IF(AL$6=OFFSET(Assumptions!$B$8,0,$C$1),(SUMPRODUCT(OFFSET(AK$469,0,0,1,-OFFSET(Assumptions!$B$67,0,$C$1)),OFFSET(AK$16,0,0,1,-OFFSET(Assumptions!$B$67,0,$C$1)))-SUMPRODUCT(OFFSET(AK$468,0,0,1,-OFFSET(Assumptions!$B$67,0,$C$1)),OFFSET(AK$16,0,0,1,-OFFSET(Assumptions!$B$67,0,$C$1))))/OFFSET(Assumptions!$B$67,0,$C$1)-(AK$469-AK$468)/AK$14,((AK$469-AK$468)/AK$14-(AJ$469-AJ$468)/AJ$14)/AK$2),0))*AL$14 +AL$468</f>
        <v>21.624313469874622</v>
      </c>
      <c r="AM469" s="8">
        <f ca="1">((AL$469-AL$468)/AL$14+ IF(AM$2&gt;0,AM$2*IF(AM$6=OFFSET(Assumptions!$B$8,0,$C$1),(SUMPRODUCT(OFFSET(AL$469,0,0,1,-OFFSET(Assumptions!$B$67,0,$C$1)),OFFSET(AL$16,0,0,1,-OFFSET(Assumptions!$B$67,0,$C$1)))-SUMPRODUCT(OFFSET(AL$468,0,0,1,-OFFSET(Assumptions!$B$67,0,$C$1)),OFFSET(AL$16,0,0,1,-OFFSET(Assumptions!$B$67,0,$C$1))))/OFFSET(Assumptions!$B$67,0,$C$1)-(AL$469-AL$468)/AL$14,((AL$469-AL$468)/AL$14-(AK$469-AK$468)/AK$14)/AL$2),0))*AM$14 +AM$468</f>
        <v>22.482391005210424</v>
      </c>
      <c r="AN469" s="8">
        <f ca="1">((AM$469-AM$468)/AM$14+ IF(AN$2&gt;0,AN$2*IF(AN$6=OFFSET(Assumptions!$B$8,0,$C$1),(SUMPRODUCT(OFFSET(AM$469,0,0,1,-OFFSET(Assumptions!$B$67,0,$C$1)),OFFSET(AM$16,0,0,1,-OFFSET(Assumptions!$B$67,0,$C$1)))-SUMPRODUCT(OFFSET(AM$468,0,0,1,-OFFSET(Assumptions!$B$67,0,$C$1)),OFFSET(AM$16,0,0,1,-OFFSET(Assumptions!$B$67,0,$C$1))))/OFFSET(Assumptions!$B$67,0,$C$1)-(AM$469-AM$468)/AM$14,((AM$469-AM$468)/AM$14-(AL$469-AL$468)/AL$14)/AM$2),0))*AN$14 +AN$468</f>
        <v>23.370720781835644</v>
      </c>
      <c r="AO469" s="8">
        <f ca="1">((AN$469-AN$468)/AN$14+ IF(AO$2&gt;0,AO$2*IF(AO$6=OFFSET(Assumptions!$B$8,0,$C$1),(SUMPRODUCT(OFFSET(AN$469,0,0,1,-OFFSET(Assumptions!$B$67,0,$C$1)),OFFSET(AN$16,0,0,1,-OFFSET(Assumptions!$B$67,0,$C$1)))-SUMPRODUCT(OFFSET(AN$468,0,0,1,-OFFSET(Assumptions!$B$67,0,$C$1)),OFFSET(AN$16,0,0,1,-OFFSET(Assumptions!$B$67,0,$C$1))))/OFFSET(Assumptions!$B$67,0,$C$1)-(AN$469-AN$468)/AN$14,((AN$469-AN$468)/AN$14-(AM$469-AM$468)/AM$14)/AN$2),0))*AO$14 +AO$468</f>
        <v>24.28581463591614</v>
      </c>
      <c r="AP469" s="8">
        <f ca="1">((AO$469-AO$468)/AO$14+ IF(AP$2&gt;0,AP$2*IF(AP$6=OFFSET(Assumptions!$B$8,0,$C$1),(SUMPRODUCT(OFFSET(AO$469,0,0,1,-OFFSET(Assumptions!$B$67,0,$C$1)),OFFSET(AO$16,0,0,1,-OFFSET(Assumptions!$B$67,0,$C$1)))-SUMPRODUCT(OFFSET(AO$468,0,0,1,-OFFSET(Assumptions!$B$67,0,$C$1)),OFFSET(AO$16,0,0,1,-OFFSET(Assumptions!$B$67,0,$C$1))))/OFFSET(Assumptions!$B$67,0,$C$1)-(AO$469-AO$468)/AO$14,((AO$469-AO$468)/AO$14-(AN$469-AN$468)/AN$14)/AO$2),0))*AP$14 +AP$468</f>
        <v>25.231558509036109</v>
      </c>
      <c r="AQ469" s="8">
        <f ca="1">((AP$469-AP$468)/AP$14+ IF(AQ$2&gt;0,AQ$2*IF(AQ$6=OFFSET(Assumptions!$B$8,0,$C$1),(SUMPRODUCT(OFFSET(AP$469,0,0,1,-OFFSET(Assumptions!$B$67,0,$C$1)),OFFSET(AP$16,0,0,1,-OFFSET(Assumptions!$B$67,0,$C$1)))-SUMPRODUCT(OFFSET(AP$468,0,0,1,-OFFSET(Assumptions!$B$67,0,$C$1)),OFFSET(AP$16,0,0,1,-OFFSET(Assumptions!$B$67,0,$C$1))))/OFFSET(Assumptions!$B$67,0,$C$1)-(AP$469-AP$468)/AP$14,((AP$469-AP$468)/AP$14-(AO$469-AO$468)/AO$14)/AP$2),0))*AQ$14 +AQ$468</f>
        <v>26.205302429847578</v>
      </c>
      <c r="AR469" s="8">
        <f ca="1">((AQ$469-AQ$468)/AQ$14+ IF(AR$2&gt;0,AR$2*IF(AR$6=OFFSET(Assumptions!$B$8,0,$C$1),(SUMPRODUCT(OFFSET(AQ$469,0,0,1,-OFFSET(Assumptions!$B$67,0,$C$1)),OFFSET(AQ$16,0,0,1,-OFFSET(Assumptions!$B$67,0,$C$1)))-SUMPRODUCT(OFFSET(AQ$468,0,0,1,-OFFSET(Assumptions!$B$67,0,$C$1)),OFFSET(AQ$16,0,0,1,-OFFSET(Assumptions!$B$67,0,$C$1))))/OFFSET(Assumptions!$B$67,0,$C$1)-(AQ$469-AQ$468)/AQ$14,((AQ$469-AQ$468)/AQ$14-(AP$469-AP$468)/AP$14)/AQ$2),0))*AR$14 +AR$468</f>
        <v>27.208148850668643</v>
      </c>
      <c r="AS469" s="8">
        <f ca="1">((AR$469-AR$468)/AR$14+ IF(AS$2&gt;0,AS$2*IF(AS$6=OFFSET(Assumptions!$B$8,0,$C$1),(SUMPRODUCT(OFFSET(AR$469,0,0,1,-OFFSET(Assumptions!$B$67,0,$C$1)),OFFSET(AR$16,0,0,1,-OFFSET(Assumptions!$B$67,0,$C$1)))-SUMPRODUCT(OFFSET(AR$468,0,0,1,-OFFSET(Assumptions!$B$67,0,$C$1)),OFFSET(AR$16,0,0,1,-OFFSET(Assumptions!$B$67,0,$C$1))))/OFFSET(Assumptions!$B$67,0,$C$1)-(AR$469-AR$468)/AR$14,((AR$469-AR$468)/AR$14-(AQ$469-AQ$468)/AQ$14)/AR$2),0))*AS$14 +AS$468</f>
        <v>28.242437383273099</v>
      </c>
      <c r="AT469" s="8">
        <f ca="1">((AS$469-AS$468)/AS$14+ IF(AT$2&gt;0,AT$2*IF(AT$6=OFFSET(Assumptions!$B$8,0,$C$1),(SUMPRODUCT(OFFSET(AS$469,0,0,1,-OFFSET(Assumptions!$B$67,0,$C$1)),OFFSET(AS$16,0,0,1,-OFFSET(Assumptions!$B$67,0,$C$1)))-SUMPRODUCT(OFFSET(AS$468,0,0,1,-OFFSET(Assumptions!$B$67,0,$C$1)),OFFSET(AS$16,0,0,1,-OFFSET(Assumptions!$B$67,0,$C$1))))/OFFSET(Assumptions!$B$67,0,$C$1)-(AS$469-AS$468)/AS$14,((AS$469-AS$468)/AS$14-(AR$469-AR$468)/AR$14)/AS$2),0))*AT$14 +AT$468</f>
        <v>29.308994080050262</v>
      </c>
      <c r="AU469" s="8">
        <f ca="1">((AT$469-AT$468)/AT$14+ IF(AU$2&gt;0,AU$2*IF(AU$6=OFFSET(Assumptions!$B$8,0,$C$1),(SUMPRODUCT(OFFSET(AT$469,0,0,1,-OFFSET(Assumptions!$B$67,0,$C$1)),OFFSET(AT$16,0,0,1,-OFFSET(Assumptions!$B$67,0,$C$1)))-SUMPRODUCT(OFFSET(AT$468,0,0,1,-OFFSET(Assumptions!$B$67,0,$C$1)),OFFSET(AT$16,0,0,1,-OFFSET(Assumptions!$B$67,0,$C$1))))/OFFSET(Assumptions!$B$67,0,$C$1)-(AT$469-AT$468)/AT$14,((AT$469-AT$468)/AT$14-(AS$469-AS$468)/AS$14)/AT$2),0))*AU$14 +AU$468</f>
        <v>30.409237223303812</v>
      </c>
      <c r="AV469" s="8">
        <f ca="1">((AU$469-AU$468)/AU$14+ IF(AV$2&gt;0,AV$2*IF(AV$6=OFFSET(Assumptions!$B$8,0,$C$1),(SUMPRODUCT(OFFSET(AU$469,0,0,1,-OFFSET(Assumptions!$B$67,0,$C$1)),OFFSET(AU$16,0,0,1,-OFFSET(Assumptions!$B$67,0,$C$1)))-SUMPRODUCT(OFFSET(AU$468,0,0,1,-OFFSET(Assumptions!$B$67,0,$C$1)),OFFSET(AU$16,0,0,1,-OFFSET(Assumptions!$B$67,0,$C$1))))/OFFSET(Assumptions!$B$67,0,$C$1)-(AU$469-AU$468)/AU$14,((AU$469-AU$468)/AU$14-(AT$469-AT$468)/AT$14)/AU$2),0))*AV$14 +AV$468</f>
        <v>31.546568652679007</v>
      </c>
      <c r="AW469" s="8">
        <f ca="1">((AV$469-AV$468)/AV$14+ IF(AW$2&gt;0,AW$2*IF(AW$6=OFFSET(Assumptions!$B$8,0,$C$1),(SUMPRODUCT(OFFSET(AV$469,0,0,1,-OFFSET(Assumptions!$B$67,0,$C$1)),OFFSET(AV$16,0,0,1,-OFFSET(Assumptions!$B$67,0,$C$1)))-SUMPRODUCT(OFFSET(AV$468,0,0,1,-OFFSET(Assumptions!$B$67,0,$C$1)),OFFSET(AV$16,0,0,1,-OFFSET(Assumptions!$B$67,0,$C$1))))/OFFSET(Assumptions!$B$67,0,$C$1)-(AV$469-AV$468)/AV$14,((AV$469-AV$468)/AV$14-(AU$469-AU$468)/AU$14)/AV$2),0))*AW$14 +AW$468</f>
        <v>32.720346280690976</v>
      </c>
    </row>
    <row r="471" spans="1:49" x14ac:dyDescent="0.2">
      <c r="A471" s="22" t="s">
        <v>609</v>
      </c>
    </row>
    <row r="472" spans="1:49" x14ac:dyDescent="0.2">
      <c r="A472" s="1" t="s">
        <v>418</v>
      </c>
      <c r="B472" s="4" t="str">
        <f t="shared" ref="B472:B478" si="274">$B$43</f>
        <v>From Fiscal</v>
      </c>
      <c r="D472" s="18">
        <f>Fiscal!D$358</f>
        <v>66.347999999999999</v>
      </c>
      <c r="E472" s="19">
        <f>Fiscal!E$358</f>
        <v>69.018000000000001</v>
      </c>
      <c r="F472" s="19">
        <f>Fiscal!F$358</f>
        <v>71.177000000000007</v>
      </c>
      <c r="G472" s="19">
        <f>Fiscal!G$358</f>
        <v>74.840999999999994</v>
      </c>
      <c r="H472" s="19">
        <f>Fiscal!H$358</f>
        <v>79.722999999999999</v>
      </c>
      <c r="I472" s="19">
        <f>Fiscal!I$358</f>
        <v>83.831000000000003</v>
      </c>
      <c r="J472" s="7">
        <f ca="1">IF(J$6=OFFSET(Assumptions!$B$8,0,$C$1),AVERAGE((G$472-G$364)/G$139,(H$472-H$364)/H$139,(I$472-I$364)/I$139),(I$472-I$364)/I$139) *J$139+J$364</f>
        <v>87.574916021414197</v>
      </c>
      <c r="K472" s="7">
        <f ca="1">IF(K$6=OFFSET(Assumptions!$B$8,0,$C$1),AVERAGE((H$472-H$364)/H$139,(I$472-I$364)/I$139,(J$472-J$364)/J$139),(J$472-J$364)/J$139) *K$139+K$364</f>
        <v>91.696326660941139</v>
      </c>
      <c r="L472" s="7">
        <f ca="1">IF(L$6=OFFSET(Assumptions!$B$8,0,$C$1),AVERAGE((I$472-I$364)/I$139,(J$472-J$364)/J$139,(K$472-K$364)/K$139),(K$472-K$364)/K$139) *L$139+L$364</f>
        <v>95.904141749592156</v>
      </c>
      <c r="M472" s="7">
        <f ca="1">IF(M$6=OFFSET(Assumptions!$B$8,0,$C$1),AVERAGE((J$472-J$364)/J$139,(K$472-K$364)/K$139,(L$472-L$364)/L$139),(L$472-L$364)/L$139) *M$139+M$364</f>
        <v>100.13190692503412</v>
      </c>
      <c r="N472" s="7">
        <f ca="1">IF(N$6=OFFSET(Assumptions!$B$8,0,$C$1),AVERAGE((K$472-K$364)/K$139,(L$472-L$364)/L$139,(M$472-M$364)/M$139),(M$472-M$364)/M$139) *N$139+N$364</f>
        <v>104.53056343872431</v>
      </c>
      <c r="O472" s="7">
        <f ca="1">IF(O$6=OFFSET(Assumptions!$B$8,0,$C$1),AVERAGE((L$472-L$364)/L$139,(M$472-M$364)/M$139,(N$472-N$364)/N$139),(N$472-N$364)/N$139) *O$139+O$364</f>
        <v>109.05937215209713</v>
      </c>
      <c r="P472" s="7">
        <f ca="1">IF(P$6=OFFSET(Assumptions!$B$8,0,$C$1),AVERAGE((M$472-M$364)/M$139,(N$472-N$364)/N$139,(O$472-O$364)/O$139),(O$472-O$364)/O$139) *P$139+P$364</f>
        <v>113.92371235341248</v>
      </c>
      <c r="Q472" s="7">
        <f ca="1">IF(Q$6=OFFSET(Assumptions!$B$8,0,$C$1),AVERAGE((N$472-N$364)/N$139,(O$472-O$364)/O$139,(P$472-P$364)/P$139),(P$472-P$364)/P$139) *Q$139+Q$364</f>
        <v>118.83469583446397</v>
      </c>
      <c r="R472" s="7">
        <f ca="1">IF(R$6=OFFSET(Assumptions!$B$8,0,$C$1),AVERAGE((O$472-O$364)/O$139,(P$472-P$364)/P$139,(Q$472-Q$364)/Q$139),(Q$472-Q$364)/Q$139) *R$139+R$364</f>
        <v>123.79308341938008</v>
      </c>
      <c r="S472" s="7">
        <f ca="1">IF(S$6=OFFSET(Assumptions!$B$8,0,$C$1),AVERAGE((P$472-P$364)/P$139,(Q$472-Q$364)/Q$139,(R$472-R$364)/R$139),(R$472-R$364)/R$139) *S$139+S$364</f>
        <v>128.90518751254081</v>
      </c>
      <c r="T472" s="7">
        <f ca="1">IF(T$6=OFFSET(Assumptions!$B$8,0,$C$1),AVERAGE((Q$472-Q$364)/Q$139,(R$472-R$364)/R$139,(S$472-S$364)/S$139),(S$472-S$364)/S$139) *T$139+T$364</f>
        <v>134.17329996138392</v>
      </c>
      <c r="U472" s="7">
        <f ca="1">IF(U$6=OFFSET(Assumptions!$B$8,0,$C$1),AVERAGE((R$472-R$364)/R$139,(S$472-S$364)/S$139,(T$472-T$364)/T$139),(T$472-T$364)/T$139) *U$139+U$364</f>
        <v>139.61597200979301</v>
      </c>
      <c r="V472" s="7">
        <f ca="1">IF(V$6=OFFSET(Assumptions!$B$8,0,$C$1),AVERAGE((S$472-S$364)/S$139,(T$472-T$364)/T$139,(U$472-U$364)/U$139),(U$472-U$364)/U$139) *V$139+V$364</f>
        <v>145.24617568974898</v>
      </c>
      <c r="W472" s="7">
        <f ca="1">IF(W$6=OFFSET(Assumptions!$B$8,0,$C$1),AVERAGE((T$472-T$364)/T$139,(U$472-U$364)/U$139,(V$472-V$364)/V$139),(V$472-V$364)/V$139) *W$139+W$364</f>
        <v>151.07968623899814</v>
      </c>
      <c r="X472" s="7">
        <f ca="1">IF(X$6=OFFSET(Assumptions!$B$8,0,$C$1),AVERAGE((U$472-U$364)/U$139,(V$472-V$364)/V$139,(W$472-W$364)/W$139),(W$472-W$364)/W$139) *X$139+X$364</f>
        <v>157.13463764681197</v>
      </c>
      <c r="Y472" s="7">
        <f ca="1">IF(Y$6=OFFSET(Assumptions!$B$8,0,$C$1),AVERAGE((V$472-V$364)/V$139,(W$472-W$364)/W$139,(X$472-X$364)/X$139),(X$472-X$364)/X$139) *Y$139+Y$364</f>
        <v>163.41025924269485</v>
      </c>
      <c r="Z472" s="7">
        <f ca="1">IF(Z$6=OFFSET(Assumptions!$B$8,0,$C$1),AVERAGE((W$472-W$364)/W$139,(X$472-X$364)/X$139,(Y$472-Y$364)/Y$139),(Y$472-Y$364)/Y$139) *Z$139+Z$364</f>
        <v>169.93773750826321</v>
      </c>
      <c r="AA472" s="7">
        <f ca="1">IF(AA$6=OFFSET(Assumptions!$B$8,0,$C$1),AVERAGE((X$472-X$364)/X$139,(Y$472-Y$364)/Y$139,(Z$472-Z$364)/Z$139),(Z$472-Z$364)/Z$139) *AA$139+AA$364</f>
        <v>176.72842176145193</v>
      </c>
      <c r="AB472" s="7">
        <f ca="1">IF(AB$6=OFFSET(Assumptions!$B$8,0,$C$1),AVERAGE((Y$472-Y$364)/Y$139,(Z$472-Z$364)/Z$139,(AA$472-AA$364)/AA$139),(AA$472-AA$364)/AA$139) *AB$139+AB$364</f>
        <v>183.80383364842115</v>
      </c>
      <c r="AC472" s="7">
        <f ca="1">IF(AC$6=OFFSET(Assumptions!$B$8,0,$C$1),AVERAGE((Z$472-Z$364)/Z$139,(AA$472-AA$364)/AA$139,(AB$472-AB$364)/AB$139),(AB$472-AB$364)/AB$139) *AC$139+AC$364</f>
        <v>191.1920769593616</v>
      </c>
      <c r="AD472" s="7">
        <f ca="1">IF(AD$6=OFFSET(Assumptions!$B$8,0,$C$1),AVERAGE((AA$472-AA$364)/AA$139,(AB$472-AB$364)/AB$139,(AC$472-AC$364)/AC$139),(AC$472-AC$364)/AC$139) *AD$139+AD$364</f>
        <v>198.90296076804992</v>
      </c>
      <c r="AE472" s="7">
        <f ca="1">IF(AE$6=OFFSET(Assumptions!$B$8,0,$C$1),AVERAGE((AB$472-AB$364)/AB$139,(AC$472-AC$364)/AC$139,(AD$472-AD$364)/AD$139),(AD$472-AD$364)/AD$139) *AE$139+AE$364</f>
        <v>206.93126200000984</v>
      </c>
      <c r="AF472" s="7">
        <f ca="1">IF(AF$6=OFFSET(Assumptions!$B$8,0,$C$1),AVERAGE((AC$472-AC$364)/AC$139,(AD$472-AD$364)/AD$139,(AE$472-AE$364)/AE$139),(AE$472-AE$364)/AE$139) *AF$139+AF$364</f>
        <v>215.30029175671817</v>
      </c>
      <c r="AG472" s="7">
        <f ca="1">IF(AG$6=OFFSET(Assumptions!$B$8,0,$C$1),AVERAGE((AD$472-AD$364)/AD$139,(AE$472-AE$364)/AE$139,(AF$472-AF$364)/AF$139),(AF$472-AF$364)/AF$139) *AG$139+AG$364</f>
        <v>224.01589218553517</v>
      </c>
      <c r="AH472" s="7">
        <f ca="1">IF(AH$6=OFFSET(Assumptions!$B$8,0,$C$1),AVERAGE((AE$472-AE$364)/AE$139,(AF$472-AF$364)/AF$139,(AG$472-AG$364)/AG$139),(AG$472-AG$364)/AG$139) *AH$139+AH$364</f>
        <v>233.09264662538834</v>
      </c>
      <c r="AI472" s="7">
        <f ca="1">IF(AI$6=OFFSET(Assumptions!$B$8,0,$C$1),AVERAGE((AF$472-AF$364)/AF$139,(AG$472-AG$364)/AG$139,(AH$472-AH$364)/AH$139),(AH$472-AH$364)/AH$139) *AI$139+AI$364</f>
        <v>242.51611970212363</v>
      </c>
      <c r="AJ472" s="7">
        <f ca="1">IF(AJ$6=OFFSET(Assumptions!$B$8,0,$C$1),AVERAGE((AG$472-AG$364)/AG$139,(AH$472-AH$364)/AH$139,(AI$472-AI$364)/AI$139),(AI$472-AI$364)/AI$139) *AJ$139+AJ$364</f>
        <v>252.31686666061594</v>
      </c>
      <c r="AK472" s="7">
        <f ca="1">IF(AK$6=OFFSET(Assumptions!$B$8,0,$C$1),AVERAGE((AH$472-AH$364)/AH$139,(AI$472-AI$364)/AI$139,(AJ$472-AJ$364)/AJ$139),(AJ$472-AJ$364)/AJ$139) *AK$139+AK$364</f>
        <v>262.48766947478612</v>
      </c>
      <c r="AL472" s="7">
        <f ca="1">IF(AL$6=OFFSET(Assumptions!$B$8,0,$C$1),AVERAGE((AI$472-AI$364)/AI$139,(AJ$472-AJ$364)/AJ$139,(AK$472-AK$364)/AK$139),(AK$472-AK$364)/AK$139) *AL$139+AL$364</f>
        <v>273.02135172111161</v>
      </c>
      <c r="AM472" s="7">
        <f ca="1">IF(AM$6=OFFSET(Assumptions!$B$8,0,$C$1),AVERAGE((AJ$472-AJ$364)/AJ$139,(AK$472-AK$364)/AK$139,(AL$472-AL$364)/AL$139),(AL$472-AL$364)/AL$139) *AM$139+AM$364</f>
        <v>283.93295304208584</v>
      </c>
      <c r="AN472" s="7">
        <f ca="1">IF(AN$6=OFFSET(Assumptions!$B$8,0,$C$1),AVERAGE((AK$472-AK$364)/AK$139,(AL$472-AL$364)/AL$139,(AM$472-AM$364)/AM$139),(AM$472-AM$364)/AM$139) *AN$139+AN$364</f>
        <v>295.23789583135056</v>
      </c>
      <c r="AO472" s="7">
        <f ca="1">IF(AO$6=OFFSET(Assumptions!$B$8,0,$C$1),AVERAGE((AL$472-AL$364)/AL$139,(AM$472-AM$364)/AM$139,(AN$472-AN$364)/AN$139),(AN$472-AN$364)/AN$139) *AO$139+AO$364</f>
        <v>306.89284903543614</v>
      </c>
      <c r="AP472" s="7">
        <f ca="1">IF(AP$6=OFFSET(Assumptions!$B$8,0,$C$1),AVERAGE((AM$472-AM$364)/AM$139,(AN$472-AN$364)/AN$139,(AO$472-AO$364)/AO$139),(AO$472-AO$364)/AO$139) *AP$139+AP$364</f>
        <v>318.9452245534539</v>
      </c>
      <c r="AQ472" s="7">
        <f ca="1">IF(AQ$6=OFFSET(Assumptions!$B$8,0,$C$1),AVERAGE((AN$472-AN$364)/AN$139,(AO$472-AO$364)/AO$139,(AP$472-AP$364)/AP$139),(AP$472-AP$364)/AP$139) *AQ$139+AQ$364</f>
        <v>331.36068448942478</v>
      </c>
      <c r="AR472" s="7">
        <f ca="1">IF(AR$6=OFFSET(Assumptions!$B$8,0,$C$1),AVERAGE((AO$472-AO$364)/AO$139,(AP$472-AP$364)/AP$139,(AQ$472-AQ$364)/AQ$139),(AQ$472-AQ$364)/AQ$139) *AR$139+AR$364</f>
        <v>344.15098903838998</v>
      </c>
      <c r="AS472" s="7">
        <f ca="1">IF(AS$6=OFFSET(Assumptions!$B$8,0,$C$1),AVERAGE((AP$472-AP$364)/AP$139,(AQ$472-AQ$364)/AQ$139,(AR$472-AR$364)/AR$139),(AR$472-AR$364)/AR$139) *AS$139+AS$364</f>
        <v>357.3427222692884</v>
      </c>
      <c r="AT472" s="7">
        <f ca="1">IF(AT$6=OFFSET(Assumptions!$B$8,0,$C$1),AVERAGE((AQ$472-AQ$364)/AQ$139,(AR$472-AR$364)/AR$139,(AS$472-AS$364)/AS$139),(AS$472-AS$364)/AS$139) *AT$139+AT$364</f>
        <v>370.94522291870231</v>
      </c>
      <c r="AU472" s="7">
        <f ca="1">IF(AU$6=OFFSET(Assumptions!$B$8,0,$C$1),AVERAGE((AR$472-AR$364)/AR$139,(AS$472-AS$364)/AS$139,(AT$472-AT$364)/AT$139),(AT$472-AT$364)/AT$139) *AU$139+AU$364</f>
        <v>384.97633638852517</v>
      </c>
      <c r="AV472" s="7">
        <f ca="1">IF(AV$6=OFFSET(Assumptions!$B$8,0,$C$1),AVERAGE((AS$472-AS$364)/AS$139,(AT$472-AT$364)/AT$139,(AU$472-AU$364)/AU$139),(AU$472-AU$364)/AU$139) *AV$139+AV$364</f>
        <v>399.4783911065544</v>
      </c>
      <c r="AW472" s="7">
        <f ca="1">IF(AW$6=OFFSET(Assumptions!$B$8,0,$C$1),AVERAGE((AT$472-AT$364)/AT$139,(AU$472-AU$364)/AU$139,(AV$472-AV$364)/AV$139),(AV$472-AV$364)/AV$139) *AW$139+AW$364</f>
        <v>414.44334894014287</v>
      </c>
    </row>
    <row r="473" spans="1:49" x14ac:dyDescent="0.2">
      <c r="A473" s="1" t="s">
        <v>193</v>
      </c>
      <c r="B473" s="4" t="str">
        <f t="shared" si="274"/>
        <v>From Fiscal</v>
      </c>
      <c r="D473" s="18">
        <f>Fiscal!D$359</f>
        <v>0.88900000000000001</v>
      </c>
      <c r="E473" s="19">
        <f>Fiscal!E$359</f>
        <v>0.82899999999999996</v>
      </c>
      <c r="F473" s="19">
        <f>Fiscal!F$359</f>
        <v>0.84599999999999997</v>
      </c>
      <c r="G473" s="19">
        <f>Fiscal!G$359</f>
        <v>0.85299999999999998</v>
      </c>
      <c r="H473" s="19">
        <f>Fiscal!H$359</f>
        <v>0.86099999999999999</v>
      </c>
      <c r="I473" s="19">
        <f>Fiscal!I$359</f>
        <v>0.82399999999999995</v>
      </c>
      <c r="J473" s="7">
        <f ca="1">IF(J$6=OFFSET(Assumptions!$B$8,0,$C$1),AVERAGE(G$473/G$142,H$473/H$142,I$473/I$142),I$473/I$142) *J$142</f>
        <v>0.92125581839256898</v>
      </c>
      <c r="K473" s="7">
        <f ca="1">IF(K$6=OFFSET(Assumptions!$B$8,0,$C$1),AVERAGE(H$473/H$142,I$473/I$142,J$473/J$142),J$473/J$142) *K$142</f>
        <v>0.95975528084507</v>
      </c>
      <c r="L473" s="7">
        <f ca="1">IF(L$6=OFFSET(Assumptions!$B$8,0,$C$1),AVERAGE(I$473/I$142,J$473/J$142,K$473/K$142),K$473/K$142) *L$142</f>
        <v>1.0013561521277632</v>
      </c>
      <c r="M473" s="7">
        <f ca="1">IF(M$6=OFFSET(Assumptions!$B$8,0,$C$1),AVERAGE(J$473/J$142,K$473/K$142,L$473/L$142),L$473/L$142) *M$142</f>
        <v>1.0446212003466144</v>
      </c>
      <c r="N473" s="7">
        <f ca="1">IF(N$6=OFFSET(Assumptions!$B$8,0,$C$1),AVERAGE(K$473/K$142,L$473/L$142,M$473/M$142),M$473/M$142) *N$142</f>
        <v>1.0896730766324685</v>
      </c>
      <c r="O473" s="7">
        <f ca="1">IF(O$6=OFFSET(Assumptions!$B$8,0,$C$1),AVERAGE(L$473/L$142,M$473/M$142,N$473/N$142),N$473/N$142) *O$142</f>
        <v>1.1361876604028991</v>
      </c>
      <c r="P473" s="7">
        <f ca="1">IF(P$6=OFFSET(Assumptions!$B$8,0,$C$1),AVERAGE(M$473/M$142,N$473/N$142,O$473/O$142),O$473/O$142) *P$142</f>
        <v>1.1842357881434156</v>
      </c>
      <c r="Q473" s="7">
        <f ca="1">IF(Q$6=OFFSET(Assumptions!$B$8,0,$C$1),AVERAGE(N$473/N$142,O$473/O$142,P$473/P$142),P$473/P$142) *Q$142</f>
        <v>1.2337655590535213</v>
      </c>
      <c r="R473" s="7">
        <f ca="1">IF(R$6=OFFSET(Assumptions!$B$8,0,$C$1),AVERAGE(O$473/O$142,P$473/P$142,Q$473/Q$142),Q$473/Q$142) *R$142</f>
        <v>1.2847402112701531</v>
      </c>
      <c r="S473" s="7">
        <f ca="1">IF(S$6=OFFSET(Assumptions!$B$8,0,$C$1),AVERAGE(P$473/P$142,Q$473/Q$142,R$473/R$142),R$473/R$142) *S$142</f>
        <v>1.3373217401594546</v>
      </c>
      <c r="T473" s="7">
        <f ca="1">IF(T$6=OFFSET(Assumptions!$B$8,0,$C$1),AVERAGE(Q$473/Q$142,R$473/R$142,S$473/S$142),S$473/S$142) *T$142</f>
        <v>1.3915293204247734</v>
      </c>
      <c r="U473" s="7">
        <f ca="1">IF(U$6=OFFSET(Assumptions!$B$8,0,$C$1),AVERAGE(R$473/R$142,S$473/S$142,T$473/T$142),T$473/T$142) *U$142</f>
        <v>1.4475575016427875</v>
      </c>
      <c r="V473" s="7">
        <f ca="1">IF(V$6=OFFSET(Assumptions!$B$8,0,$C$1),AVERAGE(S$473/S$142,T$473/T$142,U$473/U$142),U$473/U$142) *V$142</f>
        <v>1.5055445896988533</v>
      </c>
      <c r="W473" s="7">
        <f ca="1">IF(W$6=OFFSET(Assumptions!$B$8,0,$C$1),AVERAGE(T$473/T$142,U$473/U$142,V$473/V$142),V$473/V$142) *W$142</f>
        <v>1.5656585878135796</v>
      </c>
      <c r="X473" s="7">
        <f ca="1">IF(X$6=OFFSET(Assumptions!$B$8,0,$C$1),AVERAGE(U$473/U$142,V$473/V$142,W$473/W$142),W$473/W$142) *X$142</f>
        <v>1.6280899045109125</v>
      </c>
      <c r="Y473" s="7">
        <f ca="1">IF(Y$6=OFFSET(Assumptions!$B$8,0,$C$1),AVERAGE(V$473/V$142,W$473/W$142,X$473/X$142),X$473/X$142) *Y$142</f>
        <v>1.6928321572431344</v>
      </c>
      <c r="Z473" s="7">
        <f ca="1">IF(Z$6=OFFSET(Assumptions!$B$8,0,$C$1),AVERAGE(W$473/W$142,X$473/X$142,Y$473/Y$142),Y$473/Y$142) *Z$142</f>
        <v>1.7602130481413172</v>
      </c>
      <c r="AA473" s="7">
        <f ca="1">IF(AA$6=OFFSET(Assumptions!$B$8,0,$C$1),AVERAGE(X$473/X$142,Y$473/Y$142,Z$473/Z$142),Z$473/Z$142) *AA$142</f>
        <v>1.8303415997192967</v>
      </c>
      <c r="AB473" s="7">
        <f ca="1">IF(AB$6=OFFSET(Assumptions!$B$8,0,$C$1),AVERAGE(Y$473/Y$142,Z$473/Z$142,AA$473/AA$142),AA$473/AA$142) *AB$142</f>
        <v>1.9034284144939217</v>
      </c>
      <c r="AC473" s="7">
        <f ca="1">IF(AC$6=OFFSET(Assumptions!$B$8,0,$C$1),AVERAGE(Z$473/Z$142,AA$473/AA$142,AB$473/AB$142),AB$473/AB$142) *AC$142</f>
        <v>1.9797494051090219</v>
      </c>
      <c r="AD473" s="7">
        <f ca="1">IF(AD$6=OFFSET(Assumptions!$B$8,0,$C$1),AVERAGE(AA$473/AA$142,AB$473/AB$142,AC$473/AC$142),AC$473/AC$142) *AD$142</f>
        <v>2.0593850148301782</v>
      </c>
      <c r="AE473" s="7">
        <f ca="1">IF(AE$6=OFFSET(Assumptions!$B$8,0,$C$1),AVERAGE(AB$473/AB$142,AC$473/AC$142,AD$473/AD$142),AD$473/AD$142) *AE$142</f>
        <v>2.1422621089642049</v>
      </c>
      <c r="AF473" s="7">
        <f ca="1">IF(AF$6=OFFSET(Assumptions!$B$8,0,$C$1),AVERAGE(AC$473/AC$142,AD$473/AD$142,AE$473/AE$142),AE$473/AE$142) *AF$142</f>
        <v>2.2286099752464996</v>
      </c>
      <c r="AG473" s="7">
        <f ca="1">IF(AG$6=OFFSET(Assumptions!$B$8,0,$C$1),AVERAGE(AD$473/AD$142,AE$473/AE$142,AF$473/AF$142),AF$473/AF$142) *AG$142</f>
        <v>2.318476895793216</v>
      </c>
      <c r="AH473" s="7">
        <f ca="1">IF(AH$6=OFFSET(Assumptions!$B$8,0,$C$1),AVERAGE(AE$473/AE$142,AF$473/AF$142,AG$473/AG$142),AG$473/AG$142) *AH$142</f>
        <v>2.4120069784469842</v>
      </c>
      <c r="AI473" s="7">
        <f ca="1">IF(AI$6=OFFSET(Assumptions!$B$8,0,$C$1),AVERAGE(AF$473/AF$142,AG$473/AG$142,AH$473/AH$142),AH$473/AH$142) *AI$142</f>
        <v>2.5090367951918102</v>
      </c>
      <c r="AJ473" s="7">
        <f ca="1">IF(AJ$6=OFFSET(Assumptions!$B$8,0,$C$1),AVERAGE(AG$473/AG$142,AH$473/AH$142,AI$473/AI$142),AI$473/AI$142) *AJ$142</f>
        <v>2.6098771808742325</v>
      </c>
      <c r="AK473" s="7">
        <f ca="1">IF(AK$6=OFFSET(Assumptions!$B$8,0,$C$1),AVERAGE(AH$473/AH$142,AI$473/AI$142,AJ$473/AJ$142),AJ$473/AJ$142) *AK$142</f>
        <v>2.7144451810867429</v>
      </c>
      <c r="AL473" s="7">
        <f ca="1">IF(AL$6=OFFSET(Assumptions!$B$8,0,$C$1),AVERAGE(AI$473/AI$142,AJ$473/AJ$142,AK$473/AK$142),AK$473/AK$142) *AL$142</f>
        <v>2.8226584247307351</v>
      </c>
      <c r="AM473" s="7">
        <f ca="1">IF(AM$6=OFFSET(Assumptions!$B$8,0,$C$1),AVERAGE(AJ$473/AJ$142,AK$473/AK$142,AL$473/AL$142),AL$473/AL$142) *AM$142</f>
        <v>2.9346647451885861</v>
      </c>
      <c r="AN473" s="7">
        <f ca="1">IF(AN$6=OFFSET(Assumptions!$B$8,0,$C$1),AVERAGE(AK$473/AK$142,AL$473/AL$142,AM$473/AM$142),AM$473/AM$142) *AN$142</f>
        <v>3.0506199421673728</v>
      </c>
      <c r="AO473" s="7">
        <f ca="1">IF(AO$6=OFFSET(Assumptions!$B$8,0,$C$1),AVERAGE(AL$473/AL$142,AM$473/AM$142,AN$473/AN$142),AN$473/AN$142) *AO$142</f>
        <v>3.1700686997077248</v>
      </c>
      <c r="AP473" s="7">
        <f ca="1">IF(AP$6=OFFSET(Assumptions!$B$8,0,$C$1),AVERAGE(AM$473/AM$142,AN$473/AN$142,AO$473/AO$142),AO$473/AO$142) *AP$142</f>
        <v>3.2935182563754322</v>
      </c>
      <c r="AQ473" s="7">
        <f ca="1">IF(AQ$6=OFFSET(Assumptions!$B$8,0,$C$1),AVERAGE(AN$473/AN$142,AO$473/AO$142,AP$473/AP$142),AP$473/AP$142) *AQ$142</f>
        <v>3.420622706902285</v>
      </c>
      <c r="AR473" s="7">
        <f ca="1">IF(AR$6=OFFSET(Assumptions!$B$8,0,$C$1),AVERAGE(AO$473/AO$142,AP$473/AP$142,AQ$473/AQ$142),AQ$473/AQ$142) *AR$142</f>
        <v>3.551525956264868</v>
      </c>
      <c r="AS473" s="7">
        <f ca="1">IF(AS$6=OFFSET(Assumptions!$B$8,0,$C$1),AVERAGE(AP$473/AP$142,AQ$473/AQ$142,AR$473/AR$142),AR$473/AR$142) *AS$142</f>
        <v>3.6865333979681858</v>
      </c>
      <c r="AT473" s="7">
        <f ca="1">IF(AT$6=OFFSET(Assumptions!$B$8,0,$C$1),AVERAGE(AQ$473/AQ$142,AR$473/AR$142,AS$473/AS$142),AS$473/AS$142) *AT$142</f>
        <v>3.8257528580359037</v>
      </c>
      <c r="AU473" s="7">
        <f ca="1">IF(AU$6=OFFSET(Assumptions!$B$8,0,$C$1),AVERAGE(AR$473/AR$142,AS$473/AS$142,AT$473/AT$142),AT$473/AT$142) *AU$142</f>
        <v>3.9693694672699196</v>
      </c>
      <c r="AV473" s="7">
        <f ca="1">IF(AV$6=OFFSET(Assumptions!$B$8,0,$C$1),AVERAGE(AS$473/AS$142,AT$473/AT$142,AU$473/AU$142),AU$473/AU$142) *AV$142</f>
        <v>4.117827273586375</v>
      </c>
      <c r="AW473" s="7">
        <f ca="1">IF(AW$6=OFFSET(Assumptions!$B$8,0,$C$1),AVERAGE(AT$473/AT$142,AU$473/AU$142,AV$473/AV$142),AV$473/AV$142) *AW$142</f>
        <v>4.2710424642135409</v>
      </c>
    </row>
    <row r="474" spans="1:49" x14ac:dyDescent="0.2">
      <c r="A474" s="1" t="s">
        <v>610</v>
      </c>
      <c r="B474" s="4" t="str">
        <f t="shared" si="274"/>
        <v>From Fiscal</v>
      </c>
      <c r="D474" s="18">
        <f>Fiscal!D$360</f>
        <v>1.806</v>
      </c>
      <c r="E474" s="19">
        <f>Fiscal!E$360</f>
        <v>1.66</v>
      </c>
      <c r="F474" s="19">
        <f>Fiscal!F$360</f>
        <v>2.0299999999999998</v>
      </c>
      <c r="G474" s="19">
        <f>Fiscal!G$360</f>
        <v>1.714</v>
      </c>
      <c r="H474" s="19">
        <f>Fiscal!H$360</f>
        <v>1.9</v>
      </c>
      <c r="I474" s="19">
        <f>Fiscal!I$360</f>
        <v>2.085</v>
      </c>
      <c r="J474" s="7">
        <f ca="1">IF(J$6=OFFSET(Assumptions!$B$8,0,$C$1),AVERAGE(G$474/G$154,H$474/H$154,I$474/I$154),I$474/I$154) *J$154</f>
        <v>1.58423183892763</v>
      </c>
      <c r="K474" s="7">
        <f ca="1">IF(K$6=OFFSET(Assumptions!$B$8,0,$C$1),AVERAGE(H$474/H$154,I$474/I$154,J$474/J$154),J$474/J$154) *K$154</f>
        <v>1.729567677804692</v>
      </c>
      <c r="L474" s="7">
        <f ca="1">IF(L$6=OFFSET(Assumptions!$B$8,0,$C$1),AVERAGE(I$474/I$154,J$474/J$154,K$474/K$154),K$474/K$154) *L$154</f>
        <v>1.8844688700711183</v>
      </c>
      <c r="M474" s="7">
        <f ca="1">IF(M$6=OFFSET(Assumptions!$B$8,0,$C$1),AVERAGE(J$474/J$154,K$474/K$154,L$474/L$154),L$474/L$154) *M$154</f>
        <v>2.0495747064490124</v>
      </c>
      <c r="N474" s="7">
        <f ca="1">IF(N$6=OFFSET(Assumptions!$B$8,0,$C$1),AVERAGE(K$474/K$154,L$474/L$154,M$474/M$154),M$474/M$154) *N$154</f>
        <v>2.2029674634004635</v>
      </c>
      <c r="O474" s="7">
        <f ca="1">IF(O$6=OFFSET(Assumptions!$B$8,0,$C$1),AVERAGE(L$474/L$154,M$474/M$154,N$474/N$154),N$474/N$154) *O$154</f>
        <v>2.2983874569383054</v>
      </c>
      <c r="P474" s="7">
        <f ca="1">IF(P$6=OFFSET(Assumptions!$B$8,0,$C$1),AVERAGE(M$474/M$154,N$474/N$154,O$474/O$154),O$474/O$154) *P$154</f>
        <v>2.3960313689830075</v>
      </c>
      <c r="Q474" s="7">
        <f ca="1">IF(Q$6=OFFSET(Assumptions!$B$8,0,$C$1),AVERAGE(N$474/N$154,O$474/O$154,P$474/P$154),P$474/P$154) *Q$154</f>
        <v>2.4967887140412146</v>
      </c>
      <c r="R474" s="7">
        <f ca="1">IF(R$6=OFFSET(Assumptions!$B$8,0,$C$1),AVERAGE(O$474/O$154,P$474/P$154,Q$474/Q$154),Q$474/Q$154) *R$154</f>
        <v>2.6005679404940705</v>
      </c>
      <c r="S474" s="7">
        <f ca="1">IF(S$6=OFFSET(Assumptions!$B$8,0,$C$1),AVERAGE(P$474/P$154,Q$474/Q$154,R$474/R$154),R$474/R$154) *S$154</f>
        <v>2.7074983624122533</v>
      </c>
      <c r="T474" s="7">
        <f ca="1">IF(T$6=OFFSET(Assumptions!$B$8,0,$C$1),AVERAGE(Q$474/Q$154,R$474/R$154,S$474/S$154),S$474/S$154) *T$154</f>
        <v>2.8177670530516776</v>
      </c>
      <c r="U474" s="7">
        <f ca="1">IF(U$6=OFFSET(Assumptions!$B$8,0,$C$1),AVERAGE(R$474/R$154,S$474/S$154,T$474/T$154),T$474/T$154) *U$154</f>
        <v>2.9315947006145655</v>
      </c>
      <c r="V474" s="7">
        <f ca="1">IF(V$6=OFFSET(Assumptions!$B$8,0,$C$1),AVERAGE(S$474/S$154,T$474/T$154,U$474/U$154),U$474/U$154) *V$154</f>
        <v>3.0493250062167094</v>
      </c>
      <c r="W474" s="7">
        <f ca="1">IF(W$6=OFFSET(Assumptions!$B$8,0,$C$1),AVERAGE(T$474/T$154,U$474/U$154,V$474/V$154),V$474/V$154) *W$154</f>
        <v>3.1712742596400272</v>
      </c>
      <c r="X474" s="7">
        <f ca="1">IF(X$6=OFFSET(Assumptions!$B$8,0,$C$1),AVERAGE(U$474/U$154,V$474/V$154,W$474/W$154),W$474/W$154) *X$154</f>
        <v>3.2978125510003991</v>
      </c>
      <c r="Y474" s="7">
        <f ca="1">IF(Y$6=OFFSET(Assumptions!$B$8,0,$C$1),AVERAGE(V$474/V$154,W$474/W$154,X$474/X$154),X$474/X$154) *Y$154</f>
        <v>3.4291299025164101</v>
      </c>
      <c r="Z474" s="7">
        <f ca="1">IF(Z$6=OFFSET(Assumptions!$B$8,0,$C$1),AVERAGE(W$474/W$154,X$474/X$154,Y$474/Y$154),Y$474/Y$154) *Z$154</f>
        <v>3.5655581035438653</v>
      </c>
      <c r="AA474" s="7">
        <f ca="1">IF(AA$6=OFFSET(Assumptions!$B$8,0,$C$1),AVERAGE(X$474/X$154,Y$474/Y$154,Z$474/Z$154),Z$474/Z$154) *AA$154</f>
        <v>3.7075481088209874</v>
      </c>
      <c r="AB474" s="7">
        <f ca="1">IF(AB$6=OFFSET(Assumptions!$B$8,0,$C$1),AVERAGE(Y$474/Y$154,Z$474/Z$154,AA$474/AA$154),AA$474/AA$154) *AB$154</f>
        <v>3.8554299579361611</v>
      </c>
      <c r="AC474" s="7">
        <f ca="1">IF(AC$6=OFFSET(Assumptions!$B$8,0,$C$1),AVERAGE(Z$474/Z$154,AA$474/AA$154,AB$474/AB$154),AB$474/AB$154) *AC$154</f>
        <v>4.0097060185012969</v>
      </c>
      <c r="AD474" s="7">
        <f ca="1">IF(AD$6=OFFSET(Assumptions!$B$8,0,$C$1),AVERAGE(AA$474/AA$154,AB$474/AB$154,AC$474/AC$154),AC$474/AC$154) *AD$154</f>
        <v>4.1707442578104681</v>
      </c>
      <c r="AE474" s="7">
        <f ca="1">IF(AE$6=OFFSET(Assumptions!$B$8,0,$C$1),AVERAGE(AB$474/AB$154,AC$474/AC$154,AD$474/AD$154),AD$474/AD$154) *AE$154</f>
        <v>4.3385522225762108</v>
      </c>
      <c r="AF474" s="7">
        <f ca="1">IF(AF$6=OFFSET(Assumptions!$B$8,0,$C$1),AVERAGE(AC$474/AC$154,AD$474/AD$154,AE$474/AE$154),AE$474/AE$154) *AF$154</f>
        <v>4.5132911538805089</v>
      </c>
      <c r="AG474" s="7">
        <f ca="1">IF(AG$6=OFFSET(Assumptions!$B$8,0,$C$1),AVERAGE(AD$474/AD$154,AE$474/AE$154,AF$474/AF$154),AF$474/AF$154) *AG$154</f>
        <v>4.695247665820375</v>
      </c>
      <c r="AH474" s="7">
        <f ca="1">IF(AH$6=OFFSET(Assumptions!$B$8,0,$C$1),AVERAGE(AE$474/AE$154,AF$474/AF$154,AG$474/AG$154),AG$474/AG$154) *AH$154</f>
        <v>4.8846204171262313</v>
      </c>
      <c r="AI474" s="7">
        <f ca="1">IF(AI$6=OFFSET(Assumptions!$B$8,0,$C$1),AVERAGE(AF$474/AF$154,AG$474/AG$154,AH$474/AH$154),AH$474/AH$154) *AI$154</f>
        <v>5.081389458102489</v>
      </c>
      <c r="AJ474" s="7">
        <f ca="1">IF(AJ$6=OFFSET(Assumptions!$B$8,0,$C$1),AVERAGE(AG$474/AG$154,AH$474/AH$154,AI$474/AI$154),AI$474/AI$154) *AJ$154</f>
        <v>5.2857069986357539</v>
      </c>
      <c r="AK474" s="7">
        <f ca="1">IF(AK$6=OFFSET(Assumptions!$B$8,0,$C$1),AVERAGE(AH$474/AH$154,AI$474/AI$154,AJ$474/AJ$154),AJ$474/AJ$154) *AK$154</f>
        <v>5.4978083443469243</v>
      </c>
      <c r="AL474" s="7">
        <f ca="1">IF(AL$6=OFFSET(Assumptions!$B$8,0,$C$1),AVERAGE(AI$474/AI$154,AJ$474/AJ$154,AK$474/AK$154),AK$474/AK$154) *AL$154</f>
        <v>5.7175227828175421</v>
      </c>
      <c r="AM474" s="7">
        <f ca="1">IF(AM$6=OFFSET(Assumptions!$B$8,0,$C$1),AVERAGE(AJ$474/AJ$154,AK$474/AK$154,AL$474/AL$154),AL$474/AL$154) *AM$154</f>
        <v>5.944917909333066</v>
      </c>
      <c r="AN474" s="7">
        <f ca="1">IF(AN$6=OFFSET(Assumptions!$B$8,0,$C$1),AVERAGE(AK$474/AK$154,AL$474/AL$154,AM$474/AM$154),AM$474/AM$154) *AN$154</f>
        <v>6.1803072504644581</v>
      </c>
      <c r="AO474" s="7">
        <f ca="1">IF(AO$6=OFFSET(Assumptions!$B$8,0,$C$1),AVERAGE(AL$474/AL$154,AM$474/AM$154,AN$474/AN$154),AN$474/AN$154) *AO$154</f>
        <v>6.4233815306196007</v>
      </c>
      <c r="AP474" s="7">
        <f ca="1">IF(AP$6=OFFSET(Assumptions!$B$8,0,$C$1),AVERAGE(AM$474/AM$154,AN$474/AN$154,AO$474/AO$154),AO$474/AO$154) *AP$154</f>
        <v>6.6741943642341761</v>
      </c>
      <c r="AQ474" s="7">
        <f ca="1">IF(AQ$6=OFFSET(Assumptions!$B$8,0,$C$1),AVERAGE(AN$474/AN$154,AO$474/AO$154,AP$474/AP$154),AP$474/AP$154) *AQ$154</f>
        <v>6.9329123414372837</v>
      </c>
      <c r="AR474" s="7">
        <f ca="1">IF(AR$6=OFFSET(Assumptions!$B$8,0,$C$1),AVERAGE(AO$474/AO$154,AP$474/AP$154,AQ$474/AQ$154),AQ$474/AQ$154) *AR$154</f>
        <v>7.1993268800257111</v>
      </c>
      <c r="AS474" s="7">
        <f ca="1">IF(AS$6=OFFSET(Assumptions!$B$8,0,$C$1),AVERAGE(AP$474/AP$154,AQ$474/AQ$154,AR$474/AR$154),AR$474/AR$154) *AS$154</f>
        <v>7.4739019182761597</v>
      </c>
      <c r="AT474" s="7">
        <f ca="1">IF(AT$6=OFFSET(Assumptions!$B$8,0,$C$1),AVERAGE(AQ$474/AQ$154,AR$474/AR$154,AS$474/AS$154),AS$474/AS$154) *AT$154</f>
        <v>7.757064139927583</v>
      </c>
      <c r="AU474" s="7">
        <f ca="1">IF(AU$6=OFFSET(Assumptions!$B$8,0,$C$1),AVERAGE(AR$474/AR$154,AS$474/AS$154,AT$474/AT$154),AT$474/AT$154) *AU$154</f>
        <v>8.0491160474151418</v>
      </c>
      <c r="AV474" s="7">
        <f ca="1">IF(AV$6=OFFSET(Assumptions!$B$8,0,$C$1),AVERAGE(AS$474/AS$154,AT$474/AT$154,AU$474/AU$154),AU$474/AU$154) *AV$154</f>
        <v>8.3507073204109066</v>
      </c>
      <c r="AW474" s="7">
        <f ca="1">IF(AW$6=OFFSET(Assumptions!$B$8,0,$C$1),AVERAGE(AT$474/AT$154,AU$474/AU$154,AV$474/AV$154),AV$474/AV$154) *AW$154</f>
        <v>8.662209931843682</v>
      </c>
    </row>
    <row r="475" spans="1:49" x14ac:dyDescent="0.2">
      <c r="A475" s="1" t="s">
        <v>420</v>
      </c>
      <c r="B475" s="4" t="str">
        <f t="shared" si="274"/>
        <v>From Fiscal</v>
      </c>
      <c r="D475" s="18">
        <f>Fiscal!D$361</f>
        <v>2.4329999999999998</v>
      </c>
      <c r="E475" s="19">
        <f>Fiscal!E$361</f>
        <v>2.0459999999999998</v>
      </c>
      <c r="F475" s="19">
        <f>Fiscal!F$361</f>
        <v>2.3130000000000002</v>
      </c>
      <c r="G475" s="19">
        <f>Fiscal!G$361</f>
        <v>2.028</v>
      </c>
      <c r="H475" s="19">
        <f>Fiscal!H$361</f>
        <v>1.994</v>
      </c>
      <c r="I475" s="19">
        <f>Fiscal!I$361</f>
        <v>1.99</v>
      </c>
      <c r="J475" s="7">
        <f ca="1">IF(J$6=OFFSET(Assumptions!$B$8,0,$C$1),AVERAGE((G$475-(G$453-F$453))/(G$148+G$162),(H$475-(H$453-G$453))/(H$148+H$162),(I$475-(I$453-H$453))/(I$148+I$162)),(I$475-(I$453-H$453))/(I$148+I$162)) *(J$148+J$162) +J$453-I$453</f>
        <v>2.245718868496446</v>
      </c>
      <c r="K475" s="7">
        <f ca="1">IF(K$6=OFFSET(Assumptions!$B$8,0,$C$1),AVERAGE((H$475-(H$453-G$453))/(H$148+H$162),(I$475-(I$453-H$453))/(I$148+I$162),(J$475-(J$453-I$453))/(J$148+J$162)),(J$475-(J$453-I$453))/(J$148+J$162)) *(K$148+K$162) +K$453-J$453</f>
        <v>2.3366351854409921</v>
      </c>
      <c r="L475" s="7">
        <f ca="1">IF(L$6=OFFSET(Assumptions!$B$8,0,$C$1),AVERAGE((I$475-(I$453-H$453))/(I$148+I$162),(J$475-(J$453-I$453))/(J$148+J$162),(K$475-(K$453-J$453))/(K$148+K$162)),(K$475-(K$453-J$453))/(K$148+K$162)) *(L$148+L$162) +L$453-K$453</f>
        <v>2.4355891052885643</v>
      </c>
      <c r="M475" s="7">
        <f ca="1">IF(M$6=OFFSET(Assumptions!$B$8,0,$C$1),AVERAGE((J$475-(J$453-I$453))/(J$148+J$162),(K$475-(K$453-J$453))/(K$148+K$162),(L$475-(L$453-K$453))/(L$148+L$162)),(L$475-(L$453-K$453))/(L$148+L$162)) *(M$148+M$162) +M$453-L$453</f>
        <v>2.5374313162970337</v>
      </c>
      <c r="N475" s="7">
        <f ca="1">IF(N$6=OFFSET(Assumptions!$B$8,0,$C$1),AVERAGE((K$475-(K$453-J$453))/(K$148+K$162),(L$475-(L$453-K$453))/(L$148+L$162),(M$475-(M$453-L$453))/(M$148+M$162)),(M$475-(M$453-L$453))/(M$148+M$162)) *(N$148+N$162) +N$453-M$453</f>
        <v>2.643192089800189</v>
      </c>
      <c r="O475" s="7">
        <f ca="1">IF(O$6=OFFSET(Assumptions!$B$8,0,$C$1),AVERAGE((L$475-(L$453-K$453))/(L$148+L$162),(M$475-(M$453-L$453))/(M$148+M$162),(N$475-(N$453-M$453))/(N$148+N$162)),(N$475-(N$453-M$453))/(N$148+N$162)) *(O$148+O$162) +O$453-N$453</f>
        <v>2.7518210448678069</v>
      </c>
      <c r="P475" s="7">
        <f ca="1">IF(P$6=OFFSET(Assumptions!$B$8,0,$C$1),AVERAGE((M$475-(M$453-L$453))/(M$148+M$162),(N$475-(N$453-M$453))/(N$148+N$162),(O$475-(O$453-N$453))/(O$148+O$162)),(O$475-(O$453-N$453))/(O$148+O$162)) *(P$148+P$162) +P$453-O$453</f>
        <v>2.8679634372768295</v>
      </c>
      <c r="Q475" s="7">
        <f ca="1">IF(Q$6=OFFSET(Assumptions!$B$8,0,$C$1),AVERAGE((N$475-(N$453-M$453))/(N$148+N$162),(O$475-(O$453-N$453))/(O$148+O$162),(P$475-(P$453-O$453))/(P$148+P$162)),(P$475-(P$453-O$453))/(P$148+P$162)) *(Q$148+Q$162) +Q$453-P$453</f>
        <v>2.9876348525052769</v>
      </c>
      <c r="R475" s="7">
        <f ca="1">IF(R$6=OFFSET(Assumptions!$B$8,0,$C$1),AVERAGE((O$475-(O$453-N$453))/(O$148+O$162),(P$475-(P$453-O$453))/(P$148+P$162),(Q$475-(Q$453-P$453))/(Q$148+Q$162)),(Q$475-(Q$453-P$453))/(Q$148+Q$162)) *(R$148+R$162) +R$453-Q$453</f>
        <v>3.1107550499923242</v>
      </c>
      <c r="S475" s="7">
        <f ca="1">IF(S$6=OFFSET(Assumptions!$B$8,0,$C$1),AVERAGE((P$475-(P$453-O$453))/(P$148+P$162),(Q$475-(Q$453-P$453))/(Q$148+Q$162),(R$475-(R$453-Q$453))/(R$148+R$162)),(R$475-(R$453-Q$453))/(R$148+R$162)) *(S$148+S$162) +S$453-R$453</f>
        <v>3.2378179116229973</v>
      </c>
      <c r="T475" s="7">
        <f ca="1">IF(T$6=OFFSET(Assumptions!$B$8,0,$C$1),AVERAGE((Q$475-(Q$453-P$453))/(Q$148+Q$162),(R$475-(R$453-Q$453))/(R$148+R$162),(S$475-(S$453-R$453))/(S$148+S$162)),(S$475-(S$453-R$453))/(S$148+S$162)) *(T$148+T$162) +T$453-S$453</f>
        <v>3.3687939865945378</v>
      </c>
      <c r="U475" s="7">
        <f ca="1">IF(U$6=OFFSET(Assumptions!$B$8,0,$C$1),AVERAGE((R$475-(R$453-Q$453))/(R$148+R$162),(S$475-(S$453-R$453))/(S$148+S$162),(T$475-(T$453-S$453))/(T$148+T$162)),(T$475-(T$453-S$453))/(T$148+T$162)) *(U$148+U$162) +U$453-T$453</f>
        <v>3.5042429411339793</v>
      </c>
      <c r="V475" s="7">
        <f ca="1">IF(V$6=OFFSET(Assumptions!$B$8,0,$C$1),AVERAGE((S$475-(S$453-R$453))/(S$148+S$162),(T$475-(T$453-S$453))/(T$148+T$162),(U$475-(U$453-T$453))/(U$148+U$162)),(U$475-(U$453-T$453))/(U$148+U$162)) *(V$148+V$162) +V$453-U$453</f>
        <v>3.6444670335311753</v>
      </c>
      <c r="W475" s="7">
        <f ca="1">IF(W$6=OFFSET(Assumptions!$B$8,0,$C$1),AVERAGE((T$475-(T$453-S$453))/(T$148+T$162),(U$475-(U$453-T$453))/(U$148+U$162),(V$475-(V$453-U$453))/(V$148+V$162)),(V$475-(V$453-U$453))/(V$148+V$162)) *(W$148+W$162) +W$453-V$453</f>
        <v>3.7898852232358045</v>
      </c>
      <c r="X475" s="7">
        <f ca="1">IF(X$6=OFFSET(Assumptions!$B$8,0,$C$1),AVERAGE((U$475-(U$453-T$453))/(U$148+U$162),(V$475-(V$453-U$453))/(V$148+V$162),(W$475-(W$453-V$453))/(W$148+W$162)),(W$475-(W$453-V$453))/(W$148+W$162)) *(X$148+X$162) +X$453-W$453</f>
        <v>3.9409663964656803</v>
      </c>
      <c r="Y475" s="7">
        <f ca="1">IF(Y$6=OFFSET(Assumptions!$B$8,0,$C$1),AVERAGE((V$475-(V$453-U$453))/(V$148+V$162),(W$475-(W$453-V$453))/(W$148+W$162),(X$475-(X$453-W$453))/(X$148+X$162)),(X$475-(X$453-W$453))/(X$148+X$162)) *(Y$148+Y$162) +Y$453-X$453</f>
        <v>4.0975912344395011</v>
      </c>
      <c r="Z475" s="7">
        <f ca="1">IF(Z$6=OFFSET(Assumptions!$B$8,0,$C$1),AVERAGE((W$475-(W$453-V$453))/(W$148+W$162),(X$475-(X$453-W$453))/(X$148+X$162),(Y$475-(Y$453-X$453))/(Y$148+Y$162)),(Y$475-(Y$453-X$453))/(Y$148+Y$162)) *(Z$148+Z$162) +Z$453-Y$453</f>
        <v>4.2607228887216229</v>
      </c>
      <c r="AA475" s="7">
        <f ca="1">IF(AA$6=OFFSET(Assumptions!$B$8,0,$C$1),AVERAGE((X$475-(X$453-W$453))/(X$148+X$162),(Y$475-(Y$453-X$453))/(Y$148+Y$162),(Z$475-(Z$453-Y$453))/(Z$148+Z$162)),(Z$475-(Z$453-Y$453))/(Z$148+Z$162)) *(AA$148+AA$162) +AA$453-Z$453</f>
        <v>4.4305074847192287</v>
      </c>
      <c r="AB475" s="7">
        <f ca="1">IF(AB$6=OFFSET(Assumptions!$B$8,0,$C$1),AVERAGE((Y$475-(Y$453-X$453))/(Y$148+Y$162),(Z$475-(Z$453-Y$453))/(Z$148+Z$162),(AA$475-(AA$453-Z$453))/(AA$148+AA$162)),(AA$475-(AA$453-Z$453))/(AA$148+AA$162)) *(AB$148+AB$162) +AB$453-AA$453</f>
        <v>4.6075042227231933</v>
      </c>
      <c r="AC475" s="7">
        <f ca="1">IF(AC$6=OFFSET(Assumptions!$B$8,0,$C$1),AVERAGE((Z$475-(Z$453-Y$453))/(Z$148+Z$162),(AA$475-(AA$453-Z$453))/(AA$148+AA$162),(AB$475-(AB$453-AA$453))/(AB$148+AB$162)),(AB$475-(AB$453-AA$453))/(AB$148+AB$162)) *(AC$148+AC$162) +AC$453-AB$453</f>
        <v>4.7924099020936923</v>
      </c>
      <c r="AD475" s="7">
        <f ca="1">IF(AD$6=OFFSET(Assumptions!$B$8,0,$C$1),AVERAGE((AA$475-(AA$453-Z$453))/(AA$148+AA$162),(AB$475-(AB$453-AA$453))/(AB$148+AB$162),(AC$475-(AC$453-AB$453))/(AC$148+AC$162)),(AC$475-(AC$453-AB$453))/(AC$148+AC$162)) *(AD$148+AD$162) +AD$453-AC$453</f>
        <v>4.9853143142075034</v>
      </c>
      <c r="AE475" s="7">
        <f ca="1">IF(AE$6=OFFSET(Assumptions!$B$8,0,$C$1),AVERAGE((AB$475-(AB$453-AA$453))/(AB$148+AB$162),(AC$475-(AC$453-AB$453))/(AC$148+AC$162),(AD$475-(AD$453-AC$453))/(AD$148+AD$162)),(AD$475-(AD$453-AC$453))/(AD$148+AD$162)) *(AE$148+AE$162) +AE$453-AD$453</f>
        <v>5.1859607491790225</v>
      </c>
      <c r="AF475" s="7">
        <f ca="1">IF(AF$6=OFFSET(Assumptions!$B$8,0,$C$1),AVERAGE((AC$475-(AC$453-AB$453))/(AC$148+AC$162),(AD$475-(AD$453-AC$453))/(AD$148+AD$162),(AE$475-(AE$453-AD$453))/(AE$148+AE$162)),(AE$475-(AE$453-AD$453))/(AE$148+AE$162)) *(AF$148+AF$162) +AF$453-AE$453</f>
        <v>5.3950593977280557</v>
      </c>
      <c r="AG475" s="7">
        <f ca="1">IF(AG$6=OFFSET(Assumptions!$B$8,0,$C$1),AVERAGE((AD$475-(AD$453-AC$453))/(AD$148+AD$162),(AE$475-(AE$453-AD$453))/(AE$148+AE$162),(AF$475-(AF$453-AE$453))/(AF$148+AF$162)),(AF$475-(AF$453-AE$453))/(AF$148+AF$162)) *(AG$148+AG$162) +AG$453-AF$453</f>
        <v>5.6126304971459593</v>
      </c>
      <c r="AH475" s="7">
        <f ca="1">IF(AH$6=OFFSET(Assumptions!$B$8,0,$C$1),AVERAGE((AE$475-(AE$453-AD$453))/(AE$148+AE$162),(AF$475-(AF$453-AE$453))/(AF$148+AF$162),(AG$475-(AG$453-AF$453))/(AG$148+AG$162)),(AG$475-(AG$453-AF$453))/(AG$148+AG$162)) *(AH$148+AH$162) +AH$453-AG$453</f>
        <v>5.8390705967665752</v>
      </c>
      <c r="AI475" s="7">
        <f ca="1">IF(AI$6=OFFSET(Assumptions!$B$8,0,$C$1),AVERAGE((AF$475-(AF$453-AE$453))/(AF$148+AF$162),(AG$475-(AG$453-AF$453))/(AG$148+AG$162),(AH$475-(AH$453-AG$453))/(AH$148+AH$162)),(AH$475-(AH$453-AG$453))/(AH$148+AH$162)) *(AI$148+AI$162) +AI$453-AH$453</f>
        <v>6.0738248894444968</v>
      </c>
      <c r="AJ475" s="7">
        <f ca="1">IF(AJ$6=OFFSET(Assumptions!$B$8,0,$C$1),AVERAGE((AG$475-(AG$453-AF$453))/(AG$148+AG$162),(AH$475-(AH$453-AG$453))/(AH$148+AH$162),(AI$475-(AI$453-AH$453))/(AI$148+AI$162)),(AI$475-(AI$453-AH$453))/(AI$148+AI$162)) *(AJ$148+AJ$162) +AJ$453-AI$453</f>
        <v>6.3178901196670569</v>
      </c>
      <c r="AK475" s="7">
        <f ca="1">IF(AK$6=OFFSET(Assumptions!$B$8,0,$C$1),AVERAGE((AH$475-(AH$453-AG$453))/(AH$148+AH$162),(AI$475-(AI$453-AH$453))/(AI$148+AI$162),(AJ$475-(AJ$453-AI$453))/(AJ$148+AJ$162)),(AJ$475-(AJ$453-AI$453))/(AJ$148+AJ$162)) *(AK$148+AK$162) +AK$453-AJ$453</f>
        <v>6.5708590620380321</v>
      </c>
      <c r="AL475" s="7">
        <f ca="1">IF(AL$6=OFFSET(Assumptions!$B$8,0,$C$1),AVERAGE((AI$475-(AI$453-AH$453))/(AI$148+AI$162),(AJ$475-(AJ$453-AI$453))/(AJ$148+AJ$162),(AK$475-(AK$453-AJ$453))/(AK$148+AK$162)),(AK$475-(AK$453-AJ$453))/(AK$148+AK$162)) *(AL$148+AL$162) +AL$453-AK$453</f>
        <v>6.8325343059793875</v>
      </c>
      <c r="AM475" s="7">
        <f ca="1">IF(AM$6=OFFSET(Assumptions!$B$8,0,$C$1),AVERAGE((AJ$475-(AJ$453-AI$453))/(AJ$148+AJ$162),(AK$475-(AK$453-AJ$453))/(AK$148+AK$162),(AL$475-(AL$453-AK$453))/(AL$148+AL$162)),(AL$475-(AL$453-AK$453))/(AL$148+AL$162)) *(AM$148+AM$162) +AM$453-AL$453</f>
        <v>7.1033923587437968</v>
      </c>
      <c r="AN475" s="7">
        <f ca="1">IF(AN$6=OFFSET(Assumptions!$B$8,0,$C$1),AVERAGE((AK$475-(AK$453-AJ$453))/(AK$148+AK$162),(AL$475-(AL$453-AK$453))/(AL$148+AL$162),(AM$475-(AM$453-AL$453))/(AM$148+AM$162)),(AM$475-(AM$453-AL$453))/(AM$148+AM$162)) *(AN$148+AN$162) +AN$453-AM$453</f>
        <v>7.3838114029493402</v>
      </c>
      <c r="AO475" s="7">
        <f ca="1">IF(AO$6=OFFSET(Assumptions!$B$8,0,$C$1),AVERAGE((AL$475-(AL$453-AK$453))/(AL$148+AL$162),(AM$475-(AM$453-AL$453))/(AM$148+AM$162),(AN$475-(AN$453-AM$453))/(AN$148+AN$162)),(AN$475-(AN$453-AM$453))/(AN$148+AN$162)) *(AO$148+AO$162) +AO$453-AN$453</f>
        <v>7.6723755671556084</v>
      </c>
      <c r="AP475" s="7">
        <f ca="1">IF(AP$6=OFFSET(Assumptions!$B$8,0,$C$1),AVERAGE((AM$475-(AM$453-AL$453))/(AM$148+AM$162),(AN$475-(AN$453-AM$453))/(AN$148+AN$162),(AO$475-(AO$453-AN$453))/(AO$148+AO$162)),(AO$475-(AO$453-AN$453))/(AO$148+AO$162)) *(AP$148+AP$162) +AP$453-AO$453</f>
        <v>7.9708110802726662</v>
      </c>
      <c r="AQ475" s="7">
        <f ca="1">IF(AQ$6=OFFSET(Assumptions!$B$8,0,$C$1),AVERAGE((AN$475-(AN$453-AM$453))/(AN$148+AN$162),(AO$475-(AO$453-AN$453))/(AO$148+AO$162),(AP$475-(AP$453-AO$453))/(AP$148+AP$162)),(AP$475-(AP$453-AO$453))/(AP$148+AP$162)) *(AQ$148+AQ$162) +AQ$453-AP$453</f>
        <v>8.2778367889813538</v>
      </c>
      <c r="AR475" s="7">
        <f ca="1">IF(AR$6=OFFSET(Assumptions!$B$8,0,$C$1),AVERAGE((AO$475-(AO$453-AN$453))/(AO$148+AO$162),(AP$475-(AP$453-AO$453))/(AP$148+AP$162),(AQ$475-(AQ$453-AP$453))/(AQ$148+AQ$162)),(AQ$475-(AQ$453-AP$453))/(AQ$148+AQ$162)) *(AR$148+AR$162) +AR$453-AQ$453</f>
        <v>8.5940569652741097</v>
      </c>
      <c r="AS475" s="7">
        <f ca="1">IF(AS$6=OFFSET(Assumptions!$B$8,0,$C$1),AVERAGE((AP$475-(AP$453-AO$453))/(AP$148+AP$162),(AQ$475-(AQ$453-AP$453))/(AQ$148+AQ$162),(AR$475-(AR$453-AQ$453))/(AR$148+AR$162)),(AR$475-(AR$453-AQ$453))/(AR$148+AR$162)) *(AS$148+AS$162) +AS$453-AR$453</f>
        <v>8.9202900002203336</v>
      </c>
      <c r="AT475" s="7">
        <f ca="1">IF(AT$6=OFFSET(Assumptions!$B$8,0,$C$1),AVERAGE((AQ$475-(AQ$453-AP$453))/(AQ$148+AQ$162),(AR$475-(AR$453-AQ$453))/(AR$148+AR$162),(AS$475-(AS$453-AR$453))/(AS$148+AS$162)),(AS$475-(AS$453-AR$453))/(AS$148+AS$162)) *(AT$148+AT$162) +AT$453-AS$453</f>
        <v>9.256690304404172</v>
      </c>
      <c r="AU475" s="7">
        <f ca="1">IF(AU$6=OFFSET(Assumptions!$B$8,0,$C$1),AVERAGE((AR$475-(AR$453-AQ$453))/(AR$148+AR$162),(AS$475-(AS$453-AR$453))/(AS$148+AS$162),(AT$475-(AT$453-AS$453))/(AT$148+AT$162)),(AT$475-(AT$453-AS$453))/(AT$148+AT$162)) *(AU$148+AU$162) +AU$453-AT$453</f>
        <v>9.603743108513692</v>
      </c>
      <c r="AV475" s="7">
        <f ca="1">IF(AV$6=OFFSET(Assumptions!$B$8,0,$C$1),AVERAGE((AS$475-(AS$453-AR$453))/(AS$148+AS$162),(AT$475-(AT$453-AS$453))/(AT$148+AT$162),(AU$475-(AU$453-AT$453))/(AU$148+AU$162)),(AU$475-(AU$453-AT$453))/(AU$148+AU$162)) *(AV$148+AV$162) +AV$453-AU$453</f>
        <v>9.9626511099148658</v>
      </c>
      <c r="AW475" s="7">
        <f ca="1">IF(AW$6=OFFSET(Assumptions!$B$8,0,$C$1),AVERAGE((AT$475-(AT$453-AS$453))/(AT$148+AT$162),(AU$475-(AU$453-AT$453))/(AU$148+AU$162),(AV$475-(AV$453-AU$453))/(AV$148+AV$162)),(AV$475-(AV$453-AU$453))/(AV$148+AV$162)) *(AW$148+AW$162) +AW$453-AV$453</f>
        <v>10.332934169905847</v>
      </c>
    </row>
    <row r="476" spans="1:49" x14ac:dyDescent="0.2">
      <c r="A476" s="1" t="s">
        <v>615</v>
      </c>
      <c r="B476" s="4" t="str">
        <f t="shared" si="274"/>
        <v>From Fiscal</v>
      </c>
      <c r="D476" s="18">
        <f>-Fiscal!D$362</f>
        <v>23.895</v>
      </c>
      <c r="E476" s="19">
        <f>-Fiscal!E$362</f>
        <v>24.449000000000002</v>
      </c>
      <c r="F476" s="19">
        <f>-Fiscal!F$362</f>
        <v>25.384</v>
      </c>
      <c r="G476" s="19">
        <f>-Fiscal!G$362</f>
        <v>26.039000000000001</v>
      </c>
      <c r="H476" s="19">
        <f>-Fiscal!H$362</f>
        <v>26.815000000000001</v>
      </c>
      <c r="I476" s="19">
        <f>-Fiscal!I$362</f>
        <v>27.829000000000001</v>
      </c>
      <c r="J476" s="7">
        <f t="shared" ref="J476:AW476" ca="1" si="275">J$178</f>
        <v>29.68333610928552</v>
      </c>
      <c r="K476" s="7">
        <f t="shared" ca="1" si="275"/>
        <v>31.772385841837348</v>
      </c>
      <c r="L476" s="7">
        <f t="shared" ca="1" si="275"/>
        <v>33.983950794995771</v>
      </c>
      <c r="M476" s="7">
        <f t="shared" ca="1" si="275"/>
        <v>36.2937738783315</v>
      </c>
      <c r="N476" s="7">
        <f t="shared" ca="1" si="275"/>
        <v>38.733875764795172</v>
      </c>
      <c r="O476" s="7">
        <f t="shared" ca="1" si="275"/>
        <v>41.235254289084693</v>
      </c>
      <c r="P476" s="7">
        <f t="shared" ca="1" si="275"/>
        <v>43.784210719566552</v>
      </c>
      <c r="Q476" s="7">
        <f t="shared" ca="1" si="275"/>
        <v>46.430691657400104</v>
      </c>
      <c r="R476" s="7">
        <f t="shared" ca="1" si="275"/>
        <v>49.160235948216403</v>
      </c>
      <c r="S476" s="7">
        <f t="shared" ca="1" si="275"/>
        <v>51.939510564326909</v>
      </c>
      <c r="T476" s="7">
        <f t="shared" ca="1" si="275"/>
        <v>54.807576101995245</v>
      </c>
      <c r="U476" s="7">
        <f t="shared" ca="1" si="275"/>
        <v>57.795919425224959</v>
      </c>
      <c r="V476" s="7">
        <f t="shared" ca="1" si="275"/>
        <v>60.918297992108464</v>
      </c>
      <c r="W476" s="7">
        <f t="shared" ca="1" si="275"/>
        <v>63.993070743986749</v>
      </c>
      <c r="X476" s="7">
        <f t="shared" ca="1" si="275"/>
        <v>67.093851455952759</v>
      </c>
      <c r="Y476" s="7">
        <f t="shared" ca="1" si="275"/>
        <v>70.35306656449373</v>
      </c>
      <c r="Z476" s="7">
        <f t="shared" ca="1" si="275"/>
        <v>73.698061862357577</v>
      </c>
      <c r="AA476" s="7">
        <f t="shared" ca="1" si="275"/>
        <v>77.096349300327816</v>
      </c>
      <c r="AB476" s="7">
        <f t="shared" ca="1" si="275"/>
        <v>80.538880960475211</v>
      </c>
      <c r="AC476" s="7">
        <f t="shared" ca="1" si="275"/>
        <v>84.020279546922168</v>
      </c>
      <c r="AD476" s="7">
        <f t="shared" ca="1" si="275"/>
        <v>87.533165051181413</v>
      </c>
      <c r="AE476" s="7">
        <f t="shared" ca="1" si="275"/>
        <v>91.162382565072733</v>
      </c>
      <c r="AF476" s="7">
        <f t="shared" ca="1" si="275"/>
        <v>94.871275417606284</v>
      </c>
      <c r="AG476" s="7">
        <f t="shared" ca="1" si="275"/>
        <v>98.757767288900766</v>
      </c>
      <c r="AH476" s="7">
        <f t="shared" ca="1" si="275"/>
        <v>102.78524262264594</v>
      </c>
      <c r="AI476" s="7">
        <f t="shared" ca="1" si="275"/>
        <v>106.97099062379525</v>
      </c>
      <c r="AJ476" s="7">
        <f t="shared" ca="1" si="275"/>
        <v>111.33052832691722</v>
      </c>
      <c r="AK476" s="7">
        <f t="shared" ca="1" si="275"/>
        <v>115.9098097394203</v>
      </c>
      <c r="AL476" s="7">
        <f t="shared" ca="1" si="275"/>
        <v>120.65934366807859</v>
      </c>
      <c r="AM476" s="7">
        <f t="shared" ca="1" si="275"/>
        <v>125.60317878851941</v>
      </c>
      <c r="AN476" s="7">
        <f t="shared" ca="1" si="275"/>
        <v>130.78949566218435</v>
      </c>
      <c r="AO476" s="7">
        <f t="shared" ca="1" si="275"/>
        <v>136.24072925513516</v>
      </c>
      <c r="AP476" s="7">
        <f t="shared" ca="1" si="275"/>
        <v>142.05013988359156</v>
      </c>
      <c r="AQ476" s="7">
        <f t="shared" ca="1" si="275"/>
        <v>148.19594097787495</v>
      </c>
      <c r="AR476" s="7">
        <f t="shared" ca="1" si="275"/>
        <v>154.75226859319369</v>
      </c>
      <c r="AS476" s="7">
        <f t="shared" ca="1" si="275"/>
        <v>161.71833891017457</v>
      </c>
      <c r="AT476" s="7">
        <f t="shared" ca="1" si="275"/>
        <v>168.88747588696103</v>
      </c>
      <c r="AU476" s="7">
        <f t="shared" ca="1" si="275"/>
        <v>176.34189330529401</v>
      </c>
      <c r="AV476" s="7">
        <f t="shared" ca="1" si="275"/>
        <v>184.0460498973458</v>
      </c>
      <c r="AW476" s="7">
        <f t="shared" ca="1" si="275"/>
        <v>192.07702097990114</v>
      </c>
    </row>
    <row r="477" spans="1:49" x14ac:dyDescent="0.2">
      <c r="A477" s="1" t="s">
        <v>616</v>
      </c>
      <c r="B477" s="4" t="str">
        <f t="shared" si="274"/>
        <v>From Fiscal</v>
      </c>
      <c r="D477" s="18">
        <f>-Fiscal!D$363</f>
        <v>42.064</v>
      </c>
      <c r="E477" s="19">
        <f ca="1">-Fiscal!E$363 +IF(OR(OFFSET(Assumptions!$B$72,0,$C$1)="BU",OFFSET(Assumptions!$B$113,0,$C$1)="SND"),Allocate!C$25,0)</f>
        <v>43.344000000000001</v>
      </c>
      <c r="F477" s="19">
        <f ca="1">-Fiscal!F$363 +IF(OR(OFFSET(Assumptions!$B$72,0,$C$1)="BU",OFFSET(Assumptions!$B$113,0,$C$1)="SND"),Allocate!D$25,0)</f>
        <v>45.237000000000002</v>
      </c>
      <c r="G477" s="19">
        <f ca="1">-Fiscal!G$363 +IF(OR(OFFSET(Assumptions!$B$72,0,$C$1)="BU",OFFSET(Assumptions!$B$113,0,$C$1)="SND"),Allocate!E$25,0)</f>
        <v>46.833999999999996</v>
      </c>
      <c r="H477" s="19">
        <f ca="1">-Fiscal!H$363 +IF(OR(OFFSET(Assumptions!$B$72,0,$C$1)="BU",OFFSET(Assumptions!$B$113,0,$C$1)="SND"),Allocate!F$25,0)</f>
        <v>47.817</v>
      </c>
      <c r="I477" s="19">
        <f ca="1">-Fiscal!I$363 +IF(OR(OFFSET(Assumptions!$B$72,0,$C$1)="BU",OFFSET(Assumptions!$B$113,0,$C$1)="SND"),Allocate!G$25,0)</f>
        <v>49.519999999999996</v>
      </c>
      <c r="J477" s="7">
        <f t="shared" ref="J477:AW477" ca="1" si="276">SUM(J$192,J$205-(J$142-J$473),J$221)-SUM(J$269,J$387,J$390)+SUM(J$395-I$395,J$399-I$399)-SUM(J$448-I$448,J$457-I$457,J$463-I$463,J$468-I$468)</f>
        <v>50.160733066429728</v>
      </c>
      <c r="K477" s="7">
        <f t="shared" ca="1" si="276"/>
        <v>51.905007807175217</v>
      </c>
      <c r="L477" s="7">
        <f t="shared" ca="1" si="276"/>
        <v>53.626402785934204</v>
      </c>
      <c r="M477" s="7">
        <f t="shared" ca="1" si="276"/>
        <v>55.426935045606704</v>
      </c>
      <c r="N477" s="7">
        <f t="shared" ca="1" si="276"/>
        <v>57.306391618042454</v>
      </c>
      <c r="O477" s="7">
        <f t="shared" ca="1" si="276"/>
        <v>59.266746382366222</v>
      </c>
      <c r="P477" s="7">
        <f t="shared" ca="1" si="276"/>
        <v>62.275025005336445</v>
      </c>
      <c r="Q477" s="7">
        <f t="shared" ca="1" si="276"/>
        <v>65.408646848354508</v>
      </c>
      <c r="R477" s="7">
        <f t="shared" ca="1" si="276"/>
        <v>68.675189301082455</v>
      </c>
      <c r="S477" s="7">
        <f t="shared" ca="1" si="276"/>
        <v>72.072761531472395</v>
      </c>
      <c r="T477" s="7">
        <f t="shared" ca="1" si="276"/>
        <v>75.607415972270289</v>
      </c>
      <c r="U477" s="7">
        <f t="shared" ca="1" si="276"/>
        <v>79.280302380077373</v>
      </c>
      <c r="V477" s="7">
        <f t="shared" ca="1" si="276"/>
        <v>83.102747925578711</v>
      </c>
      <c r="W477" s="7">
        <f t="shared" ca="1" si="276"/>
        <v>87.073241719423947</v>
      </c>
      <c r="X477" s="7">
        <f t="shared" ca="1" si="276"/>
        <v>91.198302714609653</v>
      </c>
      <c r="Y477" s="7">
        <f t="shared" ca="1" si="276"/>
        <v>95.480318687320604</v>
      </c>
      <c r="Z477" s="7">
        <f t="shared" ca="1" si="276"/>
        <v>99.937463291024486</v>
      </c>
      <c r="AA477" s="7">
        <f t="shared" ca="1" si="276"/>
        <v>103.02460185118468</v>
      </c>
      <c r="AB477" s="7">
        <f t="shared" ca="1" si="276"/>
        <v>106.23342549524186</v>
      </c>
      <c r="AC477" s="7">
        <f t="shared" ca="1" si="276"/>
        <v>109.57045977818848</v>
      </c>
      <c r="AD477" s="7">
        <f t="shared" ca="1" si="276"/>
        <v>113.04403858406786</v>
      </c>
      <c r="AE477" s="7">
        <f t="shared" ca="1" si="276"/>
        <v>116.65806920140705</v>
      </c>
      <c r="AF477" s="7">
        <f t="shared" ca="1" si="276"/>
        <v>120.4157094558024</v>
      </c>
      <c r="AG477" s="7">
        <f t="shared" ca="1" si="276"/>
        <v>124.32643759494809</v>
      </c>
      <c r="AH477" s="7">
        <f t="shared" ca="1" si="276"/>
        <v>128.39726866093454</v>
      </c>
      <c r="AI477" s="7">
        <f t="shared" ca="1" si="276"/>
        <v>132.63098192644856</v>
      </c>
      <c r="AJ477" s="7">
        <f t="shared" ca="1" si="276"/>
        <v>137.03692679336646</v>
      </c>
      <c r="AK477" s="7">
        <f t="shared" ca="1" si="276"/>
        <v>141.61811440751023</v>
      </c>
      <c r="AL477" s="7">
        <f t="shared" ca="1" si="276"/>
        <v>146.38429497031447</v>
      </c>
      <c r="AM477" s="7">
        <f t="shared" ca="1" si="276"/>
        <v>151.34015849879955</v>
      </c>
      <c r="AN477" s="7">
        <f t="shared" ca="1" si="276"/>
        <v>156.48993390900011</v>
      </c>
      <c r="AO477" s="7">
        <f t="shared" ca="1" si="276"/>
        <v>161.84561276354049</v>
      </c>
      <c r="AP477" s="7">
        <f t="shared" ca="1" si="276"/>
        <v>167.40771272506228</v>
      </c>
      <c r="AQ477" s="7">
        <f t="shared" ca="1" si="276"/>
        <v>173.18542735829084</v>
      </c>
      <c r="AR477" s="7">
        <f t="shared" ca="1" si="276"/>
        <v>179.18273415492962</v>
      </c>
      <c r="AS477" s="7">
        <f t="shared" ca="1" si="276"/>
        <v>185.40861958464728</v>
      </c>
      <c r="AT477" s="7">
        <f t="shared" ca="1" si="276"/>
        <v>191.86732023708623</v>
      </c>
      <c r="AU477" s="7">
        <f t="shared" ca="1" si="276"/>
        <v>198.56988372019813</v>
      </c>
      <c r="AV477" s="7">
        <f t="shared" ca="1" si="276"/>
        <v>205.51965655707448</v>
      </c>
      <c r="AW477" s="7">
        <f t="shared" ca="1" si="276"/>
        <v>212.73250967306018</v>
      </c>
    </row>
    <row r="478" spans="1:49" x14ac:dyDescent="0.2">
      <c r="A478" s="1" t="s">
        <v>617</v>
      </c>
      <c r="B478" s="4" t="str">
        <f t="shared" si="274"/>
        <v>From Fiscal</v>
      </c>
      <c r="D478" s="18">
        <f>-Fiscal!D$364</f>
        <v>3.9220000000000002</v>
      </c>
      <c r="E478" s="19">
        <f>-Fiscal!E$364</f>
        <v>3.6269999999999998</v>
      </c>
      <c r="F478" s="19">
        <f>-Fiscal!F$364</f>
        <v>3.819</v>
      </c>
      <c r="G478" s="19">
        <f>-Fiscal!G$364</f>
        <v>3.7959999999999998</v>
      </c>
      <c r="H478" s="19">
        <f>-Fiscal!H$364</f>
        <v>3.835</v>
      </c>
      <c r="I478" s="19">
        <f>-Fiscal!I$364</f>
        <v>3.5680000000000001</v>
      </c>
      <c r="J478" s="7">
        <f ca="1">IF(J$6=OFFSET(Assumptions!$B$8,0,$C$1),AVERAGE(G$478/G$212,H$478/H$212,I$478/I$212),I$478/I$212)*J$212</f>
        <v>3.8793273518164577</v>
      </c>
      <c r="K478" s="7">
        <f ca="1">IF(K$6=OFFSET(Assumptions!$B$8,0,$C$1),AVERAGE(H$478/H$212,I$478/I$212,J$478/J$212),J$478/J$212)*K$212</f>
        <v>4.0925103786929427</v>
      </c>
      <c r="L478" s="7">
        <f ca="1">IF(L$6=OFFSET(Assumptions!$B$8,0,$C$1),AVERAGE(I$478/I$212,J$478/J$212,K$478/K$212),K$478/K$212)*L$212</f>
        <v>4.2835721596503138</v>
      </c>
      <c r="M478" s="7">
        <f ca="1">IF(M$6=OFFSET(Assumptions!$B$8,0,$C$1),AVERAGE(J$478/J$212,K$478/K$212,L$478/L$212),L$478/L$212)*M$212</f>
        <v>4.4666796365359733</v>
      </c>
      <c r="N478" s="7">
        <f ca="1">IF(N$6=OFFSET(Assumptions!$B$8,0,$C$1),AVERAGE(K$478/K$212,L$478/L$212,M$478/M$212),M$478/M$212)*N$212</f>
        <v>4.6417465578979451</v>
      </c>
      <c r="O478" s="7">
        <f ca="1">IF(O$6=OFFSET(Assumptions!$B$8,0,$C$1),AVERAGE(L$478/L$212,M$478/M$212,N$478/N$212),N$478/N$212)*O$212</f>
        <v>4.8089017097398612</v>
      </c>
      <c r="P478" s="7">
        <f ca="1">IF(P$6=OFFSET(Assumptions!$B$8,0,$C$1),AVERAGE(M$478/M$212,N$478/N$212,O$478/O$212),O$478/O$212)*P$212</f>
        <v>4.9874403475762596</v>
      </c>
      <c r="Q478" s="7">
        <f ca="1">IF(Q$6=OFFSET(Assumptions!$B$8,0,$C$1),AVERAGE(N$478/N$212,O$478/O$212,P$478/P$212),P$478/P$212)*Q$212</f>
        <v>5.0320588226274898</v>
      </c>
      <c r="R478" s="7">
        <f ca="1">IF(R$6=OFFSET(Assumptions!$B$8,0,$C$1),AVERAGE(O$478/O$212,P$478/P$212,Q$478/Q$212),Q$478/Q$212)*R$212</f>
        <v>5.1108489726880242</v>
      </c>
      <c r="S478" s="7">
        <f ca="1">IF(S$6=OFFSET(Assumptions!$B$8,0,$C$1),AVERAGE(P$478/P$212,Q$478/Q$212,R$478/R$212),R$478/R$212)*S$212</f>
        <v>5.2363074478642986</v>
      </c>
      <c r="T478" s="7">
        <f ca="1">IF(T$6=OFFSET(Assumptions!$B$8,0,$C$1),AVERAGE(Q$478/Q$212,R$478/R$212,S$478/S$212),S$478/S$212)*T$212</f>
        <v>5.4151417498073391</v>
      </c>
      <c r="U478" s="7">
        <f ca="1">IF(U$6=OFFSET(Assumptions!$B$8,0,$C$1),AVERAGE(R$478/R$212,S$478/S$212,T$478/T$212),T$478/T$212)*U$212</f>
        <v>5.6544749737420936</v>
      </c>
      <c r="V478" s="7">
        <f ca="1">IF(V$6=OFFSET(Assumptions!$B$8,0,$C$1),AVERAGE(S$478/S$212,T$478/T$212,U$478/U$212),U$478/U$212)*V$212</f>
        <v>5.9619479901724572</v>
      </c>
      <c r="W478" s="7">
        <f ca="1">IF(W$6=OFFSET(Assumptions!$B$8,0,$C$1),AVERAGE(T$478/T$212,U$478/U$212,V$478/V$212),V$478/V$212)*W$212</f>
        <v>6.3403883811029988</v>
      </c>
      <c r="X478" s="7">
        <f ca="1">IF(X$6=OFFSET(Assumptions!$B$8,0,$C$1),AVERAGE(U$478/U$212,V$478/V$212,W$478/W$212),W$478/W$212)*X$212</f>
        <v>6.789798385180279</v>
      </c>
      <c r="Y478" s="7">
        <f ca="1">IF(Y$6=OFFSET(Assumptions!$B$8,0,$C$1),AVERAGE(V$478/V$212,W$478/W$212,X$478/X$212),X$478/X$212)*Y$212</f>
        <v>7.3145920831224513</v>
      </c>
      <c r="Z478" s="7">
        <f ca="1">IF(Z$6=OFFSET(Assumptions!$B$8,0,$C$1),AVERAGE(W$478/W$212,X$478/X$212,Y$478/Y$212),Y$478/Y$212)*Z$212</f>
        <v>7.9221787847797396</v>
      </c>
      <c r="AA478" s="7">
        <f ca="1">IF(AA$6=OFFSET(Assumptions!$B$8,0,$C$1),AVERAGE(X$478/X$212,Y$478/Y$212,Z$478/Z$212),Z$478/Z$212)*AA$212</f>
        <v>8.5798915182768543</v>
      </c>
      <c r="AB478" s="7">
        <f ca="1">IF(AB$6=OFFSET(Assumptions!$B$8,0,$C$1),AVERAGE(Y$478/Y$212,Z$478/Z$212,AA$478/AA$212),AA$478/AA$212)*AB$212</f>
        <v>9.2495377965124828</v>
      </c>
      <c r="AC478" s="7">
        <f ca="1">IF(AC$6=OFFSET(Assumptions!$B$8,0,$C$1),AVERAGE(Z$478/Z$212,AA$478/AA$212,AB$478/AB$212),AB$478/AB$212)*AC$212</f>
        <v>9.9292470432224658</v>
      </c>
      <c r="AD478" s="7">
        <f ca="1">IF(AD$6=OFFSET(Assumptions!$B$8,0,$C$1),AVERAGE(AA$478/AA$212,AB$478/AB$212,AC$478/AC$212),AC$478/AC$212)*AD$212</f>
        <v>10.617572041607527</v>
      </c>
      <c r="AE478" s="7">
        <f ca="1">IF(AE$6=OFFSET(Assumptions!$B$8,0,$C$1),AVERAGE(AB$478/AB$212,AC$478/AC$212,AD$478/AD$212),AD$478/AD$212)*AE$212</f>
        <v>11.313046957592633</v>
      </c>
      <c r="AF478" s="7">
        <f ca="1">IF(AF$6=OFFSET(Assumptions!$B$8,0,$C$1),AVERAGE(AC$478/AC$212,AD$478/AD$212,AE$478/AE$212),AE$478/AE$212)*AF$212</f>
        <v>12.014650123182026</v>
      </c>
      <c r="AG478" s="7">
        <f ca="1">IF(AG$6=OFFSET(Assumptions!$B$8,0,$C$1),AVERAGE(AD$478/AD$212,AE$478/AE$212,AF$478/AF$212),AF$478/AF$212)*AG$212</f>
        <v>12.72062838187817</v>
      </c>
      <c r="AH478" s="7">
        <f ca="1">IF(AH$6=OFFSET(Assumptions!$B$8,0,$C$1),AVERAGE(AE$478/AE$212,AF$478/AF$212,AG$478/AG$212),AG$478/AG$212)*AH$212</f>
        <v>13.429202966397327</v>
      </c>
      <c r="AI478" s="7">
        <f ca="1">IF(AI$6=OFFSET(Assumptions!$B$8,0,$C$1),AVERAGE(AF$478/AF$212,AG$478/AG$212,AH$478/AH$212),AH$478/AH$212)*AI$212</f>
        <v>14.138979907608173</v>
      </c>
      <c r="AJ478" s="7">
        <f ca="1">IF(AJ$6=OFFSET(Assumptions!$B$8,0,$C$1),AVERAGE(AG$478/AG$212,AH$478/AH$212,AI$478/AI$212),AI$478/AI$212)*AJ$212</f>
        <v>14.849008952957551</v>
      </c>
      <c r="AK478" s="7">
        <f ca="1">IF(AK$6=OFFSET(Assumptions!$B$8,0,$C$1),AVERAGE(AH$478/AH$212,AI$478/AI$212,AJ$478/AJ$212),AJ$478/AJ$212)*AK$212</f>
        <v>15.559375813150675</v>
      </c>
      <c r="AL478" s="7">
        <f ca="1">IF(AL$6=OFFSET(Assumptions!$B$8,0,$C$1),AVERAGE(AI$478/AI$212,AJ$478/AJ$212,AK$478/AK$212),AK$478/AK$212)*AL$212</f>
        <v>16.269508622543352</v>
      </c>
      <c r="AM478" s="7">
        <f ca="1">IF(AM$6=OFFSET(Assumptions!$B$8,0,$C$1),AVERAGE(AJ$478/AJ$212,AK$478/AK$212,AL$478/AL$212),AL$478/AL$212)*AM$212</f>
        <v>16.979138868908269</v>
      </c>
      <c r="AN478" s="7">
        <f ca="1">IF(AN$6=OFFSET(Assumptions!$B$8,0,$C$1),AVERAGE(AK$478/AK$212,AL$478/AL$212,AM$478/AM$212),AM$478/AM$212)*AN$212</f>
        <v>17.688163101815807</v>
      </c>
      <c r="AO478" s="7">
        <f ca="1">IF(AO$6=OFFSET(Assumptions!$B$8,0,$C$1),AVERAGE(AL$478/AL$212,AM$478/AM$212,AN$478/AN$212),AN$478/AN$212)*AO$212</f>
        <v>18.398116713202693</v>
      </c>
      <c r="AP478" s="7">
        <f ca="1">IF(AP$6=OFFSET(Assumptions!$B$8,0,$C$1),AVERAGE(AM$478/AM$212,AN$478/AN$212,AO$478/AO$212),AO$478/AO$212)*AP$212</f>
        <v>19.110815975984281</v>
      </c>
      <c r="AQ478" s="7">
        <f ca="1">IF(AQ$6=OFFSET(Assumptions!$B$8,0,$C$1),AVERAGE(AN$478/AN$212,AO$478/AO$212,AP$478/AP$212),AP$478/AP$212)*AQ$212</f>
        <v>19.829298317143305</v>
      </c>
      <c r="AR478" s="7">
        <f ca="1">IF(AR$6=OFFSET(Assumptions!$B$8,0,$C$1),AVERAGE(AO$478/AO$212,AP$478/AP$212,AQ$478/AQ$212),AQ$478/AQ$212)*AR$212</f>
        <v>20.556533657275313</v>
      </c>
      <c r="AS478" s="7">
        <f ca="1">IF(AS$6=OFFSET(Assumptions!$B$8,0,$C$1),AVERAGE(AP$478/AP$212,AQ$478/AQ$212,AR$478/AR$212),AR$478/AR$212)*AS$212</f>
        <v>21.297395556051491</v>
      </c>
      <c r="AT478" s="7">
        <f ca="1">IF(AT$6=OFFSET(Assumptions!$B$8,0,$C$1),AVERAGE(AQ$478/AQ$212,AR$478/AR$212,AS$478/AS$212),AS$478/AS$212)*AT$212</f>
        <v>22.056020847246675</v>
      </c>
      <c r="AU478" s="7">
        <f ca="1">IF(AU$6=OFFSET(Assumptions!$B$8,0,$C$1),AVERAGE(AR$478/AR$212,AS$478/AS$212,AT$478/AT$212),AT$478/AT$212)*AU$212</f>
        <v>22.834893032667562</v>
      </c>
      <c r="AV478" s="7">
        <f ca="1">IF(AV$6=OFFSET(Assumptions!$B$8,0,$C$1),AVERAGE(AS$478/AS$212,AT$478/AT$212,AU$478/AU$212),AU$478/AU$212)*AV$212</f>
        <v>23.638128852179278</v>
      </c>
      <c r="AW478" s="7">
        <f ca="1">IF(AW$6=OFFSET(Assumptions!$B$8,0,$C$1),AVERAGE(AT$478/AT$212,AU$478/AU$212,AV$478/AV$212),AV$478/AV$212)*AW$212</f>
        <v>24.470613032284412</v>
      </c>
    </row>
    <row r="479" spans="1:49" x14ac:dyDescent="0.2">
      <c r="A479" s="1" t="s">
        <v>732</v>
      </c>
      <c r="D479" s="18">
        <f t="shared" ref="D479" si="277">SUM(D$229,D$231)</f>
        <v>0</v>
      </c>
      <c r="E479" s="19">
        <f t="shared" ref="E479:AW479" ca="1" si="278">SUM(E$229,E$231)</f>
        <v>0</v>
      </c>
      <c r="F479" s="19">
        <f t="shared" ca="1" si="278"/>
        <v>0</v>
      </c>
      <c r="G479" s="19">
        <f t="shared" ca="1" si="278"/>
        <v>0</v>
      </c>
      <c r="H479" s="19">
        <f t="shared" ca="1" si="278"/>
        <v>0</v>
      </c>
      <c r="I479" s="19">
        <f t="shared" ca="1" si="278"/>
        <v>0</v>
      </c>
      <c r="J479" s="7">
        <f t="shared" ca="1" si="278"/>
        <v>0</v>
      </c>
      <c r="K479" s="7">
        <f t="shared" ca="1" si="278"/>
        <v>0</v>
      </c>
      <c r="L479" s="7">
        <f t="shared" ca="1" si="278"/>
        <v>0</v>
      </c>
      <c r="M479" s="7">
        <f t="shared" ca="1" si="278"/>
        <v>0</v>
      </c>
      <c r="N479" s="7">
        <f t="shared" ca="1" si="278"/>
        <v>0</v>
      </c>
      <c r="O479" s="7">
        <f t="shared" ca="1" si="278"/>
        <v>0</v>
      </c>
      <c r="P479" s="7">
        <f t="shared" ca="1" si="278"/>
        <v>0</v>
      </c>
      <c r="Q479" s="7">
        <f t="shared" ca="1" si="278"/>
        <v>0</v>
      </c>
      <c r="R479" s="7">
        <f t="shared" ca="1" si="278"/>
        <v>0</v>
      </c>
      <c r="S479" s="7">
        <f t="shared" ca="1" si="278"/>
        <v>0</v>
      </c>
      <c r="T479" s="7">
        <f t="shared" ca="1" si="278"/>
        <v>0</v>
      </c>
      <c r="U479" s="7">
        <f t="shared" ca="1" si="278"/>
        <v>0</v>
      </c>
      <c r="V479" s="7">
        <f t="shared" ca="1" si="278"/>
        <v>0</v>
      </c>
      <c r="W479" s="7">
        <f t="shared" ca="1" si="278"/>
        <v>0</v>
      </c>
      <c r="X479" s="7">
        <f t="shared" ca="1" si="278"/>
        <v>0</v>
      </c>
      <c r="Y479" s="7">
        <f t="shared" ca="1" si="278"/>
        <v>0</v>
      </c>
      <c r="Z479" s="7">
        <f t="shared" ca="1" si="278"/>
        <v>0</v>
      </c>
      <c r="AA479" s="7">
        <f t="shared" ca="1" si="278"/>
        <v>0</v>
      </c>
      <c r="AB479" s="7">
        <f t="shared" ca="1" si="278"/>
        <v>0</v>
      </c>
      <c r="AC479" s="7">
        <f t="shared" ca="1" si="278"/>
        <v>0</v>
      </c>
      <c r="AD479" s="7">
        <f t="shared" ca="1" si="278"/>
        <v>0</v>
      </c>
      <c r="AE479" s="7">
        <f t="shared" ca="1" si="278"/>
        <v>0</v>
      </c>
      <c r="AF479" s="7">
        <f t="shared" ca="1" si="278"/>
        <v>0</v>
      </c>
      <c r="AG479" s="7">
        <f t="shared" ca="1" si="278"/>
        <v>0</v>
      </c>
      <c r="AH479" s="7">
        <f t="shared" ca="1" si="278"/>
        <v>0</v>
      </c>
      <c r="AI479" s="7">
        <f t="shared" ca="1" si="278"/>
        <v>0</v>
      </c>
      <c r="AJ479" s="7">
        <f t="shared" ca="1" si="278"/>
        <v>0</v>
      </c>
      <c r="AK479" s="7">
        <f t="shared" ca="1" si="278"/>
        <v>0</v>
      </c>
      <c r="AL479" s="7">
        <f t="shared" ca="1" si="278"/>
        <v>0</v>
      </c>
      <c r="AM479" s="7">
        <f t="shared" ca="1" si="278"/>
        <v>0</v>
      </c>
      <c r="AN479" s="7">
        <f t="shared" ca="1" si="278"/>
        <v>0</v>
      </c>
      <c r="AO479" s="7">
        <f t="shared" ca="1" si="278"/>
        <v>0</v>
      </c>
      <c r="AP479" s="7">
        <f t="shared" ca="1" si="278"/>
        <v>0</v>
      </c>
      <c r="AQ479" s="7">
        <f t="shared" ca="1" si="278"/>
        <v>0</v>
      </c>
      <c r="AR479" s="7">
        <f t="shared" ca="1" si="278"/>
        <v>0</v>
      </c>
      <c r="AS479" s="7">
        <f t="shared" ca="1" si="278"/>
        <v>0</v>
      </c>
      <c r="AT479" s="7">
        <f t="shared" ca="1" si="278"/>
        <v>0</v>
      </c>
      <c r="AU479" s="7">
        <f t="shared" ca="1" si="278"/>
        <v>0</v>
      </c>
      <c r="AV479" s="7">
        <f t="shared" ca="1" si="278"/>
        <v>0</v>
      </c>
      <c r="AW479" s="7">
        <f t="shared" ca="1" si="278"/>
        <v>0</v>
      </c>
    </row>
    <row r="480" spans="1:49" ht="15" x14ac:dyDescent="0.25">
      <c r="A480" s="2" t="s">
        <v>611</v>
      </c>
      <c r="D480" s="40">
        <f t="shared" ref="D480" si="279">SUM(D$472:D$475)-SUM(D$476:D$479)</f>
        <v>1.5949999999999989</v>
      </c>
      <c r="E480" s="39">
        <f t="shared" ref="E480:AW480" ca="1" si="280">SUM(E$472:E$475)-SUM(E$476:E$479)</f>
        <v>2.1329999999999956</v>
      </c>
      <c r="F480" s="39">
        <f t="shared" ca="1" si="280"/>
        <v>1.9260000000000019</v>
      </c>
      <c r="G480" s="39">
        <f t="shared" ca="1" si="280"/>
        <v>2.7669999999999959</v>
      </c>
      <c r="H480" s="39">
        <f t="shared" ca="1" si="280"/>
        <v>6.0110000000000099</v>
      </c>
      <c r="I480" s="39">
        <f t="shared" ca="1" si="280"/>
        <v>7.8130000000000024</v>
      </c>
      <c r="J480" s="43">
        <f t="shared" ca="1" si="280"/>
        <v>8.6027260196991335</v>
      </c>
      <c r="K480" s="43">
        <f t="shared" ca="1" si="280"/>
        <v>8.9523807773263968</v>
      </c>
      <c r="L480" s="43">
        <f t="shared" ca="1" si="280"/>
        <v>9.3316301364993279</v>
      </c>
      <c r="M480" s="43">
        <f t="shared" ca="1" si="280"/>
        <v>9.5761455876525901</v>
      </c>
      <c r="N480" s="43">
        <f t="shared" ca="1" si="280"/>
        <v>9.7843821278218712</v>
      </c>
      <c r="O480" s="43">
        <f t="shared" ca="1" si="280"/>
        <v>9.9348659331153613</v>
      </c>
      <c r="P480" s="43">
        <f t="shared" ca="1" si="280"/>
        <v>9.3252668753364674</v>
      </c>
      <c r="Q480" s="43">
        <f t="shared" ca="1" si="280"/>
        <v>8.6814876316818896</v>
      </c>
      <c r="R480" s="43">
        <f t="shared" ca="1" si="280"/>
        <v>7.8428723991497691</v>
      </c>
      <c r="S480" s="43">
        <f t="shared" ca="1" si="280"/>
        <v>6.9392459830719417</v>
      </c>
      <c r="T480" s="43">
        <f t="shared" ca="1" si="280"/>
        <v>5.9212564973820463</v>
      </c>
      <c r="U480" s="43">
        <f t="shared" ca="1" si="280"/>
        <v>4.7686703741399299</v>
      </c>
      <c r="V480" s="43">
        <f t="shared" ca="1" si="280"/>
        <v>3.4625184113361058</v>
      </c>
      <c r="W480" s="43">
        <f t="shared" ca="1" si="280"/>
        <v>2.1998034651738578</v>
      </c>
      <c r="X480" s="43">
        <f t="shared" ca="1" si="280"/>
        <v>0.91955394304625315</v>
      </c>
      <c r="Y480" s="43">
        <f t="shared" ca="1" si="280"/>
        <v>-0.51816479804284654</v>
      </c>
      <c r="Z480" s="43">
        <f t="shared" ca="1" si="280"/>
        <v>-2.0334723894917488</v>
      </c>
      <c r="AA480" s="43">
        <f t="shared" ca="1" si="280"/>
        <v>-2.0040237150779205</v>
      </c>
      <c r="AB480" s="43">
        <f t="shared" ca="1" si="280"/>
        <v>-1.8516480086551041</v>
      </c>
      <c r="AC480" s="43">
        <f t="shared" ca="1" si="280"/>
        <v>-1.5460440832674749</v>
      </c>
      <c r="AD480" s="43">
        <f t="shared" ca="1" si="280"/>
        <v>-1.0763713219587316</v>
      </c>
      <c r="AE480" s="43">
        <f t="shared" ca="1" si="280"/>
        <v>-0.53546164334312607</v>
      </c>
      <c r="AF480" s="43">
        <f t="shared" ca="1" si="280"/>
        <v>0.13561728698252296</v>
      </c>
      <c r="AG480" s="43">
        <f t="shared" ca="1" si="280"/>
        <v>0.83741397856772437</v>
      </c>
      <c r="AH480" s="43">
        <f t="shared" ca="1" si="280"/>
        <v>1.6166303677503038</v>
      </c>
      <c r="AI480" s="43">
        <f t="shared" ca="1" si="280"/>
        <v>2.4394183870104484</v>
      </c>
      <c r="AJ480" s="43">
        <f t="shared" ca="1" si="280"/>
        <v>3.3138768865517818</v>
      </c>
      <c r="AK480" s="43">
        <f t="shared" ca="1" si="280"/>
        <v>4.1834821021765833</v>
      </c>
      <c r="AL480" s="43">
        <f t="shared" ca="1" si="280"/>
        <v>5.0809199737028052</v>
      </c>
      <c r="AM480" s="43">
        <f t="shared" ca="1" si="280"/>
        <v>5.9934518991240679</v>
      </c>
      <c r="AN480" s="43">
        <f t="shared" ca="1" si="280"/>
        <v>6.885041753931489</v>
      </c>
      <c r="AO480" s="43">
        <f t="shared" ca="1" si="280"/>
        <v>7.6742161010407699</v>
      </c>
      <c r="AP480" s="43">
        <f t="shared" ca="1" si="280"/>
        <v>8.3150796696979796</v>
      </c>
      <c r="AQ480" s="43">
        <f t="shared" ca="1" si="280"/>
        <v>8.7813896734365926</v>
      </c>
      <c r="AR480" s="43">
        <f t="shared" ca="1" si="280"/>
        <v>9.0043624345559579</v>
      </c>
      <c r="AS480" s="43">
        <f t="shared" ca="1" si="280"/>
        <v>8.999093534879762</v>
      </c>
      <c r="AT480" s="43">
        <f t="shared" ca="1" si="280"/>
        <v>8.9739132497760465</v>
      </c>
      <c r="AU480" s="43">
        <f t="shared" ca="1" si="280"/>
        <v>8.8518949535642832</v>
      </c>
      <c r="AV480" s="43">
        <f t="shared" ca="1" si="280"/>
        <v>8.7057415038669888</v>
      </c>
      <c r="AW480" s="43">
        <f t="shared" ca="1" si="280"/>
        <v>8.4293918208602463</v>
      </c>
    </row>
    <row r="481" spans="1:49" x14ac:dyDescent="0.2">
      <c r="A481" s="1" t="s">
        <v>746</v>
      </c>
      <c r="B481" s="4" t="str">
        <f t="shared" ref="B481:B483" si="281">$B$43</f>
        <v>From Fiscal</v>
      </c>
      <c r="D481" s="18">
        <f>-Fiscal!D$366</f>
        <v>1.9550000000000001</v>
      </c>
      <c r="E481" s="19">
        <f ca="1">-Fiscal!E$366  +IF(OFFSET(Assumptions!$B$109,0,$C$1)="BU",Allocate!C$37-Allocate!B$37,0)</f>
        <v>2.2669999999999999</v>
      </c>
      <c r="F481" s="19">
        <f ca="1">-Fiscal!F$366  +IF(OFFSET(Assumptions!$B$109,0,$C$1)="BU",Allocate!D$37-Allocate!C$37,0)</f>
        <v>3.3920000000000003</v>
      </c>
      <c r="G481" s="19">
        <f ca="1">-Fiscal!G$366  +IF(OFFSET(Assumptions!$B$109,0,$C$1)="BU",Allocate!E$37-Allocate!D$37,0)</f>
        <v>2.931</v>
      </c>
      <c r="H481" s="19">
        <f ca="1">-Fiscal!H$366  +IF(OFFSET(Assumptions!$B$109,0,$C$1)="BU",Allocate!F$37-Allocate!E$37,0)</f>
        <v>2.4279999999999999</v>
      </c>
      <c r="I481" s="19">
        <f ca="1">-Fiscal!I$366  +IF(OFFSET(Assumptions!$B$109,0,$C$1)="BU",Allocate!G$37-Allocate!F$37,0)</f>
        <v>2.5390000000000001</v>
      </c>
      <c r="J481" s="7">
        <f t="shared" ref="J481:AW481" ca="1" si="282">SUM(J$404-I$404,J$411) +SUM(J$424-I$424,J$199-J$411)</f>
        <v>3.5180758974946937</v>
      </c>
      <c r="K481" s="7">
        <f t="shared" ca="1" si="282"/>
        <v>3.6628572754996078</v>
      </c>
      <c r="L481" s="7">
        <f t="shared" ca="1" si="282"/>
        <v>3.820107339390665</v>
      </c>
      <c r="M481" s="7">
        <f t="shared" ca="1" si="282"/>
        <v>3.9803734011156426</v>
      </c>
      <c r="N481" s="7">
        <f t="shared" ca="1" si="282"/>
        <v>4.1470097196958831</v>
      </c>
      <c r="O481" s="7">
        <f t="shared" ca="1" si="282"/>
        <v>4.3185128393890668</v>
      </c>
      <c r="P481" s="7">
        <f t="shared" ca="1" si="282"/>
        <v>4.5014830913959631</v>
      </c>
      <c r="Q481" s="7">
        <f t="shared" ca="1" si="282"/>
        <v>4.6906519607684185</v>
      </c>
      <c r="R481" s="7">
        <f t="shared" ca="1" si="282"/>
        <v>4.8860222309002168</v>
      </c>
      <c r="S481" s="7">
        <f t="shared" ca="1" si="282"/>
        <v>5.0884499730029376</v>
      </c>
      <c r="T481" s="7">
        <f t="shared" ca="1" si="282"/>
        <v>5.2978223582191859</v>
      </c>
      <c r="U481" s="7">
        <f t="shared" ca="1" si="282"/>
        <v>5.515032322365272</v>
      </c>
      <c r="V481" s="7">
        <f t="shared" ca="1" si="282"/>
        <v>5.7403524085103825</v>
      </c>
      <c r="W481" s="7">
        <f t="shared" ca="1" si="282"/>
        <v>5.9744119526597377</v>
      </c>
      <c r="X481" s="7">
        <f t="shared" ca="1" si="282"/>
        <v>6.2177076184365117</v>
      </c>
      <c r="Y481" s="7">
        <f t="shared" ca="1" si="282"/>
        <v>6.4700743603342987</v>
      </c>
      <c r="Z481" s="7">
        <f t="shared" ca="1" si="282"/>
        <v>6.7329614764480779</v>
      </c>
      <c r="AA481" s="7">
        <f t="shared" ca="1" si="282"/>
        <v>7.006438795553902</v>
      </c>
      <c r="AB481" s="7">
        <f t="shared" ca="1" si="282"/>
        <v>7.2913184152325305</v>
      </c>
      <c r="AC481" s="7">
        <f t="shared" ca="1" si="282"/>
        <v>7.5885700651954426</v>
      </c>
      <c r="AD481" s="7">
        <f t="shared" ca="1" si="282"/>
        <v>7.8982470304630317</v>
      </c>
      <c r="AE481" s="7">
        <f t="shared" ca="1" si="282"/>
        <v>8.2201469585076445</v>
      </c>
      <c r="AF481" s="7">
        <f t="shared" ca="1" si="282"/>
        <v>8.5555617097310392</v>
      </c>
      <c r="AG481" s="7">
        <f t="shared" ca="1" si="282"/>
        <v>8.9045517148615083</v>
      </c>
      <c r="AH481" s="7">
        <f t="shared" ca="1" si="282"/>
        <v>9.2678148893009524</v>
      </c>
      <c r="AI481" s="7">
        <f t="shared" ca="1" si="282"/>
        <v>9.6446188724517938</v>
      </c>
      <c r="AJ481" s="7">
        <f t="shared" ca="1" si="282"/>
        <v>10.036874910010532</v>
      </c>
      <c r="AK481" s="7">
        <f t="shared" ca="1" si="282"/>
        <v>10.443865683814478</v>
      </c>
      <c r="AL481" s="7">
        <f t="shared" ca="1" si="282"/>
        <v>10.865598985327479</v>
      </c>
      <c r="AM481" s="7">
        <f t="shared" ca="1" si="282"/>
        <v>11.303132927731863</v>
      </c>
      <c r="AN481" s="7">
        <f t="shared" ca="1" si="282"/>
        <v>11.757137309141399</v>
      </c>
      <c r="AO481" s="7">
        <f t="shared" ca="1" si="282"/>
        <v>12.225517284124063</v>
      </c>
      <c r="AP481" s="7">
        <f t="shared" ca="1" si="282"/>
        <v>12.711616509328184</v>
      </c>
      <c r="AQ481" s="7">
        <f t="shared" ca="1" si="282"/>
        <v>13.213134063107606</v>
      </c>
      <c r="AR481" s="7">
        <f t="shared" ca="1" si="282"/>
        <v>13.731575195995205</v>
      </c>
      <c r="AS481" s="7">
        <f t="shared" ca="1" si="282"/>
        <v>14.268151056540141</v>
      </c>
      <c r="AT481" s="7">
        <f t="shared" ca="1" si="282"/>
        <v>14.822882580602585</v>
      </c>
      <c r="AU481" s="7">
        <f t="shared" ca="1" si="282"/>
        <v>15.396600434962886</v>
      </c>
      <c r="AV481" s="7">
        <f t="shared" ca="1" si="282"/>
        <v>15.991097708632292</v>
      </c>
      <c r="AW481" s="7">
        <f t="shared" ca="1" si="282"/>
        <v>16.605446030490487</v>
      </c>
    </row>
    <row r="482" spans="1:49" x14ac:dyDescent="0.2">
      <c r="A482" s="1" t="s">
        <v>759</v>
      </c>
      <c r="B482" s="4" t="str">
        <f t="shared" si="281"/>
        <v>From Fiscal</v>
      </c>
      <c r="D482" s="18">
        <f>-Fiscal!D$367</f>
        <v>0.56999999999999995</v>
      </c>
      <c r="E482" s="19">
        <f>-Fiscal!E$367</f>
        <v>6.4000000000000001E-2</v>
      </c>
      <c r="F482" s="19">
        <f>-Fiscal!F$367</f>
        <v>0.61599999999999999</v>
      </c>
      <c r="G482" s="19">
        <f>-Fiscal!G$367</f>
        <v>0.39100000000000001</v>
      </c>
      <c r="H482" s="19">
        <f>-Fiscal!H$367</f>
        <v>0.252</v>
      </c>
      <c r="I482" s="19">
        <f>-Fiscal!I$367</f>
        <v>0.125</v>
      </c>
      <c r="J482" s="7">
        <f t="shared" ref="J482:AW482" ca="1" si="283">SUM(J$378,J$379)-SUM(I$378,I$379)-(J$389-J$387-J$390)</f>
        <v>0.64291752854102646</v>
      </c>
      <c r="K482" s="7">
        <f t="shared" ca="1" si="283"/>
        <v>0.61096467821343237</v>
      </c>
      <c r="L482" s="7">
        <f t="shared" ca="1" si="283"/>
        <v>0.60223876617469108</v>
      </c>
      <c r="M482" s="7">
        <f t="shared" ca="1" si="283"/>
        <v>0.59020057346182098</v>
      </c>
      <c r="N482" s="7">
        <f t="shared" ca="1" si="283"/>
        <v>0.58114106505154506</v>
      </c>
      <c r="O482" s="7">
        <f t="shared" ca="1" si="283"/>
        <v>0.5730032781168779</v>
      </c>
      <c r="P482" s="7">
        <f t="shared" ca="1" si="283"/>
        <v>0.5976963016332667</v>
      </c>
      <c r="Q482" s="7">
        <f t="shared" ca="1" si="283"/>
        <v>0.61706127737955163</v>
      </c>
      <c r="R482" s="7">
        <f t="shared" ca="1" si="283"/>
        <v>0.63519389356515499</v>
      </c>
      <c r="S482" s="7">
        <f t="shared" ca="1" si="283"/>
        <v>0.65035042880636218</v>
      </c>
      <c r="T482" s="7">
        <f t="shared" ca="1" si="283"/>
        <v>0.66662816099665623</v>
      </c>
      <c r="U482" s="7">
        <f t="shared" ca="1" si="283"/>
        <v>0.69046557662519781</v>
      </c>
      <c r="V482" s="7">
        <f t="shared" ca="1" si="283"/>
        <v>0.70718707794739033</v>
      </c>
      <c r="W482" s="7">
        <f t="shared" ca="1" si="283"/>
        <v>0.72498066898341273</v>
      </c>
      <c r="X482" s="7">
        <f t="shared" ca="1" si="283"/>
        <v>0.73198827214490669</v>
      </c>
      <c r="Y482" s="7">
        <f t="shared" ca="1" si="283"/>
        <v>0.7449663513335153</v>
      </c>
      <c r="Z482" s="7">
        <f t="shared" ca="1" si="283"/>
        <v>0.76802686969302836</v>
      </c>
      <c r="AA482" s="7">
        <f t="shared" ca="1" si="283"/>
        <v>0.8107879600669623</v>
      </c>
      <c r="AB482" s="7">
        <f t="shared" ca="1" si="283"/>
        <v>0.8528920203148691</v>
      </c>
      <c r="AC482" s="7">
        <f t="shared" ca="1" si="283"/>
        <v>0.90275220875184314</v>
      </c>
      <c r="AD482" s="7">
        <f t="shared" ca="1" si="283"/>
        <v>0.94713339345109526</v>
      </c>
      <c r="AE482" s="7">
        <f t="shared" ca="1" si="283"/>
        <v>1.0020652352318697</v>
      </c>
      <c r="AF482" s="7">
        <f t="shared" ca="1" si="283"/>
        <v>1.0604596336188308</v>
      </c>
      <c r="AG482" s="7">
        <f t="shared" ca="1" si="283"/>
        <v>1.0981729111860188</v>
      </c>
      <c r="AH482" s="7">
        <f t="shared" ca="1" si="283"/>
        <v>1.1288111617299048</v>
      </c>
      <c r="AI482" s="7">
        <f t="shared" ca="1" si="283"/>
        <v>1.1484309763967393</v>
      </c>
      <c r="AJ482" s="7">
        <f t="shared" ca="1" si="283"/>
        <v>1.1860304498165566</v>
      </c>
      <c r="AK482" s="7">
        <f t="shared" ca="1" si="283"/>
        <v>1.2231210197789089</v>
      </c>
      <c r="AL482" s="7">
        <f t="shared" ca="1" si="283"/>
        <v>1.2467068359024969</v>
      </c>
      <c r="AM482" s="7">
        <f t="shared" ca="1" si="283"/>
        <v>1.27424342106438</v>
      </c>
      <c r="AN482" s="7">
        <f t="shared" ca="1" si="283"/>
        <v>1.2837816186602626</v>
      </c>
      <c r="AO482" s="7">
        <f t="shared" ca="1" si="283"/>
        <v>1.3204592745901365</v>
      </c>
      <c r="AP482" s="7">
        <f t="shared" ca="1" si="283"/>
        <v>1.3503608979952699</v>
      </c>
      <c r="AQ482" s="7">
        <f t="shared" ca="1" si="283"/>
        <v>1.3760945856821103</v>
      </c>
      <c r="AR482" s="7">
        <f t="shared" ca="1" si="283"/>
        <v>1.407756818487546</v>
      </c>
      <c r="AS482" s="7">
        <f t="shared" ca="1" si="283"/>
        <v>1.4573688809965044</v>
      </c>
      <c r="AT482" s="7">
        <f t="shared" ca="1" si="283"/>
        <v>1.4806826007501068</v>
      </c>
      <c r="AU482" s="7">
        <f t="shared" ca="1" si="283"/>
        <v>1.5011871993876318</v>
      </c>
      <c r="AV482" s="7">
        <f t="shared" ca="1" si="283"/>
        <v>1.5485198280854147</v>
      </c>
      <c r="AW482" s="7">
        <f t="shared" ca="1" si="283"/>
        <v>1.6093446947735395</v>
      </c>
    </row>
    <row r="483" spans="1:49" x14ac:dyDescent="0.2">
      <c r="A483" s="1" t="s">
        <v>760</v>
      </c>
      <c r="B483" s="4" t="str">
        <f t="shared" si="281"/>
        <v>From Fiscal</v>
      </c>
      <c r="D483" s="18">
        <f>-Fiscal!D$368</f>
        <v>0.89699999999999991</v>
      </c>
      <c r="E483" s="19">
        <f>-Fiscal!E$368</f>
        <v>1.917</v>
      </c>
      <c r="F483" s="19">
        <f>-Fiscal!F$368</f>
        <v>2.08</v>
      </c>
      <c r="G483" s="19">
        <f>-Fiscal!G$368</f>
        <v>1.5169999999999999</v>
      </c>
      <c r="H483" s="19">
        <f>-Fiscal!H$368</f>
        <v>1.3720000000000001</v>
      </c>
      <c r="I483" s="19">
        <f>-Fiscal!I$368</f>
        <v>1.2490000000000001</v>
      </c>
      <c r="J483" s="7">
        <f t="shared" ref="J483:AW483" ca="1" si="284">J$419-I$419-J$328</f>
        <v>1.1552933109363457</v>
      </c>
      <c r="K483" s="7">
        <f t="shared" ca="1" si="284"/>
        <v>1.2463527088859176</v>
      </c>
      <c r="L483" s="7">
        <f t="shared" ca="1" si="284"/>
        <v>1.3003762288915044</v>
      </c>
      <c r="M483" s="7">
        <f t="shared" ca="1" si="284"/>
        <v>1.3565608742108473</v>
      </c>
      <c r="N483" s="7">
        <f t="shared" ca="1" si="284"/>
        <v>1.4150659214556298</v>
      </c>
      <c r="O483" s="7">
        <f t="shared" ca="1" si="284"/>
        <v>1.4754704627402879</v>
      </c>
      <c r="P483" s="7">
        <f t="shared" ca="1" si="284"/>
        <v>1.537866487395195</v>
      </c>
      <c r="Q483" s="7">
        <f t="shared" ca="1" si="284"/>
        <v>1.6021865962566575</v>
      </c>
      <c r="R483" s="7">
        <f t="shared" ca="1" si="284"/>
        <v>1.6683830498138326</v>
      </c>
      <c r="S483" s="7">
        <f t="shared" ca="1" si="284"/>
        <v>1.7366662176968386</v>
      </c>
      <c r="T483" s="7">
        <f t="shared" ca="1" si="284"/>
        <v>1.8070610004651422</v>
      </c>
      <c r="U483" s="7">
        <f t="shared" ca="1" si="284"/>
        <v>1.8798200431385383</v>
      </c>
      <c r="V483" s="7">
        <f t="shared" ca="1" si="284"/>
        <v>1.955122951829438</v>
      </c>
      <c r="W483" s="7">
        <f t="shared" ca="1" si="284"/>
        <v>2.0331878980585358</v>
      </c>
      <c r="X483" s="7">
        <f t="shared" ca="1" si="284"/>
        <v>2.1142621492119371</v>
      </c>
      <c r="Y483" s="7">
        <f t="shared" ca="1" si="284"/>
        <v>2.1983374168167327</v>
      </c>
      <c r="Z483" s="7">
        <f t="shared" ca="1" si="284"/>
        <v>2.2858392598117114</v>
      </c>
      <c r="AA483" s="7">
        <f t="shared" ca="1" si="284"/>
        <v>2.3769092564805496</v>
      </c>
      <c r="AB483" s="7">
        <f t="shared" ca="1" si="284"/>
        <v>2.4718208984336814</v>
      </c>
      <c r="AC483" s="7">
        <f t="shared" ca="1" si="284"/>
        <v>2.5709324899992354</v>
      </c>
      <c r="AD483" s="7">
        <f t="shared" ca="1" si="284"/>
        <v>2.674348496017291</v>
      </c>
      <c r="AE483" s="7">
        <f t="shared" ca="1" si="284"/>
        <v>2.7819739426703025</v>
      </c>
      <c r="AF483" s="7">
        <f t="shared" ca="1" si="284"/>
        <v>2.8941065864758184</v>
      </c>
      <c r="AG483" s="7">
        <f t="shared" ca="1" si="284"/>
        <v>3.0108091273193609</v>
      </c>
      <c r="AH483" s="7">
        <f t="shared" ca="1" si="284"/>
        <v>3.1322687058227605</v>
      </c>
      <c r="AI483" s="7">
        <f t="shared" ca="1" si="284"/>
        <v>3.2582730918951617</v>
      </c>
      <c r="AJ483" s="7">
        <f t="shared" ca="1" si="284"/>
        <v>3.3892259403647476</v>
      </c>
      <c r="AK483" s="7">
        <f t="shared" ca="1" si="284"/>
        <v>3.5250195253845455</v>
      </c>
      <c r="AL483" s="7">
        <f t="shared" ca="1" si="284"/>
        <v>3.6655468786013636</v>
      </c>
      <c r="AM483" s="7">
        <f t="shared" ca="1" si="284"/>
        <v>3.8109999786791997</v>
      </c>
      <c r="AN483" s="7">
        <f t="shared" ca="1" si="284"/>
        <v>3.9615811494716655</v>
      </c>
      <c r="AO483" s="7">
        <f t="shared" ca="1" si="284"/>
        <v>4.1166991107944693</v>
      </c>
      <c r="AP483" s="7">
        <f t="shared" ca="1" si="284"/>
        <v>4.2770125703131123</v>
      </c>
      <c r="AQ483" s="7">
        <f t="shared" ca="1" si="284"/>
        <v>4.4420723302199674</v>
      </c>
      <c r="AR483" s="7">
        <f t="shared" ca="1" si="284"/>
        <v>4.612065267691861</v>
      </c>
      <c r="AS483" s="7">
        <f t="shared" ca="1" si="284"/>
        <v>4.7873879713486893</v>
      </c>
      <c r="AT483" s="7">
        <f t="shared" ca="1" si="284"/>
        <v>4.9681804656939672</v>
      </c>
      <c r="AU483" s="7">
        <f t="shared" ca="1" si="284"/>
        <v>5.1546831643842301</v>
      </c>
      <c r="AV483" s="7">
        <f t="shared" ca="1" si="284"/>
        <v>5.3474727147525956</v>
      </c>
      <c r="AW483" s="7">
        <f t="shared" ca="1" si="284"/>
        <v>5.5464402762673242</v>
      </c>
    </row>
    <row r="484" spans="1:49" x14ac:dyDescent="0.2">
      <c r="A484" s="1" t="s">
        <v>618</v>
      </c>
      <c r="D484" s="18">
        <f t="shared" ref="D484:AW484" si="285">D$368</f>
        <v>0</v>
      </c>
      <c r="E484" s="19">
        <f t="shared" si="285"/>
        <v>0</v>
      </c>
      <c r="F484" s="19">
        <f t="shared" si="285"/>
        <v>0</v>
      </c>
      <c r="G484" s="19">
        <f t="shared" si="285"/>
        <v>0</v>
      </c>
      <c r="H484" s="19">
        <f t="shared" si="285"/>
        <v>0</v>
      </c>
      <c r="I484" s="19">
        <f t="shared" si="285"/>
        <v>0</v>
      </c>
      <c r="J484" s="7">
        <f t="shared" si="285"/>
        <v>2.964</v>
      </c>
      <c r="K484" s="7">
        <f t="shared" si="285"/>
        <v>2.8650000000000002</v>
      </c>
      <c r="L484" s="7">
        <f t="shared" si="285"/>
        <v>2.7120000000000002</v>
      </c>
      <c r="M484" s="7">
        <f t="shared" si="285"/>
        <v>2.5110000000000001</v>
      </c>
      <c r="N484" s="7">
        <f t="shared" si="285"/>
        <v>2.2930000000000001</v>
      </c>
      <c r="O484" s="7">
        <f t="shared" si="285"/>
        <v>2.0219999999999998</v>
      </c>
      <c r="P484" s="7">
        <f t="shared" si="285"/>
        <v>1.71</v>
      </c>
      <c r="Q484" s="7">
        <f t="shared" si="285"/>
        <v>1.387</v>
      </c>
      <c r="R484" s="7">
        <f t="shared" si="285"/>
        <v>1.0680000000000001</v>
      </c>
      <c r="S484" s="7">
        <f t="shared" si="285"/>
        <v>0.78500000000000003</v>
      </c>
      <c r="T484" s="7">
        <f t="shared" si="285"/>
        <v>0.51</v>
      </c>
      <c r="U484" s="7">
        <f t="shared" si="285"/>
        <v>0.222</v>
      </c>
      <c r="V484" s="7">
        <f t="shared" si="285"/>
        <v>-8.2000000000000003E-2</v>
      </c>
      <c r="W484" s="7">
        <f t="shared" si="285"/>
        <v>-0.4</v>
      </c>
      <c r="X484" s="7">
        <f t="shared" si="285"/>
        <v>-0.70699999999999996</v>
      </c>
      <c r="Y484" s="7">
        <f t="shared" si="285"/>
        <v>-1.0509999999999999</v>
      </c>
      <c r="Z484" s="7">
        <f t="shared" si="285"/>
        <v>-1.359</v>
      </c>
      <c r="AA484" s="7">
        <f t="shared" si="285"/>
        <v>-1.601</v>
      </c>
      <c r="AB484" s="7">
        <f t="shared" si="285"/>
        <v>-1.7589999999999999</v>
      </c>
      <c r="AC484" s="7">
        <f t="shared" si="285"/>
        <v>-1.821</v>
      </c>
      <c r="AD484" s="7">
        <f t="shared" si="285"/>
        <v>-1.778</v>
      </c>
      <c r="AE484" s="7">
        <f t="shared" si="285"/>
        <v>-1.702</v>
      </c>
      <c r="AF484" s="7">
        <f t="shared" si="285"/>
        <v>-1.5529999999999999</v>
      </c>
      <c r="AG484" s="7">
        <f t="shared" si="285"/>
        <v>-1.413</v>
      </c>
      <c r="AH484" s="7">
        <f t="shared" si="285"/>
        <v>-1.2430000000000001</v>
      </c>
      <c r="AI484" s="7">
        <f t="shared" si="285"/>
        <v>-1.0640000000000001</v>
      </c>
      <c r="AJ484" s="7">
        <f t="shared" si="285"/>
        <v>-0.876</v>
      </c>
      <c r="AK484" s="7">
        <f t="shared" si="285"/>
        <v>-0.72</v>
      </c>
      <c r="AL484" s="7">
        <f t="shared" si="285"/>
        <v>-0.55700000000000005</v>
      </c>
      <c r="AM484" s="7">
        <f t="shared" si="285"/>
        <v>-0.39900000000000002</v>
      </c>
      <c r="AN484" s="7">
        <f t="shared" si="285"/>
        <v>-0.28199999999999997</v>
      </c>
      <c r="AO484" s="7">
        <f t="shared" si="285"/>
        <v>-0.23899999999999999</v>
      </c>
      <c r="AP484" s="7">
        <f t="shared" si="285"/>
        <v>-0.33</v>
      </c>
      <c r="AQ484" s="7">
        <f t="shared" si="285"/>
        <v>-0.54800000000000004</v>
      </c>
      <c r="AR484" s="7">
        <f t="shared" si="285"/>
        <v>-0.94899999999999995</v>
      </c>
      <c r="AS484" s="7">
        <f t="shared" si="285"/>
        <v>-1.52</v>
      </c>
      <c r="AT484" s="7">
        <f t="shared" si="285"/>
        <v>-2.0819999999999999</v>
      </c>
      <c r="AU484" s="7">
        <f t="shared" si="285"/>
        <v>-2.6949999999999998</v>
      </c>
      <c r="AV484" s="7">
        <f t="shared" si="285"/>
        <v>-3.3119999999999998</v>
      </c>
      <c r="AW484" s="7">
        <f t="shared" si="285"/>
        <v>-4.0010000000000003</v>
      </c>
    </row>
    <row r="485" spans="1:49" x14ac:dyDescent="0.2">
      <c r="A485" s="1" t="s">
        <v>731</v>
      </c>
      <c r="D485" s="18">
        <f t="shared" ref="D485:AW485" si="286">SUM(D$439-C$439,D$440-C$440)</f>
        <v>0</v>
      </c>
      <c r="E485" s="19">
        <f t="shared" ca="1" si="286"/>
        <v>0</v>
      </c>
      <c r="F485" s="19">
        <f t="shared" ca="1" si="286"/>
        <v>0</v>
      </c>
      <c r="G485" s="19">
        <f t="shared" ca="1" si="286"/>
        <v>0</v>
      </c>
      <c r="H485" s="19">
        <f t="shared" ca="1" si="286"/>
        <v>0</v>
      </c>
      <c r="I485" s="19">
        <f t="shared" ca="1" si="286"/>
        <v>0</v>
      </c>
      <c r="J485" s="7">
        <f t="shared" ca="1" si="286"/>
        <v>0</v>
      </c>
      <c r="K485" s="7">
        <f t="shared" ca="1" si="286"/>
        <v>0</v>
      </c>
      <c r="L485" s="7">
        <f t="shared" ca="1" si="286"/>
        <v>0</v>
      </c>
      <c r="M485" s="7">
        <f t="shared" ca="1" si="286"/>
        <v>0</v>
      </c>
      <c r="N485" s="7">
        <f t="shared" ca="1" si="286"/>
        <v>0</v>
      </c>
      <c r="O485" s="7">
        <f t="shared" ca="1" si="286"/>
        <v>0</v>
      </c>
      <c r="P485" s="7">
        <f t="shared" ca="1" si="286"/>
        <v>0</v>
      </c>
      <c r="Q485" s="7">
        <f t="shared" ca="1" si="286"/>
        <v>0</v>
      </c>
      <c r="R485" s="7">
        <f t="shared" ca="1" si="286"/>
        <v>0</v>
      </c>
      <c r="S485" s="7">
        <f t="shared" ca="1" si="286"/>
        <v>0</v>
      </c>
      <c r="T485" s="7">
        <f t="shared" ca="1" si="286"/>
        <v>0</v>
      </c>
      <c r="U485" s="7">
        <f t="shared" ca="1" si="286"/>
        <v>0</v>
      </c>
      <c r="V485" s="7">
        <f t="shared" ca="1" si="286"/>
        <v>0</v>
      </c>
      <c r="W485" s="7">
        <f t="shared" ca="1" si="286"/>
        <v>0</v>
      </c>
      <c r="X485" s="7">
        <f t="shared" ca="1" si="286"/>
        <v>0</v>
      </c>
      <c r="Y485" s="7">
        <f t="shared" ca="1" si="286"/>
        <v>0</v>
      </c>
      <c r="Z485" s="7">
        <f t="shared" ca="1" si="286"/>
        <v>0</v>
      </c>
      <c r="AA485" s="7">
        <f t="shared" ca="1" si="286"/>
        <v>0</v>
      </c>
      <c r="AB485" s="7">
        <f t="shared" ca="1" si="286"/>
        <v>0</v>
      </c>
      <c r="AC485" s="7">
        <f t="shared" ca="1" si="286"/>
        <v>0</v>
      </c>
      <c r="AD485" s="7">
        <f t="shared" ca="1" si="286"/>
        <v>0</v>
      </c>
      <c r="AE485" s="7">
        <f t="shared" ca="1" si="286"/>
        <v>0</v>
      </c>
      <c r="AF485" s="7">
        <f t="shared" ca="1" si="286"/>
        <v>0</v>
      </c>
      <c r="AG485" s="7">
        <f t="shared" ca="1" si="286"/>
        <v>0</v>
      </c>
      <c r="AH485" s="7">
        <f t="shared" ca="1" si="286"/>
        <v>0</v>
      </c>
      <c r="AI485" s="7">
        <f t="shared" ca="1" si="286"/>
        <v>0</v>
      </c>
      <c r="AJ485" s="7">
        <f t="shared" ca="1" si="286"/>
        <v>0</v>
      </c>
      <c r="AK485" s="7">
        <f t="shared" ca="1" si="286"/>
        <v>0</v>
      </c>
      <c r="AL485" s="7">
        <f t="shared" ca="1" si="286"/>
        <v>0</v>
      </c>
      <c r="AM485" s="7">
        <f t="shared" ca="1" si="286"/>
        <v>0</v>
      </c>
      <c r="AN485" s="7">
        <f t="shared" ca="1" si="286"/>
        <v>0</v>
      </c>
      <c r="AO485" s="7">
        <f t="shared" ca="1" si="286"/>
        <v>0</v>
      </c>
      <c r="AP485" s="7">
        <f t="shared" ca="1" si="286"/>
        <v>0</v>
      </c>
      <c r="AQ485" s="7">
        <f t="shared" ca="1" si="286"/>
        <v>0</v>
      </c>
      <c r="AR485" s="7">
        <f t="shared" ca="1" si="286"/>
        <v>0</v>
      </c>
      <c r="AS485" s="7">
        <f t="shared" ca="1" si="286"/>
        <v>0</v>
      </c>
      <c r="AT485" s="7">
        <f t="shared" ca="1" si="286"/>
        <v>0</v>
      </c>
      <c r="AU485" s="7">
        <f t="shared" ca="1" si="286"/>
        <v>0</v>
      </c>
      <c r="AV485" s="7">
        <f t="shared" ca="1" si="286"/>
        <v>0</v>
      </c>
      <c r="AW485" s="7">
        <f t="shared" ca="1" si="286"/>
        <v>0</v>
      </c>
    </row>
    <row r="486" spans="1:49" ht="15" x14ac:dyDescent="0.25">
      <c r="A486" s="2" t="s">
        <v>612</v>
      </c>
      <c r="D486" s="40">
        <f t="shared" ref="D486" si="287">-SUM(D$481:D$485)</f>
        <v>-3.4219999999999997</v>
      </c>
      <c r="E486" s="39">
        <f t="shared" ref="E486:AW486" ca="1" si="288">-SUM(E$481:E$485)</f>
        <v>-4.2480000000000002</v>
      </c>
      <c r="F486" s="39">
        <f t="shared" ca="1" si="288"/>
        <v>-6.0880000000000001</v>
      </c>
      <c r="G486" s="39">
        <f t="shared" ca="1" si="288"/>
        <v>-4.8390000000000004</v>
      </c>
      <c r="H486" s="39">
        <f t="shared" ca="1" si="288"/>
        <v>-4.0519999999999996</v>
      </c>
      <c r="I486" s="39">
        <f t="shared" ca="1" si="288"/>
        <v>-3.9130000000000003</v>
      </c>
      <c r="J486" s="43">
        <f t="shared" ca="1" si="288"/>
        <v>-8.2802867369720659</v>
      </c>
      <c r="K486" s="43">
        <f t="shared" ca="1" si="288"/>
        <v>-8.3851746625989581</v>
      </c>
      <c r="L486" s="43">
        <f t="shared" ca="1" si="288"/>
        <v>-8.4347223344568611</v>
      </c>
      <c r="M486" s="43">
        <f t="shared" ca="1" si="288"/>
        <v>-8.4381348487883123</v>
      </c>
      <c r="N486" s="43">
        <f t="shared" ca="1" si="288"/>
        <v>-8.4362167062030586</v>
      </c>
      <c r="O486" s="43">
        <f t="shared" ca="1" si="288"/>
        <v>-8.3889865802462324</v>
      </c>
      <c r="P486" s="43">
        <f t="shared" ca="1" si="288"/>
        <v>-8.3470458804244245</v>
      </c>
      <c r="Q486" s="43">
        <f t="shared" ca="1" si="288"/>
        <v>-8.2968998344046287</v>
      </c>
      <c r="R486" s="43">
        <f t="shared" ca="1" si="288"/>
        <v>-8.2575991742792052</v>
      </c>
      <c r="S486" s="43">
        <f t="shared" ca="1" si="288"/>
        <v>-8.260466619506138</v>
      </c>
      <c r="T486" s="43">
        <f t="shared" ca="1" si="288"/>
        <v>-8.2815115196809845</v>
      </c>
      <c r="U486" s="43">
        <f t="shared" ca="1" si="288"/>
        <v>-8.3073179421290071</v>
      </c>
      <c r="V486" s="43">
        <f t="shared" ca="1" si="288"/>
        <v>-8.3206624382872096</v>
      </c>
      <c r="W486" s="43">
        <f t="shared" ca="1" si="288"/>
        <v>-8.3325805197016862</v>
      </c>
      <c r="X486" s="43">
        <f t="shared" ca="1" si="288"/>
        <v>-8.3569580397933549</v>
      </c>
      <c r="Y486" s="43">
        <f t="shared" ca="1" si="288"/>
        <v>-8.3623781284845453</v>
      </c>
      <c r="Z486" s="43">
        <f t="shared" ca="1" si="288"/>
        <v>-8.4278276059528174</v>
      </c>
      <c r="AA486" s="43">
        <f t="shared" ca="1" si="288"/>
        <v>-8.5931360121014144</v>
      </c>
      <c r="AB486" s="43">
        <f t="shared" ca="1" si="288"/>
        <v>-8.8570313339810802</v>
      </c>
      <c r="AC486" s="43">
        <f t="shared" ca="1" si="288"/>
        <v>-9.2412547639465217</v>
      </c>
      <c r="AD486" s="43">
        <f t="shared" ca="1" si="288"/>
        <v>-9.7417289199314183</v>
      </c>
      <c r="AE486" s="43">
        <f t="shared" ca="1" si="288"/>
        <v>-10.302186136409818</v>
      </c>
      <c r="AF486" s="43">
        <f t="shared" ca="1" si="288"/>
        <v>-10.957127929825688</v>
      </c>
      <c r="AG486" s="43">
        <f t="shared" ca="1" si="288"/>
        <v>-11.600533753366888</v>
      </c>
      <c r="AH486" s="43">
        <f t="shared" ca="1" si="288"/>
        <v>-12.285894756853617</v>
      </c>
      <c r="AI486" s="43">
        <f t="shared" ca="1" si="288"/>
        <v>-12.987322940743695</v>
      </c>
      <c r="AJ486" s="43">
        <f t="shared" ca="1" si="288"/>
        <v>-13.736131300191836</v>
      </c>
      <c r="AK486" s="43">
        <f t="shared" ca="1" si="288"/>
        <v>-14.47200622897793</v>
      </c>
      <c r="AL486" s="43">
        <f t="shared" ca="1" si="288"/>
        <v>-15.220852699831338</v>
      </c>
      <c r="AM486" s="43">
        <f t="shared" ca="1" si="288"/>
        <v>-15.989376327475441</v>
      </c>
      <c r="AN486" s="43">
        <f t="shared" ca="1" si="288"/>
        <v>-16.720500077273325</v>
      </c>
      <c r="AO486" s="43">
        <f t="shared" ca="1" si="288"/>
        <v>-17.423675669508668</v>
      </c>
      <c r="AP486" s="43">
        <f t="shared" ca="1" si="288"/>
        <v>-18.008989977636567</v>
      </c>
      <c r="AQ486" s="43">
        <f t="shared" ca="1" si="288"/>
        <v>-18.483300979009684</v>
      </c>
      <c r="AR486" s="43">
        <f t="shared" ca="1" si="288"/>
        <v>-18.80239728217461</v>
      </c>
      <c r="AS486" s="43">
        <f t="shared" ca="1" si="288"/>
        <v>-18.992907908885336</v>
      </c>
      <c r="AT486" s="43">
        <f t="shared" ca="1" si="288"/>
        <v>-19.189745647046657</v>
      </c>
      <c r="AU486" s="43">
        <f t="shared" ca="1" si="288"/>
        <v>-19.357470798734749</v>
      </c>
      <c r="AV486" s="43">
        <f t="shared" ca="1" si="288"/>
        <v>-19.5750902514703</v>
      </c>
      <c r="AW486" s="43">
        <f t="shared" ca="1" si="288"/>
        <v>-19.760231001531348</v>
      </c>
    </row>
    <row r="487" spans="1:49" ht="15" x14ac:dyDescent="0.25">
      <c r="A487" s="2" t="s">
        <v>613</v>
      </c>
      <c r="D487" s="41">
        <f t="shared" ref="D487" si="289">SUM(D$480,D$486)</f>
        <v>-1.8270000000000008</v>
      </c>
      <c r="E487" s="42">
        <f t="shared" ref="E487:AW487" ca="1" si="290">SUM(E$480,E$486)</f>
        <v>-2.1150000000000047</v>
      </c>
      <c r="F487" s="42">
        <f t="shared" ca="1" si="290"/>
        <v>-4.1619999999999981</v>
      </c>
      <c r="G487" s="42">
        <f t="shared" ca="1" si="290"/>
        <v>-2.0720000000000045</v>
      </c>
      <c r="H487" s="42">
        <f t="shared" ca="1" si="290"/>
        <v>1.9590000000000103</v>
      </c>
      <c r="I487" s="42">
        <f t="shared" ca="1" si="290"/>
        <v>3.9000000000000021</v>
      </c>
      <c r="J487" s="31">
        <f t="shared" ca="1" si="290"/>
        <v>0.32243928272706768</v>
      </c>
      <c r="K487" s="31">
        <f t="shared" ca="1" si="290"/>
        <v>0.56720611472743876</v>
      </c>
      <c r="L487" s="31">
        <f t="shared" ca="1" si="290"/>
        <v>0.89690780204246678</v>
      </c>
      <c r="M487" s="31">
        <f t="shared" ca="1" si="290"/>
        <v>1.1380107388642777</v>
      </c>
      <c r="N487" s="31">
        <f t="shared" ca="1" si="290"/>
        <v>1.3481654216188126</v>
      </c>
      <c r="O487" s="31">
        <f t="shared" ca="1" si="290"/>
        <v>1.5458793528691288</v>
      </c>
      <c r="P487" s="31">
        <f t="shared" ca="1" si="290"/>
        <v>0.97822099491204284</v>
      </c>
      <c r="Q487" s="31">
        <f t="shared" ca="1" si="290"/>
        <v>0.38458779727726089</v>
      </c>
      <c r="R487" s="31">
        <f t="shared" ca="1" si="290"/>
        <v>-0.41472677512943612</v>
      </c>
      <c r="S487" s="31">
        <f t="shared" ca="1" si="290"/>
        <v>-1.3212206364341963</v>
      </c>
      <c r="T487" s="31">
        <f t="shared" ca="1" si="290"/>
        <v>-2.3602550222989382</v>
      </c>
      <c r="U487" s="31">
        <f t="shared" ca="1" si="290"/>
        <v>-3.5386475679890772</v>
      </c>
      <c r="V487" s="31">
        <f t="shared" ca="1" si="290"/>
        <v>-4.8581440269511038</v>
      </c>
      <c r="W487" s="31">
        <f t="shared" ca="1" si="290"/>
        <v>-6.1327770545278284</v>
      </c>
      <c r="X487" s="31">
        <f t="shared" ca="1" si="290"/>
        <v>-7.4374040967471018</v>
      </c>
      <c r="Y487" s="31">
        <f t="shared" ca="1" si="290"/>
        <v>-8.8805429265273919</v>
      </c>
      <c r="Z487" s="31">
        <f t="shared" ca="1" si="290"/>
        <v>-10.461299995444566</v>
      </c>
      <c r="AA487" s="31">
        <f t="shared" ca="1" si="290"/>
        <v>-10.597159727179335</v>
      </c>
      <c r="AB487" s="31">
        <f t="shared" ca="1" si="290"/>
        <v>-10.708679342636184</v>
      </c>
      <c r="AC487" s="31">
        <f t="shared" ca="1" si="290"/>
        <v>-10.787298847213997</v>
      </c>
      <c r="AD487" s="31">
        <f t="shared" ca="1" si="290"/>
        <v>-10.81810024189015</v>
      </c>
      <c r="AE487" s="31">
        <f t="shared" ca="1" si="290"/>
        <v>-10.837647779752944</v>
      </c>
      <c r="AF487" s="31">
        <f t="shared" ca="1" si="290"/>
        <v>-10.821510642843165</v>
      </c>
      <c r="AG487" s="31">
        <f t="shared" ca="1" si="290"/>
        <v>-10.763119774799163</v>
      </c>
      <c r="AH487" s="31">
        <f t="shared" ca="1" si="290"/>
        <v>-10.669264389103313</v>
      </c>
      <c r="AI487" s="31">
        <f t="shared" ca="1" si="290"/>
        <v>-10.547904553733247</v>
      </c>
      <c r="AJ487" s="31">
        <f t="shared" ca="1" si="290"/>
        <v>-10.422254413640054</v>
      </c>
      <c r="AK487" s="31">
        <f t="shared" ca="1" si="290"/>
        <v>-10.288524126801347</v>
      </c>
      <c r="AL487" s="31">
        <f t="shared" ca="1" si="290"/>
        <v>-10.139932726128533</v>
      </c>
      <c r="AM487" s="31">
        <f t="shared" ca="1" si="290"/>
        <v>-9.9959244283513726</v>
      </c>
      <c r="AN487" s="31">
        <f t="shared" ca="1" si="290"/>
        <v>-9.835458323341836</v>
      </c>
      <c r="AO487" s="31">
        <f t="shared" ca="1" si="290"/>
        <v>-9.7494595684678984</v>
      </c>
      <c r="AP487" s="31">
        <f t="shared" ca="1" si="290"/>
        <v>-9.6939103079385873</v>
      </c>
      <c r="AQ487" s="31">
        <f t="shared" ca="1" si="290"/>
        <v>-9.7019113055730912</v>
      </c>
      <c r="AR487" s="31">
        <f t="shared" ca="1" si="290"/>
        <v>-9.7980348476186521</v>
      </c>
      <c r="AS487" s="31">
        <f t="shared" ca="1" si="290"/>
        <v>-9.9938143740055736</v>
      </c>
      <c r="AT487" s="31">
        <f t="shared" ca="1" si="290"/>
        <v>-10.21583239727061</v>
      </c>
      <c r="AU487" s="31">
        <f t="shared" ca="1" si="290"/>
        <v>-10.505575845170465</v>
      </c>
      <c r="AV487" s="31">
        <f t="shared" ca="1" si="290"/>
        <v>-10.869348747603311</v>
      </c>
      <c r="AW487" s="31">
        <f t="shared" ca="1" si="290"/>
        <v>-11.330839180671102</v>
      </c>
    </row>
    <row r="488" spans="1:49" ht="15" x14ac:dyDescent="0.25">
      <c r="A488" s="2" t="s">
        <v>724</v>
      </c>
      <c r="B488" s="4" t="str">
        <f>$B$65</f>
        <v>Projected Years only</v>
      </c>
      <c r="J488" s="6" t="str">
        <f t="shared" ref="J488:AW488" ca="1" si="291">IF(ROUND(J$487+(J$82-I$82+J$443-I$443+J$154-J$474-(J$212-J$478)+J$321-J$366),3)=0,"OK","ERROR")</f>
        <v>OK</v>
      </c>
      <c r="K488" s="6" t="str">
        <f t="shared" ca="1" si="291"/>
        <v>OK</v>
      </c>
      <c r="L488" s="6" t="str">
        <f t="shared" ca="1" si="291"/>
        <v>OK</v>
      </c>
      <c r="M488" s="6" t="str">
        <f t="shared" ca="1" si="291"/>
        <v>OK</v>
      </c>
      <c r="N488" s="6" t="str">
        <f t="shared" ca="1" si="291"/>
        <v>OK</v>
      </c>
      <c r="O488" s="6" t="str">
        <f t="shared" ca="1" si="291"/>
        <v>OK</v>
      </c>
      <c r="P488" s="6" t="str">
        <f t="shared" ca="1" si="291"/>
        <v>OK</v>
      </c>
      <c r="Q488" s="6" t="str">
        <f t="shared" ca="1" si="291"/>
        <v>OK</v>
      </c>
      <c r="R488" s="6" t="str">
        <f t="shared" ca="1" si="291"/>
        <v>OK</v>
      </c>
      <c r="S488" s="6" t="str">
        <f t="shared" ca="1" si="291"/>
        <v>OK</v>
      </c>
      <c r="T488" s="6" t="str">
        <f t="shared" ca="1" si="291"/>
        <v>OK</v>
      </c>
      <c r="U488" s="6" t="str">
        <f t="shared" ca="1" si="291"/>
        <v>OK</v>
      </c>
      <c r="V488" s="6" t="str">
        <f t="shared" ca="1" si="291"/>
        <v>OK</v>
      </c>
      <c r="W488" s="6" t="str">
        <f t="shared" ca="1" si="291"/>
        <v>OK</v>
      </c>
      <c r="X488" s="6" t="str">
        <f t="shared" ca="1" si="291"/>
        <v>OK</v>
      </c>
      <c r="Y488" s="6" t="str">
        <f t="shared" ca="1" si="291"/>
        <v>OK</v>
      </c>
      <c r="Z488" s="6" t="str">
        <f t="shared" ca="1" si="291"/>
        <v>OK</v>
      </c>
      <c r="AA488" s="6" t="str">
        <f t="shared" ca="1" si="291"/>
        <v>OK</v>
      </c>
      <c r="AB488" s="6" t="str">
        <f t="shared" ca="1" si="291"/>
        <v>OK</v>
      </c>
      <c r="AC488" s="6" t="str">
        <f t="shared" ca="1" si="291"/>
        <v>OK</v>
      </c>
      <c r="AD488" s="6" t="str">
        <f t="shared" ca="1" si="291"/>
        <v>OK</v>
      </c>
      <c r="AE488" s="6" t="str">
        <f t="shared" ca="1" si="291"/>
        <v>OK</v>
      </c>
      <c r="AF488" s="6" t="str">
        <f t="shared" ca="1" si="291"/>
        <v>OK</v>
      </c>
      <c r="AG488" s="6" t="str">
        <f t="shared" ca="1" si="291"/>
        <v>OK</v>
      </c>
      <c r="AH488" s="6" t="str">
        <f t="shared" ca="1" si="291"/>
        <v>OK</v>
      </c>
      <c r="AI488" s="6" t="str">
        <f t="shared" ca="1" si="291"/>
        <v>OK</v>
      </c>
      <c r="AJ488" s="6" t="str">
        <f t="shared" ca="1" si="291"/>
        <v>OK</v>
      </c>
      <c r="AK488" s="6" t="str">
        <f t="shared" ca="1" si="291"/>
        <v>OK</v>
      </c>
      <c r="AL488" s="6" t="str">
        <f t="shared" ca="1" si="291"/>
        <v>OK</v>
      </c>
      <c r="AM488" s="6" t="str">
        <f t="shared" ca="1" si="291"/>
        <v>OK</v>
      </c>
      <c r="AN488" s="6" t="str">
        <f t="shared" ca="1" si="291"/>
        <v>OK</v>
      </c>
      <c r="AO488" s="6" t="str">
        <f t="shared" ca="1" si="291"/>
        <v>OK</v>
      </c>
      <c r="AP488" s="6" t="str">
        <f t="shared" ca="1" si="291"/>
        <v>OK</v>
      </c>
      <c r="AQ488" s="6" t="str">
        <f t="shared" ca="1" si="291"/>
        <v>OK</v>
      </c>
      <c r="AR488" s="6" t="str">
        <f t="shared" ca="1" si="291"/>
        <v>OK</v>
      </c>
      <c r="AS488" s="6" t="str">
        <f t="shared" ca="1" si="291"/>
        <v>OK</v>
      </c>
      <c r="AT488" s="6" t="str">
        <f t="shared" ca="1" si="291"/>
        <v>OK</v>
      </c>
      <c r="AU488" s="6" t="str">
        <f t="shared" ca="1" si="291"/>
        <v>OK</v>
      </c>
      <c r="AV488" s="6" t="str">
        <f t="shared" ca="1" si="291"/>
        <v>OK</v>
      </c>
      <c r="AW488" s="6" t="str">
        <f t="shared" ca="1" si="291"/>
        <v>OK</v>
      </c>
    </row>
    <row r="489" spans="1:49" ht="15" x14ac:dyDescent="0.25">
      <c r="A489" s="2" t="s">
        <v>791</v>
      </c>
      <c r="B489" s="4"/>
    </row>
    <row r="490" spans="1:49" ht="15" x14ac:dyDescent="0.25">
      <c r="A490" s="2"/>
      <c r="B490" s="4"/>
    </row>
    <row r="491" spans="1:49" ht="15" x14ac:dyDescent="0.25">
      <c r="A491" s="2" t="s">
        <v>425</v>
      </c>
      <c r="B491" s="4" t="str">
        <f t="shared" ref="B491:B494" si="292">$B$43</f>
        <v>From Fiscal</v>
      </c>
      <c r="D491" s="47">
        <f>Fiscal!D$372</f>
        <v>3.0409999999999999</v>
      </c>
      <c r="E491" s="44">
        <f>Fiscal!E$372</f>
        <v>2.4809999999999999</v>
      </c>
      <c r="F491" s="44">
        <f>Fiscal!F$372</f>
        <v>7.5970000000000004</v>
      </c>
      <c r="G491" s="44">
        <f>Fiscal!G$372</f>
        <v>-4.3899999999999997</v>
      </c>
      <c r="H491" s="44">
        <f>Fiscal!H$372</f>
        <v>-4.8120000000000003</v>
      </c>
      <c r="I491" s="44">
        <f>Fiscal!I$372</f>
        <v>-0.85499999999999998</v>
      </c>
      <c r="J491" s="8">
        <f t="shared" ref="J491:AW491" ca="1" si="293">-SUM(J$480,J$486,J$495)</f>
        <v>0.56807465145652714</v>
      </c>
      <c r="K491" s="8">
        <f t="shared" ca="1" si="293"/>
        <v>0.35292316004854496</v>
      </c>
      <c r="L491" s="8">
        <f t="shared" ca="1" si="293"/>
        <v>9.8494948773155677E-2</v>
      </c>
      <c r="M491" s="8">
        <f t="shared" ca="1" si="293"/>
        <v>-0.10299024771655807</v>
      </c>
      <c r="N491" s="8">
        <f t="shared" ca="1" si="293"/>
        <v>-0.27076052552708063</v>
      </c>
      <c r="O491" s="8">
        <f t="shared" ca="1" si="293"/>
        <v>-0.43471418442213006</v>
      </c>
      <c r="P491" s="8">
        <f t="shared" ca="1" si="293"/>
        <v>0.16920758382194601</v>
      </c>
      <c r="Q491" s="8">
        <f t="shared" ca="1" si="293"/>
        <v>0.79776810577274482</v>
      </c>
      <c r="R491" s="8">
        <f t="shared" ca="1" si="293"/>
        <v>1.6310497962942101</v>
      </c>
      <c r="S491" s="8">
        <f t="shared" ca="1" si="293"/>
        <v>2.5754628806036148</v>
      </c>
      <c r="T491" s="8">
        <f t="shared" ca="1" si="293"/>
        <v>3.6528340164567052</v>
      </c>
      <c r="U491" s="8">
        <f t="shared" ca="1" si="293"/>
        <v>4.8743134453593893</v>
      </c>
      <c r="V491" s="8">
        <f t="shared" ca="1" si="293"/>
        <v>6.2402504038362903</v>
      </c>
      <c r="W491" s="8">
        <f t="shared" ca="1" si="293"/>
        <v>7.5654064866207005</v>
      </c>
      <c r="X491" s="8">
        <f t="shared" ca="1" si="293"/>
        <v>8.9251868631625673</v>
      </c>
      <c r="Y491" s="8">
        <f t="shared" ca="1" si="293"/>
        <v>10.423240197477455</v>
      </c>
      <c r="Z491" s="8">
        <f t="shared" ca="1" si="293"/>
        <v>12.06692794817744</v>
      </c>
      <c r="AA491" s="8">
        <f t="shared" ca="1" si="293"/>
        <v>12.26831978705591</v>
      </c>
      <c r="AB491" s="8">
        <f t="shared" ca="1" si="293"/>
        <v>12.450479023722723</v>
      </c>
      <c r="AC491" s="8">
        <f t="shared" ca="1" si="293"/>
        <v>12.606452016218395</v>
      </c>
      <c r="AD491" s="8">
        <f t="shared" ca="1" si="293"/>
        <v>12.71648132052395</v>
      </c>
      <c r="AE491" s="8">
        <f t="shared" ca="1" si="293"/>
        <v>12.813333668498014</v>
      </c>
      <c r="AF491" s="8">
        <f t="shared" ca="1" si="293"/>
        <v>12.880053254436671</v>
      </c>
      <c r="AG491" s="8">
        <f t="shared" ca="1" si="293"/>
        <v>12.905590589299109</v>
      </c>
      <c r="AH491" s="8">
        <f t="shared" ca="1" si="293"/>
        <v>12.899100921254295</v>
      </c>
      <c r="AI491" s="8">
        <f t="shared" ca="1" si="293"/>
        <v>12.860940475381661</v>
      </c>
      <c r="AJ491" s="8">
        <f t="shared" ca="1" si="293"/>
        <v>12.826047516179269</v>
      </c>
      <c r="AK491" s="8">
        <f t="shared" ca="1" si="293"/>
        <v>12.780891316356016</v>
      </c>
      <c r="AL491" s="8">
        <f t="shared" ca="1" si="293"/>
        <v>12.71870822570337</v>
      </c>
      <c r="AM491" s="8">
        <f t="shared" ca="1" si="293"/>
        <v>12.664633388092682</v>
      </c>
      <c r="AN491" s="8">
        <f t="shared" ca="1" si="293"/>
        <v>12.597817555167378</v>
      </c>
      <c r="AO491" s="8">
        <f t="shared" ca="1" si="293"/>
        <v>12.594080582870738</v>
      </c>
      <c r="AP491" s="8">
        <f t="shared" ca="1" si="293"/>
        <v>12.633203984485483</v>
      </c>
      <c r="AQ491" s="8">
        <f t="shared" ca="1" si="293"/>
        <v>12.727190728222903</v>
      </c>
      <c r="AR491" s="8">
        <f t="shared" ca="1" si="293"/>
        <v>12.912727763042064</v>
      </c>
      <c r="AS491" s="8">
        <f t="shared" ca="1" si="293"/>
        <v>13.205333655579478</v>
      </c>
      <c r="AT491" s="8">
        <f t="shared" ca="1" si="293"/>
        <v>13.526698599989192</v>
      </c>
      <c r="AU491" s="8">
        <f t="shared" ca="1" si="293"/>
        <v>13.920215846428079</v>
      </c>
      <c r="AV491" s="8">
        <f t="shared" ca="1" si="293"/>
        <v>14.398580437717806</v>
      </c>
      <c r="AW491" s="8">
        <f t="shared" ca="1" si="293"/>
        <v>14.972422176101313</v>
      </c>
    </row>
    <row r="492" spans="1:49" x14ac:dyDescent="0.2">
      <c r="A492" s="1" t="s">
        <v>773</v>
      </c>
      <c r="B492" s="4" t="str">
        <f t="shared" si="292"/>
        <v>From Fiscal</v>
      </c>
      <c r="D492" s="18">
        <f>-Fiscal!D$373</f>
        <v>-0.79500000000000004</v>
      </c>
      <c r="E492" s="19">
        <f>-Fiscal!E$373</f>
        <v>-0.49099999999999999</v>
      </c>
      <c r="F492" s="19">
        <f>-Fiscal!F$373</f>
        <v>3.6030000000000002</v>
      </c>
      <c r="G492" s="19">
        <f>-Fiscal!G$373</f>
        <v>-6.2809999999999997</v>
      </c>
      <c r="H492" s="19">
        <f>-Fiscal!H$373</f>
        <v>-2.6760000000000002</v>
      </c>
      <c r="I492" s="19">
        <f>-Fiscal!I$373</f>
        <v>3.2309999999999999</v>
      </c>
      <c r="J492" s="7">
        <f t="shared" ref="J492:AW492" ca="1" si="294">J$346-I$346+J$355-I$355-(J$321-J$366)-(J$154-J$474)</f>
        <v>0.68055658967770416</v>
      </c>
      <c r="K492" s="7">
        <f t="shared" ca="1" si="294"/>
        <v>0.71998223394743222</v>
      </c>
      <c r="L492" s="7">
        <f t="shared" ca="1" si="294"/>
        <v>0.80173080495844395</v>
      </c>
      <c r="M492" s="7">
        <f t="shared" ca="1" si="294"/>
        <v>0.8545213713302986</v>
      </c>
      <c r="N492" s="7">
        <f t="shared" ca="1" si="294"/>
        <v>0.91246424440286944</v>
      </c>
      <c r="O492" s="7">
        <f t="shared" ca="1" si="294"/>
        <v>0.96579566529440841</v>
      </c>
      <c r="P492" s="7">
        <f t="shared" ca="1" si="294"/>
        <v>0.99726637387532024</v>
      </c>
      <c r="Q492" s="7">
        <f t="shared" ca="1" si="294"/>
        <v>1.0275631992391041</v>
      </c>
      <c r="R492" s="7">
        <f t="shared" ca="1" si="294"/>
        <v>1.0570147082562844</v>
      </c>
      <c r="S492" s="7">
        <f t="shared" ca="1" si="294"/>
        <v>1.0899120468410608</v>
      </c>
      <c r="T492" s="7">
        <f t="shared" ca="1" si="294"/>
        <v>1.1231669867502547</v>
      </c>
      <c r="U492" s="7">
        <f t="shared" ca="1" si="294"/>
        <v>1.1605640446547056</v>
      </c>
      <c r="V492" s="7">
        <f t="shared" ca="1" si="294"/>
        <v>1.2008824789872876</v>
      </c>
      <c r="W492" s="7">
        <f t="shared" ca="1" si="294"/>
        <v>1.2447584176690296</v>
      </c>
      <c r="X492" s="7">
        <f t="shared" ca="1" si="294"/>
        <v>1.2926695620440078</v>
      </c>
      <c r="Y492" s="7">
        <f t="shared" ca="1" si="294"/>
        <v>1.3403618236608321</v>
      </c>
      <c r="Z492" s="7">
        <f t="shared" ca="1" si="294"/>
        <v>1.3950461128481852</v>
      </c>
      <c r="AA492" s="7">
        <f t="shared" ca="1" si="294"/>
        <v>1.4519911052533097</v>
      </c>
      <c r="AB492" s="7">
        <f t="shared" ca="1" si="294"/>
        <v>1.5133854271134264</v>
      </c>
      <c r="AC492" s="7">
        <f t="shared" ca="1" si="294"/>
        <v>1.5806313208763392</v>
      </c>
      <c r="AD492" s="7">
        <f t="shared" ca="1" si="294"/>
        <v>1.6495002313805252</v>
      </c>
      <c r="AE492" s="7">
        <f t="shared" ca="1" si="294"/>
        <v>1.7166746062523606</v>
      </c>
      <c r="AF492" s="7">
        <f t="shared" ca="1" si="294"/>
        <v>1.7886843133510739</v>
      </c>
      <c r="AG492" s="7">
        <f t="shared" ca="1" si="294"/>
        <v>1.8616146070316493</v>
      </c>
      <c r="AH492" s="7">
        <f t="shared" ca="1" si="294"/>
        <v>1.9375320430405711</v>
      </c>
      <c r="AI492" s="7">
        <f t="shared" ca="1" si="294"/>
        <v>2.0097939036009711</v>
      </c>
      <c r="AJ492" s="7">
        <f t="shared" ca="1" si="294"/>
        <v>2.088642120285602</v>
      </c>
      <c r="AK492" s="7">
        <f t="shared" ca="1" si="294"/>
        <v>2.165566496000662</v>
      </c>
      <c r="AL492" s="7">
        <f t="shared" ca="1" si="294"/>
        <v>2.2405825246425826</v>
      </c>
      <c r="AM492" s="7">
        <f t="shared" ca="1" si="294"/>
        <v>2.3186616877874711</v>
      </c>
      <c r="AN492" s="7">
        <f t="shared" ca="1" si="294"/>
        <v>2.3999707504847168</v>
      </c>
      <c r="AO492" s="7">
        <f t="shared" ca="1" si="294"/>
        <v>2.4713142979215119</v>
      </c>
      <c r="AP492" s="7">
        <f t="shared" ca="1" si="294"/>
        <v>2.5534834797758696</v>
      </c>
      <c r="AQ492" s="7">
        <f t="shared" ca="1" si="294"/>
        <v>2.6280467845429296</v>
      </c>
      <c r="AR492" s="7">
        <f t="shared" ca="1" si="294"/>
        <v>2.7055880975706623</v>
      </c>
      <c r="AS492" s="7">
        <f t="shared" ca="1" si="294"/>
        <v>2.7895878542354193</v>
      </c>
      <c r="AT492" s="7">
        <f t="shared" ca="1" si="294"/>
        <v>2.8757711830769805</v>
      </c>
      <c r="AU492" s="7">
        <f t="shared" ca="1" si="294"/>
        <v>2.9658028100694134</v>
      </c>
      <c r="AV492" s="7">
        <f t="shared" ca="1" si="294"/>
        <v>3.0652645685368949</v>
      </c>
      <c r="AW492" s="7">
        <f t="shared" ca="1" si="294"/>
        <v>3.1627478789681032</v>
      </c>
    </row>
    <row r="493" spans="1:49" x14ac:dyDescent="0.2">
      <c r="A493" s="1" t="s">
        <v>206</v>
      </c>
      <c r="B493" s="4"/>
      <c r="D493" s="18">
        <f t="shared" ref="D493:I493" si="295">D$105</f>
        <v>0.372</v>
      </c>
      <c r="E493" s="19">
        <f t="shared" si="295"/>
        <v>0.56399999999999995</v>
      </c>
      <c r="F493" s="19">
        <f t="shared" si="295"/>
        <v>0.17499999999999999</v>
      </c>
      <c r="G493" s="19">
        <f t="shared" si="295"/>
        <v>0.18</v>
      </c>
      <c r="H493" s="19">
        <f t="shared" si="295"/>
        <v>0.185</v>
      </c>
      <c r="I493" s="19">
        <f t="shared" si="295"/>
        <v>0.191</v>
      </c>
      <c r="J493" s="7">
        <f t="shared" ref="J493:AW493" ca="1" si="296">J$443-I$443</f>
        <v>0.31196918107785532</v>
      </c>
      <c r="K493" s="7">
        <f t="shared" ca="1" si="296"/>
        <v>0.31727608552365094</v>
      </c>
      <c r="L493" s="7">
        <f t="shared" ca="1" si="296"/>
        <v>0.33591472411964229</v>
      </c>
      <c r="M493" s="7">
        <f t="shared" ca="1" si="296"/>
        <v>0.34294607977441061</v>
      </c>
      <c r="N493" s="7">
        <f t="shared" ca="1" si="296"/>
        <v>0.35006240349795092</v>
      </c>
      <c r="O493" s="7">
        <f t="shared" ca="1" si="296"/>
        <v>0.35379483540001466</v>
      </c>
      <c r="P493" s="7">
        <f t="shared" ca="1" si="296"/>
        <v>0.36545913275572417</v>
      </c>
      <c r="Q493" s="7">
        <f t="shared" ca="1" si="296"/>
        <v>0.37672866714290443</v>
      </c>
      <c r="R493" s="7">
        <f t="shared" ca="1" si="296"/>
        <v>0.38771858691812788</v>
      </c>
      <c r="S493" s="7">
        <f t="shared" ca="1" si="296"/>
        <v>0.39994066055252198</v>
      </c>
      <c r="T493" s="7">
        <f t="shared" ca="1" si="296"/>
        <v>0.41230857900513485</v>
      </c>
      <c r="U493" s="7">
        <f t="shared" ca="1" si="296"/>
        <v>0.42615626207948054</v>
      </c>
      <c r="V493" s="7">
        <f t="shared" ca="1" si="296"/>
        <v>0.44105591432087188</v>
      </c>
      <c r="W493" s="7">
        <f t="shared" ca="1" si="296"/>
        <v>0.45723341679683038</v>
      </c>
      <c r="X493" s="7">
        <f t="shared" ca="1" si="296"/>
        <v>0.47485918661021209</v>
      </c>
      <c r="Y493" s="7">
        <f t="shared" ca="1" si="296"/>
        <v>0.49243641009174688</v>
      </c>
      <c r="Z493" s="7">
        <f t="shared" ca="1" si="296"/>
        <v>0.51250617058264325</v>
      </c>
      <c r="AA493" s="7">
        <f t="shared" ca="1" si="296"/>
        <v>0.53340516782491854</v>
      </c>
      <c r="AB493" s="7">
        <f t="shared" ca="1" si="296"/>
        <v>0.55590603004681149</v>
      </c>
      <c r="AC493" s="7">
        <f t="shared" ca="1" si="296"/>
        <v>0.58050551296990704</v>
      </c>
      <c r="AD493" s="7">
        <f t="shared" ca="1" si="296"/>
        <v>0.60571685586461399</v>
      </c>
      <c r="AE493" s="7">
        <f t="shared" ca="1" si="296"/>
        <v>0.63037192856102386</v>
      </c>
      <c r="AF493" s="7">
        <f t="shared" ca="1" si="296"/>
        <v>0.65677098798221323</v>
      </c>
      <c r="AG493" s="7">
        <f t="shared" ca="1" si="296"/>
        <v>0.68353728627673149</v>
      </c>
      <c r="AH493" s="7">
        <f t="shared" ca="1" si="296"/>
        <v>0.71139968403792508</v>
      </c>
      <c r="AI493" s="7">
        <f t="shared" ca="1" si="296"/>
        <v>0.73801903105391631</v>
      </c>
      <c r="AJ493" s="7">
        <f t="shared" ca="1" si="296"/>
        <v>0.76700262073217829</v>
      </c>
      <c r="AK493" s="7">
        <f t="shared" ca="1" si="296"/>
        <v>0.79535525042819799</v>
      </c>
      <c r="AL493" s="7">
        <f t="shared" ca="1" si="296"/>
        <v>0.82308135685105199</v>
      </c>
      <c r="AM493" s="7">
        <f t="shared" ca="1" si="296"/>
        <v>0.85193189958926041</v>
      </c>
      <c r="AN493" s="7">
        <f t="shared" ca="1" si="296"/>
        <v>0.88196747134960773</v>
      </c>
      <c r="AO493" s="7">
        <f t="shared" ca="1" si="296"/>
        <v>0.90853986184845681</v>
      </c>
      <c r="AP493" s="7">
        <f t="shared" ca="1" si="296"/>
        <v>0.9389703624354766</v>
      </c>
      <c r="AQ493" s="7">
        <f t="shared" ca="1" si="296"/>
        <v>0.96676987103008472</v>
      </c>
      <c r="AR493" s="7">
        <f t="shared" ca="1" si="296"/>
        <v>0.99566393607080528</v>
      </c>
      <c r="AS493" s="7">
        <f t="shared" ca="1" si="296"/>
        <v>1.026880856355568</v>
      </c>
      <c r="AT493" s="7">
        <f t="shared" ca="1" si="296"/>
        <v>1.0589179127611388</v>
      </c>
      <c r="AU493" s="7">
        <f t="shared" ca="1" si="296"/>
        <v>1.0923630935929758</v>
      </c>
      <c r="AV493" s="7">
        <f t="shared" ca="1" si="296"/>
        <v>1.1291857497597739</v>
      </c>
      <c r="AW493" s="7">
        <f t="shared" ca="1" si="296"/>
        <v>1.1653709171354478</v>
      </c>
    </row>
    <row r="494" spans="1:49" x14ac:dyDescent="0.2">
      <c r="A494" s="1" t="s">
        <v>743</v>
      </c>
      <c r="B494" s="4" t="str">
        <f t="shared" si="292"/>
        <v>From Fiscal</v>
      </c>
      <c r="D494" s="18">
        <f>-Fiscal!D$374</f>
        <v>2.3809999999999998</v>
      </c>
      <c r="E494" s="19">
        <f>-Fiscal!E$374</f>
        <v>1.421</v>
      </c>
      <c r="F494" s="19">
        <f>-Fiscal!F$374</f>
        <v>7.0000000000000001E-3</v>
      </c>
      <c r="G494" s="19">
        <f>-Fiscal!G$374</f>
        <v>-1E-3</v>
      </c>
      <c r="H494" s="19">
        <f>-Fiscal!H$374</f>
        <v>8.0000000000000002E-3</v>
      </c>
      <c r="I494" s="19">
        <f>-Fiscal!I$374</f>
        <v>5.0000000000000001E-3</v>
      </c>
      <c r="J494" s="7">
        <f t="shared" ref="J494:AW494" ca="1" si="297">J$333-I$333</f>
        <v>0.52192652558374597</v>
      </c>
      <c r="K494" s="7">
        <f t="shared" ca="1" si="297"/>
        <v>0.51742312635220244</v>
      </c>
      <c r="L494" s="7">
        <f t="shared" ca="1" si="297"/>
        <v>0.5295866699768208</v>
      </c>
      <c r="M494" s="7">
        <f t="shared" ca="1" si="297"/>
        <v>0.52344519959183167</v>
      </c>
      <c r="N494" s="7">
        <f t="shared" ca="1" si="297"/>
        <v>0.51500305518681344</v>
      </c>
      <c r="O494" s="7">
        <f t="shared" ca="1" si="297"/>
        <v>0.499164338552605</v>
      </c>
      <c r="P494" s="7">
        <f t="shared" ca="1" si="297"/>
        <v>0.51562133761439277</v>
      </c>
      <c r="Q494" s="7">
        <f t="shared" ca="1" si="297"/>
        <v>0.53152137095380603</v>
      </c>
      <c r="R494" s="7">
        <f t="shared" ca="1" si="297"/>
        <v>0.54702689982661745</v>
      </c>
      <c r="S494" s="7">
        <f t="shared" ca="1" si="297"/>
        <v>0.56427085788087972</v>
      </c>
      <c r="T494" s="7">
        <f t="shared" ca="1" si="297"/>
        <v>0.58172058641264712</v>
      </c>
      <c r="U494" s="7">
        <f t="shared" ca="1" si="297"/>
        <v>0.60125809479508696</v>
      </c>
      <c r="V494" s="7">
        <f t="shared" ca="1" si="297"/>
        <v>0.62227981221877116</v>
      </c>
      <c r="W494" s="7">
        <f t="shared" ca="1" si="297"/>
        <v>0.64510443122067329</v>
      </c>
      <c r="X494" s="7">
        <f t="shared" ca="1" si="297"/>
        <v>0.66997239098166972</v>
      </c>
      <c r="Y494" s="7">
        <f t="shared" ca="1" si="297"/>
        <v>0.69477185738097802</v>
      </c>
      <c r="Z494" s="7">
        <f t="shared" ca="1" si="297"/>
        <v>0.72308801046733251</v>
      </c>
      <c r="AA494" s="7">
        <f t="shared" ca="1" si="297"/>
        <v>0.75257412244818411</v>
      </c>
      <c r="AB494" s="7">
        <f t="shared" ca="1" si="297"/>
        <v>0.78432028401992326</v>
      </c>
      <c r="AC494" s="7">
        <f t="shared" ca="1" si="297"/>
        <v>0.81902736109796592</v>
      </c>
      <c r="AD494" s="7">
        <f t="shared" ca="1" si="297"/>
        <v>0.8545977031178893</v>
      </c>
      <c r="AE494" s="7">
        <f t="shared" ca="1" si="297"/>
        <v>0.88938321105373319</v>
      </c>
      <c r="AF494" s="7">
        <f t="shared" ca="1" si="297"/>
        <v>0.92662928622464591</v>
      </c>
      <c r="AG494" s="7">
        <f t="shared" ca="1" si="297"/>
        <v>0.96439349374502825</v>
      </c>
      <c r="AH494" s="7">
        <f t="shared" ca="1" si="297"/>
        <v>1.0037041731483356</v>
      </c>
      <c r="AI494" s="7">
        <f t="shared" ca="1" si="297"/>
        <v>1.0412610491013581</v>
      </c>
      <c r="AJ494" s="7">
        <f t="shared" ca="1" si="297"/>
        <v>1.082153602985791</v>
      </c>
      <c r="AK494" s="7">
        <f t="shared" ca="1" si="297"/>
        <v>1.1221559439822038</v>
      </c>
      <c r="AL494" s="7">
        <f t="shared" ca="1" si="297"/>
        <v>1.1612743317833072</v>
      </c>
      <c r="AM494" s="7">
        <f t="shared" ca="1" si="297"/>
        <v>1.2019791715430976</v>
      </c>
      <c r="AN494" s="7">
        <f t="shared" ca="1" si="297"/>
        <v>1.2443559526904338</v>
      </c>
      <c r="AO494" s="7">
        <f t="shared" ca="1" si="297"/>
        <v>1.2818465783297839</v>
      </c>
      <c r="AP494" s="7">
        <f t="shared" ca="1" si="297"/>
        <v>1.3247805592065021</v>
      </c>
      <c r="AQ494" s="7">
        <f t="shared" ca="1" si="297"/>
        <v>1.3640025091369665</v>
      </c>
      <c r="AR494" s="7">
        <f t="shared" ca="1" si="297"/>
        <v>1.4047687539235554</v>
      </c>
      <c r="AS494" s="7">
        <f t="shared" ca="1" si="297"/>
        <v>1.4488122836940533</v>
      </c>
      <c r="AT494" s="7">
        <f t="shared" ca="1" si="297"/>
        <v>1.4940129324027396</v>
      </c>
      <c r="AU494" s="7">
        <f t="shared" ca="1" si="297"/>
        <v>1.5412002847811763</v>
      </c>
      <c r="AV494" s="7">
        <f t="shared" ca="1" si="297"/>
        <v>1.5931528713373737</v>
      </c>
      <c r="AW494" s="7">
        <f t="shared" ca="1" si="297"/>
        <v>1.6442060335975555</v>
      </c>
    </row>
    <row r="495" spans="1:49" ht="15" x14ac:dyDescent="0.25">
      <c r="A495" s="2" t="s">
        <v>614</v>
      </c>
      <c r="D495" s="40">
        <f t="shared" ref="D495:I495" si="298">D$493-D$492-D$494</f>
        <v>-1.2139999999999997</v>
      </c>
      <c r="E495" s="39">
        <f t="shared" si="298"/>
        <v>-0.3660000000000001</v>
      </c>
      <c r="F495" s="39">
        <f t="shared" si="298"/>
        <v>-3.4350000000000005</v>
      </c>
      <c r="G495" s="39">
        <f t="shared" si="298"/>
        <v>6.4619999999999997</v>
      </c>
      <c r="H495" s="39">
        <f t="shared" si="298"/>
        <v>2.8530000000000002</v>
      </c>
      <c r="I495" s="39">
        <f t="shared" si="298"/>
        <v>-3.0449999999999999</v>
      </c>
      <c r="J495" s="43">
        <f t="shared" ref="J495:AW495" ca="1" si="299">J$493-J$492-J$494</f>
        <v>-0.89051393418359481</v>
      </c>
      <c r="K495" s="43">
        <f t="shared" ca="1" si="299"/>
        <v>-0.92012927477598372</v>
      </c>
      <c r="L495" s="43">
        <f t="shared" ca="1" si="299"/>
        <v>-0.99540275081562246</v>
      </c>
      <c r="M495" s="43">
        <f t="shared" ca="1" si="299"/>
        <v>-1.0350204911477197</v>
      </c>
      <c r="N495" s="43">
        <f t="shared" ca="1" si="299"/>
        <v>-1.077404896091732</v>
      </c>
      <c r="O495" s="43">
        <f t="shared" ca="1" si="299"/>
        <v>-1.1111651684469988</v>
      </c>
      <c r="P495" s="43">
        <f t="shared" ca="1" si="299"/>
        <v>-1.1474285787339888</v>
      </c>
      <c r="Q495" s="43">
        <f t="shared" ca="1" si="299"/>
        <v>-1.1823559030500057</v>
      </c>
      <c r="R495" s="43">
        <f t="shared" ca="1" si="299"/>
        <v>-1.216323021164774</v>
      </c>
      <c r="S495" s="43">
        <f t="shared" ca="1" si="299"/>
        <v>-1.2542422441694185</v>
      </c>
      <c r="T495" s="43">
        <f t="shared" ca="1" si="299"/>
        <v>-1.292578994157767</v>
      </c>
      <c r="U495" s="43">
        <f t="shared" ca="1" si="299"/>
        <v>-1.3356658773703121</v>
      </c>
      <c r="V495" s="43">
        <f t="shared" ca="1" si="299"/>
        <v>-1.3821063768851869</v>
      </c>
      <c r="W495" s="43">
        <f t="shared" ca="1" si="299"/>
        <v>-1.4326294320928725</v>
      </c>
      <c r="X495" s="43">
        <f t="shared" ca="1" si="299"/>
        <v>-1.4877827664154655</v>
      </c>
      <c r="Y495" s="43">
        <f t="shared" ca="1" si="299"/>
        <v>-1.5426972709500633</v>
      </c>
      <c r="Z495" s="43">
        <f t="shared" ca="1" si="299"/>
        <v>-1.6056279527328745</v>
      </c>
      <c r="AA495" s="43">
        <f t="shared" ca="1" si="299"/>
        <v>-1.6711600598765752</v>
      </c>
      <c r="AB495" s="43">
        <f t="shared" ca="1" si="299"/>
        <v>-1.7417996810865382</v>
      </c>
      <c r="AC495" s="43">
        <f t="shared" ca="1" si="299"/>
        <v>-1.8191531690043981</v>
      </c>
      <c r="AD495" s="43">
        <f t="shared" ca="1" si="299"/>
        <v>-1.8983810786338005</v>
      </c>
      <c r="AE495" s="43">
        <f t="shared" ca="1" si="299"/>
        <v>-1.9756858887450699</v>
      </c>
      <c r="AF495" s="43">
        <f t="shared" ca="1" si="299"/>
        <v>-2.0585426115935066</v>
      </c>
      <c r="AG495" s="43">
        <f t="shared" ca="1" si="299"/>
        <v>-2.142470814499946</v>
      </c>
      <c r="AH495" s="43">
        <f t="shared" ca="1" si="299"/>
        <v>-2.2298365321509817</v>
      </c>
      <c r="AI495" s="43">
        <f t="shared" ca="1" si="299"/>
        <v>-2.3130359216484129</v>
      </c>
      <c r="AJ495" s="43">
        <f t="shared" ca="1" si="299"/>
        <v>-2.4037931025392147</v>
      </c>
      <c r="AK495" s="43">
        <f t="shared" ca="1" si="299"/>
        <v>-2.4923671895546677</v>
      </c>
      <c r="AL495" s="43">
        <f t="shared" ca="1" si="299"/>
        <v>-2.5787754995748378</v>
      </c>
      <c r="AM495" s="43">
        <f t="shared" ca="1" si="299"/>
        <v>-2.6687089597413083</v>
      </c>
      <c r="AN495" s="43">
        <f t="shared" ca="1" si="299"/>
        <v>-2.7623592318255428</v>
      </c>
      <c r="AO495" s="43">
        <f t="shared" ca="1" si="299"/>
        <v>-2.844621014402839</v>
      </c>
      <c r="AP495" s="43">
        <f t="shared" ca="1" si="299"/>
        <v>-2.9392936765468951</v>
      </c>
      <c r="AQ495" s="43">
        <f t="shared" ca="1" si="299"/>
        <v>-3.0252794226498114</v>
      </c>
      <c r="AR495" s="43">
        <f t="shared" ca="1" si="299"/>
        <v>-3.1146929154234124</v>
      </c>
      <c r="AS495" s="43">
        <f t="shared" ca="1" si="299"/>
        <v>-3.2115192815739046</v>
      </c>
      <c r="AT495" s="43">
        <f t="shared" ca="1" si="299"/>
        <v>-3.3108662027185813</v>
      </c>
      <c r="AU495" s="43">
        <f t="shared" ca="1" si="299"/>
        <v>-3.4146400012576139</v>
      </c>
      <c r="AV495" s="43">
        <f t="shared" ca="1" si="299"/>
        <v>-3.5292316901144947</v>
      </c>
      <c r="AW495" s="43">
        <f t="shared" ca="1" si="299"/>
        <v>-3.6415829954302108</v>
      </c>
    </row>
    <row r="496" spans="1:49" ht="15" x14ac:dyDescent="0.25">
      <c r="A496" s="2" t="s">
        <v>723</v>
      </c>
      <c r="D496" s="6" t="str">
        <f t="shared" ref="D496" si="300">IF(ROUND(D$487+SUM(D$491,D$495),3)=0,"OK","ERROR")</f>
        <v>OK</v>
      </c>
      <c r="E496" s="6" t="str">
        <f t="shared" ref="E496:AW496" ca="1" si="301">IF(ROUND(E$487+SUM(E$491,E$495),3)=0,"OK","ERROR")</f>
        <v>OK</v>
      </c>
      <c r="F496" s="6" t="str">
        <f t="shared" ca="1" si="301"/>
        <v>OK</v>
      </c>
      <c r="G496" s="6" t="str">
        <f t="shared" ca="1" si="301"/>
        <v>OK</v>
      </c>
      <c r="H496" s="6" t="str">
        <f t="shared" ca="1" si="301"/>
        <v>OK</v>
      </c>
      <c r="I496" s="6" t="str">
        <f t="shared" ca="1" si="301"/>
        <v>OK</v>
      </c>
      <c r="J496" s="6" t="str">
        <f t="shared" ca="1" si="301"/>
        <v>OK</v>
      </c>
      <c r="K496" s="6" t="str">
        <f t="shared" ca="1" si="301"/>
        <v>OK</v>
      </c>
      <c r="L496" s="6" t="str">
        <f t="shared" ca="1" si="301"/>
        <v>OK</v>
      </c>
      <c r="M496" s="6" t="str">
        <f t="shared" ca="1" si="301"/>
        <v>OK</v>
      </c>
      <c r="N496" s="6" t="str">
        <f t="shared" ca="1" si="301"/>
        <v>OK</v>
      </c>
      <c r="O496" s="6" t="str">
        <f t="shared" ca="1" si="301"/>
        <v>OK</v>
      </c>
      <c r="P496" s="6" t="str">
        <f t="shared" ca="1" si="301"/>
        <v>OK</v>
      </c>
      <c r="Q496" s="6" t="str">
        <f t="shared" ca="1" si="301"/>
        <v>OK</v>
      </c>
      <c r="R496" s="6" t="str">
        <f t="shared" ca="1" si="301"/>
        <v>OK</v>
      </c>
      <c r="S496" s="6" t="str">
        <f t="shared" ca="1" si="301"/>
        <v>OK</v>
      </c>
      <c r="T496" s="6" t="str">
        <f t="shared" ca="1" si="301"/>
        <v>OK</v>
      </c>
      <c r="U496" s="6" t="str">
        <f t="shared" ca="1" si="301"/>
        <v>OK</v>
      </c>
      <c r="V496" s="6" t="str">
        <f t="shared" ca="1" si="301"/>
        <v>OK</v>
      </c>
      <c r="W496" s="6" t="str">
        <f t="shared" ca="1" si="301"/>
        <v>OK</v>
      </c>
      <c r="X496" s="6" t="str">
        <f t="shared" ca="1" si="301"/>
        <v>OK</v>
      </c>
      <c r="Y496" s="6" t="str">
        <f t="shared" ca="1" si="301"/>
        <v>OK</v>
      </c>
      <c r="Z496" s="6" t="str">
        <f t="shared" ca="1" si="301"/>
        <v>OK</v>
      </c>
      <c r="AA496" s="6" t="str">
        <f t="shared" ca="1" si="301"/>
        <v>OK</v>
      </c>
      <c r="AB496" s="6" t="str">
        <f t="shared" ca="1" si="301"/>
        <v>OK</v>
      </c>
      <c r="AC496" s="6" t="str">
        <f t="shared" ca="1" si="301"/>
        <v>OK</v>
      </c>
      <c r="AD496" s="6" t="str">
        <f t="shared" ca="1" si="301"/>
        <v>OK</v>
      </c>
      <c r="AE496" s="6" t="str">
        <f t="shared" ca="1" si="301"/>
        <v>OK</v>
      </c>
      <c r="AF496" s="6" t="str">
        <f t="shared" ca="1" si="301"/>
        <v>OK</v>
      </c>
      <c r="AG496" s="6" t="str">
        <f t="shared" ca="1" si="301"/>
        <v>OK</v>
      </c>
      <c r="AH496" s="6" t="str">
        <f t="shared" ca="1" si="301"/>
        <v>OK</v>
      </c>
      <c r="AI496" s="6" t="str">
        <f t="shared" ca="1" si="301"/>
        <v>OK</v>
      </c>
      <c r="AJ496" s="6" t="str">
        <f t="shared" ca="1" si="301"/>
        <v>OK</v>
      </c>
      <c r="AK496" s="6" t="str">
        <f t="shared" ca="1" si="301"/>
        <v>OK</v>
      </c>
      <c r="AL496" s="6" t="str">
        <f t="shared" ca="1" si="301"/>
        <v>OK</v>
      </c>
      <c r="AM496" s="6" t="str">
        <f t="shared" ca="1" si="301"/>
        <v>OK</v>
      </c>
      <c r="AN496" s="6" t="str">
        <f t="shared" ca="1" si="301"/>
        <v>OK</v>
      </c>
      <c r="AO496" s="6" t="str">
        <f t="shared" ca="1" si="301"/>
        <v>OK</v>
      </c>
      <c r="AP496" s="6" t="str">
        <f t="shared" ca="1" si="301"/>
        <v>OK</v>
      </c>
      <c r="AQ496" s="6" t="str">
        <f t="shared" ca="1" si="301"/>
        <v>OK</v>
      </c>
      <c r="AR496" s="6" t="str">
        <f t="shared" ca="1" si="301"/>
        <v>OK</v>
      </c>
      <c r="AS496" s="6" t="str">
        <f t="shared" ca="1" si="301"/>
        <v>OK</v>
      </c>
      <c r="AT496" s="6" t="str">
        <f t="shared" ca="1" si="301"/>
        <v>OK</v>
      </c>
      <c r="AU496" s="6" t="str">
        <f t="shared" ca="1" si="301"/>
        <v>OK</v>
      </c>
      <c r="AV496" s="6" t="str">
        <f t="shared" ca="1" si="301"/>
        <v>OK</v>
      </c>
      <c r="AW496" s="6" t="str">
        <f t="shared" ca="1" si="301"/>
        <v>OK</v>
      </c>
    </row>
    <row r="498" spans="1:49" x14ac:dyDescent="0.2">
      <c r="A498" s="22" t="s">
        <v>725</v>
      </c>
      <c r="B498" s="4" t="str">
        <f>$B$65</f>
        <v>Projected Years only</v>
      </c>
    </row>
    <row r="499" spans="1:49" x14ac:dyDescent="0.2">
      <c r="A499" s="1" t="s">
        <v>726</v>
      </c>
      <c r="J499" s="7">
        <f t="shared" ref="J499:AW499" ca="1" si="302">SUM(J$472-J$364,J$473,J$474+J$363-(J$338-I$338)-J$365+J$446-I$446,J$475)-SUM(J$476,J$477,J$478,J$479)</f>
        <v>8.4890011053714289</v>
      </c>
      <c r="K499" s="7">
        <f t="shared" ca="1" si="302"/>
        <v>8.9036896735656796</v>
      </c>
      <c r="L499" s="7">
        <f t="shared" ca="1" si="302"/>
        <v>9.2874739756079805</v>
      </c>
      <c r="M499" s="7">
        <f t="shared" ca="1" si="302"/>
        <v>9.5376056977143264</v>
      </c>
      <c r="N499" s="7">
        <f t="shared" ca="1" si="302"/>
        <v>9.7518205533911981</v>
      </c>
      <c r="O499" s="7">
        <f t="shared" ca="1" si="302"/>
        <v>9.9091468248696088</v>
      </c>
      <c r="P499" s="7">
        <f t="shared" ca="1" si="302"/>
        <v>9.3072350599810818</v>
      </c>
      <c r="Q499" s="7">
        <f t="shared" ca="1" si="302"/>
        <v>8.6713726856858813</v>
      </c>
      <c r="R499" s="7">
        <f t="shared" ca="1" si="302"/>
        <v>7.8405984960011779</v>
      </c>
      <c r="S499" s="7">
        <f t="shared" ca="1" si="302"/>
        <v>6.9440917175359687</v>
      </c>
      <c r="T499" s="7">
        <f t="shared" ca="1" si="302"/>
        <v>5.9330754167573332</v>
      </c>
      <c r="U499" s="7">
        <f t="shared" ca="1" si="302"/>
        <v>4.7877433246424062</v>
      </c>
      <c r="V499" s="7">
        <f t="shared" ca="1" si="302"/>
        <v>3.4891848437141846</v>
      </c>
      <c r="W499" s="7">
        <f t="shared" ca="1" si="302"/>
        <v>2.23435952971181</v>
      </c>
      <c r="X499" s="7">
        <f t="shared" ca="1" si="302"/>
        <v>0.96178788653830338</v>
      </c>
      <c r="Y499" s="7">
        <f t="shared" ca="1" si="302"/>
        <v>-0.46749122428792589</v>
      </c>
      <c r="Z499" s="7">
        <f t="shared" ca="1" si="302"/>
        <v>-1.9750810410991448</v>
      </c>
      <c r="AA499" s="7">
        <f t="shared" ca="1" si="302"/>
        <v>-1.9392339053880221</v>
      </c>
      <c r="AB499" s="7">
        <f t="shared" ca="1" si="302"/>
        <v>-1.7821262481103872</v>
      </c>
      <c r="AC499" s="7">
        <f t="shared" ca="1" si="302"/>
        <v>-1.4736775112648672</v>
      </c>
      <c r="AD499" s="7">
        <f t="shared" ca="1" si="302"/>
        <v>-1.0032028997691214</v>
      </c>
      <c r="AE499" s="7">
        <f t="shared" ca="1" si="302"/>
        <v>-0.46204916332052903</v>
      </c>
      <c r="AF499" s="7">
        <f t="shared" ca="1" si="302"/>
        <v>0.20792184876054876</v>
      </c>
      <c r="AG499" s="7">
        <f t="shared" ca="1" si="302"/>
        <v>0.90894091889214224</v>
      </c>
      <c r="AH499" s="7">
        <f t="shared" ca="1" si="302"/>
        <v>1.686928294542497</v>
      </c>
      <c r="AI499" s="7">
        <f t="shared" ca="1" si="302"/>
        <v>2.508476742161406</v>
      </c>
      <c r="AJ499" s="7">
        <f t="shared" ca="1" si="302"/>
        <v>3.3816974127168464</v>
      </c>
      <c r="AK499" s="7">
        <f t="shared" ca="1" si="302"/>
        <v>4.250908325278715</v>
      </c>
      <c r="AL499" s="7">
        <f t="shared" ca="1" si="302"/>
        <v>5.1480110969347948</v>
      </c>
      <c r="AM499" s="7">
        <f t="shared" ca="1" si="302"/>
        <v>6.0605232481900657</v>
      </c>
      <c r="AN499" s="7">
        <f t="shared" ca="1" si="302"/>
        <v>6.9531478370888635</v>
      </c>
      <c r="AO499" s="7">
        <f t="shared" ca="1" si="302"/>
        <v>7.7450820472997748</v>
      </c>
      <c r="AP499" s="7">
        <f t="shared" ca="1" si="302"/>
        <v>8.3916393199752974</v>
      </c>
      <c r="AQ499" s="7">
        <f t="shared" ca="1" si="302"/>
        <v>8.8664166955983887</v>
      </c>
      <c r="AR499" s="7">
        <f t="shared" ca="1" si="302"/>
        <v>9.1017443408263716</v>
      </c>
      <c r="AS499" s="7">
        <f t="shared" ca="1" si="302"/>
        <v>9.1124224956169542</v>
      </c>
      <c r="AT499" s="7">
        <f t="shared" ca="1" si="302"/>
        <v>9.1031318282272764</v>
      </c>
      <c r="AU499" s="7">
        <f t="shared" ca="1" si="302"/>
        <v>8.998168047613774</v>
      </c>
      <c r="AV499" s="7">
        <f t="shared" ca="1" si="302"/>
        <v>8.869279727587525</v>
      </c>
      <c r="AW499" s="7">
        <f t="shared" ca="1" si="302"/>
        <v>8.6117870371459162</v>
      </c>
    </row>
    <row r="500" spans="1:49" x14ac:dyDescent="0.2">
      <c r="A500" s="1" t="s">
        <v>727</v>
      </c>
      <c r="J500" s="7">
        <f t="shared" ref="J500:AW500" ca="1" si="303">-J$481-(J$403-I$403)-J$482-(J$377-I$377)-J$483-(J$418-I$418)-J$485-J$492-(J$345-I$345+J$354-I$354-J$366)</f>
        <v>-8.9622167456477442</v>
      </c>
      <c r="K500" s="7">
        <f t="shared" ca="1" si="303"/>
        <v>-8.5905018885361386</v>
      </c>
      <c r="L500" s="7">
        <f t="shared" ca="1" si="303"/>
        <v>-8.7078309552942414</v>
      </c>
      <c r="M500" s="7">
        <f t="shared" ca="1" si="303"/>
        <v>-8.7529996076553758</v>
      </c>
      <c r="N500" s="7">
        <f t="shared" ca="1" si="303"/>
        <v>-8.7994769348033053</v>
      </c>
      <c r="O500" s="7">
        <f t="shared" ca="1" si="303"/>
        <v>-8.8063354980943789</v>
      </c>
      <c r="P500" s="7">
        <f t="shared" ca="1" si="303"/>
        <v>-8.8008163158908843</v>
      </c>
      <c r="Q500" s="7">
        <f t="shared" ca="1" si="303"/>
        <v>-8.786980531722989</v>
      </c>
      <c r="R500" s="7">
        <f t="shared" ca="1" si="303"/>
        <v>-8.7825943777931492</v>
      </c>
      <c r="S500" s="7">
        <f t="shared" ca="1" si="303"/>
        <v>-8.8197030799805312</v>
      </c>
      <c r="T500" s="7">
        <f t="shared" ca="1" si="303"/>
        <v>-8.8741345409077201</v>
      </c>
      <c r="U500" s="7">
        <f t="shared" ca="1" si="303"/>
        <v>-8.9385213212497323</v>
      </c>
      <c r="V500" s="7">
        <f t="shared" ca="1" si="303"/>
        <v>-8.994794894846228</v>
      </c>
      <c r="W500" s="7">
        <f t="shared" ca="1" si="303"/>
        <v>-9.0544671045192651</v>
      </c>
      <c r="X500" s="7">
        <f t="shared" ca="1" si="303"/>
        <v>-9.1291894608351605</v>
      </c>
      <c r="Y500" s="7">
        <f t="shared" ca="1" si="303"/>
        <v>-9.1885339145091507</v>
      </c>
      <c r="Z500" s="7">
        <f t="shared" ca="1" si="303"/>
        <v>-9.3107903555146372</v>
      </c>
      <c r="AA500" s="7">
        <f t="shared" ca="1" si="303"/>
        <v>-9.5275448745587674</v>
      </c>
      <c r="AB500" s="7">
        <f t="shared" ca="1" si="303"/>
        <v>-9.8373651846597561</v>
      </c>
      <c r="AC500" s="7">
        <f t="shared" ca="1" si="303"/>
        <v>-10.261596626348437</v>
      </c>
      <c r="AD500" s="7">
        <f t="shared" ca="1" si="303"/>
        <v>-10.790377940115613</v>
      </c>
      <c r="AE500" s="7">
        <f t="shared" ca="1" si="303"/>
        <v>-11.371454519627036</v>
      </c>
      <c r="AF500" s="7">
        <f t="shared" ca="1" si="303"/>
        <v>-12.041122926004407</v>
      </c>
      <c r="AG500" s="7">
        <f t="shared" ca="1" si="303"/>
        <v>-12.697993079111939</v>
      </c>
      <c r="AH500" s="7">
        <f t="shared" ca="1" si="303"/>
        <v>-13.393163917158679</v>
      </c>
      <c r="AI500" s="7">
        <f t="shared" ca="1" si="303"/>
        <v>-14.096078705796296</v>
      </c>
      <c r="AJ500" s="7">
        <f t="shared" ca="1" si="303"/>
        <v>-14.848028823141618</v>
      </c>
      <c r="AK500" s="7">
        <f t="shared" ca="1" si="303"/>
        <v>-15.584449213388135</v>
      </c>
      <c r="AL500" s="7">
        <f t="shared" ca="1" si="303"/>
        <v>-16.326858007280912</v>
      </c>
      <c r="AM500" s="7">
        <f t="shared" ca="1" si="303"/>
        <v>-17.087969932271129</v>
      </c>
      <c r="AN500" s="7">
        <f t="shared" ca="1" si="303"/>
        <v>-17.814612911685757</v>
      </c>
      <c r="AO500" s="7">
        <f t="shared" ca="1" si="303"/>
        <v>-18.506619118232628</v>
      </c>
      <c r="AP500" s="7">
        <f t="shared" ca="1" si="303"/>
        <v>-19.101595229929885</v>
      </c>
      <c r="AQ500" s="7">
        <f t="shared" ca="1" si="303"/>
        <v>-19.587593141733151</v>
      </c>
      <c r="AR500" s="7">
        <f t="shared" ca="1" si="303"/>
        <v>-19.937571524647453</v>
      </c>
      <c r="AS500" s="7">
        <f t="shared" ca="1" si="303"/>
        <v>-20.180898731537919</v>
      </c>
      <c r="AT500" s="7">
        <f t="shared" ca="1" si="303"/>
        <v>-20.429073360678515</v>
      </c>
      <c r="AU500" s="7">
        <f t="shared" ca="1" si="303"/>
        <v>-20.654757222758434</v>
      </c>
      <c r="AV500" s="7">
        <f t="shared" ca="1" si="303"/>
        <v>-20.937428081297572</v>
      </c>
      <c r="AW500" s="7">
        <f t="shared" ca="1" si="303"/>
        <v>-21.190686441160985</v>
      </c>
    </row>
    <row r="501" spans="1:49" x14ac:dyDescent="0.2">
      <c r="A501" s="1" t="s">
        <v>206</v>
      </c>
      <c r="J501" s="7">
        <f t="shared" ref="J501:AW501" ca="1" si="304">J$493</f>
        <v>0.31196918107785532</v>
      </c>
      <c r="K501" s="7">
        <f t="shared" ca="1" si="304"/>
        <v>0.31727608552365094</v>
      </c>
      <c r="L501" s="7">
        <f t="shared" ca="1" si="304"/>
        <v>0.33591472411964229</v>
      </c>
      <c r="M501" s="7">
        <f t="shared" ca="1" si="304"/>
        <v>0.34294607977441061</v>
      </c>
      <c r="N501" s="7">
        <f t="shared" ca="1" si="304"/>
        <v>0.35006240349795092</v>
      </c>
      <c r="O501" s="7">
        <f t="shared" ca="1" si="304"/>
        <v>0.35379483540001466</v>
      </c>
      <c r="P501" s="7">
        <f t="shared" ca="1" si="304"/>
        <v>0.36545913275572417</v>
      </c>
      <c r="Q501" s="7">
        <f t="shared" ca="1" si="304"/>
        <v>0.37672866714290443</v>
      </c>
      <c r="R501" s="7">
        <f t="shared" ca="1" si="304"/>
        <v>0.38771858691812788</v>
      </c>
      <c r="S501" s="7">
        <f t="shared" ca="1" si="304"/>
        <v>0.39994066055252198</v>
      </c>
      <c r="T501" s="7">
        <f t="shared" ca="1" si="304"/>
        <v>0.41230857900513485</v>
      </c>
      <c r="U501" s="7">
        <f t="shared" ca="1" si="304"/>
        <v>0.42615626207948054</v>
      </c>
      <c r="V501" s="7">
        <f t="shared" ca="1" si="304"/>
        <v>0.44105591432087188</v>
      </c>
      <c r="W501" s="7">
        <f t="shared" ca="1" si="304"/>
        <v>0.45723341679683038</v>
      </c>
      <c r="X501" s="7">
        <f t="shared" ca="1" si="304"/>
        <v>0.47485918661021209</v>
      </c>
      <c r="Y501" s="7">
        <f t="shared" ca="1" si="304"/>
        <v>0.49243641009174688</v>
      </c>
      <c r="Z501" s="7">
        <f t="shared" ca="1" si="304"/>
        <v>0.51250617058264325</v>
      </c>
      <c r="AA501" s="7">
        <f t="shared" ca="1" si="304"/>
        <v>0.53340516782491854</v>
      </c>
      <c r="AB501" s="7">
        <f t="shared" ca="1" si="304"/>
        <v>0.55590603004681149</v>
      </c>
      <c r="AC501" s="7">
        <f t="shared" ca="1" si="304"/>
        <v>0.58050551296990704</v>
      </c>
      <c r="AD501" s="7">
        <f t="shared" ca="1" si="304"/>
        <v>0.60571685586461399</v>
      </c>
      <c r="AE501" s="7">
        <f t="shared" ca="1" si="304"/>
        <v>0.63037192856102386</v>
      </c>
      <c r="AF501" s="7">
        <f t="shared" ca="1" si="304"/>
        <v>0.65677098798221323</v>
      </c>
      <c r="AG501" s="7">
        <f t="shared" ca="1" si="304"/>
        <v>0.68353728627673149</v>
      </c>
      <c r="AH501" s="7">
        <f t="shared" ca="1" si="304"/>
        <v>0.71139968403792508</v>
      </c>
      <c r="AI501" s="7">
        <f t="shared" ca="1" si="304"/>
        <v>0.73801903105391631</v>
      </c>
      <c r="AJ501" s="7">
        <f t="shared" ca="1" si="304"/>
        <v>0.76700262073217829</v>
      </c>
      <c r="AK501" s="7">
        <f t="shared" ca="1" si="304"/>
        <v>0.79535525042819799</v>
      </c>
      <c r="AL501" s="7">
        <f t="shared" ca="1" si="304"/>
        <v>0.82308135685105199</v>
      </c>
      <c r="AM501" s="7">
        <f t="shared" ca="1" si="304"/>
        <v>0.85193189958926041</v>
      </c>
      <c r="AN501" s="7">
        <f t="shared" ca="1" si="304"/>
        <v>0.88196747134960773</v>
      </c>
      <c r="AO501" s="7">
        <f t="shared" ca="1" si="304"/>
        <v>0.90853986184845681</v>
      </c>
      <c r="AP501" s="7">
        <f t="shared" ca="1" si="304"/>
        <v>0.9389703624354766</v>
      </c>
      <c r="AQ501" s="7">
        <f t="shared" ca="1" si="304"/>
        <v>0.96676987103008472</v>
      </c>
      <c r="AR501" s="7">
        <f t="shared" ca="1" si="304"/>
        <v>0.99566393607080528</v>
      </c>
      <c r="AS501" s="7">
        <f t="shared" ca="1" si="304"/>
        <v>1.026880856355568</v>
      </c>
      <c r="AT501" s="7">
        <f t="shared" ca="1" si="304"/>
        <v>1.0589179127611388</v>
      </c>
      <c r="AU501" s="7">
        <f t="shared" ca="1" si="304"/>
        <v>1.0923630935929758</v>
      </c>
      <c r="AV501" s="7">
        <f t="shared" ca="1" si="304"/>
        <v>1.1291857497597739</v>
      </c>
      <c r="AW501" s="7">
        <f t="shared" ca="1" si="304"/>
        <v>1.1653709171354478</v>
      </c>
    </row>
    <row r="502" spans="1:49" x14ac:dyDescent="0.2">
      <c r="A502" s="1" t="s">
        <v>742</v>
      </c>
      <c r="J502" s="7">
        <f t="shared" ref="J502:AW502" ca="1" si="305">J$494+J$332-I$332 -(J$499+J$500+J$501)</f>
        <v>0.91639396010213758</v>
      </c>
      <c r="K502" s="7">
        <f t="shared" ca="1" si="305"/>
        <v>0.60061968389164644</v>
      </c>
      <c r="L502" s="7">
        <f t="shared" ca="1" si="305"/>
        <v>0.3560268064550236</v>
      </c>
      <c r="M502" s="7">
        <f t="shared" ca="1" si="305"/>
        <v>0.16339276838636607</v>
      </c>
      <c r="N502" s="7">
        <f t="shared" ca="1" si="305"/>
        <v>3.8756332624032552E-3</v>
      </c>
      <c r="O502" s="7">
        <f t="shared" ca="1" si="305"/>
        <v>-0.15684326359358813</v>
      </c>
      <c r="P502" s="7">
        <f t="shared" ca="1" si="305"/>
        <v>0.44853316139907129</v>
      </c>
      <c r="Q502" s="7">
        <f t="shared" ca="1" si="305"/>
        <v>1.0781055078738078</v>
      </c>
      <c r="R502" s="7">
        <f t="shared" ca="1" si="305"/>
        <v>1.9126513170113011</v>
      </c>
      <c r="S502" s="7">
        <f t="shared" ca="1" si="305"/>
        <v>2.860134651107531</v>
      </c>
      <c r="T502" s="7">
        <f t="shared" ca="1" si="305"/>
        <v>3.941142617242658</v>
      </c>
      <c r="U502" s="7">
        <f t="shared" ca="1" si="305"/>
        <v>5.1658491179985226</v>
      </c>
      <c r="V502" s="7">
        <f t="shared" ca="1" si="305"/>
        <v>6.5344348478306831</v>
      </c>
      <c r="W502" s="7">
        <f t="shared" ca="1" si="305"/>
        <v>7.8617233283702515</v>
      </c>
      <c r="X502" s="7">
        <f t="shared" ca="1" si="305"/>
        <v>9.2242914034965136</v>
      </c>
      <c r="Y502" s="7">
        <f t="shared" ca="1" si="305"/>
        <v>10.723518212266582</v>
      </c>
      <c r="Z502" s="7">
        <f t="shared" ca="1" si="305"/>
        <v>12.370180199552713</v>
      </c>
      <c r="AA502" s="7">
        <f t="shared" ca="1" si="305"/>
        <v>12.577896412344996</v>
      </c>
      <c r="AB502" s="7">
        <f t="shared" ca="1" si="305"/>
        <v>12.770794223181655</v>
      </c>
      <c r="AC502" s="7">
        <f t="shared" ca="1" si="305"/>
        <v>12.942758537192249</v>
      </c>
      <c r="AD502" s="7">
        <f t="shared" ca="1" si="305"/>
        <v>13.074775855077187</v>
      </c>
      <c r="AE502" s="7">
        <f t="shared" ca="1" si="305"/>
        <v>13.196505595422371</v>
      </c>
      <c r="AF502" s="7">
        <f t="shared" ca="1" si="305"/>
        <v>13.293086712840145</v>
      </c>
      <c r="AG502" s="7">
        <f t="shared" ca="1" si="305"/>
        <v>13.349821525306666</v>
      </c>
      <c r="AH502" s="7">
        <f t="shared" ca="1" si="305"/>
        <v>13.377819937888374</v>
      </c>
      <c r="AI502" s="7">
        <f t="shared" ca="1" si="305"/>
        <v>13.37662318618885</v>
      </c>
      <c r="AJ502" s="7">
        <f t="shared" ca="1" si="305"/>
        <v>13.381316170380252</v>
      </c>
      <c r="AK502" s="7">
        <f t="shared" ca="1" si="305"/>
        <v>13.376551777489153</v>
      </c>
      <c r="AL502" s="7">
        <f t="shared" ca="1" si="305"/>
        <v>13.357489616324099</v>
      </c>
      <c r="AM502" s="7">
        <f t="shared" ca="1" si="305"/>
        <v>13.348849397346925</v>
      </c>
      <c r="AN502" s="7">
        <f t="shared" ca="1" si="305"/>
        <v>13.328187661931093</v>
      </c>
      <c r="AO502" s="7">
        <f t="shared" ca="1" si="305"/>
        <v>13.369779898637976</v>
      </c>
      <c r="AP502" s="7">
        <f t="shared" ca="1" si="305"/>
        <v>13.450473336194506</v>
      </c>
      <c r="AQ502" s="7">
        <f t="shared" ca="1" si="305"/>
        <v>13.582384912155515</v>
      </c>
      <c r="AR502" s="7">
        <f t="shared" ca="1" si="305"/>
        <v>13.799292599510295</v>
      </c>
      <c r="AS502" s="7">
        <f t="shared" ca="1" si="305"/>
        <v>14.116951922728244</v>
      </c>
      <c r="AT502" s="7">
        <f t="shared" ca="1" si="305"/>
        <v>14.465287077673914</v>
      </c>
      <c r="AU502" s="7">
        <f t="shared" ca="1" si="305"/>
        <v>14.884919424596124</v>
      </c>
      <c r="AV502" s="7">
        <f t="shared" ca="1" si="305"/>
        <v>15.39075360575211</v>
      </c>
      <c r="AW502" s="7">
        <f t="shared" ca="1" si="305"/>
        <v>15.990229504562038</v>
      </c>
    </row>
    <row r="503" spans="1:49" ht="15" x14ac:dyDescent="0.25">
      <c r="A503" s="2" t="s">
        <v>728</v>
      </c>
      <c r="J503" s="43">
        <f t="shared" ref="J503:AW503" ca="1" si="306">SUM(J$499,J$500,J$501,J$502)</f>
        <v>0.75514750090367766</v>
      </c>
      <c r="K503" s="43">
        <f t="shared" ca="1" si="306"/>
        <v>1.2310835544448384</v>
      </c>
      <c r="L503" s="43">
        <f t="shared" ca="1" si="306"/>
        <v>1.2715845508884049</v>
      </c>
      <c r="M503" s="43">
        <f t="shared" ca="1" si="306"/>
        <v>1.2909449382197273</v>
      </c>
      <c r="N503" s="43">
        <f t="shared" ca="1" si="306"/>
        <v>1.306281655348247</v>
      </c>
      <c r="O503" s="43">
        <f t="shared" ca="1" si="306"/>
        <v>1.2997628985816565</v>
      </c>
      <c r="P503" s="43">
        <f t="shared" ca="1" si="306"/>
        <v>1.320411038244993</v>
      </c>
      <c r="Q503" s="43">
        <f t="shared" ca="1" si="306"/>
        <v>1.3392263289796045</v>
      </c>
      <c r="R503" s="43">
        <f t="shared" ca="1" si="306"/>
        <v>1.3583740221374576</v>
      </c>
      <c r="S503" s="43">
        <f t="shared" ca="1" si="306"/>
        <v>1.3844639492154904</v>
      </c>
      <c r="T503" s="43">
        <f t="shared" ca="1" si="306"/>
        <v>1.4123920720974059</v>
      </c>
      <c r="U503" s="43">
        <f t="shared" ca="1" si="306"/>
        <v>1.441227383470677</v>
      </c>
      <c r="V503" s="43">
        <f t="shared" ca="1" si="306"/>
        <v>1.4698807110195116</v>
      </c>
      <c r="W503" s="43">
        <f t="shared" ca="1" si="306"/>
        <v>1.4988491703596267</v>
      </c>
      <c r="X503" s="43">
        <f t="shared" ca="1" si="306"/>
        <v>1.5317490158098686</v>
      </c>
      <c r="Y503" s="43">
        <f t="shared" ca="1" si="306"/>
        <v>1.5599294835612518</v>
      </c>
      <c r="Z503" s="43">
        <f t="shared" ca="1" si="306"/>
        <v>1.5968149735215746</v>
      </c>
      <c r="AA503" s="43">
        <f t="shared" ca="1" si="306"/>
        <v>1.6445228002231254</v>
      </c>
      <c r="AB503" s="43">
        <f t="shared" ca="1" si="306"/>
        <v>1.7072088204583231</v>
      </c>
      <c r="AC503" s="43">
        <f t="shared" ca="1" si="306"/>
        <v>1.7879899125488521</v>
      </c>
      <c r="AD503" s="43">
        <f t="shared" ca="1" si="306"/>
        <v>1.886911871057066</v>
      </c>
      <c r="AE503" s="43">
        <f t="shared" ca="1" si="306"/>
        <v>1.9933738410358295</v>
      </c>
      <c r="AF503" s="43">
        <f t="shared" ca="1" si="306"/>
        <v>2.1166566235784998</v>
      </c>
      <c r="AG503" s="43">
        <f t="shared" ca="1" si="306"/>
        <v>2.2443066513636012</v>
      </c>
      <c r="AH503" s="43">
        <f t="shared" ca="1" si="306"/>
        <v>2.3829839993101167</v>
      </c>
      <c r="AI503" s="43">
        <f t="shared" ca="1" si="306"/>
        <v>2.5270402536078755</v>
      </c>
      <c r="AJ503" s="43">
        <f t="shared" ca="1" si="306"/>
        <v>2.6819873806876586</v>
      </c>
      <c r="AK503" s="43">
        <f t="shared" ca="1" si="306"/>
        <v>2.8383661398079312</v>
      </c>
      <c r="AL503" s="43">
        <f t="shared" ca="1" si="306"/>
        <v>3.0017240628290338</v>
      </c>
      <c r="AM503" s="43">
        <f t="shared" ca="1" si="306"/>
        <v>3.1733346128551219</v>
      </c>
      <c r="AN503" s="43">
        <f t="shared" ca="1" si="306"/>
        <v>3.3486900586838075</v>
      </c>
      <c r="AO503" s="43">
        <f t="shared" ca="1" si="306"/>
        <v>3.5167826895535796</v>
      </c>
      <c r="AP503" s="43">
        <f t="shared" ca="1" si="306"/>
        <v>3.6794877886753952</v>
      </c>
      <c r="AQ503" s="43">
        <f t="shared" ca="1" si="306"/>
        <v>3.8279783370508369</v>
      </c>
      <c r="AR503" s="43">
        <f t="shared" ca="1" si="306"/>
        <v>3.9591293517600192</v>
      </c>
      <c r="AS503" s="43">
        <f t="shared" ca="1" si="306"/>
        <v>4.0753565431628473</v>
      </c>
      <c r="AT503" s="43">
        <f t="shared" ca="1" si="306"/>
        <v>4.1982634579838134</v>
      </c>
      <c r="AU503" s="43">
        <f t="shared" ca="1" si="306"/>
        <v>4.3206933430444394</v>
      </c>
      <c r="AV503" s="43">
        <f t="shared" ca="1" si="306"/>
        <v>4.451791001801837</v>
      </c>
      <c r="AW503" s="43">
        <f t="shared" ca="1" si="306"/>
        <v>4.5767010176824172</v>
      </c>
    </row>
    <row r="504" spans="1:49" ht="15" x14ac:dyDescent="0.25">
      <c r="A504" s="2"/>
    </row>
    <row r="505" spans="1:49" ht="15" x14ac:dyDescent="0.25">
      <c r="A505" s="2" t="s">
        <v>380</v>
      </c>
    </row>
    <row r="506" spans="1:49" ht="15" x14ac:dyDescent="0.25">
      <c r="A506" s="2" t="s">
        <v>377</v>
      </c>
      <c r="J506" s="31">
        <f t="shared" ref="J506:AW506" ca="1" si="307">J$499</f>
        <v>8.4890011053714289</v>
      </c>
      <c r="K506" s="31">
        <f t="shared" ca="1" si="307"/>
        <v>8.9036896735656796</v>
      </c>
      <c r="L506" s="31">
        <f t="shared" ca="1" si="307"/>
        <v>9.2874739756079805</v>
      </c>
      <c r="M506" s="31">
        <f t="shared" ca="1" si="307"/>
        <v>9.5376056977143264</v>
      </c>
      <c r="N506" s="31">
        <f t="shared" ca="1" si="307"/>
        <v>9.7518205533911981</v>
      </c>
      <c r="O506" s="31">
        <f t="shared" ca="1" si="307"/>
        <v>9.9091468248696088</v>
      </c>
      <c r="P506" s="31">
        <f t="shared" ca="1" si="307"/>
        <v>9.3072350599810818</v>
      </c>
      <c r="Q506" s="31">
        <f t="shared" ca="1" si="307"/>
        <v>8.6713726856858813</v>
      </c>
      <c r="R506" s="31">
        <f t="shared" ca="1" si="307"/>
        <v>7.8405984960011779</v>
      </c>
      <c r="S506" s="31">
        <f t="shared" ca="1" si="307"/>
        <v>6.9440917175359687</v>
      </c>
      <c r="T506" s="31">
        <f t="shared" ca="1" si="307"/>
        <v>5.9330754167573332</v>
      </c>
      <c r="U506" s="31">
        <f t="shared" ca="1" si="307"/>
        <v>4.7877433246424062</v>
      </c>
      <c r="V506" s="31">
        <f t="shared" ca="1" si="307"/>
        <v>3.4891848437141846</v>
      </c>
      <c r="W506" s="31">
        <f t="shared" ca="1" si="307"/>
        <v>2.23435952971181</v>
      </c>
      <c r="X506" s="31">
        <f t="shared" ca="1" si="307"/>
        <v>0.96178788653830338</v>
      </c>
      <c r="Y506" s="31">
        <f t="shared" ca="1" si="307"/>
        <v>-0.46749122428792589</v>
      </c>
      <c r="Z506" s="31">
        <f t="shared" ca="1" si="307"/>
        <v>-1.9750810410991448</v>
      </c>
      <c r="AA506" s="31">
        <f t="shared" ca="1" si="307"/>
        <v>-1.9392339053880221</v>
      </c>
      <c r="AB506" s="31">
        <f t="shared" ca="1" si="307"/>
        <v>-1.7821262481103872</v>
      </c>
      <c r="AC506" s="31">
        <f t="shared" ca="1" si="307"/>
        <v>-1.4736775112648672</v>
      </c>
      <c r="AD506" s="31">
        <f t="shared" ca="1" si="307"/>
        <v>-1.0032028997691214</v>
      </c>
      <c r="AE506" s="31">
        <f t="shared" ca="1" si="307"/>
        <v>-0.46204916332052903</v>
      </c>
      <c r="AF506" s="31">
        <f t="shared" ca="1" si="307"/>
        <v>0.20792184876054876</v>
      </c>
      <c r="AG506" s="31">
        <f t="shared" ca="1" si="307"/>
        <v>0.90894091889214224</v>
      </c>
      <c r="AH506" s="31">
        <f t="shared" ca="1" si="307"/>
        <v>1.686928294542497</v>
      </c>
      <c r="AI506" s="31">
        <f t="shared" ca="1" si="307"/>
        <v>2.508476742161406</v>
      </c>
      <c r="AJ506" s="31">
        <f t="shared" ca="1" si="307"/>
        <v>3.3816974127168464</v>
      </c>
      <c r="AK506" s="31">
        <f t="shared" ca="1" si="307"/>
        <v>4.250908325278715</v>
      </c>
      <c r="AL506" s="31">
        <f t="shared" ca="1" si="307"/>
        <v>5.1480110969347948</v>
      </c>
      <c r="AM506" s="31">
        <f t="shared" ca="1" si="307"/>
        <v>6.0605232481900657</v>
      </c>
      <c r="AN506" s="31">
        <f t="shared" ca="1" si="307"/>
        <v>6.9531478370888635</v>
      </c>
      <c r="AO506" s="31">
        <f t="shared" ca="1" si="307"/>
        <v>7.7450820472997748</v>
      </c>
      <c r="AP506" s="31">
        <f t="shared" ca="1" si="307"/>
        <v>8.3916393199752974</v>
      </c>
      <c r="AQ506" s="31">
        <f t="shared" ca="1" si="307"/>
        <v>8.8664166955983887</v>
      </c>
      <c r="AR506" s="31">
        <f t="shared" ca="1" si="307"/>
        <v>9.1017443408263716</v>
      </c>
      <c r="AS506" s="31">
        <f t="shared" ca="1" si="307"/>
        <v>9.1124224956169542</v>
      </c>
      <c r="AT506" s="31">
        <f t="shared" ca="1" si="307"/>
        <v>9.1031318282272764</v>
      </c>
      <c r="AU506" s="31">
        <f t="shared" ca="1" si="307"/>
        <v>8.998168047613774</v>
      </c>
      <c r="AV506" s="31">
        <f t="shared" ca="1" si="307"/>
        <v>8.869279727587525</v>
      </c>
      <c r="AW506" s="31">
        <f t="shared" ca="1" si="307"/>
        <v>8.6117870371459162</v>
      </c>
    </row>
    <row r="507" spans="1:49" ht="15" x14ac:dyDescent="0.25">
      <c r="A507" s="2" t="s">
        <v>171</v>
      </c>
      <c r="J507" s="43">
        <f t="shared" ref="J507:AW507" ca="1" si="308">J$321</f>
        <v>2.0904373223453399</v>
      </c>
      <c r="K507" s="43">
        <f t="shared" ca="1" si="308"/>
        <v>2.4201475434406792</v>
      </c>
      <c r="L507" s="43">
        <f t="shared" ca="1" si="308"/>
        <v>2.7767130085828033</v>
      </c>
      <c r="M507" s="43">
        <f t="shared" ca="1" si="308"/>
        <v>3.1596662611684017</v>
      </c>
      <c r="N507" s="43">
        <f t="shared" ca="1" si="308"/>
        <v>3.5468212286714413</v>
      </c>
      <c r="O507" s="43">
        <f t="shared" ca="1" si="308"/>
        <v>3.8810707713486252</v>
      </c>
      <c r="P507" s="43">
        <f t="shared" ca="1" si="308"/>
        <v>4.2182665312896939</v>
      </c>
      <c r="Q507" s="43">
        <f t="shared" ca="1" si="308"/>
        <v>4.5570316084027835</v>
      </c>
      <c r="R507" s="43">
        <f t="shared" ca="1" si="308"/>
        <v>4.89722964108479</v>
      </c>
      <c r="S507" s="43">
        <f t="shared" ca="1" si="308"/>
        <v>5.2400609429935363</v>
      </c>
      <c r="T507" s="43">
        <f t="shared" ca="1" si="308"/>
        <v>5.5869879562717797</v>
      </c>
      <c r="U507" s="43">
        <f t="shared" ca="1" si="308"/>
        <v>5.9381428079556695</v>
      </c>
      <c r="V507" s="43">
        <f t="shared" ca="1" si="308"/>
        <v>6.2929435677973213</v>
      </c>
      <c r="W507" s="43">
        <f t="shared" ca="1" si="308"/>
        <v>6.6507390943624758</v>
      </c>
      <c r="X507" s="43">
        <f t="shared" ca="1" si="308"/>
        <v>7.0115886931069147</v>
      </c>
      <c r="Y507" s="43">
        <f t="shared" ca="1" si="308"/>
        <v>7.3749811785947923</v>
      </c>
      <c r="Z507" s="43">
        <f t="shared" ca="1" si="308"/>
        <v>7.7409467585640277</v>
      </c>
      <c r="AA507" s="43">
        <f t="shared" ca="1" si="308"/>
        <v>8.1125415060043817</v>
      </c>
      <c r="AB507" s="43">
        <f t="shared" ca="1" si="308"/>
        <v>8.4944110091981706</v>
      </c>
      <c r="AC507" s="43">
        <f t="shared" ca="1" si="308"/>
        <v>8.8923539255007267</v>
      </c>
      <c r="AD507" s="43">
        <f t="shared" ca="1" si="308"/>
        <v>9.3131127483595577</v>
      </c>
      <c r="AE507" s="43">
        <f t="shared" ca="1" si="308"/>
        <v>9.7621130007783492</v>
      </c>
      <c r="AF507" s="43">
        <f t="shared" ca="1" si="308"/>
        <v>10.244037134140504</v>
      </c>
      <c r="AG507" s="43">
        <f t="shared" ca="1" si="308"/>
        <v>10.762790427028341</v>
      </c>
      <c r="AH507" s="43">
        <f t="shared" ca="1" si="308"/>
        <v>11.321103957180275</v>
      </c>
      <c r="AI507" s="43">
        <f t="shared" ca="1" si="308"/>
        <v>11.922457949954575</v>
      </c>
      <c r="AJ507" s="43">
        <f t="shared" ca="1" si="308"/>
        <v>12.569927144329167</v>
      </c>
      <c r="AK507" s="43">
        <f t="shared" ca="1" si="308"/>
        <v>13.265619662641802</v>
      </c>
      <c r="AL507" s="43">
        <f t="shared" ca="1" si="308"/>
        <v>14.011600179966434</v>
      </c>
      <c r="AM507" s="43">
        <f t="shared" ca="1" si="308"/>
        <v>14.810918352617955</v>
      </c>
      <c r="AN507" s="43">
        <f t="shared" ca="1" si="308"/>
        <v>15.665450573855619</v>
      </c>
      <c r="AO507" s="43">
        <f t="shared" ca="1" si="308"/>
        <v>16.575155103709438</v>
      </c>
      <c r="AP507" s="43">
        <f t="shared" ca="1" si="308"/>
        <v>17.537387330642765</v>
      </c>
      <c r="AQ507" s="43">
        <f t="shared" ca="1" si="308"/>
        <v>18.54767724618781</v>
      </c>
      <c r="AR507" s="43">
        <f t="shared" ca="1" si="308"/>
        <v>19.59998696531412</v>
      </c>
      <c r="AS507" s="43">
        <f t="shared" ca="1" si="308"/>
        <v>20.686590479834525</v>
      </c>
      <c r="AT507" s="43">
        <f t="shared" ca="1" si="308"/>
        <v>21.804611816437795</v>
      </c>
      <c r="AU507" s="43">
        <f t="shared" ca="1" si="308"/>
        <v>22.954778068978204</v>
      </c>
      <c r="AV507" s="43">
        <f t="shared" ca="1" si="308"/>
        <v>24.137347992890295</v>
      </c>
      <c r="AW507" s="43">
        <f t="shared" ca="1" si="308"/>
        <v>25.352120242949923</v>
      </c>
    </row>
    <row r="508" spans="1:49" x14ac:dyDescent="0.2">
      <c r="A508" s="1" t="s">
        <v>734</v>
      </c>
      <c r="J508" s="7">
        <f t="shared" ref="J508:AW508" ca="1" si="309">J$199</f>
        <v>1.8473977075836236</v>
      </c>
      <c r="K508" s="7">
        <f t="shared" ca="1" si="309"/>
        <v>1.9266572838664682</v>
      </c>
      <c r="L508" s="7">
        <f t="shared" ca="1" si="309"/>
        <v>2.0098351214622459</v>
      </c>
      <c r="M508" s="7">
        <f t="shared" ca="1" si="309"/>
        <v>2.0965590884876626</v>
      </c>
      <c r="N508" s="7">
        <f t="shared" ca="1" si="309"/>
        <v>2.1869256077706165</v>
      </c>
      <c r="O508" s="7">
        <f t="shared" ca="1" si="309"/>
        <v>2.2809402689735436</v>
      </c>
      <c r="P508" s="7">
        <f t="shared" ca="1" si="309"/>
        <v>2.378623511820968</v>
      </c>
      <c r="Q508" s="7">
        <f t="shared" ca="1" si="309"/>
        <v>2.4800766888277335</v>
      </c>
      <c r="R508" s="7">
        <f t="shared" ca="1" si="309"/>
        <v>2.5853347351547598</v>
      </c>
      <c r="S508" s="7">
        <f t="shared" ca="1" si="309"/>
        <v>2.6945733376275394</v>
      </c>
      <c r="T508" s="7">
        <f t="shared" ca="1" si="309"/>
        <v>2.8079366932403405</v>
      </c>
      <c r="U508" s="7">
        <f t="shared" ca="1" si="309"/>
        <v>2.9256291258654965</v>
      </c>
      <c r="V508" s="7">
        <f t="shared" ca="1" si="309"/>
        <v>3.0478007716336823</v>
      </c>
      <c r="W508" s="7">
        <f t="shared" ca="1" si="309"/>
        <v>3.1747333729402674</v>
      </c>
      <c r="X508" s="7">
        <f t="shared" ca="1" si="309"/>
        <v>3.3065524781803743</v>
      </c>
      <c r="Y508" s="7">
        <f t="shared" ca="1" si="309"/>
        <v>3.4435032971599036</v>
      </c>
      <c r="Z508" s="7">
        <f t="shared" ca="1" si="309"/>
        <v>3.5857967269845563</v>
      </c>
      <c r="AA508" s="7">
        <f t="shared" ca="1" si="309"/>
        <v>3.7337598959079883</v>
      </c>
      <c r="AB508" s="7">
        <f t="shared" ca="1" si="309"/>
        <v>3.8876385834597214</v>
      </c>
      <c r="AC508" s="7">
        <f t="shared" ca="1" si="309"/>
        <v>4.0477981045052722</v>
      </c>
      <c r="AD508" s="7">
        <f t="shared" ca="1" si="309"/>
        <v>4.2145508221288557</v>
      </c>
      <c r="AE508" s="7">
        <f t="shared" ca="1" si="309"/>
        <v>4.3881311125392415</v>
      </c>
      <c r="AF508" s="7">
        <f t="shared" ca="1" si="309"/>
        <v>4.568825000706779</v>
      </c>
      <c r="AG508" s="7">
        <f t="shared" ca="1" si="309"/>
        <v>4.7569776488587445</v>
      </c>
      <c r="AH508" s="7">
        <f t="shared" ca="1" si="309"/>
        <v>4.9528460547940414</v>
      </c>
      <c r="AI508" s="7">
        <f t="shared" ca="1" si="309"/>
        <v>5.156601432198193</v>
      </c>
      <c r="AJ508" s="7">
        <f t="shared" ca="1" si="309"/>
        <v>5.3686610158943964</v>
      </c>
      <c r="AK508" s="7">
        <f t="shared" ca="1" si="309"/>
        <v>5.5892484609850452</v>
      </c>
      <c r="AL508" s="7">
        <f t="shared" ca="1" si="309"/>
        <v>5.8185112517001842</v>
      </c>
      <c r="AM508" s="7">
        <f t="shared" ca="1" si="309"/>
        <v>6.0567875230644352</v>
      </c>
      <c r="AN508" s="7">
        <f t="shared" ca="1" si="309"/>
        <v>6.3044644486134098</v>
      </c>
      <c r="AO508" s="7">
        <f t="shared" ca="1" si="309"/>
        <v>6.5614660042251431</v>
      </c>
      <c r="AP508" s="7">
        <f t="shared" ca="1" si="309"/>
        <v>6.8283150643855297</v>
      </c>
      <c r="AQ508" s="7">
        <f t="shared" ca="1" si="309"/>
        <v>7.105033544535285</v>
      </c>
      <c r="AR508" s="7">
        <f t="shared" ca="1" si="309"/>
        <v>7.3918866291152847</v>
      </c>
      <c r="AS508" s="7">
        <f t="shared" ca="1" si="309"/>
        <v>7.6892354611312665</v>
      </c>
      <c r="AT508" s="7">
        <f t="shared" ca="1" si="309"/>
        <v>7.9973174803087321</v>
      </c>
      <c r="AU508" s="7">
        <f t="shared" ca="1" si="309"/>
        <v>8.3164898594176275</v>
      </c>
      <c r="AV508" s="7">
        <f t="shared" ca="1" si="309"/>
        <v>8.6472608385267478</v>
      </c>
      <c r="AW508" s="7">
        <f t="shared" ca="1" si="309"/>
        <v>8.989916553071847</v>
      </c>
    </row>
    <row r="509" spans="1:49" x14ac:dyDescent="0.2">
      <c r="A509" s="1" t="s">
        <v>738</v>
      </c>
      <c r="J509" s="7">
        <f>SUM(J$387,J$390)</f>
        <v>0.72199999999999998</v>
      </c>
      <c r="K509" s="7">
        <f t="shared" ref="K509:AW509" si="310">SUM(K$387,K$390)</f>
        <v>0.72699999999999998</v>
      </c>
      <c r="L509" s="7">
        <f t="shared" si="310"/>
        <v>0.74099999999999999</v>
      </c>
      <c r="M509" s="7">
        <f t="shared" si="310"/>
        <v>0.755</v>
      </c>
      <c r="N509" s="7">
        <f t="shared" si="310"/>
        <v>0.78</v>
      </c>
      <c r="O509" s="7">
        <f t="shared" si="310"/>
        <v>0.80200000000000005</v>
      </c>
      <c r="P509" s="7">
        <f t="shared" si="310"/>
        <v>0.82699999999999996</v>
      </c>
      <c r="Q509" s="7">
        <f t="shared" si="310"/>
        <v>0.85199999999999998</v>
      </c>
      <c r="R509" s="7">
        <f t="shared" si="310"/>
        <v>0.874</v>
      </c>
      <c r="S509" s="7">
        <f t="shared" si="310"/>
        <v>0.89600000000000002</v>
      </c>
      <c r="T509" s="7">
        <f t="shared" si="310"/>
        <v>0.92200000000000004</v>
      </c>
      <c r="U509" s="7">
        <f t="shared" si="310"/>
        <v>0.94500000000000006</v>
      </c>
      <c r="V509" s="7">
        <f t="shared" si="310"/>
        <v>0.96700000000000008</v>
      </c>
      <c r="W509" s="7">
        <f t="shared" si="310"/>
        <v>0.9890000000000001</v>
      </c>
      <c r="X509" s="7">
        <f t="shared" si="310"/>
        <v>1.0110000000000001</v>
      </c>
      <c r="Y509" s="7">
        <f t="shared" si="310"/>
        <v>1.0350000000000001</v>
      </c>
      <c r="Z509" s="7">
        <f t="shared" si="310"/>
        <v>1.0640000000000001</v>
      </c>
      <c r="AA509" s="7">
        <f t="shared" si="310"/>
        <v>1.0920000000000001</v>
      </c>
      <c r="AB509" s="7">
        <f t="shared" si="310"/>
        <v>1.125</v>
      </c>
      <c r="AC509" s="7">
        <f t="shared" si="310"/>
        <v>1.1619999999999999</v>
      </c>
      <c r="AD509" s="7">
        <f t="shared" si="310"/>
        <v>1.1949999999999998</v>
      </c>
      <c r="AE509" s="7">
        <f t="shared" si="310"/>
        <v>1.2299999999999998</v>
      </c>
      <c r="AF509" s="7">
        <f t="shared" si="310"/>
        <v>1.2629999999999997</v>
      </c>
      <c r="AG509" s="7">
        <f t="shared" si="310"/>
        <v>1.2969999999999997</v>
      </c>
      <c r="AH509" s="7">
        <f t="shared" si="310"/>
        <v>1.3399999999999996</v>
      </c>
      <c r="AI509" s="7">
        <f t="shared" si="310"/>
        <v>1.3819999999999997</v>
      </c>
      <c r="AJ509" s="7">
        <f t="shared" si="310"/>
        <v>1.4199999999999997</v>
      </c>
      <c r="AK509" s="7">
        <f t="shared" si="310"/>
        <v>1.4539999999999997</v>
      </c>
      <c r="AL509" s="7">
        <f t="shared" si="310"/>
        <v>1.4869999999999997</v>
      </c>
      <c r="AM509" s="7">
        <f t="shared" si="310"/>
        <v>1.5179999999999996</v>
      </c>
      <c r="AN509" s="7">
        <f t="shared" si="310"/>
        <v>1.5549999999999995</v>
      </c>
      <c r="AO509" s="7">
        <f t="shared" si="310"/>
        <v>1.5919999999999994</v>
      </c>
      <c r="AP509" s="7">
        <f t="shared" si="310"/>
        <v>1.6259999999999994</v>
      </c>
      <c r="AQ509" s="7">
        <f t="shared" si="310"/>
        <v>1.6659999999999995</v>
      </c>
      <c r="AR509" s="7">
        <f t="shared" si="310"/>
        <v>1.7039999999999995</v>
      </c>
      <c r="AS509" s="7">
        <f t="shared" si="310"/>
        <v>1.7419999999999995</v>
      </c>
      <c r="AT509" s="7">
        <f t="shared" si="310"/>
        <v>1.7829999999999995</v>
      </c>
      <c r="AU509" s="7">
        <f t="shared" si="310"/>
        <v>1.8249999999999995</v>
      </c>
      <c r="AV509" s="7">
        <f t="shared" si="310"/>
        <v>1.8739999999999994</v>
      </c>
      <c r="AW509" s="7">
        <f t="shared" si="310"/>
        <v>1.9149999999999994</v>
      </c>
    </row>
    <row r="510" spans="1:49" x14ac:dyDescent="0.2">
      <c r="A510" s="1" t="s">
        <v>752</v>
      </c>
      <c r="J510" s="7">
        <f>J$463-I$463</f>
        <v>-0.27679100696643566</v>
      </c>
      <c r="K510" s="7">
        <f t="shared" ref="K510:AW510" si="311">K$463-J$463</f>
        <v>-0.29151393286890581</v>
      </c>
      <c r="L510" s="7">
        <f t="shared" si="311"/>
        <v>-0.29838463162338869</v>
      </c>
      <c r="M510" s="7">
        <f t="shared" si="311"/>
        <v>-0.29445851804940126</v>
      </c>
      <c r="N510" s="7">
        <f t="shared" si="311"/>
        <v>-0.28955087608190588</v>
      </c>
      <c r="O510" s="7">
        <f t="shared" si="311"/>
        <v>-0.28071712054042575</v>
      </c>
      <c r="P510" s="7">
        <f t="shared" si="311"/>
        <v>-0.27482795017944017</v>
      </c>
      <c r="Q510" s="7">
        <f t="shared" si="311"/>
        <v>-0.27188336499894294</v>
      </c>
      <c r="R510" s="7">
        <f t="shared" si="311"/>
        <v>-0.27875406375343115</v>
      </c>
      <c r="S510" s="7">
        <f t="shared" si="311"/>
        <v>-0.28366170572091942</v>
      </c>
      <c r="T510" s="7">
        <f t="shared" si="311"/>
        <v>-0.28955087608190855</v>
      </c>
      <c r="U510" s="7">
        <f t="shared" si="311"/>
        <v>-0.29249546126240222</v>
      </c>
      <c r="V510" s="7">
        <f t="shared" si="311"/>
        <v>-0.29838463162339135</v>
      </c>
      <c r="W510" s="7">
        <f t="shared" si="311"/>
        <v>-0.30034768841038595</v>
      </c>
      <c r="X510" s="7">
        <f t="shared" si="311"/>
        <v>-0.29936616001688865</v>
      </c>
      <c r="Y510" s="7">
        <f t="shared" si="311"/>
        <v>-0.28955087608190766</v>
      </c>
      <c r="Z510" s="7">
        <f t="shared" si="311"/>
        <v>-0.2846432341144185</v>
      </c>
      <c r="AA510" s="7">
        <f t="shared" si="311"/>
        <v>-0.28071712054042575</v>
      </c>
      <c r="AB510" s="7">
        <f t="shared" si="311"/>
        <v>-0.27482795017943884</v>
      </c>
      <c r="AC510" s="7">
        <f t="shared" si="311"/>
        <v>-0.26697572303145467</v>
      </c>
      <c r="AD510" s="7">
        <f t="shared" si="311"/>
        <v>-0.26010502427696824</v>
      </c>
      <c r="AE510" s="7">
        <f t="shared" si="311"/>
        <v>-0.25225279712898363</v>
      </c>
      <c r="AF510" s="7">
        <f t="shared" si="311"/>
        <v>-0.24145598480050712</v>
      </c>
      <c r="AG510" s="7">
        <f t="shared" si="311"/>
        <v>-0.23164070086552702</v>
      </c>
      <c r="AH510" s="7">
        <f t="shared" si="311"/>
        <v>-0.22182541693054647</v>
      </c>
      <c r="AI510" s="7">
        <f t="shared" si="311"/>
        <v>-0.21004707620857088</v>
      </c>
      <c r="AJ510" s="7">
        <f t="shared" si="311"/>
        <v>-0.20023179227359056</v>
      </c>
      <c r="AK510" s="7">
        <f t="shared" si="311"/>
        <v>-0.187471923158117</v>
      </c>
      <c r="AL510" s="7">
        <f t="shared" si="311"/>
        <v>-0.17569358243614119</v>
      </c>
      <c r="AM510" s="7">
        <f t="shared" si="311"/>
        <v>-0.1648967701076629</v>
      </c>
      <c r="AN510" s="7">
        <f t="shared" si="311"/>
        <v>-0.15213690099218891</v>
      </c>
      <c r="AO510" s="7">
        <f t="shared" si="311"/>
        <v>-0.14134008866371106</v>
      </c>
      <c r="AP510" s="7">
        <f t="shared" si="311"/>
        <v>-0.13054327633523344</v>
      </c>
      <c r="AQ510" s="7">
        <f t="shared" si="311"/>
        <v>-0.11974646400675515</v>
      </c>
      <c r="AR510" s="7">
        <f t="shared" si="311"/>
        <v>-0.10894965167827764</v>
      </c>
      <c r="AS510" s="7">
        <f t="shared" si="311"/>
        <v>-0.10011589613679528</v>
      </c>
      <c r="AT510" s="7">
        <f t="shared" si="311"/>
        <v>-8.9319083808317434E-2</v>
      </c>
      <c r="AU510" s="7">
        <f t="shared" si="311"/>
        <v>-8.0485328266835521E-2</v>
      </c>
      <c r="AV510" s="7">
        <f t="shared" si="311"/>
        <v>-7.0670044331855641E-2</v>
      </c>
      <c r="AW510" s="7">
        <f t="shared" si="311"/>
        <v>-6.3799345577369659E-2</v>
      </c>
    </row>
    <row r="511" spans="1:49" x14ac:dyDescent="0.2">
      <c r="A511" s="1" t="s">
        <v>753</v>
      </c>
      <c r="J511" s="7">
        <f t="shared" ref="J511:AW511" ca="1" si="312">J$457-I$457</f>
        <v>9.7670795857817197E-4</v>
      </c>
      <c r="K511" s="7">
        <f t="shared" ca="1" si="312"/>
        <v>5.0050898908880932E-4</v>
      </c>
      <c r="L511" s="7">
        <f t="shared" ca="1" si="312"/>
        <v>5.4082859096028606E-4</v>
      </c>
      <c r="M511" s="7">
        <f t="shared" ca="1" si="312"/>
        <v>5.6246358176071515E-4</v>
      </c>
      <c r="N511" s="7">
        <f t="shared" ca="1" si="312"/>
        <v>5.8569308816212341E-4</v>
      </c>
      <c r="O511" s="7">
        <f t="shared" ca="1" si="312"/>
        <v>6.047088924825382E-4</v>
      </c>
      <c r="P511" s="7">
        <f t="shared" ca="1" si="312"/>
        <v>6.2464560051159537E-4</v>
      </c>
      <c r="Q511" s="7">
        <f t="shared" ca="1" si="312"/>
        <v>6.4390757659544585E-4</v>
      </c>
      <c r="R511" s="7">
        <f t="shared" ca="1" si="312"/>
        <v>6.6269163320337859E-4</v>
      </c>
      <c r="S511" s="7">
        <f t="shared" ca="1" si="312"/>
        <v>6.8358169679895789E-4</v>
      </c>
      <c r="T511" s="7">
        <f t="shared" ca="1" si="312"/>
        <v>7.047210394955164E-4</v>
      </c>
      <c r="U511" s="7">
        <f t="shared" ca="1" si="312"/>
        <v>7.2838960742661191E-4</v>
      </c>
      <c r="V511" s="7">
        <f t="shared" ca="1" si="312"/>
        <v>7.5385620926403732E-4</v>
      </c>
      <c r="W511" s="7">
        <f t="shared" ca="1" si="312"/>
        <v>7.8150692269039063E-4</v>
      </c>
      <c r="X511" s="7">
        <f t="shared" ca="1" si="312"/>
        <v>8.1163302594723999E-4</v>
      </c>
      <c r="Y511" s="7">
        <f t="shared" ca="1" si="312"/>
        <v>8.4167615343501076E-4</v>
      </c>
      <c r="Z511" s="7">
        <f t="shared" ca="1" si="312"/>
        <v>8.759795446225023E-4</v>
      </c>
      <c r="AA511" s="7">
        <f t="shared" ca="1" si="312"/>
        <v>9.1170027373399867E-4</v>
      </c>
      <c r="AB511" s="7">
        <f t="shared" ca="1" si="312"/>
        <v>9.5015892296419421E-4</v>
      </c>
      <c r="AC511" s="7">
        <f t="shared" ca="1" si="312"/>
        <v>9.9220455106741046E-4</v>
      </c>
      <c r="AD511" s="7">
        <f t="shared" ca="1" si="312"/>
        <v>1.0352959750069904E-3</v>
      </c>
      <c r="AE511" s="7">
        <f t="shared" ca="1" si="312"/>
        <v>1.0774366175843909E-3</v>
      </c>
      <c r="AF511" s="7">
        <f t="shared" ca="1" si="312"/>
        <v>1.1225580958759487E-3</v>
      </c>
      <c r="AG511" s="7">
        <f t="shared" ca="1" si="312"/>
        <v>1.1683072617145011E-3</v>
      </c>
      <c r="AH511" s="7">
        <f t="shared" ca="1" si="312"/>
        <v>1.215929889311726E-3</v>
      </c>
      <c r="AI511" s="7">
        <f t="shared" ca="1" si="312"/>
        <v>1.2614278848787006E-3</v>
      </c>
      <c r="AJ511" s="7">
        <f t="shared" ca="1" si="312"/>
        <v>1.3109668624465762E-3</v>
      </c>
      <c r="AK511" s="7">
        <f t="shared" ca="1" si="312"/>
        <v>1.3594273982909244E-3</v>
      </c>
      <c r="AL511" s="7">
        <f t="shared" ca="1" si="312"/>
        <v>1.40681707566951E-3</v>
      </c>
      <c r="AM511" s="7">
        <f t="shared" ca="1" si="312"/>
        <v>1.4561286483695951E-3</v>
      </c>
      <c r="AN511" s="7">
        <f t="shared" ca="1" si="312"/>
        <v>1.5074656819182783E-3</v>
      </c>
      <c r="AO511" s="7">
        <f t="shared" ca="1" si="312"/>
        <v>1.5528834190398563E-3</v>
      </c>
      <c r="AP511" s="7">
        <f t="shared" ca="1" si="312"/>
        <v>1.6048954680197638E-3</v>
      </c>
      <c r="AQ511" s="7">
        <f t="shared" ca="1" si="312"/>
        <v>1.6524106049629061E-3</v>
      </c>
      <c r="AR511" s="7">
        <f t="shared" ca="1" si="312"/>
        <v>1.7017965663219461E-3</v>
      </c>
      <c r="AS511" s="7">
        <f t="shared" ca="1" si="312"/>
        <v>1.7551527699837879E-3</v>
      </c>
      <c r="AT511" s="7">
        <f t="shared" ca="1" si="312"/>
        <v>1.8099107567009012E-3</v>
      </c>
      <c r="AU511" s="7">
        <f t="shared" ca="1" si="312"/>
        <v>1.8670755206716058E-3</v>
      </c>
      <c r="AV511" s="7">
        <f t="shared" ca="1" si="312"/>
        <v>1.9300130918312106E-3</v>
      </c>
      <c r="AW511" s="7">
        <f t="shared" ca="1" si="312"/>
        <v>1.991861062176227E-3</v>
      </c>
    </row>
    <row r="512" spans="1:49" x14ac:dyDescent="0.2">
      <c r="A512" s="1" t="s">
        <v>754</v>
      </c>
      <c r="J512" s="7">
        <f t="shared" ref="J512:AW512" ca="1" si="313">-J$328</f>
        <v>-0.10345949497309953</v>
      </c>
      <c r="K512" s="7">
        <f t="shared" ca="1" si="313"/>
        <v>-0.10778308768486272</v>
      </c>
      <c r="L512" s="7">
        <f t="shared" ca="1" si="313"/>
        <v>-0.11245497691195938</v>
      </c>
      <c r="M512" s="7">
        <f t="shared" ca="1" si="313"/>
        <v>-0.11731375766464901</v>
      </c>
      <c r="N512" s="7">
        <f t="shared" ca="1" si="313"/>
        <v>-0.12237320399331125</v>
      </c>
      <c r="O512" s="7">
        <f t="shared" ca="1" si="313"/>
        <v>-0.12759691628874015</v>
      </c>
      <c r="P512" s="7">
        <f t="shared" ca="1" si="313"/>
        <v>-0.13299284967791583</v>
      </c>
      <c r="Q512" s="7">
        <f t="shared" ca="1" si="313"/>
        <v>-0.13855517556198341</v>
      </c>
      <c r="R512" s="7">
        <f t="shared" ca="1" si="313"/>
        <v>-0.14427976548529481</v>
      </c>
      <c r="S512" s="7">
        <f t="shared" ca="1" si="313"/>
        <v>-0.1501848119611939</v>
      </c>
      <c r="T512" s="7">
        <f t="shared" ca="1" si="313"/>
        <v>-0.15627246836020489</v>
      </c>
      <c r="U512" s="7">
        <f t="shared" ca="1" si="313"/>
        <v>-0.1625645831206752</v>
      </c>
      <c r="V512" s="7">
        <f t="shared" ca="1" si="313"/>
        <v>-0.16907668836383014</v>
      </c>
      <c r="W512" s="7">
        <f t="shared" ca="1" si="313"/>
        <v>-0.17582765130115532</v>
      </c>
      <c r="X512" s="7">
        <f t="shared" ca="1" si="313"/>
        <v>-0.18283885531968924</v>
      </c>
      <c r="Y512" s="7">
        <f t="shared" ca="1" si="313"/>
        <v>-0.19010958364223449</v>
      </c>
      <c r="Z512" s="7">
        <f t="shared" ca="1" si="313"/>
        <v>-0.19767663809549918</v>
      </c>
      <c r="AA512" s="7">
        <f t="shared" ca="1" si="313"/>
        <v>-0.20555226219968364</v>
      </c>
      <c r="AB512" s="7">
        <f t="shared" ca="1" si="313"/>
        <v>-0.21376010718129659</v>
      </c>
      <c r="AC512" s="7">
        <f t="shared" ca="1" si="313"/>
        <v>-0.22233115876896775</v>
      </c>
      <c r="AD512" s="7">
        <f t="shared" ca="1" si="313"/>
        <v>-0.23127445095680049</v>
      </c>
      <c r="AE512" s="7">
        <f t="shared" ca="1" si="313"/>
        <v>-0.24058177052293933</v>
      </c>
      <c r="AF512" s="7">
        <f t="shared" ca="1" si="313"/>
        <v>-0.25027886709396385</v>
      </c>
      <c r="AG512" s="7">
        <f t="shared" ca="1" si="313"/>
        <v>-0.26037116288078843</v>
      </c>
      <c r="AH512" s="7">
        <f t="shared" ca="1" si="313"/>
        <v>-0.27087484157997438</v>
      </c>
      <c r="AI512" s="7">
        <f t="shared" ca="1" si="313"/>
        <v>-0.28177154978776381</v>
      </c>
      <c r="AJ512" s="7">
        <f t="shared" ca="1" si="313"/>
        <v>-0.29309619508965135</v>
      </c>
      <c r="AK512" s="7">
        <f t="shared" ca="1" si="313"/>
        <v>-0.30483946148357199</v>
      </c>
      <c r="AL512" s="7">
        <f t="shared" ca="1" si="313"/>
        <v>-0.31699209847461207</v>
      </c>
      <c r="AM512" s="7">
        <f t="shared" ca="1" si="313"/>
        <v>-0.32957070814742107</v>
      </c>
      <c r="AN512" s="7">
        <f t="shared" ca="1" si="313"/>
        <v>-0.34259278722624159</v>
      </c>
      <c r="AO512" s="7">
        <f t="shared" ca="1" si="313"/>
        <v>-0.35600720250977469</v>
      </c>
      <c r="AP512" s="7">
        <f t="shared" ca="1" si="313"/>
        <v>-0.36987091824703755</v>
      </c>
      <c r="AQ512" s="7">
        <f t="shared" ca="1" si="313"/>
        <v>-0.38414508835028449</v>
      </c>
      <c r="AR512" s="7">
        <f t="shared" ca="1" si="313"/>
        <v>-0.39884587373367675</v>
      </c>
      <c r="AS512" s="7">
        <f t="shared" ca="1" si="313"/>
        <v>-0.41400757090548596</v>
      </c>
      <c r="AT512" s="7">
        <f t="shared" ca="1" si="313"/>
        <v>-0.42964228901686297</v>
      </c>
      <c r="AU512" s="7">
        <f t="shared" ca="1" si="313"/>
        <v>-0.44577081875252944</v>
      </c>
      <c r="AV512" s="7">
        <f t="shared" ca="1" si="313"/>
        <v>-0.46244302788236052</v>
      </c>
      <c r="AW512" s="7">
        <f t="shared" ca="1" si="313"/>
        <v>-0.4796495040076913</v>
      </c>
    </row>
    <row r="513" spans="1:49" ht="15" x14ac:dyDescent="0.25">
      <c r="A513" s="2" t="s">
        <v>739</v>
      </c>
      <c r="J513" s="43">
        <f t="shared" ref="J513:AW513" ca="1" si="314">-SUM(J$508:J$512)</f>
        <v>-2.1901239136026667</v>
      </c>
      <c r="K513" s="43">
        <f t="shared" ca="1" si="314"/>
        <v>-2.2548607723017882</v>
      </c>
      <c r="L513" s="43">
        <f t="shared" ca="1" si="314"/>
        <v>-2.3405363415178582</v>
      </c>
      <c r="M513" s="43">
        <f t="shared" ca="1" si="314"/>
        <v>-2.4403492763553731</v>
      </c>
      <c r="N513" s="43">
        <f t="shared" ca="1" si="314"/>
        <v>-2.5555872207835617</v>
      </c>
      <c r="O513" s="43">
        <f t="shared" ca="1" si="314"/>
        <v>-2.6752309410368604</v>
      </c>
      <c r="P513" s="43">
        <f t="shared" ca="1" si="314"/>
        <v>-2.7984273575641234</v>
      </c>
      <c r="Q513" s="43">
        <f t="shared" ca="1" si="314"/>
        <v>-2.9222820558434024</v>
      </c>
      <c r="R513" s="43">
        <f t="shared" ca="1" si="314"/>
        <v>-3.0369635975492373</v>
      </c>
      <c r="S513" s="43">
        <f t="shared" ca="1" si="314"/>
        <v>-3.1574104016422253</v>
      </c>
      <c r="T513" s="43">
        <f t="shared" ca="1" si="314"/>
        <v>-3.2848180698377227</v>
      </c>
      <c r="U513" s="43">
        <f t="shared" ca="1" si="314"/>
        <v>-3.4162974710898464</v>
      </c>
      <c r="V513" s="43">
        <f t="shared" ca="1" si="314"/>
        <v>-3.5480933078557251</v>
      </c>
      <c r="W513" s="43">
        <f t="shared" ca="1" si="314"/>
        <v>-3.688339540151417</v>
      </c>
      <c r="X513" s="43">
        <f t="shared" ca="1" si="314"/>
        <v>-3.8361590958697436</v>
      </c>
      <c r="Y513" s="43">
        <f t="shared" ca="1" si="314"/>
        <v>-3.9996845135891963</v>
      </c>
      <c r="Z513" s="43">
        <f t="shared" ca="1" si="314"/>
        <v>-4.1683528343192613</v>
      </c>
      <c r="AA513" s="43">
        <f t="shared" ca="1" si="314"/>
        <v>-4.3404022134416138</v>
      </c>
      <c r="AB513" s="43">
        <f t="shared" ca="1" si="314"/>
        <v>-4.5250006850219506</v>
      </c>
      <c r="AC513" s="43">
        <f t="shared" ca="1" si="314"/>
        <v>-4.7214834272559179</v>
      </c>
      <c r="AD513" s="43">
        <f t="shared" ca="1" si="314"/>
        <v>-4.9192066428700931</v>
      </c>
      <c r="AE513" s="43">
        <f t="shared" ca="1" si="314"/>
        <v>-5.1263739815049023</v>
      </c>
      <c r="AF513" s="43">
        <f t="shared" ca="1" si="314"/>
        <v>-5.3412127069081841</v>
      </c>
      <c r="AG513" s="43">
        <f t="shared" ca="1" si="314"/>
        <v>-5.5631340923741437</v>
      </c>
      <c r="AH513" s="43">
        <f t="shared" ca="1" si="314"/>
        <v>-5.8013617261728312</v>
      </c>
      <c r="AI513" s="43">
        <f t="shared" ca="1" si="314"/>
        <v>-6.0480442340867375</v>
      </c>
      <c r="AJ513" s="43">
        <f t="shared" ca="1" si="314"/>
        <v>-6.2966439953936009</v>
      </c>
      <c r="AK513" s="43">
        <f t="shared" ca="1" si="314"/>
        <v>-6.5522965037416476</v>
      </c>
      <c r="AL513" s="43">
        <f t="shared" ca="1" si="314"/>
        <v>-6.8142323878650997</v>
      </c>
      <c r="AM513" s="43">
        <f t="shared" ca="1" si="314"/>
        <v>-7.0817761734577207</v>
      </c>
      <c r="AN513" s="43">
        <f t="shared" ca="1" si="314"/>
        <v>-7.3662422260768974</v>
      </c>
      <c r="AO513" s="43">
        <f t="shared" ca="1" si="314"/>
        <v>-7.6576715964706974</v>
      </c>
      <c r="AP513" s="43">
        <f t="shared" ca="1" si="314"/>
        <v>-7.9555057652712788</v>
      </c>
      <c r="AQ513" s="43">
        <f t="shared" ca="1" si="314"/>
        <v>-8.2687944027832092</v>
      </c>
      <c r="AR513" s="43">
        <f t="shared" ca="1" si="314"/>
        <v>-8.58979290026965</v>
      </c>
      <c r="AS513" s="43">
        <f t="shared" ca="1" si="314"/>
        <v>-8.9188671468589682</v>
      </c>
      <c r="AT513" s="43">
        <f t="shared" ca="1" si="314"/>
        <v>-9.263166018240252</v>
      </c>
      <c r="AU513" s="43">
        <f t="shared" ca="1" si="314"/>
        <v>-9.6171007879189325</v>
      </c>
      <c r="AV513" s="43">
        <f t="shared" ca="1" si="314"/>
        <v>-9.9900777794043627</v>
      </c>
      <c r="AW513" s="43">
        <f t="shared" ca="1" si="314"/>
        <v>-10.363459564548963</v>
      </c>
    </row>
    <row r="514" spans="1:49" x14ac:dyDescent="0.2">
      <c r="A514" s="1" t="s">
        <v>220</v>
      </c>
      <c r="J514" s="7">
        <f t="shared" ref="J514:AW514" ca="1" si="315">J$341-I$341-(J$447-I$447)</f>
        <v>0.71684197980801834</v>
      </c>
      <c r="K514" s="7">
        <f t="shared" ca="1" si="315"/>
        <v>0.65953774933324905</v>
      </c>
      <c r="L514" s="7">
        <f t="shared" ca="1" si="315"/>
        <v>0.68748126961985268</v>
      </c>
      <c r="M514" s="7">
        <f t="shared" ca="1" si="315"/>
        <v>0.71440331927813006</v>
      </c>
      <c r="N514" s="7">
        <f t="shared" ca="1" si="315"/>
        <v>0.74125957022386846</v>
      </c>
      <c r="O514" s="7">
        <f t="shared" ca="1" si="315"/>
        <v>0.76255157531476048</v>
      </c>
      <c r="P514" s="7">
        <f t="shared" ca="1" si="315"/>
        <v>0.78280451262060158</v>
      </c>
      <c r="Q514" s="7">
        <f t="shared" ca="1" si="315"/>
        <v>0.80278510907381406</v>
      </c>
      <c r="R514" s="7">
        <f t="shared" ca="1" si="315"/>
        <v>0.82334210846356104</v>
      </c>
      <c r="S514" s="7">
        <f t="shared" ca="1" si="315"/>
        <v>0.8467058756053234</v>
      </c>
      <c r="T514" s="7">
        <f t="shared" ca="1" si="315"/>
        <v>0.87136858454346466</v>
      </c>
      <c r="U514" s="7">
        <f t="shared" ca="1" si="315"/>
        <v>0.89620951594303833</v>
      </c>
      <c r="V514" s="7">
        <f t="shared" ca="1" si="315"/>
        <v>0.92107426175281404</v>
      </c>
      <c r="W514" s="7">
        <f t="shared" ca="1" si="315"/>
        <v>0.94610116905401753</v>
      </c>
      <c r="X514" s="7">
        <f t="shared" ca="1" si="315"/>
        <v>0.97279327369477642</v>
      </c>
      <c r="Y514" s="7">
        <f t="shared" ca="1" si="315"/>
        <v>0.9983743841528181</v>
      </c>
      <c r="Z514" s="7">
        <f t="shared" ca="1" si="315"/>
        <v>1.027140515985197</v>
      </c>
      <c r="AA514" s="7">
        <f t="shared" ca="1" si="315"/>
        <v>1.061025976015701</v>
      </c>
      <c r="AB514" s="7">
        <f t="shared" ca="1" si="315"/>
        <v>1.1014098091738358</v>
      </c>
      <c r="AC514" s="7">
        <f t="shared" ca="1" si="315"/>
        <v>1.1494197938577599</v>
      </c>
      <c r="AD514" s="7">
        <f t="shared" ca="1" si="315"/>
        <v>1.2059951814156022</v>
      </c>
      <c r="AE514" s="7">
        <f t="shared" ca="1" si="315"/>
        <v>1.2673109398050286</v>
      </c>
      <c r="AF514" s="7">
        <f t="shared" ca="1" si="315"/>
        <v>1.3360128002413738</v>
      </c>
      <c r="AG514" s="7">
        <f t="shared" ca="1" si="315"/>
        <v>1.4076599528444849</v>
      </c>
      <c r="AH514" s="7">
        <f t="shared" ca="1" si="315"/>
        <v>1.4846951250686367</v>
      </c>
      <c r="AI514" s="7">
        <f t="shared" ca="1" si="315"/>
        <v>1.5660612839508996</v>
      </c>
      <c r="AJ514" s="7">
        <f t="shared" ca="1" si="315"/>
        <v>1.6520535794027111</v>
      </c>
      <c r="AK514" s="7">
        <f t="shared" ca="1" si="315"/>
        <v>1.7404210872753012</v>
      </c>
      <c r="AL514" s="7">
        <f t="shared" ca="1" si="315"/>
        <v>1.8334836908094907</v>
      </c>
      <c r="AM514" s="7">
        <f t="shared" ca="1" si="315"/>
        <v>1.9307887850828784</v>
      </c>
      <c r="AN514" s="7">
        <f t="shared" ca="1" si="315"/>
        <v>2.0304460365264951</v>
      </c>
      <c r="AO514" s="7">
        <f t="shared" ca="1" si="315"/>
        <v>2.1303981019392495</v>
      </c>
      <c r="AP514" s="7">
        <f t="shared" ca="1" si="315"/>
        <v>2.2272478863701153</v>
      </c>
      <c r="AQ514" s="7">
        <f t="shared" ca="1" si="315"/>
        <v>2.3210056708861622</v>
      </c>
      <c r="AR514" s="7">
        <f t="shared" ca="1" si="315"/>
        <v>2.4081697802851565</v>
      </c>
      <c r="AS514" s="7">
        <f t="shared" ca="1" si="315"/>
        <v>2.4891437266710597</v>
      </c>
      <c r="AT514" s="7">
        <f t="shared" ca="1" si="315"/>
        <v>2.5740313141340891</v>
      </c>
      <c r="AU514" s="7">
        <f t="shared" ca="1" si="315"/>
        <v>2.6595137898915162</v>
      </c>
      <c r="AV514" s="7">
        <f t="shared" ca="1" si="315"/>
        <v>2.7484573404260786</v>
      </c>
      <c r="AW514" s="7">
        <f t="shared" ca="1" si="315"/>
        <v>2.8369319906800925</v>
      </c>
    </row>
    <row r="515" spans="1:49" x14ac:dyDescent="0.2">
      <c r="A515" s="1" t="s">
        <v>221</v>
      </c>
      <c r="J515" s="7">
        <f t="shared" ref="J515:AW515" ca="1" si="316">J$155-(J$474+J$363-J$365)-(J$212-J$478)</f>
        <v>0.60542140856123128</v>
      </c>
      <c r="K515" s="7">
        <f t="shared" ca="1" si="316"/>
        <v>0.62814635840298783</v>
      </c>
      <c r="L515" s="7">
        <f t="shared" ca="1" si="316"/>
        <v>0.64592561722523367</v>
      </c>
      <c r="M515" s="7">
        <f t="shared" ca="1" si="316"/>
        <v>0.67067451180798443</v>
      </c>
      <c r="N515" s="7">
        <f t="shared" ca="1" si="316"/>
        <v>0.68655517053043313</v>
      </c>
      <c r="O515" s="7">
        <f t="shared" ca="1" si="316"/>
        <v>0.70190802823662768</v>
      </c>
      <c r="P515" s="7">
        <f t="shared" ca="1" si="316"/>
        <v>0.71718023609088455</v>
      </c>
      <c r="Q515" s="7">
        <f t="shared" ca="1" si="316"/>
        <v>0.73818533064405134</v>
      </c>
      <c r="R515" s="7">
        <f t="shared" ca="1" si="316"/>
        <v>0.75597527344120774</v>
      </c>
      <c r="S515" s="7">
        <f t="shared" ca="1" si="316"/>
        <v>0.77647857946154986</v>
      </c>
      <c r="T515" s="7">
        <f t="shared" ca="1" si="316"/>
        <v>0.79865601178243661</v>
      </c>
      <c r="U515" s="7">
        <f t="shared" ca="1" si="316"/>
        <v>0.81646573995519844</v>
      </c>
      <c r="V515" s="7">
        <f t="shared" ca="1" si="316"/>
        <v>0.83686210398623828</v>
      </c>
      <c r="W515" s="7">
        <f t="shared" ca="1" si="316"/>
        <v>0.85682681233354518</v>
      </c>
      <c r="X515" s="7">
        <f t="shared" ca="1" si="316"/>
        <v>0.87835712297518675</v>
      </c>
      <c r="Y515" s="7">
        <f t="shared" ca="1" si="316"/>
        <v>0.8974267213530327</v>
      </c>
      <c r="Z515" s="7">
        <f t="shared" ca="1" si="316"/>
        <v>0.91799134225472034</v>
      </c>
      <c r="AA515" s="7">
        <f t="shared" ca="1" si="316"/>
        <v>0.936232032955016</v>
      </c>
      <c r="AB515" s="7">
        <f t="shared" ca="1" si="316"/>
        <v>0.96036191858559672</v>
      </c>
      <c r="AC515" s="7">
        <f t="shared" ca="1" si="316"/>
        <v>0.9813878517920962</v>
      </c>
      <c r="AD515" s="7">
        <f t="shared" ca="1" si="316"/>
        <v>1.0073152869632995</v>
      </c>
      <c r="AE515" s="7">
        <f t="shared" ca="1" si="316"/>
        <v>1.0341524416391401</v>
      </c>
      <c r="AF515" s="7">
        <f t="shared" ca="1" si="316"/>
        <v>1.0609038929929593</v>
      </c>
      <c r="AG515" s="7">
        <f t="shared" ca="1" si="316"/>
        <v>1.0945774221169771</v>
      </c>
      <c r="AH515" s="7">
        <f t="shared" ca="1" si="316"/>
        <v>1.1251816033154594</v>
      </c>
      <c r="AI515" s="7">
        <f t="shared" ca="1" si="316"/>
        <v>1.1577244513051248</v>
      </c>
      <c r="AJ515" s="7">
        <f t="shared" ca="1" si="316"/>
        <v>1.1902102067935534</v>
      </c>
      <c r="AK515" s="7">
        <f t="shared" ca="1" si="316"/>
        <v>1.2216366506664524</v>
      </c>
      <c r="AL515" s="7">
        <f t="shared" ca="1" si="316"/>
        <v>1.2600082695361134</v>
      </c>
      <c r="AM515" s="7">
        <f t="shared" ca="1" si="316"/>
        <v>1.2913260803806494</v>
      </c>
      <c r="AN515" s="7">
        <f t="shared" ca="1" si="316"/>
        <v>1.3275883548412715</v>
      </c>
      <c r="AO515" s="7">
        <f t="shared" ca="1" si="316"/>
        <v>1.3607887080200669</v>
      </c>
      <c r="AP515" s="7">
        <f t="shared" ca="1" si="316"/>
        <v>1.3969164934344871</v>
      </c>
      <c r="AQ515" s="7">
        <f t="shared" ca="1" si="316"/>
        <v>1.4299533391970929</v>
      </c>
      <c r="AR515" s="7">
        <f t="shared" ca="1" si="316"/>
        <v>1.4658840212957536</v>
      </c>
      <c r="AS515" s="7">
        <f t="shared" ca="1" si="316"/>
        <v>1.4996776117536044</v>
      </c>
      <c r="AT515" s="7">
        <f t="shared" ca="1" si="316"/>
        <v>1.537307615438678</v>
      </c>
      <c r="AU515" s="7">
        <f t="shared" ca="1" si="316"/>
        <v>1.5717577844850368</v>
      </c>
      <c r="AV515" s="7">
        <f t="shared" ca="1" si="316"/>
        <v>1.6040000925927629</v>
      </c>
      <c r="AW515" s="7">
        <f t="shared" ca="1" si="316"/>
        <v>1.6400042269967656</v>
      </c>
    </row>
    <row r="516" spans="1:49" x14ac:dyDescent="0.2">
      <c r="A516" s="1" t="s">
        <v>222</v>
      </c>
      <c r="J516" s="7">
        <f t="shared" ref="J516:AW516" ca="1" si="317">J$395-I$395</f>
        <v>2.6578330287453711E-2</v>
      </c>
      <c r="K516" s="7">
        <f t="shared" ca="1" si="317"/>
        <v>2.6177502369482075E-2</v>
      </c>
      <c r="L516" s="7">
        <f t="shared" ca="1" si="317"/>
        <v>2.655316947505737E-2</v>
      </c>
      <c r="M516" s="7">
        <f t="shared" ca="1" si="317"/>
        <v>2.6010958399350415E-2</v>
      </c>
      <c r="N516" s="7">
        <f t="shared" ca="1" si="317"/>
        <v>2.5320282257086713E-2</v>
      </c>
      <c r="O516" s="7">
        <f t="shared" ca="1" si="317"/>
        <v>2.4230707531333717E-2</v>
      </c>
      <c r="P516" s="7">
        <f t="shared" ca="1" si="317"/>
        <v>2.5029572154287139E-2</v>
      </c>
      <c r="Q516" s="7">
        <f t="shared" ca="1" si="317"/>
        <v>2.5801400243414929E-2</v>
      </c>
      <c r="R516" s="7">
        <f t="shared" ca="1" si="317"/>
        <v>2.6554078081589716E-2</v>
      </c>
      <c r="S516" s="7">
        <f t="shared" ca="1" si="317"/>
        <v>2.7391143697108156E-2</v>
      </c>
      <c r="T516" s="7">
        <f t="shared" ca="1" si="317"/>
        <v>2.8238197935358644E-2</v>
      </c>
      <c r="U516" s="7">
        <f t="shared" ca="1" si="317"/>
        <v>2.9186598321649271E-2</v>
      </c>
      <c r="V516" s="7">
        <f t="shared" ca="1" si="317"/>
        <v>3.0207045992604153E-2</v>
      </c>
      <c r="W516" s="7">
        <f t="shared" ca="1" si="317"/>
        <v>3.1315011095144896E-2</v>
      </c>
      <c r="X516" s="7">
        <f t="shared" ca="1" si="317"/>
        <v>3.2522165159108885E-2</v>
      </c>
      <c r="Y516" s="7">
        <f t="shared" ca="1" si="317"/>
        <v>3.3725994380958468E-2</v>
      </c>
      <c r="Z516" s="7">
        <f t="shared" ca="1" si="317"/>
        <v>3.5100532525725314E-2</v>
      </c>
      <c r="AA516" s="7">
        <f t="shared" ca="1" si="317"/>
        <v>3.6531863453162949E-2</v>
      </c>
      <c r="AB516" s="7">
        <f t="shared" ca="1" si="317"/>
        <v>3.8072902940313846E-2</v>
      </c>
      <c r="AC516" s="7">
        <f t="shared" ca="1" si="317"/>
        <v>3.9757672802648414E-2</v>
      </c>
      <c r="AD516" s="7">
        <f t="shared" ca="1" si="317"/>
        <v>4.1484347742555716E-2</v>
      </c>
      <c r="AE516" s="7">
        <f t="shared" ca="1" si="317"/>
        <v>4.3172924838360327E-2</v>
      </c>
      <c r="AF516" s="7">
        <f t="shared" ca="1" si="317"/>
        <v>4.4980944130710521E-2</v>
      </c>
      <c r="AG516" s="7">
        <f t="shared" ca="1" si="317"/>
        <v>4.6814114886122304E-2</v>
      </c>
      <c r="AH516" s="7">
        <f t="shared" ca="1" si="317"/>
        <v>4.8722355323012279E-2</v>
      </c>
      <c r="AI516" s="7">
        <f t="shared" ca="1" si="317"/>
        <v>5.0545461676417158E-2</v>
      </c>
      <c r="AJ516" s="7">
        <f t="shared" ca="1" si="317"/>
        <v>5.2530490327013624E-2</v>
      </c>
      <c r="AK516" s="7">
        <f t="shared" ca="1" si="317"/>
        <v>5.4472305778139773E-2</v>
      </c>
      <c r="AL516" s="7">
        <f t="shared" ca="1" si="317"/>
        <v>5.6371211891213413E-2</v>
      </c>
      <c r="AM516" s="7">
        <f t="shared" ca="1" si="317"/>
        <v>5.834712842040557E-2</v>
      </c>
      <c r="AN516" s="7">
        <f t="shared" ca="1" si="317"/>
        <v>6.0404205240191633E-2</v>
      </c>
      <c r="AO516" s="7">
        <f t="shared" ca="1" si="317"/>
        <v>6.2224095634741738E-2</v>
      </c>
      <c r="AP516" s="7">
        <f t="shared" ca="1" si="317"/>
        <v>6.4308220347649048E-2</v>
      </c>
      <c r="AQ516" s="7">
        <f t="shared" ca="1" si="317"/>
        <v>6.6212153630081705E-2</v>
      </c>
      <c r="AR516" s="7">
        <f t="shared" ca="1" si="317"/>
        <v>6.8191050915570317E-2</v>
      </c>
      <c r="AS516" s="7">
        <f t="shared" ca="1" si="317"/>
        <v>7.0329035955950525E-2</v>
      </c>
      <c r="AT516" s="7">
        <f t="shared" ca="1" si="317"/>
        <v>7.2523190494839129E-2</v>
      </c>
      <c r="AU516" s="7">
        <f t="shared" ca="1" si="317"/>
        <v>7.4813784686674767E-2</v>
      </c>
      <c r="AV516" s="7">
        <f t="shared" ca="1" si="317"/>
        <v>7.7335695474591848E-2</v>
      </c>
      <c r="AW516" s="7">
        <f t="shared" ca="1" si="317"/>
        <v>7.9813945917849072E-2</v>
      </c>
    </row>
    <row r="517" spans="1:49" x14ac:dyDescent="0.2">
      <c r="A517" s="1" t="s">
        <v>223</v>
      </c>
      <c r="J517" s="7">
        <f t="shared" ref="J517:AW517" ca="1" si="318">J$399-I$399</f>
        <v>6.8167944285568938E-2</v>
      </c>
      <c r="K517" s="7">
        <f t="shared" ca="1" si="318"/>
        <v>6.766153367135308E-2</v>
      </c>
      <c r="L517" s="7">
        <f t="shared" ca="1" si="318"/>
        <v>6.936641043570746E-2</v>
      </c>
      <c r="M517" s="7">
        <f t="shared" ca="1" si="318"/>
        <v>6.8673692703071554E-2</v>
      </c>
      <c r="N517" s="7">
        <f t="shared" ca="1" si="318"/>
        <v>6.769541484029018E-2</v>
      </c>
      <c r="O517" s="7">
        <f t="shared" ca="1" si="318"/>
        <v>6.5761686779223893E-2</v>
      </c>
      <c r="P517" s="7">
        <f t="shared" ca="1" si="318"/>
        <v>6.7929790415724334E-2</v>
      </c>
      <c r="Q517" s="7">
        <f t="shared" ca="1" si="318"/>
        <v>7.0024517405391951E-2</v>
      </c>
      <c r="R517" s="7">
        <f t="shared" ca="1" si="318"/>
        <v>7.2067270972356656E-2</v>
      </c>
      <c r="S517" s="7">
        <f t="shared" ca="1" si="318"/>
        <v>7.4339051387773969E-2</v>
      </c>
      <c r="T517" s="7">
        <f t="shared" ca="1" si="318"/>
        <v>7.6637940738355503E-2</v>
      </c>
      <c r="U517" s="7">
        <f t="shared" ca="1" si="318"/>
        <v>7.9211881638095782E-2</v>
      </c>
      <c r="V517" s="7">
        <f t="shared" ca="1" si="318"/>
        <v>8.1981357520099607E-2</v>
      </c>
      <c r="W517" s="7">
        <f t="shared" ca="1" si="318"/>
        <v>8.4988354073599837E-2</v>
      </c>
      <c r="X517" s="7">
        <f t="shared" ca="1" si="318"/>
        <v>8.8264547612150857E-2</v>
      </c>
      <c r="Y517" s="7">
        <f t="shared" ca="1" si="318"/>
        <v>9.1531717591425199E-2</v>
      </c>
      <c r="Z517" s="7">
        <f t="shared" ca="1" si="318"/>
        <v>9.5262188392798208E-2</v>
      </c>
      <c r="AA517" s="7">
        <f t="shared" ca="1" si="318"/>
        <v>9.9146793743502215E-2</v>
      </c>
      <c r="AB517" s="7">
        <f t="shared" ca="1" si="318"/>
        <v>0.10332914607214905</v>
      </c>
      <c r="AC517" s="7">
        <f t="shared" ca="1" si="318"/>
        <v>0.10790157994923089</v>
      </c>
      <c r="AD517" s="7">
        <f t="shared" ca="1" si="318"/>
        <v>0.11258774342262035</v>
      </c>
      <c r="AE517" s="7">
        <f t="shared" ca="1" si="318"/>
        <v>0.11717051006008949</v>
      </c>
      <c r="AF517" s="7">
        <f t="shared" ca="1" si="318"/>
        <v>0.1220774405837064</v>
      </c>
      <c r="AG517" s="7">
        <f t="shared" ca="1" si="318"/>
        <v>0.12705263170738013</v>
      </c>
      <c r="AH517" s="7">
        <f t="shared" ca="1" si="318"/>
        <v>0.13223156054170815</v>
      </c>
      <c r="AI517" s="7">
        <f t="shared" ca="1" si="318"/>
        <v>0.13717943706668345</v>
      </c>
      <c r="AJ517" s="7">
        <f t="shared" ca="1" si="318"/>
        <v>0.14256676767597298</v>
      </c>
      <c r="AK517" s="7">
        <f t="shared" ca="1" si="318"/>
        <v>0.1478368184706067</v>
      </c>
      <c r="AL517" s="7">
        <f t="shared" ca="1" si="318"/>
        <v>0.15299041412478243</v>
      </c>
      <c r="AM517" s="7">
        <f t="shared" ca="1" si="318"/>
        <v>0.15835301460710838</v>
      </c>
      <c r="AN517" s="7">
        <f t="shared" ca="1" si="318"/>
        <v>0.16393588259924741</v>
      </c>
      <c r="AO517" s="7">
        <f t="shared" ca="1" si="318"/>
        <v>0.16887503107207547</v>
      </c>
      <c r="AP517" s="7">
        <f t="shared" ca="1" si="318"/>
        <v>0.17453130653996407</v>
      </c>
      <c r="AQ517" s="7">
        <f t="shared" ca="1" si="318"/>
        <v>0.17969854583769962</v>
      </c>
      <c r="AR517" s="7">
        <f t="shared" ca="1" si="318"/>
        <v>0.18506923603683223</v>
      </c>
      <c r="AS517" s="7">
        <f t="shared" ca="1" si="318"/>
        <v>0.1908716874255223</v>
      </c>
      <c r="AT517" s="7">
        <f t="shared" ca="1" si="318"/>
        <v>0.19682658178199208</v>
      </c>
      <c r="AU517" s="7">
        <f t="shared" ca="1" si="318"/>
        <v>0.20304321155175931</v>
      </c>
      <c r="AV517" s="7">
        <f t="shared" ca="1" si="318"/>
        <v>0.20988763023436263</v>
      </c>
      <c r="AW517" s="7">
        <f t="shared" ca="1" si="318"/>
        <v>0.21661355555863171</v>
      </c>
    </row>
    <row r="518" spans="1:49" x14ac:dyDescent="0.2">
      <c r="A518" s="1" t="s">
        <v>755</v>
      </c>
      <c r="J518" s="7">
        <f t="shared" ref="J518:AW518" ca="1" si="319">J$453-I$453</f>
        <v>3.438947012555349E-2</v>
      </c>
      <c r="K518" s="7">
        <f t="shared" ca="1" si="319"/>
        <v>3.2893895125430617E-2</v>
      </c>
      <c r="L518" s="7">
        <f t="shared" ca="1" si="319"/>
        <v>3.199147992615875E-2</v>
      </c>
      <c r="M518" s="7">
        <f t="shared" ca="1" si="319"/>
        <v>2.9982761433620553E-2</v>
      </c>
      <c r="N518" s="7">
        <f t="shared" ca="1" si="319"/>
        <v>2.7603606272330272E-2</v>
      </c>
      <c r="O518" s="7">
        <f t="shared" ca="1" si="319"/>
        <v>2.4581633887451604E-2</v>
      </c>
      <c r="P518" s="7">
        <f t="shared" ca="1" si="319"/>
        <v>2.5392068236580023E-2</v>
      </c>
      <c r="Q518" s="7">
        <f t="shared" ca="1" si="319"/>
        <v>2.6175074489552919E-2</v>
      </c>
      <c r="R518" s="7">
        <f t="shared" ca="1" si="319"/>
        <v>2.6938653144005453E-2</v>
      </c>
      <c r="S518" s="7">
        <f t="shared" ca="1" si="319"/>
        <v>2.7787841739668417E-2</v>
      </c>
      <c r="T518" s="7">
        <f t="shared" ca="1" si="319"/>
        <v>2.8647163620408311E-2</v>
      </c>
      <c r="U518" s="7">
        <f t="shared" ca="1" si="319"/>
        <v>2.9609299416252011E-2</v>
      </c>
      <c r="V518" s="7">
        <f t="shared" ca="1" si="319"/>
        <v>3.0644525936826206E-2</v>
      </c>
      <c r="W518" s="7">
        <f t="shared" ca="1" si="319"/>
        <v>3.1768537378733641E-2</v>
      </c>
      <c r="X518" s="7">
        <f t="shared" ca="1" si="319"/>
        <v>3.2993174307215489E-2</v>
      </c>
      <c r="Y518" s="7">
        <f t="shared" ca="1" si="319"/>
        <v>3.4214438240852241E-2</v>
      </c>
      <c r="Z518" s="7">
        <f t="shared" ca="1" si="319"/>
        <v>3.5608883425554461E-2</v>
      </c>
      <c r="AA518" s="7">
        <f t="shared" ca="1" si="319"/>
        <v>3.7060943906436328E-2</v>
      </c>
      <c r="AB518" s="7">
        <f t="shared" ca="1" si="319"/>
        <v>3.8624301824494167E-2</v>
      </c>
      <c r="AC518" s="7">
        <f t="shared" ca="1" si="319"/>
        <v>4.0333471723349223E-2</v>
      </c>
      <c r="AD518" s="7">
        <f t="shared" ca="1" si="319"/>
        <v>4.2085153598942604E-2</v>
      </c>
      <c r="AE518" s="7">
        <f t="shared" ca="1" si="319"/>
        <v>4.379818587033335E-2</v>
      </c>
      <c r="AF518" s="7">
        <f t="shared" ca="1" si="319"/>
        <v>4.5632390185190053E-2</v>
      </c>
      <c r="AG518" s="7">
        <f t="shared" ca="1" si="319"/>
        <v>4.7492110224501394E-2</v>
      </c>
      <c r="AH518" s="7">
        <f t="shared" ca="1" si="319"/>
        <v>4.9427987157859787E-2</v>
      </c>
      <c r="AI518" s="7">
        <f t="shared" ca="1" si="319"/>
        <v>5.1277497035329356E-2</v>
      </c>
      <c r="AJ518" s="7">
        <f t="shared" ca="1" si="319"/>
        <v>5.3291274283969958E-2</v>
      </c>
      <c r="AK518" s="7">
        <f t="shared" ca="1" si="319"/>
        <v>5.5261212488822764E-2</v>
      </c>
      <c r="AL518" s="7">
        <f t="shared" ca="1" si="319"/>
        <v>5.718761991204202E-2</v>
      </c>
      <c r="AM518" s="7">
        <f t="shared" ca="1" si="319"/>
        <v>5.9192153071049303E-2</v>
      </c>
      <c r="AN518" s="7">
        <f t="shared" ca="1" si="319"/>
        <v>6.1279021941756273E-2</v>
      </c>
      <c r="AO518" s="7">
        <f t="shared" ca="1" si="319"/>
        <v>6.3125269284565633E-2</v>
      </c>
      <c r="AP518" s="7">
        <f t="shared" ca="1" si="319"/>
        <v>6.5239577775237478E-2</v>
      </c>
      <c r="AQ518" s="7">
        <f t="shared" ca="1" si="319"/>
        <v>6.7171085174861256E-2</v>
      </c>
      <c r="AR518" s="7">
        <f t="shared" ca="1" si="319"/>
        <v>6.9178642259599687E-2</v>
      </c>
      <c r="AS518" s="7">
        <f t="shared" ca="1" si="319"/>
        <v>7.1347591121349252E-2</v>
      </c>
      <c r="AT518" s="7">
        <f t="shared" ca="1" si="319"/>
        <v>7.3573522968271243E-2</v>
      </c>
      <c r="AU518" s="7">
        <f t="shared" ca="1" si="319"/>
        <v>7.5897291175849091E-2</v>
      </c>
      <c r="AV518" s="7">
        <f t="shared" ca="1" si="319"/>
        <v>7.8455726071124943E-2</v>
      </c>
      <c r="AW518" s="7">
        <f t="shared" ca="1" si="319"/>
        <v>8.0969868301548509E-2</v>
      </c>
    </row>
    <row r="519" spans="1:49" x14ac:dyDescent="0.2">
      <c r="A519" s="1" t="s">
        <v>756</v>
      </c>
      <c r="J519" s="7">
        <f t="shared" ref="J519:AW519" ca="1" si="320">SUM(J$449-J$447-(I$449-I$447),J$468-I$468)</f>
        <v>0.64196414996062456</v>
      </c>
      <c r="K519" s="7">
        <f t="shared" ca="1" si="320"/>
        <v>0.6104248365144902</v>
      </c>
      <c r="L519" s="7">
        <f t="shared" ca="1" si="320"/>
        <v>0.61117847589679997</v>
      </c>
      <c r="M519" s="7">
        <f t="shared" ca="1" si="320"/>
        <v>0.59703779892611797</v>
      </c>
      <c r="N519" s="7">
        <f t="shared" ca="1" si="320"/>
        <v>0.57833763894213241</v>
      </c>
      <c r="O519" s="7">
        <f t="shared" ca="1" si="320"/>
        <v>0.54802166865896051</v>
      </c>
      <c r="P519" s="7">
        <f t="shared" ca="1" si="320"/>
        <v>0.56001935901160405</v>
      </c>
      <c r="Q519" s="7">
        <f t="shared" ca="1" si="320"/>
        <v>0.57130097962867588</v>
      </c>
      <c r="R519" s="7">
        <f t="shared" ca="1" si="320"/>
        <v>0.58252118155344945</v>
      </c>
      <c r="S519" s="7">
        <f t="shared" ca="1" si="320"/>
        <v>0.59631033703822922</v>
      </c>
      <c r="T519" s="7">
        <f t="shared" ca="1" si="320"/>
        <v>0.6106814518657373</v>
      </c>
      <c r="U519" s="7">
        <f t="shared" ca="1" si="320"/>
        <v>0.62610652068380812</v>
      </c>
      <c r="V519" s="7">
        <f t="shared" ca="1" si="320"/>
        <v>0.64205478894377954</v>
      </c>
      <c r="W519" s="7">
        <f t="shared" ca="1" si="320"/>
        <v>0.65878518310261924</v>
      </c>
      <c r="X519" s="7">
        <f t="shared" ca="1" si="320"/>
        <v>0.67737913099946123</v>
      </c>
      <c r="Y519" s="7">
        <f t="shared" ca="1" si="320"/>
        <v>0.6946564557395547</v>
      </c>
      <c r="Z519" s="7">
        <f t="shared" ca="1" si="320"/>
        <v>0.71567110664303968</v>
      </c>
      <c r="AA519" s="7">
        <f t="shared" ca="1" si="320"/>
        <v>0.74009600597236425</v>
      </c>
      <c r="AB519" s="7">
        <f t="shared" ca="1" si="320"/>
        <v>0.76948808950053227</v>
      </c>
      <c r="AC519" s="7">
        <f t="shared" ca="1" si="320"/>
        <v>0.80497000456801437</v>
      </c>
      <c r="AD519" s="7">
        <f t="shared" ca="1" si="320"/>
        <v>0.84574451312119514</v>
      </c>
      <c r="AE519" s="7">
        <f t="shared" ca="1" si="320"/>
        <v>0.88827733865227643</v>
      </c>
      <c r="AF519" s="7">
        <f t="shared" ca="1" si="320"/>
        <v>0.9363584891912371</v>
      </c>
      <c r="AG519" s="7">
        <f t="shared" ca="1" si="320"/>
        <v>0.98583357140012851</v>
      </c>
      <c r="AH519" s="7">
        <f t="shared" ca="1" si="320"/>
        <v>1.0389202859101943</v>
      </c>
      <c r="AI519" s="7">
        <f t="shared" ca="1" si="320"/>
        <v>1.0928004630196302</v>
      </c>
      <c r="AJ519" s="7">
        <f t="shared" ca="1" si="320"/>
        <v>1.1509456588031881</v>
      </c>
      <c r="AK519" s="7">
        <f t="shared" ca="1" si="320"/>
        <v>1.2091385844555429</v>
      </c>
      <c r="AL519" s="7">
        <f t="shared" ca="1" si="320"/>
        <v>1.2688982396660062</v>
      </c>
      <c r="AM519" s="7">
        <f t="shared" ca="1" si="320"/>
        <v>1.33152641559834</v>
      </c>
      <c r="AN519" s="7">
        <f t="shared" ca="1" si="320"/>
        <v>1.3958237910497946</v>
      </c>
      <c r="AO519" s="7">
        <f t="shared" ca="1" si="320"/>
        <v>1.4562494537872137</v>
      </c>
      <c r="AP519" s="7">
        <f t="shared" ca="1" si="320"/>
        <v>1.5173035759058369</v>
      </c>
      <c r="AQ519" s="7">
        <f t="shared" ca="1" si="320"/>
        <v>1.5730387690795347</v>
      </c>
      <c r="AR519" s="7">
        <f t="shared" ca="1" si="320"/>
        <v>1.6246298287886329</v>
      </c>
      <c r="AS519" s="7">
        <f t="shared" ca="1" si="320"/>
        <v>1.6734061487600087</v>
      </c>
      <c r="AT519" s="7">
        <f t="shared" ca="1" si="320"/>
        <v>1.7244552536600715</v>
      </c>
      <c r="AU519" s="7">
        <f t="shared" ca="1" si="320"/>
        <v>1.7761408767140576</v>
      </c>
      <c r="AV519" s="7">
        <f t="shared" ca="1" si="320"/>
        <v>1.8320356205106449</v>
      </c>
      <c r="AW519" s="7">
        <f t="shared" ca="1" si="320"/>
        <v>1.8858915822922384</v>
      </c>
    </row>
    <row r="520" spans="1:49" ht="15" x14ac:dyDescent="0.25">
      <c r="A520" s="2" t="s">
        <v>226</v>
      </c>
      <c r="J520" s="43">
        <f t="shared" ref="J520:AW520" ca="1" si="321">SUM(J$514:J$517)-SUM(J$518:J$519)</f>
        <v>0.7406560428560941</v>
      </c>
      <c r="K520" s="43">
        <f t="shared" ca="1" si="321"/>
        <v>0.73820441213715127</v>
      </c>
      <c r="L520" s="43">
        <f t="shared" ca="1" si="321"/>
        <v>0.78615651093289252</v>
      </c>
      <c r="M520" s="43">
        <f t="shared" ca="1" si="321"/>
        <v>0.85274192182879793</v>
      </c>
      <c r="N520" s="43">
        <f t="shared" ca="1" si="321"/>
        <v>0.91488919263721591</v>
      </c>
      <c r="O520" s="43">
        <f t="shared" ca="1" si="321"/>
        <v>0.98184869531553365</v>
      </c>
      <c r="P520" s="43">
        <f t="shared" ca="1" si="321"/>
        <v>1.0075326840333134</v>
      </c>
      <c r="Q520" s="43">
        <f t="shared" ca="1" si="321"/>
        <v>1.0393203032484433</v>
      </c>
      <c r="R520" s="43">
        <f t="shared" ca="1" si="321"/>
        <v>1.0684788962612601</v>
      </c>
      <c r="S520" s="43">
        <f t="shared" ca="1" si="321"/>
        <v>1.1008164713738577</v>
      </c>
      <c r="T520" s="43">
        <f t="shared" ca="1" si="321"/>
        <v>1.13557211951347</v>
      </c>
      <c r="U520" s="43">
        <f t="shared" ca="1" si="321"/>
        <v>1.1653579157579217</v>
      </c>
      <c r="V520" s="43">
        <f t="shared" ca="1" si="321"/>
        <v>1.1974254543711504</v>
      </c>
      <c r="W520" s="43">
        <f t="shared" ca="1" si="321"/>
        <v>1.2286776260749548</v>
      </c>
      <c r="X520" s="43">
        <f t="shared" ca="1" si="321"/>
        <v>1.261564804134546</v>
      </c>
      <c r="Y520" s="43">
        <f t="shared" ca="1" si="321"/>
        <v>1.2921879234978275</v>
      </c>
      <c r="Z520" s="43">
        <f t="shared" ca="1" si="321"/>
        <v>1.3242145890898467</v>
      </c>
      <c r="AA520" s="43">
        <f t="shared" ca="1" si="321"/>
        <v>1.3557797162885814</v>
      </c>
      <c r="AB520" s="43">
        <f t="shared" ca="1" si="321"/>
        <v>1.3950613854468688</v>
      </c>
      <c r="AC520" s="43">
        <f t="shared" ca="1" si="321"/>
        <v>1.433163422110372</v>
      </c>
      <c r="AD520" s="43">
        <f t="shared" ca="1" si="321"/>
        <v>1.4795528928239401</v>
      </c>
      <c r="AE520" s="43">
        <f t="shared" ca="1" si="321"/>
        <v>1.5297312918200088</v>
      </c>
      <c r="AF520" s="43">
        <f t="shared" ca="1" si="321"/>
        <v>1.5819841985723226</v>
      </c>
      <c r="AG520" s="43">
        <f t="shared" ca="1" si="321"/>
        <v>1.6427784399303345</v>
      </c>
      <c r="AH520" s="43">
        <f t="shared" ca="1" si="321"/>
        <v>1.7024823711807626</v>
      </c>
      <c r="AI520" s="43">
        <f t="shared" ca="1" si="321"/>
        <v>1.7674326739441655</v>
      </c>
      <c r="AJ520" s="43">
        <f t="shared" ca="1" si="321"/>
        <v>1.8331241111120931</v>
      </c>
      <c r="AK520" s="43">
        <f t="shared" ca="1" si="321"/>
        <v>1.8999670652461345</v>
      </c>
      <c r="AL520" s="43">
        <f t="shared" ca="1" si="321"/>
        <v>1.9767677267835517</v>
      </c>
      <c r="AM520" s="43">
        <f t="shared" ca="1" si="321"/>
        <v>2.0480964398216521</v>
      </c>
      <c r="AN520" s="43">
        <f t="shared" ca="1" si="321"/>
        <v>2.1252716662156548</v>
      </c>
      <c r="AO520" s="43">
        <f t="shared" ca="1" si="321"/>
        <v>2.202911213594354</v>
      </c>
      <c r="AP520" s="43">
        <f t="shared" ca="1" si="321"/>
        <v>2.2804607530111412</v>
      </c>
      <c r="AQ520" s="43">
        <f t="shared" ca="1" si="321"/>
        <v>2.3566598552966402</v>
      </c>
      <c r="AR520" s="43">
        <f t="shared" ca="1" si="321"/>
        <v>2.4335056174850798</v>
      </c>
      <c r="AS520" s="43">
        <f t="shared" ca="1" si="321"/>
        <v>2.5052683219247784</v>
      </c>
      <c r="AT520" s="43">
        <f t="shared" ca="1" si="321"/>
        <v>2.5826599252212556</v>
      </c>
      <c r="AU520" s="43">
        <f t="shared" ca="1" si="321"/>
        <v>2.6570904027250801</v>
      </c>
      <c r="AV520" s="43">
        <f t="shared" ca="1" si="321"/>
        <v>2.7291894121460256</v>
      </c>
      <c r="AW520" s="43">
        <f t="shared" ca="1" si="321"/>
        <v>2.8065022685595515</v>
      </c>
    </row>
    <row r="521" spans="1:49" ht="15" x14ac:dyDescent="0.25">
      <c r="A521" s="30" t="s">
        <v>729</v>
      </c>
      <c r="B521" s="4" t="str">
        <f>$B$65</f>
        <v>Projected Years only</v>
      </c>
      <c r="J521" s="6" t="str">
        <f t="shared" ref="J521:AW521" ca="1" si="322">IF(ROUND(J$53-SUM(J$506,J$507,J$513,J$520),3)=0,"OK","ERROR")</f>
        <v>OK</v>
      </c>
      <c r="K521" s="6" t="str">
        <f t="shared" ca="1" si="322"/>
        <v>OK</v>
      </c>
      <c r="L521" s="6" t="str">
        <f t="shared" ca="1" si="322"/>
        <v>OK</v>
      </c>
      <c r="M521" s="6" t="str">
        <f t="shared" ca="1" si="322"/>
        <v>OK</v>
      </c>
      <c r="N521" s="6" t="str">
        <f t="shared" ca="1" si="322"/>
        <v>OK</v>
      </c>
      <c r="O521" s="6" t="str">
        <f t="shared" ca="1" si="322"/>
        <v>OK</v>
      </c>
      <c r="P521" s="6" t="str">
        <f t="shared" ca="1" si="322"/>
        <v>OK</v>
      </c>
      <c r="Q521" s="6" t="str">
        <f t="shared" ca="1" si="322"/>
        <v>OK</v>
      </c>
      <c r="R521" s="6" t="str">
        <f t="shared" ca="1" si="322"/>
        <v>OK</v>
      </c>
      <c r="S521" s="6" t="str">
        <f t="shared" ca="1" si="322"/>
        <v>OK</v>
      </c>
      <c r="T521" s="6" t="str">
        <f t="shared" ca="1" si="322"/>
        <v>OK</v>
      </c>
      <c r="U521" s="6" t="str">
        <f t="shared" ca="1" si="322"/>
        <v>OK</v>
      </c>
      <c r="V521" s="6" t="str">
        <f t="shared" ca="1" si="322"/>
        <v>OK</v>
      </c>
      <c r="W521" s="6" t="str">
        <f t="shared" ca="1" si="322"/>
        <v>OK</v>
      </c>
      <c r="X521" s="6" t="str">
        <f t="shared" ca="1" si="322"/>
        <v>OK</v>
      </c>
      <c r="Y521" s="6" t="str">
        <f t="shared" ca="1" si="322"/>
        <v>OK</v>
      </c>
      <c r="Z521" s="6" t="str">
        <f t="shared" ca="1" si="322"/>
        <v>OK</v>
      </c>
      <c r="AA521" s="6" t="str">
        <f t="shared" ca="1" si="322"/>
        <v>OK</v>
      </c>
      <c r="AB521" s="6" t="str">
        <f t="shared" ca="1" si="322"/>
        <v>OK</v>
      </c>
      <c r="AC521" s="6" t="str">
        <f t="shared" ca="1" si="322"/>
        <v>OK</v>
      </c>
      <c r="AD521" s="6" t="str">
        <f t="shared" ca="1" si="322"/>
        <v>OK</v>
      </c>
      <c r="AE521" s="6" t="str">
        <f t="shared" ca="1" si="322"/>
        <v>OK</v>
      </c>
      <c r="AF521" s="6" t="str">
        <f t="shared" ca="1" si="322"/>
        <v>OK</v>
      </c>
      <c r="AG521" s="6" t="str">
        <f t="shared" ca="1" si="322"/>
        <v>OK</v>
      </c>
      <c r="AH521" s="6" t="str">
        <f t="shared" ca="1" si="322"/>
        <v>OK</v>
      </c>
      <c r="AI521" s="6" t="str">
        <f t="shared" ca="1" si="322"/>
        <v>OK</v>
      </c>
      <c r="AJ521" s="6" t="str">
        <f t="shared" ca="1" si="322"/>
        <v>OK</v>
      </c>
      <c r="AK521" s="6" t="str">
        <f t="shared" ca="1" si="322"/>
        <v>OK</v>
      </c>
      <c r="AL521" s="6" t="str">
        <f t="shared" ca="1" si="322"/>
        <v>OK</v>
      </c>
      <c r="AM521" s="6" t="str">
        <f t="shared" ca="1" si="322"/>
        <v>OK</v>
      </c>
      <c r="AN521" s="6" t="str">
        <f t="shared" ca="1" si="322"/>
        <v>OK</v>
      </c>
      <c r="AO521" s="6" t="str">
        <f t="shared" ca="1" si="322"/>
        <v>OK</v>
      </c>
      <c r="AP521" s="6" t="str">
        <f t="shared" ca="1" si="322"/>
        <v>OK</v>
      </c>
      <c r="AQ521" s="6" t="str">
        <f t="shared" ca="1" si="322"/>
        <v>OK</v>
      </c>
      <c r="AR521" s="6" t="str">
        <f t="shared" ca="1" si="322"/>
        <v>OK</v>
      </c>
      <c r="AS521" s="6" t="str">
        <f t="shared" ca="1" si="322"/>
        <v>OK</v>
      </c>
      <c r="AT521" s="6" t="str">
        <f t="shared" ca="1" si="322"/>
        <v>OK</v>
      </c>
      <c r="AU521" s="6" t="str">
        <f t="shared" ca="1" si="322"/>
        <v>OK</v>
      </c>
      <c r="AV521" s="6" t="str">
        <f t="shared" ca="1" si="322"/>
        <v>OK</v>
      </c>
      <c r="AW521" s="6" t="str">
        <f t="shared" ca="1" si="322"/>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workbookViewId="0">
      <selection activeCell="A7" sqref="A7"/>
    </sheetView>
  </sheetViews>
  <sheetFormatPr defaultRowHeight="15" x14ac:dyDescent="0.25"/>
  <cols>
    <col min="1" max="1" width="95.140625" bestFit="1" customWidth="1"/>
  </cols>
  <sheetData>
    <row r="1" spans="1:1" ht="18" x14ac:dyDescent="0.25">
      <c r="A1" s="89" t="s">
        <v>1237</v>
      </c>
    </row>
    <row r="2" spans="1:1" ht="15.75" x14ac:dyDescent="0.25">
      <c r="A2" s="90" t="s">
        <v>1240</v>
      </c>
    </row>
    <row r="3" spans="1:1" x14ac:dyDescent="0.25">
      <c r="A3" s="91" t="s">
        <v>1239</v>
      </c>
    </row>
    <row r="4" spans="1:1" x14ac:dyDescent="0.25">
      <c r="A4" s="91"/>
    </row>
    <row r="5" spans="1:1" x14ac:dyDescent="0.25">
      <c r="A5" s="91" t="s">
        <v>1238</v>
      </c>
    </row>
    <row r="6" spans="1:1" x14ac:dyDescent="0.25">
      <c r="A6" s="92"/>
    </row>
    <row r="7" spans="1:1" ht="39" customHeight="1" x14ac:dyDescent="0.25">
      <c r="A7" s="93" t="s">
        <v>1242</v>
      </c>
    </row>
    <row r="8" spans="1:1" x14ac:dyDescent="0.25">
      <c r="A8" s="94" t="s">
        <v>1241</v>
      </c>
    </row>
    <row r="9" spans="1:1" x14ac:dyDescent="0.25">
      <c r="A9" s="95"/>
    </row>
    <row r="10" spans="1:1" x14ac:dyDescent="0.25">
      <c r="A10" s="96" t="s">
        <v>1234</v>
      </c>
    </row>
    <row r="11" spans="1:1" x14ac:dyDescent="0.25">
      <c r="A11" s="95"/>
    </row>
    <row r="12" spans="1:1" x14ac:dyDescent="0.25">
      <c r="A12" s="95"/>
    </row>
    <row r="13" spans="1:1" x14ac:dyDescent="0.25">
      <c r="A13" s="95"/>
    </row>
    <row r="14" spans="1:1" ht="31.5" customHeight="1" x14ac:dyDescent="0.25">
      <c r="A14" s="97" t="s">
        <v>1235</v>
      </c>
    </row>
    <row r="15" spans="1:1" ht="52.5" customHeight="1" x14ac:dyDescent="0.25">
      <c r="A15" s="97" t="s">
        <v>1236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workbookViewId="0">
      <pane ySplit="3" topLeftCell="A4" activePane="bottomLeft" state="frozen"/>
      <selection pane="bottomLeft"/>
    </sheetView>
  </sheetViews>
  <sheetFormatPr defaultRowHeight="15" x14ac:dyDescent="0.25"/>
  <cols>
    <col min="1" max="2" width="9.140625" customWidth="1"/>
  </cols>
  <sheetData>
    <row r="1" spans="1:13" x14ac:dyDescent="0.25">
      <c r="A1" s="2" t="s">
        <v>934</v>
      </c>
      <c r="B1" s="2"/>
    </row>
    <row r="3" spans="1:13" x14ac:dyDescent="0.25">
      <c r="A3" s="2" t="s">
        <v>953</v>
      </c>
      <c r="B3" s="2"/>
      <c r="C3" s="2" t="s">
        <v>935</v>
      </c>
      <c r="H3" s="2" t="s">
        <v>936</v>
      </c>
      <c r="M3" s="2" t="s">
        <v>937</v>
      </c>
    </row>
    <row r="5" spans="1:13" x14ac:dyDescent="0.25">
      <c r="A5" s="4" t="s">
        <v>938</v>
      </c>
      <c r="B5" s="22"/>
      <c r="C5" s="1" t="s">
        <v>939</v>
      </c>
      <c r="D5" s="1"/>
      <c r="E5" s="1"/>
      <c r="F5" s="1"/>
      <c r="G5" s="1"/>
      <c r="H5" s="1" t="s">
        <v>942</v>
      </c>
      <c r="I5" s="1"/>
      <c r="J5" s="1"/>
      <c r="K5" s="1"/>
      <c r="L5" s="1"/>
      <c r="M5" s="1" t="s">
        <v>946</v>
      </c>
    </row>
    <row r="6" spans="1:13" x14ac:dyDescent="0.25">
      <c r="C6" s="1" t="s">
        <v>940</v>
      </c>
      <c r="D6" s="1"/>
      <c r="E6" s="1"/>
      <c r="F6" s="1"/>
      <c r="G6" s="1"/>
      <c r="H6" s="1" t="s">
        <v>1215</v>
      </c>
      <c r="I6" s="1"/>
      <c r="J6" s="1"/>
      <c r="K6" s="1"/>
      <c r="L6" s="1"/>
    </row>
    <row r="7" spans="1:13" x14ac:dyDescent="0.25">
      <c r="C7" s="1" t="s">
        <v>941</v>
      </c>
      <c r="D7" s="1"/>
      <c r="E7" s="1"/>
      <c r="F7" s="1"/>
      <c r="G7" s="1"/>
      <c r="H7" s="1" t="s">
        <v>1216</v>
      </c>
      <c r="I7" s="1"/>
      <c r="J7" s="1"/>
      <c r="K7" s="1"/>
      <c r="L7" s="1"/>
    </row>
    <row r="8" spans="1:13" x14ac:dyDescent="0.25">
      <c r="C8" s="1" t="s">
        <v>1210</v>
      </c>
      <c r="D8" s="1"/>
      <c r="E8" s="1"/>
      <c r="F8" s="1"/>
      <c r="G8" s="1"/>
      <c r="H8" s="1" t="s">
        <v>1217</v>
      </c>
      <c r="I8" s="1"/>
      <c r="J8" s="1"/>
      <c r="K8" s="1"/>
      <c r="L8" s="1"/>
    </row>
    <row r="9" spans="1:13" x14ac:dyDescent="0.25">
      <c r="C9" s="1" t="s">
        <v>1211</v>
      </c>
      <c r="H9" s="1"/>
      <c r="I9" s="1"/>
      <c r="J9" s="1"/>
      <c r="K9" s="1"/>
      <c r="L9" s="1"/>
    </row>
    <row r="10" spans="1:13" x14ac:dyDescent="0.25">
      <c r="C10" s="1" t="s">
        <v>1212</v>
      </c>
      <c r="H10" s="1"/>
      <c r="I10" s="1"/>
      <c r="J10" s="1"/>
      <c r="K10" s="1"/>
      <c r="L10" s="1"/>
    </row>
    <row r="11" spans="1:13" x14ac:dyDescent="0.25">
      <c r="C11" s="1" t="s">
        <v>1213</v>
      </c>
      <c r="H11" s="1"/>
      <c r="I11" s="1"/>
      <c r="J11" s="1"/>
      <c r="K11" s="1"/>
      <c r="L11" s="1"/>
    </row>
    <row r="12" spans="1:13" x14ac:dyDescent="0.25">
      <c r="C12" s="1" t="s">
        <v>1214</v>
      </c>
      <c r="H12" s="1"/>
      <c r="I12" s="1"/>
      <c r="J12" s="1"/>
      <c r="K12" s="1"/>
    </row>
    <row r="14" spans="1:13" x14ac:dyDescent="0.25">
      <c r="A14" s="4" t="s">
        <v>952</v>
      </c>
      <c r="C14" s="1" t="s">
        <v>947</v>
      </c>
      <c r="H14" s="1" t="s">
        <v>950</v>
      </c>
      <c r="I14" s="1"/>
      <c r="J14" s="1"/>
      <c r="K14" s="1"/>
      <c r="M14" s="1" t="s">
        <v>946</v>
      </c>
    </row>
    <row r="15" spans="1:13" x14ac:dyDescent="0.25">
      <c r="C15" s="1" t="s">
        <v>948</v>
      </c>
      <c r="H15" s="1" t="s">
        <v>951</v>
      </c>
      <c r="I15" s="1"/>
      <c r="J15" s="1"/>
      <c r="K15" s="1"/>
    </row>
    <row r="16" spans="1:13" x14ac:dyDescent="0.25">
      <c r="C16" s="1" t="s">
        <v>949</v>
      </c>
    </row>
    <row r="18" spans="1:13" x14ac:dyDescent="0.25">
      <c r="A18" s="4" t="s">
        <v>1100</v>
      </c>
      <c r="C18" s="1" t="s">
        <v>954</v>
      </c>
      <c r="D18" s="1"/>
      <c r="E18" s="1"/>
      <c r="F18" s="1"/>
      <c r="G18" s="1"/>
      <c r="H18" s="1" t="s">
        <v>950</v>
      </c>
      <c r="I18" s="1"/>
      <c r="J18" s="1"/>
      <c r="K18" s="1"/>
      <c r="M18" s="1" t="s">
        <v>946</v>
      </c>
    </row>
    <row r="19" spans="1:13" x14ac:dyDescent="0.25">
      <c r="C19" s="1" t="s">
        <v>955</v>
      </c>
      <c r="D19" s="1"/>
      <c r="E19" s="1"/>
      <c r="F19" s="1"/>
      <c r="G19" s="1"/>
      <c r="H19" s="1" t="s">
        <v>951</v>
      </c>
      <c r="I19" s="1"/>
      <c r="J19" s="1"/>
      <c r="K19" s="1"/>
    </row>
    <row r="20" spans="1:13" x14ac:dyDescent="0.25">
      <c r="C20" s="1" t="s">
        <v>956</v>
      </c>
      <c r="D20" s="1"/>
      <c r="E20" s="1"/>
      <c r="F20" s="1"/>
      <c r="G20" s="1"/>
    </row>
    <row r="21" spans="1:13" x14ac:dyDescent="0.25">
      <c r="C21" s="1" t="s">
        <v>957</v>
      </c>
      <c r="D21" s="1"/>
      <c r="E21" s="1"/>
      <c r="F21" s="1"/>
      <c r="G21" s="1"/>
    </row>
    <row r="23" spans="1:13" x14ac:dyDescent="0.25">
      <c r="A23" s="4" t="s">
        <v>958</v>
      </c>
      <c r="C23" s="1" t="s">
        <v>962</v>
      </c>
      <c r="D23" s="1"/>
      <c r="E23" s="1"/>
      <c r="F23" s="1"/>
      <c r="G23" s="1"/>
      <c r="H23" s="1" t="s">
        <v>959</v>
      </c>
      <c r="I23" s="1"/>
      <c r="J23" s="1"/>
      <c r="K23" s="1"/>
      <c r="M23" s="1" t="s">
        <v>946</v>
      </c>
    </row>
    <row r="24" spans="1:13" x14ac:dyDescent="0.25">
      <c r="C24" s="1" t="s">
        <v>963</v>
      </c>
      <c r="D24" s="1"/>
      <c r="E24" s="1"/>
      <c r="F24" s="1"/>
      <c r="G24" s="1"/>
      <c r="H24" s="1" t="s">
        <v>960</v>
      </c>
      <c r="I24" s="1"/>
      <c r="J24" s="1"/>
      <c r="K24" s="1"/>
    </row>
    <row r="25" spans="1:13" x14ac:dyDescent="0.25">
      <c r="C25" s="1" t="s">
        <v>964</v>
      </c>
      <c r="D25" s="1"/>
      <c r="E25" s="1"/>
      <c r="F25" s="1"/>
      <c r="G25" s="1"/>
      <c r="H25" s="1" t="s">
        <v>961</v>
      </c>
      <c r="I25" s="1"/>
      <c r="J25" s="1"/>
      <c r="K25" s="1"/>
    </row>
    <row r="26" spans="1:13" x14ac:dyDescent="0.25">
      <c r="C26" s="1" t="s">
        <v>965</v>
      </c>
      <c r="D26" s="1"/>
      <c r="E26" s="1"/>
      <c r="F26" s="1"/>
      <c r="G26" s="1"/>
      <c r="H26" s="1" t="s">
        <v>972</v>
      </c>
      <c r="I26" s="1"/>
      <c r="J26" s="1"/>
      <c r="K26" s="1"/>
    </row>
    <row r="27" spans="1:13" x14ac:dyDescent="0.25">
      <c r="C27" s="1" t="s">
        <v>966</v>
      </c>
      <c r="D27" s="1"/>
      <c r="E27" s="1"/>
      <c r="F27" s="1"/>
      <c r="G27" s="1"/>
      <c r="H27" s="1" t="s">
        <v>973</v>
      </c>
      <c r="I27" s="1"/>
      <c r="J27" s="1"/>
      <c r="K27" s="1"/>
    </row>
    <row r="28" spans="1:13" x14ac:dyDescent="0.25">
      <c r="C28" s="1" t="s">
        <v>967</v>
      </c>
      <c r="D28" s="1"/>
      <c r="E28" s="1"/>
      <c r="F28" s="1"/>
      <c r="G28" s="1"/>
      <c r="H28" s="1" t="s">
        <v>982</v>
      </c>
      <c r="I28" s="1"/>
      <c r="J28" s="1"/>
      <c r="K28" s="1"/>
    </row>
    <row r="29" spans="1:13" x14ac:dyDescent="0.25">
      <c r="C29" s="1" t="s">
        <v>968</v>
      </c>
      <c r="D29" s="1"/>
      <c r="E29" s="1"/>
      <c r="F29" s="1"/>
      <c r="G29" s="1"/>
      <c r="H29" s="1" t="s">
        <v>983</v>
      </c>
      <c r="I29" s="1"/>
      <c r="J29" s="1"/>
      <c r="K29" s="1"/>
    </row>
    <row r="30" spans="1:13" x14ac:dyDescent="0.25">
      <c r="C30" s="1" t="s">
        <v>969</v>
      </c>
      <c r="D30" s="1"/>
      <c r="E30" s="1"/>
      <c r="F30" s="1"/>
      <c r="G30" s="1"/>
      <c r="H30" s="1" t="s">
        <v>985</v>
      </c>
      <c r="I30" s="1"/>
      <c r="J30" s="1"/>
      <c r="K30" s="1"/>
    </row>
    <row r="31" spans="1:13" x14ac:dyDescent="0.25">
      <c r="C31" s="1" t="s">
        <v>971</v>
      </c>
      <c r="H31" s="1" t="s">
        <v>984</v>
      </c>
    </row>
    <row r="32" spans="1:13" x14ac:dyDescent="0.25">
      <c r="C32" s="1" t="s">
        <v>970</v>
      </c>
      <c r="H32" s="1"/>
    </row>
    <row r="34" spans="1:13" x14ac:dyDescent="0.25">
      <c r="A34" s="4" t="s">
        <v>974</v>
      </c>
      <c r="C34" s="1" t="s">
        <v>975</v>
      </c>
      <c r="D34" s="1"/>
      <c r="E34" s="1"/>
      <c r="F34" s="1"/>
      <c r="G34" s="1"/>
      <c r="H34" s="1" t="s">
        <v>986</v>
      </c>
      <c r="I34" s="1"/>
      <c r="J34" s="1"/>
      <c r="K34" s="1"/>
      <c r="M34" s="1" t="s">
        <v>946</v>
      </c>
    </row>
    <row r="35" spans="1:13" x14ac:dyDescent="0.25">
      <c r="C35" s="1" t="s">
        <v>976</v>
      </c>
      <c r="D35" s="1"/>
      <c r="E35" s="1"/>
      <c r="F35" s="1"/>
      <c r="G35" s="1"/>
      <c r="H35" s="1" t="s">
        <v>987</v>
      </c>
      <c r="I35" s="1"/>
      <c r="J35" s="1"/>
      <c r="K35" s="1"/>
    </row>
    <row r="36" spans="1:13" x14ac:dyDescent="0.25">
      <c r="C36" s="1" t="s">
        <v>977</v>
      </c>
      <c r="D36" s="1"/>
      <c r="E36" s="1"/>
      <c r="F36" s="1"/>
      <c r="G36" s="1"/>
      <c r="H36" s="1" t="s">
        <v>988</v>
      </c>
      <c r="I36" s="1"/>
      <c r="J36" s="1"/>
      <c r="K36" s="1"/>
    </row>
    <row r="37" spans="1:13" x14ac:dyDescent="0.25">
      <c r="C37" s="1" t="s">
        <v>978</v>
      </c>
      <c r="D37" s="1"/>
      <c r="E37" s="1"/>
      <c r="F37" s="1"/>
      <c r="G37" s="1"/>
      <c r="H37" s="1" t="s">
        <v>989</v>
      </c>
      <c r="I37" s="1"/>
      <c r="J37" s="1"/>
      <c r="K37" s="1"/>
    </row>
    <row r="38" spans="1:13" x14ac:dyDescent="0.25">
      <c r="C38" s="1" t="s">
        <v>979</v>
      </c>
      <c r="D38" s="1"/>
      <c r="E38" s="1"/>
      <c r="F38" s="1"/>
      <c r="G38" s="1"/>
      <c r="H38" s="1" t="s">
        <v>990</v>
      </c>
      <c r="I38" s="1"/>
      <c r="J38" s="1"/>
      <c r="K38" s="1"/>
    </row>
    <row r="39" spans="1:13" x14ac:dyDescent="0.25">
      <c r="C39" s="1" t="s">
        <v>980</v>
      </c>
      <c r="D39" s="1"/>
      <c r="E39" s="1"/>
      <c r="F39" s="1"/>
      <c r="G39" s="1"/>
      <c r="H39" s="1"/>
      <c r="I39" s="1"/>
      <c r="J39" s="1"/>
      <c r="K39" s="1"/>
    </row>
    <row r="40" spans="1:13" x14ac:dyDescent="0.25">
      <c r="C40" s="1" t="s">
        <v>981</v>
      </c>
      <c r="D40" s="1"/>
      <c r="E40" s="1"/>
      <c r="F40" s="1"/>
      <c r="G40" s="1"/>
      <c r="H40" s="1"/>
      <c r="I40" s="1"/>
      <c r="J40" s="1"/>
      <c r="K40" s="1"/>
    </row>
    <row r="42" spans="1:13" x14ac:dyDescent="0.25">
      <c r="A42" s="4" t="s">
        <v>991</v>
      </c>
      <c r="C42" s="1" t="s">
        <v>992</v>
      </c>
      <c r="D42" s="1"/>
      <c r="E42" s="1"/>
      <c r="F42" s="1"/>
      <c r="G42" s="1"/>
      <c r="H42" s="1" t="s">
        <v>993</v>
      </c>
      <c r="I42" s="1"/>
      <c r="J42" s="1"/>
      <c r="K42" s="1"/>
      <c r="M42" s="1" t="s">
        <v>946</v>
      </c>
    </row>
    <row r="43" spans="1:13" x14ac:dyDescent="0.25">
      <c r="C43" s="1" t="s">
        <v>994</v>
      </c>
      <c r="D43" s="1"/>
      <c r="E43" s="1"/>
      <c r="F43" s="1"/>
      <c r="G43" s="1"/>
      <c r="H43" s="1" t="s">
        <v>995</v>
      </c>
      <c r="I43" s="1"/>
      <c r="J43" s="1"/>
      <c r="K43" s="1"/>
    </row>
    <row r="44" spans="1:13" x14ac:dyDescent="0.25">
      <c r="C44" s="1" t="s">
        <v>996</v>
      </c>
      <c r="D44" s="1"/>
      <c r="E44" s="1"/>
      <c r="F44" s="1"/>
      <c r="G44" s="1"/>
      <c r="H44" s="1" t="s">
        <v>997</v>
      </c>
      <c r="I44" s="1"/>
      <c r="J44" s="1"/>
      <c r="K44" s="1"/>
    </row>
    <row r="45" spans="1:13" x14ac:dyDescent="0.25">
      <c r="C45" s="1" t="s">
        <v>998</v>
      </c>
      <c r="D45" s="1"/>
      <c r="E45" s="1"/>
      <c r="F45" s="1"/>
      <c r="G45" s="1"/>
      <c r="H45" s="1" t="s">
        <v>999</v>
      </c>
      <c r="I45" s="1"/>
      <c r="J45" s="1"/>
      <c r="K45" s="1"/>
    </row>
    <row r="46" spans="1:13" x14ac:dyDescent="0.25">
      <c r="C46" s="1" t="s">
        <v>1000</v>
      </c>
      <c r="D46" s="1"/>
      <c r="E46" s="1"/>
      <c r="F46" s="1"/>
      <c r="G46" s="1"/>
      <c r="H46" s="1" t="s">
        <v>1001</v>
      </c>
      <c r="I46" s="1"/>
      <c r="J46" s="1"/>
      <c r="K46" s="1"/>
    </row>
    <row r="47" spans="1:13" x14ac:dyDescent="0.25">
      <c r="C47" s="1" t="s">
        <v>1002</v>
      </c>
      <c r="D47" s="1"/>
      <c r="E47" s="1"/>
      <c r="F47" s="1"/>
      <c r="G47" s="1"/>
      <c r="H47" s="1" t="s">
        <v>1005</v>
      </c>
      <c r="I47" s="1"/>
      <c r="J47" s="1"/>
      <c r="K47" s="1"/>
    </row>
    <row r="48" spans="1:13" x14ac:dyDescent="0.25">
      <c r="C48" s="1" t="s">
        <v>1003</v>
      </c>
      <c r="D48" s="1"/>
      <c r="E48" s="1"/>
      <c r="F48" s="1"/>
      <c r="G48" s="1"/>
      <c r="H48" s="1" t="s">
        <v>1004</v>
      </c>
      <c r="I48" s="1"/>
      <c r="J48" s="1"/>
      <c r="K48" s="1"/>
    </row>
    <row r="49" spans="1:13" x14ac:dyDescent="0.25">
      <c r="C49" s="1"/>
      <c r="D49" s="1"/>
      <c r="E49" s="1"/>
      <c r="F49" s="1"/>
      <c r="G49" s="1"/>
      <c r="H49" s="1"/>
      <c r="I49" s="1"/>
      <c r="J49" s="1"/>
      <c r="K49" s="1"/>
    </row>
    <row r="50" spans="1:13" x14ac:dyDescent="0.25">
      <c r="A50" s="4" t="s">
        <v>1007</v>
      </c>
      <c r="C50" s="1" t="s">
        <v>1008</v>
      </c>
      <c r="H50" s="1" t="s">
        <v>950</v>
      </c>
      <c r="I50" s="1"/>
      <c r="J50" s="1"/>
      <c r="K50" s="1"/>
      <c r="M50" s="1" t="s">
        <v>946</v>
      </c>
    </row>
    <row r="51" spans="1:13" x14ac:dyDescent="0.25">
      <c r="A51" s="4"/>
      <c r="C51" s="1" t="s">
        <v>1009</v>
      </c>
      <c r="H51" s="1" t="s">
        <v>951</v>
      </c>
      <c r="I51" s="1"/>
      <c r="J51" s="1"/>
      <c r="K51" s="1"/>
    </row>
    <row r="52" spans="1:13" x14ac:dyDescent="0.25">
      <c r="A52" s="4"/>
      <c r="C52" s="1" t="s">
        <v>1010</v>
      </c>
    </row>
    <row r="53" spans="1:13" x14ac:dyDescent="0.25">
      <c r="A53" s="4"/>
      <c r="C53" s="1" t="s">
        <v>1012</v>
      </c>
    </row>
    <row r="54" spans="1:13" x14ac:dyDescent="0.25">
      <c r="A54" s="4"/>
      <c r="C54" s="1" t="s">
        <v>1011</v>
      </c>
    </row>
    <row r="55" spans="1:13" x14ac:dyDescent="0.25">
      <c r="A55" s="4"/>
      <c r="C55" s="1" t="s">
        <v>1022</v>
      </c>
    </row>
    <row r="56" spans="1:13" x14ac:dyDescent="0.25">
      <c r="A56" s="4"/>
      <c r="C56" s="1"/>
    </row>
    <row r="57" spans="1:13" x14ac:dyDescent="0.25">
      <c r="A57" s="4" t="s">
        <v>1006</v>
      </c>
      <c r="C57" s="1" t="s">
        <v>1018</v>
      </c>
      <c r="D57" s="1"/>
      <c r="E57" s="1"/>
      <c r="F57" s="1"/>
      <c r="G57" s="1"/>
      <c r="H57" s="1" t="s">
        <v>1013</v>
      </c>
      <c r="I57" s="1"/>
      <c r="J57" s="1"/>
      <c r="K57" s="1"/>
      <c r="L57" s="1"/>
      <c r="M57" s="1" t="s">
        <v>946</v>
      </c>
    </row>
    <row r="58" spans="1:13" x14ac:dyDescent="0.25">
      <c r="C58" s="1" t="s">
        <v>1020</v>
      </c>
      <c r="D58" s="1"/>
      <c r="E58" s="1"/>
      <c r="F58" s="1"/>
      <c r="G58" s="1"/>
      <c r="H58" s="1" t="s">
        <v>1014</v>
      </c>
      <c r="I58" s="1"/>
      <c r="J58" s="1"/>
      <c r="K58" s="1"/>
      <c r="L58" s="1"/>
      <c r="M58" s="1"/>
    </row>
    <row r="59" spans="1:13" x14ac:dyDescent="0.25">
      <c r="C59" s="1" t="s">
        <v>1019</v>
      </c>
      <c r="D59" s="1"/>
      <c r="E59" s="1"/>
      <c r="F59" s="1"/>
      <c r="G59" s="1"/>
      <c r="H59" s="1" t="s">
        <v>1015</v>
      </c>
      <c r="I59" s="1"/>
      <c r="J59" s="1"/>
      <c r="K59" s="1"/>
      <c r="L59" s="1"/>
      <c r="M59" s="1"/>
    </row>
    <row r="60" spans="1:13" x14ac:dyDescent="0.25">
      <c r="C60" s="1" t="s">
        <v>1021</v>
      </c>
      <c r="D60" s="1"/>
      <c r="E60" s="1"/>
      <c r="F60" s="1"/>
      <c r="G60" s="1"/>
      <c r="H60" s="1" t="s">
        <v>1016</v>
      </c>
      <c r="I60" s="1"/>
      <c r="J60" s="1"/>
      <c r="K60" s="1"/>
      <c r="L60" s="1"/>
      <c r="M60" s="1"/>
    </row>
    <row r="61" spans="1:13" x14ac:dyDescent="0.25">
      <c r="C61" s="1" t="s">
        <v>1023</v>
      </c>
      <c r="D61" s="1"/>
      <c r="E61" s="1"/>
      <c r="F61" s="1"/>
      <c r="G61" s="1"/>
      <c r="H61" s="1" t="s">
        <v>1017</v>
      </c>
      <c r="I61" s="1"/>
      <c r="J61" s="1"/>
      <c r="K61" s="1"/>
      <c r="L61" s="1"/>
      <c r="M61" s="1"/>
    </row>
    <row r="62" spans="1:13" x14ac:dyDescent="0.25">
      <c r="C62" s="1" t="s">
        <v>1024</v>
      </c>
      <c r="D62" s="1"/>
      <c r="E62" s="1"/>
      <c r="F62" s="1"/>
      <c r="G62" s="1"/>
      <c r="H62" s="1"/>
      <c r="I62" s="1"/>
      <c r="J62" s="1"/>
      <c r="K62" s="1"/>
      <c r="L62" s="1"/>
      <c r="M62" s="1"/>
    </row>
    <row r="64" spans="1:13" x14ac:dyDescent="0.25">
      <c r="A64" s="4" t="s">
        <v>1025</v>
      </c>
      <c r="C64" s="1" t="s">
        <v>1027</v>
      </c>
      <c r="H64" s="1" t="s">
        <v>1033</v>
      </c>
      <c r="I64" s="1"/>
      <c r="J64" s="1"/>
      <c r="K64" s="1"/>
      <c r="M64" s="1" t="s">
        <v>946</v>
      </c>
    </row>
    <row r="65" spans="1:13" x14ac:dyDescent="0.25">
      <c r="C65" s="1" t="s">
        <v>1026</v>
      </c>
      <c r="H65" s="1" t="s">
        <v>1034</v>
      </c>
      <c r="I65" s="1"/>
      <c r="J65" s="1"/>
      <c r="K65" s="1"/>
    </row>
    <row r="66" spans="1:13" x14ac:dyDescent="0.25">
      <c r="C66" s="1" t="s">
        <v>1028</v>
      </c>
      <c r="H66" s="1" t="s">
        <v>1035</v>
      </c>
      <c r="I66" s="1"/>
      <c r="J66" s="1"/>
      <c r="K66" s="1"/>
    </row>
    <row r="67" spans="1:13" x14ac:dyDescent="0.25">
      <c r="C67" s="1" t="s">
        <v>1029</v>
      </c>
      <c r="H67" s="1" t="s">
        <v>1036</v>
      </c>
      <c r="I67" s="1"/>
      <c r="J67" s="1"/>
      <c r="K67" s="1"/>
    </row>
    <row r="68" spans="1:13" x14ac:dyDescent="0.25">
      <c r="C68" s="1" t="s">
        <v>1030</v>
      </c>
      <c r="H68" s="1" t="s">
        <v>1037</v>
      </c>
      <c r="I68" s="1"/>
      <c r="J68" s="1"/>
      <c r="K68" s="1"/>
    </row>
    <row r="69" spans="1:13" x14ac:dyDescent="0.25">
      <c r="C69" s="1" t="s">
        <v>1031</v>
      </c>
      <c r="H69" s="1" t="s">
        <v>1038</v>
      </c>
      <c r="I69" s="1"/>
      <c r="J69" s="1"/>
      <c r="K69" s="1"/>
    </row>
    <row r="70" spans="1:13" x14ac:dyDescent="0.25">
      <c r="C70" s="1" t="s">
        <v>1032</v>
      </c>
    </row>
    <row r="72" spans="1:13" x14ac:dyDescent="0.25">
      <c r="A72" s="4" t="s">
        <v>1039</v>
      </c>
      <c r="C72" s="1" t="s">
        <v>1040</v>
      </c>
      <c r="H72" s="1" t="s">
        <v>993</v>
      </c>
      <c r="I72" s="1"/>
      <c r="J72" s="1"/>
      <c r="K72" s="1"/>
      <c r="M72" s="1" t="s">
        <v>946</v>
      </c>
    </row>
    <row r="73" spans="1:13" x14ac:dyDescent="0.25">
      <c r="C73" s="1" t="s">
        <v>1041</v>
      </c>
      <c r="H73" s="1" t="s">
        <v>1054</v>
      </c>
      <c r="I73" s="1"/>
      <c r="J73" s="1"/>
      <c r="K73" s="1"/>
    </row>
    <row r="74" spans="1:13" x14ac:dyDescent="0.25">
      <c r="C74" s="1" t="s">
        <v>1042</v>
      </c>
      <c r="H74" s="1" t="s">
        <v>1053</v>
      </c>
      <c r="I74" s="1"/>
      <c r="J74" s="1"/>
      <c r="K74" s="1"/>
    </row>
    <row r="75" spans="1:13" x14ac:dyDescent="0.25">
      <c r="C75" s="1" t="s">
        <v>1045</v>
      </c>
      <c r="H75" s="1" t="s">
        <v>1058</v>
      </c>
      <c r="I75" s="1"/>
      <c r="J75" s="1"/>
      <c r="K75" s="1"/>
    </row>
    <row r="76" spans="1:13" x14ac:dyDescent="0.25">
      <c r="C76" s="1" t="s">
        <v>1046</v>
      </c>
      <c r="H76" s="1" t="s">
        <v>1055</v>
      </c>
      <c r="I76" s="1"/>
      <c r="J76" s="1"/>
      <c r="K76" s="1"/>
    </row>
    <row r="77" spans="1:13" x14ac:dyDescent="0.25">
      <c r="C77" s="1" t="s">
        <v>1043</v>
      </c>
      <c r="H77" s="1" t="s">
        <v>1056</v>
      </c>
      <c r="I77" s="1"/>
      <c r="J77" s="1"/>
      <c r="K77" s="1"/>
    </row>
    <row r="78" spans="1:13" x14ac:dyDescent="0.25">
      <c r="C78" s="1" t="s">
        <v>1044</v>
      </c>
      <c r="H78" s="1" t="s">
        <v>1057</v>
      </c>
      <c r="I78" s="1"/>
      <c r="J78" s="1"/>
      <c r="K78" s="1"/>
    </row>
    <row r="79" spans="1:13" x14ac:dyDescent="0.25">
      <c r="C79" s="1" t="s">
        <v>1047</v>
      </c>
      <c r="H79" s="1" t="s">
        <v>1060</v>
      </c>
    </row>
    <row r="80" spans="1:13" x14ac:dyDescent="0.25">
      <c r="C80" s="1" t="s">
        <v>1048</v>
      </c>
      <c r="H80" s="1" t="s">
        <v>1059</v>
      </c>
    </row>
    <row r="81" spans="1:13" x14ac:dyDescent="0.25">
      <c r="C81" s="1" t="s">
        <v>1049</v>
      </c>
    </row>
    <row r="82" spans="1:13" x14ac:dyDescent="0.25">
      <c r="C82" s="1" t="s">
        <v>1050</v>
      </c>
    </row>
    <row r="83" spans="1:13" x14ac:dyDescent="0.25">
      <c r="C83" s="1" t="s">
        <v>1051</v>
      </c>
    </row>
    <row r="84" spans="1:13" x14ac:dyDescent="0.25">
      <c r="C84" s="1" t="s">
        <v>1052</v>
      </c>
    </row>
    <row r="86" spans="1:13" x14ac:dyDescent="0.25">
      <c r="A86" s="4" t="s">
        <v>1061</v>
      </c>
      <c r="C86" s="1" t="s">
        <v>1062</v>
      </c>
      <c r="D86" s="1"/>
      <c r="E86" s="1"/>
      <c r="F86" s="1"/>
      <c r="G86" s="1"/>
      <c r="H86" s="1" t="s">
        <v>1063</v>
      </c>
      <c r="I86" s="1"/>
      <c r="J86" s="1"/>
      <c r="K86" s="1"/>
      <c r="L86" s="1"/>
      <c r="M86" s="1" t="s">
        <v>946</v>
      </c>
    </row>
    <row r="87" spans="1:13" x14ac:dyDescent="0.25">
      <c r="C87" s="1" t="s">
        <v>1064</v>
      </c>
      <c r="D87" s="1"/>
      <c r="E87" s="1"/>
      <c r="F87" s="1"/>
      <c r="G87" s="1"/>
      <c r="H87" s="1" t="s">
        <v>1065</v>
      </c>
      <c r="I87" s="1"/>
      <c r="J87" s="1"/>
      <c r="K87" s="1"/>
      <c r="L87" s="1"/>
      <c r="M87" s="1"/>
    </row>
    <row r="88" spans="1:13" x14ac:dyDescent="0.25">
      <c r="C88" s="1" t="s">
        <v>1066</v>
      </c>
      <c r="D88" s="1"/>
      <c r="E88" s="1"/>
      <c r="F88" s="1"/>
      <c r="G88" s="1"/>
      <c r="H88" s="1" t="s">
        <v>1067</v>
      </c>
      <c r="I88" s="1"/>
      <c r="J88" s="1"/>
      <c r="K88" s="1"/>
      <c r="L88" s="1"/>
      <c r="M88" s="1"/>
    </row>
    <row r="89" spans="1:13" x14ac:dyDescent="0.25">
      <c r="C89" s="1" t="s">
        <v>1071</v>
      </c>
      <c r="D89" s="1"/>
      <c r="E89" s="1"/>
      <c r="F89" s="1"/>
      <c r="G89" s="1"/>
      <c r="H89" s="1" t="s">
        <v>1068</v>
      </c>
      <c r="I89" s="1"/>
      <c r="J89" s="1"/>
      <c r="K89" s="1"/>
      <c r="L89" s="1"/>
      <c r="M89" s="1"/>
    </row>
    <row r="90" spans="1:13" x14ac:dyDescent="0.25">
      <c r="C90" s="1" t="s">
        <v>1069</v>
      </c>
      <c r="D90" s="1"/>
      <c r="E90" s="1"/>
      <c r="F90" s="1"/>
      <c r="G90" s="1"/>
      <c r="H90" s="1" t="s">
        <v>1083</v>
      </c>
      <c r="I90" s="1"/>
      <c r="J90" s="1"/>
      <c r="K90" s="1"/>
      <c r="L90" s="1"/>
      <c r="M90" s="1"/>
    </row>
    <row r="91" spans="1:13" x14ac:dyDescent="0.25">
      <c r="C91" s="1" t="s">
        <v>1072</v>
      </c>
      <c r="D91" s="1"/>
      <c r="E91" s="1"/>
      <c r="F91" s="1"/>
      <c r="G91" s="1"/>
      <c r="H91" s="1" t="s">
        <v>1084</v>
      </c>
      <c r="I91" s="1"/>
      <c r="J91" s="1"/>
      <c r="K91" s="1"/>
      <c r="L91" s="1"/>
      <c r="M91" s="1"/>
    </row>
    <row r="92" spans="1:13" x14ac:dyDescent="0.25">
      <c r="C92" s="1" t="s">
        <v>1073</v>
      </c>
      <c r="D92" s="1"/>
      <c r="E92" s="1"/>
      <c r="F92" s="1"/>
      <c r="G92" s="1"/>
      <c r="H92" s="1" t="s">
        <v>1085</v>
      </c>
      <c r="I92" s="1"/>
      <c r="J92" s="1"/>
      <c r="K92" s="1"/>
      <c r="L92" s="1"/>
      <c r="M92" s="1"/>
    </row>
    <row r="93" spans="1:13" x14ac:dyDescent="0.25">
      <c r="C93" s="1" t="s">
        <v>1074</v>
      </c>
      <c r="D93" s="1"/>
      <c r="E93" s="1"/>
      <c r="F93" s="1"/>
      <c r="G93" s="1"/>
      <c r="H93" s="1" t="s">
        <v>1070</v>
      </c>
      <c r="I93" s="1"/>
      <c r="J93" s="1"/>
      <c r="K93" s="1"/>
      <c r="L93" s="1"/>
      <c r="M93" s="1"/>
    </row>
    <row r="94" spans="1:13" x14ac:dyDescent="0.25">
      <c r="C94" s="1" t="s">
        <v>1075</v>
      </c>
      <c r="D94" s="1"/>
      <c r="E94" s="1"/>
      <c r="F94" s="1"/>
      <c r="G94" s="1"/>
      <c r="H94" s="1" t="s">
        <v>1089</v>
      </c>
      <c r="I94" s="1"/>
      <c r="J94" s="1"/>
      <c r="K94" s="1"/>
      <c r="L94" s="1"/>
      <c r="M94" s="1"/>
    </row>
    <row r="95" spans="1:13" x14ac:dyDescent="0.25">
      <c r="C95" s="1" t="s">
        <v>1076</v>
      </c>
      <c r="D95" s="1"/>
      <c r="E95" s="1"/>
      <c r="F95" s="1"/>
      <c r="G95" s="1"/>
      <c r="H95" s="1" t="s">
        <v>1086</v>
      </c>
      <c r="I95" s="1"/>
      <c r="J95" s="1"/>
      <c r="K95" s="1"/>
      <c r="L95" s="1"/>
      <c r="M95" s="1"/>
    </row>
    <row r="96" spans="1:13" x14ac:dyDescent="0.25">
      <c r="C96" s="1" t="s">
        <v>1077</v>
      </c>
      <c r="D96" s="1"/>
      <c r="E96" s="1"/>
      <c r="F96" s="1"/>
      <c r="G96" s="1"/>
      <c r="H96" s="1" t="s">
        <v>1087</v>
      </c>
      <c r="I96" s="1"/>
      <c r="J96" s="1"/>
      <c r="K96" s="1"/>
      <c r="L96" s="1"/>
      <c r="M96" s="1"/>
    </row>
    <row r="97" spans="1:13" x14ac:dyDescent="0.25">
      <c r="C97" s="1" t="s">
        <v>1078</v>
      </c>
      <c r="D97" s="1"/>
      <c r="E97" s="1"/>
      <c r="F97" s="1"/>
      <c r="G97" s="1"/>
      <c r="H97" s="1" t="s">
        <v>1088</v>
      </c>
      <c r="I97" s="1"/>
      <c r="J97" s="1"/>
      <c r="K97" s="1"/>
      <c r="L97" s="1"/>
      <c r="M97" s="1"/>
    </row>
    <row r="98" spans="1:13" x14ac:dyDescent="0.25">
      <c r="C98" s="1" t="s">
        <v>1079</v>
      </c>
      <c r="D98" s="1"/>
      <c r="E98" s="1"/>
      <c r="F98" s="1"/>
      <c r="G98" s="1"/>
      <c r="H98" s="82" t="s">
        <v>1090</v>
      </c>
      <c r="I98" s="1"/>
      <c r="J98" s="1"/>
      <c r="K98" s="1"/>
      <c r="L98" s="1"/>
      <c r="M98" s="1"/>
    </row>
    <row r="99" spans="1:13" x14ac:dyDescent="0.25">
      <c r="C99" s="1" t="s">
        <v>1080</v>
      </c>
      <c r="D99" s="1"/>
      <c r="E99" s="1"/>
      <c r="F99" s="1"/>
      <c r="G99" s="1"/>
      <c r="H99" s="1" t="s">
        <v>1091</v>
      </c>
      <c r="I99" s="1"/>
      <c r="J99" s="1"/>
      <c r="K99" s="1"/>
      <c r="L99" s="1"/>
      <c r="M99" s="1"/>
    </row>
    <row r="100" spans="1:13" x14ac:dyDescent="0.25">
      <c r="C100" s="1" t="s">
        <v>1081</v>
      </c>
      <c r="D100" s="1"/>
      <c r="E100" s="1"/>
      <c r="F100" s="1"/>
      <c r="G100" s="1"/>
      <c r="H100" s="1" t="s">
        <v>1093</v>
      </c>
      <c r="I100" s="1"/>
      <c r="J100" s="1"/>
      <c r="K100" s="1"/>
      <c r="L100" s="1"/>
      <c r="M100" s="1"/>
    </row>
    <row r="101" spans="1:13" x14ac:dyDescent="0.25">
      <c r="C101" s="4" t="s">
        <v>1082</v>
      </c>
      <c r="D101" s="1"/>
      <c r="E101" s="1"/>
      <c r="F101" s="1"/>
      <c r="G101" s="1"/>
      <c r="H101" s="1" t="s">
        <v>1092</v>
      </c>
      <c r="I101" s="1"/>
      <c r="J101" s="1"/>
      <c r="K101" s="1"/>
      <c r="L101" s="1"/>
      <c r="M101" s="1"/>
    </row>
    <row r="103" spans="1:13" x14ac:dyDescent="0.25">
      <c r="A103" s="4" t="s">
        <v>1094</v>
      </c>
      <c r="C103" s="1" t="s">
        <v>1096</v>
      </c>
      <c r="H103" s="1" t="s">
        <v>946</v>
      </c>
      <c r="M103" s="4" t="s">
        <v>938</v>
      </c>
    </row>
    <row r="104" spans="1:13" x14ac:dyDescent="0.25">
      <c r="A104" s="4" t="s">
        <v>1095</v>
      </c>
      <c r="C104" s="1" t="s">
        <v>1099</v>
      </c>
      <c r="M104" s="4" t="s">
        <v>958</v>
      </c>
    </row>
    <row r="105" spans="1:13" x14ac:dyDescent="0.25">
      <c r="C105" s="1" t="s">
        <v>1097</v>
      </c>
      <c r="M105" s="4" t="s">
        <v>974</v>
      </c>
    </row>
    <row r="106" spans="1:13" x14ac:dyDescent="0.25">
      <c r="C106" s="1" t="s">
        <v>1098</v>
      </c>
      <c r="M106" s="4" t="s">
        <v>991</v>
      </c>
    </row>
    <row r="107" spans="1:13" x14ac:dyDescent="0.25">
      <c r="C107" s="1" t="s">
        <v>943</v>
      </c>
      <c r="M107" s="4" t="s">
        <v>1006</v>
      </c>
    </row>
    <row r="108" spans="1:13" x14ac:dyDescent="0.25">
      <c r="C108" s="1" t="s">
        <v>944</v>
      </c>
      <c r="M108" s="4" t="s">
        <v>1025</v>
      </c>
    </row>
    <row r="109" spans="1:13" x14ac:dyDescent="0.25">
      <c r="C109" s="82" t="s">
        <v>945</v>
      </c>
      <c r="M109" s="83" t="s">
        <v>1039</v>
      </c>
    </row>
    <row r="110" spans="1:13" x14ac:dyDescent="0.25">
      <c r="C110" s="1" t="s">
        <v>1218</v>
      </c>
      <c r="M110" s="4" t="s">
        <v>1061</v>
      </c>
    </row>
    <row r="111" spans="1:13" x14ac:dyDescent="0.25">
      <c r="C111" s="1" t="s">
        <v>1219</v>
      </c>
    </row>
    <row r="112" spans="1:13" x14ac:dyDescent="0.25">
      <c r="C112" s="4" t="s">
        <v>1220</v>
      </c>
    </row>
    <row r="113" spans="3:3" x14ac:dyDescent="0.25">
      <c r="C113" s="1" t="s">
        <v>1221</v>
      </c>
    </row>
    <row r="114" spans="3:3" x14ac:dyDescent="0.25">
      <c r="C114" s="1" t="s">
        <v>1222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pane ySplit="5" topLeftCell="A26" activePane="bottomLeft" state="frozen"/>
      <selection pane="bottomLeft" activeCell="S51" sqref="S51"/>
    </sheetView>
  </sheetViews>
  <sheetFormatPr defaultRowHeight="15" x14ac:dyDescent="0.25"/>
  <cols>
    <col min="1" max="4" width="9.140625" customWidth="1"/>
  </cols>
  <sheetData>
    <row r="1" spans="1:18" x14ac:dyDescent="0.25">
      <c r="A1" s="2" t="s">
        <v>1101</v>
      </c>
      <c r="B1" s="2"/>
      <c r="C1" s="2"/>
      <c r="D1" s="2"/>
    </row>
    <row r="2" spans="1:18" x14ac:dyDescent="0.25">
      <c r="A2" s="4" t="s">
        <v>1102</v>
      </c>
    </row>
    <row r="3" spans="1:18" x14ac:dyDescent="0.25">
      <c r="A3" s="4" t="s">
        <v>1103</v>
      </c>
      <c r="G3" s="2" t="s">
        <v>1104</v>
      </c>
    </row>
    <row r="4" spans="1:18" x14ac:dyDescent="0.25">
      <c r="A4" s="4"/>
      <c r="G4" s="2"/>
    </row>
    <row r="5" spans="1:18" x14ac:dyDescent="0.25">
      <c r="A5" s="2" t="s">
        <v>1105</v>
      </c>
      <c r="B5" s="2"/>
      <c r="C5" s="2"/>
      <c r="D5" s="2"/>
      <c r="E5" s="2" t="s">
        <v>1113</v>
      </c>
      <c r="G5" s="2" t="s">
        <v>1115</v>
      </c>
      <c r="L5" s="2" t="s">
        <v>1116</v>
      </c>
      <c r="O5" s="2"/>
    </row>
    <row r="7" spans="1:18" x14ac:dyDescent="0.25">
      <c r="A7" s="1" t="s">
        <v>1143</v>
      </c>
      <c r="B7" s="1"/>
      <c r="C7" s="1"/>
      <c r="D7" s="1"/>
      <c r="E7" s="1" t="s">
        <v>1106</v>
      </c>
      <c r="F7" s="1"/>
      <c r="G7" s="1" t="s">
        <v>1107</v>
      </c>
      <c r="H7" s="1"/>
      <c r="I7" s="1"/>
      <c r="J7" s="1"/>
      <c r="K7" s="1"/>
      <c r="L7" s="1" t="s">
        <v>1114</v>
      </c>
      <c r="M7" s="1"/>
      <c r="N7" s="1"/>
      <c r="O7" s="1"/>
      <c r="P7" s="1"/>
      <c r="Q7" s="1"/>
      <c r="R7" s="1"/>
    </row>
    <row r="8" spans="1:18" x14ac:dyDescent="0.25">
      <c r="A8" s="1"/>
      <c r="B8" s="1"/>
      <c r="C8" s="1"/>
      <c r="D8" s="1"/>
      <c r="E8" s="1" t="s">
        <v>1108</v>
      </c>
      <c r="F8" s="1"/>
      <c r="G8" s="1" t="s">
        <v>1109</v>
      </c>
      <c r="H8" s="1"/>
      <c r="I8" s="1"/>
      <c r="J8" s="1"/>
      <c r="K8" s="1"/>
      <c r="L8" s="1" t="s">
        <v>1110</v>
      </c>
      <c r="M8" s="1"/>
      <c r="N8" s="1"/>
      <c r="O8" s="1"/>
      <c r="P8" s="1"/>
      <c r="Q8" s="1"/>
      <c r="R8" s="1"/>
    </row>
    <row r="9" spans="1:18" x14ac:dyDescent="0.25">
      <c r="A9" s="1"/>
      <c r="B9" s="1"/>
      <c r="C9" s="1"/>
      <c r="D9" s="1"/>
      <c r="E9" s="1"/>
      <c r="F9" s="1"/>
      <c r="G9" s="1"/>
      <c r="H9" s="1"/>
      <c r="I9" s="1"/>
      <c r="J9" s="1"/>
      <c r="K9" s="1"/>
      <c r="L9" s="1"/>
      <c r="M9" s="1"/>
      <c r="N9" s="1"/>
      <c r="O9" s="1"/>
      <c r="P9" s="1"/>
      <c r="Q9" s="1"/>
      <c r="R9" s="1"/>
    </row>
    <row r="10" spans="1:18" x14ac:dyDescent="0.25">
      <c r="A10" s="1" t="s">
        <v>1144</v>
      </c>
      <c r="B10" s="1"/>
      <c r="C10" s="1"/>
      <c r="D10" s="1"/>
      <c r="E10" s="1" t="s">
        <v>1106</v>
      </c>
      <c r="F10" s="1"/>
      <c r="G10" s="1" t="s">
        <v>1111</v>
      </c>
      <c r="H10" s="1"/>
      <c r="I10" s="1"/>
      <c r="J10" s="1"/>
      <c r="K10" s="1"/>
      <c r="L10" s="1" t="s">
        <v>1112</v>
      </c>
      <c r="M10" s="1"/>
      <c r="N10" s="1"/>
      <c r="O10" s="1"/>
      <c r="P10" s="1"/>
      <c r="Q10" s="1"/>
      <c r="R10" s="1"/>
    </row>
    <row r="11" spans="1:18" x14ac:dyDescent="0.25">
      <c r="A11" s="1"/>
      <c r="B11" s="1"/>
      <c r="C11" s="1"/>
      <c r="D11" s="1"/>
      <c r="E11" s="1" t="s">
        <v>1108</v>
      </c>
      <c r="F11" s="1"/>
      <c r="G11" s="1" t="s">
        <v>1109</v>
      </c>
      <c r="H11" s="1"/>
      <c r="I11" s="1"/>
      <c r="J11" s="1"/>
      <c r="K11" s="1"/>
      <c r="L11" s="1" t="s">
        <v>1110</v>
      </c>
      <c r="M11" s="1"/>
      <c r="N11" s="1"/>
      <c r="O11" s="1"/>
      <c r="P11" s="1"/>
      <c r="Q11" s="1"/>
      <c r="R11" s="1"/>
    </row>
    <row r="13" spans="1:18" x14ac:dyDescent="0.25">
      <c r="A13" s="1" t="s">
        <v>1145</v>
      </c>
      <c r="B13" s="1"/>
      <c r="C13" s="1"/>
      <c r="D13" s="1"/>
      <c r="E13" s="1" t="s">
        <v>1106</v>
      </c>
      <c r="F13" s="1"/>
      <c r="G13" s="1" t="s">
        <v>1124</v>
      </c>
      <c r="H13" s="1"/>
      <c r="I13" s="1"/>
      <c r="J13" s="1"/>
      <c r="K13" s="1"/>
      <c r="L13" s="1" t="s">
        <v>1122</v>
      </c>
      <c r="M13" s="84" t="s">
        <v>1121</v>
      </c>
      <c r="N13" s="32"/>
      <c r="O13" s="32"/>
      <c r="P13" s="32"/>
      <c r="Q13" s="32"/>
    </row>
    <row r="14" spans="1:18" x14ac:dyDescent="0.25">
      <c r="A14" s="1" t="s">
        <v>1117</v>
      </c>
      <c r="B14" s="1"/>
      <c r="C14" s="1"/>
      <c r="D14" s="1"/>
      <c r="E14" s="1" t="s">
        <v>1108</v>
      </c>
      <c r="F14" s="1"/>
      <c r="G14" s="1" t="s">
        <v>1118</v>
      </c>
      <c r="H14" s="1"/>
      <c r="I14" s="1"/>
      <c r="J14" s="1"/>
      <c r="L14" s="1" t="s">
        <v>1110</v>
      </c>
    </row>
    <row r="15" spans="1:18" x14ac:dyDescent="0.25">
      <c r="A15" s="1" t="s">
        <v>1119</v>
      </c>
      <c r="B15" s="1"/>
      <c r="C15" s="1"/>
      <c r="D15" s="1"/>
      <c r="E15" s="1" t="s">
        <v>1120</v>
      </c>
      <c r="F15" s="1"/>
      <c r="G15" s="1" t="s">
        <v>8</v>
      </c>
      <c r="H15" s="1"/>
      <c r="I15" s="1"/>
      <c r="J15" s="1"/>
      <c r="L15" s="1" t="s">
        <v>1123</v>
      </c>
    </row>
    <row r="17" spans="1:18" x14ac:dyDescent="0.25">
      <c r="A17" s="1" t="s">
        <v>1125</v>
      </c>
      <c r="B17" s="1"/>
      <c r="C17" s="1"/>
      <c r="D17" s="1"/>
      <c r="E17" s="1" t="s">
        <v>1106</v>
      </c>
      <c r="F17" s="1"/>
      <c r="G17" s="1" t="s">
        <v>1124</v>
      </c>
      <c r="H17" s="1"/>
      <c r="I17" s="1"/>
      <c r="J17" s="1"/>
      <c r="K17" s="1"/>
      <c r="L17" s="1" t="s">
        <v>1129</v>
      </c>
      <c r="M17" s="1"/>
      <c r="N17" s="1"/>
      <c r="O17" s="1"/>
      <c r="P17" s="1"/>
    </row>
    <row r="18" spans="1:18" x14ac:dyDescent="0.25">
      <c r="A18" s="1" t="s">
        <v>1117</v>
      </c>
      <c r="B18" s="1"/>
      <c r="C18" s="1"/>
      <c r="D18" s="1"/>
      <c r="E18" s="1" t="s">
        <v>1108</v>
      </c>
      <c r="F18" s="1"/>
      <c r="G18" s="1" t="s">
        <v>1126</v>
      </c>
      <c r="H18" s="1"/>
      <c r="I18" s="1"/>
      <c r="J18" s="1"/>
      <c r="K18" s="1"/>
      <c r="L18" s="1" t="s">
        <v>1110</v>
      </c>
      <c r="M18" s="1"/>
      <c r="N18" s="1"/>
      <c r="O18" s="1"/>
      <c r="P18" s="1"/>
    </row>
    <row r="19" spans="1:18" x14ac:dyDescent="0.25">
      <c r="A19" s="1" t="s">
        <v>1119</v>
      </c>
      <c r="B19" s="1"/>
      <c r="C19" s="1"/>
      <c r="D19" s="1"/>
      <c r="E19" s="1" t="s">
        <v>1120</v>
      </c>
      <c r="F19" s="1"/>
      <c r="G19" s="1" t="s">
        <v>1127</v>
      </c>
      <c r="H19" s="1"/>
      <c r="I19" s="1"/>
      <c r="J19" s="1"/>
      <c r="K19" s="1"/>
      <c r="L19" s="1" t="s">
        <v>1128</v>
      </c>
      <c r="M19" s="1"/>
      <c r="N19" s="1"/>
      <c r="O19" s="1"/>
      <c r="P19" s="1"/>
    </row>
    <row r="20" spans="1:18" x14ac:dyDescent="0.25">
      <c r="E20" s="1"/>
    </row>
    <row r="21" spans="1:18" x14ac:dyDescent="0.25">
      <c r="A21" s="1" t="s">
        <v>1130</v>
      </c>
      <c r="B21" s="1"/>
      <c r="C21" s="1"/>
      <c r="E21" s="1" t="s">
        <v>1106</v>
      </c>
      <c r="F21" s="1"/>
      <c r="G21" s="1" t="s">
        <v>1111</v>
      </c>
      <c r="H21" s="1"/>
      <c r="I21" s="1"/>
      <c r="J21" s="1"/>
      <c r="K21" s="1"/>
      <c r="L21" s="1" t="s">
        <v>1112</v>
      </c>
      <c r="M21" s="1"/>
    </row>
    <row r="22" spans="1:18" x14ac:dyDescent="0.25">
      <c r="A22" s="1" t="s">
        <v>1131</v>
      </c>
      <c r="B22" s="1"/>
      <c r="C22" s="1"/>
      <c r="E22" s="1" t="s">
        <v>1108</v>
      </c>
      <c r="F22" s="1"/>
      <c r="G22" s="1" t="s">
        <v>1132</v>
      </c>
      <c r="H22" s="1"/>
      <c r="I22" s="1"/>
      <c r="J22" s="1"/>
      <c r="K22" s="1"/>
      <c r="L22" s="1" t="s">
        <v>1110</v>
      </c>
      <c r="M22" s="1"/>
      <c r="N22" s="1"/>
      <c r="P22" s="1"/>
    </row>
    <row r="23" spans="1:18" x14ac:dyDescent="0.25">
      <c r="A23" s="1"/>
      <c r="B23" s="1"/>
      <c r="C23" s="1"/>
      <c r="D23" s="1"/>
      <c r="E23" s="1"/>
      <c r="G23" s="1" t="s">
        <v>1133</v>
      </c>
      <c r="H23" s="1"/>
      <c r="I23" s="1"/>
      <c r="J23" s="1"/>
      <c r="K23" s="1"/>
      <c r="L23" s="1"/>
      <c r="M23" s="1"/>
    </row>
    <row r="24" spans="1:18" x14ac:dyDescent="0.25">
      <c r="E24" s="1"/>
      <c r="F24" s="1"/>
      <c r="G24" s="1" t="s">
        <v>1134</v>
      </c>
      <c r="H24" s="1"/>
      <c r="I24" s="1"/>
    </row>
    <row r="25" spans="1:18" x14ac:dyDescent="0.25">
      <c r="E25" s="1"/>
      <c r="F25" s="1"/>
      <c r="G25" s="1"/>
      <c r="H25" s="1"/>
      <c r="I25" s="1"/>
    </row>
    <row r="26" spans="1:18" x14ac:dyDescent="0.25">
      <c r="A26" s="1" t="s">
        <v>1135</v>
      </c>
      <c r="B26" s="1"/>
      <c r="C26" s="1"/>
      <c r="E26" s="1" t="s">
        <v>1106</v>
      </c>
      <c r="F26" s="1"/>
      <c r="G26" s="1" t="s">
        <v>1111</v>
      </c>
      <c r="H26" s="1"/>
      <c r="I26" s="1"/>
      <c r="J26" s="1"/>
      <c r="L26" s="1" t="s">
        <v>1112</v>
      </c>
    </row>
    <row r="27" spans="1:18" x14ac:dyDescent="0.25">
      <c r="A27" s="1" t="s">
        <v>1136</v>
      </c>
      <c r="B27" s="1"/>
      <c r="C27" s="1"/>
      <c r="E27" s="1" t="s">
        <v>1108</v>
      </c>
      <c r="F27" s="1"/>
      <c r="G27" s="1" t="s">
        <v>1139</v>
      </c>
      <c r="H27" s="1"/>
      <c r="I27" s="1"/>
      <c r="J27" s="1"/>
      <c r="K27" s="1"/>
      <c r="L27" s="1" t="s">
        <v>1110</v>
      </c>
      <c r="M27" s="1"/>
      <c r="O27" s="1"/>
    </row>
    <row r="28" spans="1:18" x14ac:dyDescent="0.25">
      <c r="A28" s="1" t="s">
        <v>1138</v>
      </c>
      <c r="B28" s="1"/>
      <c r="C28" s="1"/>
      <c r="E28" s="1" t="s">
        <v>1120</v>
      </c>
      <c r="F28" s="1"/>
      <c r="G28" s="1" t="s">
        <v>1137</v>
      </c>
      <c r="H28" s="1"/>
      <c r="I28" s="1"/>
      <c r="J28" s="1"/>
      <c r="K28" s="1"/>
      <c r="L28" s="1" t="s">
        <v>1122</v>
      </c>
      <c r="M28" s="84" t="s">
        <v>1140</v>
      </c>
      <c r="N28" s="1"/>
      <c r="O28" s="1"/>
      <c r="P28" s="1"/>
    </row>
    <row r="29" spans="1:18" x14ac:dyDescent="0.25">
      <c r="A29" s="1"/>
      <c r="B29" s="1"/>
      <c r="C29" s="1"/>
      <c r="E29" s="1"/>
      <c r="F29" s="1"/>
      <c r="G29" s="1"/>
      <c r="H29" s="1"/>
      <c r="I29" s="1"/>
      <c r="J29" s="1"/>
      <c r="K29" s="1"/>
      <c r="L29" s="1"/>
      <c r="M29" s="84"/>
      <c r="N29" s="1"/>
      <c r="O29" s="1"/>
      <c r="P29" s="1"/>
    </row>
    <row r="30" spans="1:18" x14ac:dyDescent="0.25">
      <c r="A30" s="1" t="s">
        <v>1159</v>
      </c>
      <c r="B30" s="1"/>
      <c r="C30" s="1"/>
      <c r="E30" s="1" t="s">
        <v>1106</v>
      </c>
      <c r="F30" s="1"/>
      <c r="G30" s="1" t="s">
        <v>1111</v>
      </c>
      <c r="H30" s="1"/>
      <c r="I30" s="1"/>
      <c r="J30" s="1"/>
      <c r="K30" s="1"/>
      <c r="L30" s="1" t="s">
        <v>1112</v>
      </c>
      <c r="M30" s="1"/>
      <c r="N30" s="1"/>
      <c r="O30" s="1"/>
      <c r="P30" s="1"/>
      <c r="Q30" s="1"/>
      <c r="R30" s="1"/>
    </row>
    <row r="31" spans="1:18" x14ac:dyDescent="0.25">
      <c r="A31" s="1" t="s">
        <v>1160</v>
      </c>
      <c r="B31" s="1"/>
      <c r="C31" s="1"/>
      <c r="E31" s="1" t="s">
        <v>1108</v>
      </c>
      <c r="F31" s="1"/>
      <c r="G31" s="1" t="s">
        <v>1141</v>
      </c>
      <c r="H31" s="1"/>
      <c r="I31" s="1"/>
      <c r="J31" s="1"/>
      <c r="K31" s="1"/>
      <c r="L31" s="1" t="s">
        <v>1110</v>
      </c>
      <c r="M31" s="1"/>
      <c r="N31" s="1"/>
      <c r="O31" s="1"/>
      <c r="P31" s="1"/>
      <c r="Q31" s="1"/>
      <c r="R31" s="1"/>
    </row>
    <row r="32" spans="1:18" x14ac:dyDescent="0.25">
      <c r="A32" s="1"/>
      <c r="B32" s="1"/>
      <c r="C32" s="1"/>
      <c r="E32" s="1" t="s">
        <v>1120</v>
      </c>
      <c r="F32" s="1"/>
      <c r="G32" s="1" t="s">
        <v>1142</v>
      </c>
      <c r="H32" s="1"/>
      <c r="I32" s="1"/>
      <c r="J32" s="1"/>
      <c r="K32" s="1"/>
      <c r="L32" s="1" t="s">
        <v>1162</v>
      </c>
      <c r="M32" s="1"/>
      <c r="N32" s="1"/>
      <c r="O32" s="1"/>
      <c r="P32" s="1"/>
      <c r="Q32" s="1"/>
      <c r="R32" s="1"/>
    </row>
    <row r="34" spans="1:17" x14ac:dyDescent="0.25">
      <c r="A34" s="1" t="s">
        <v>390</v>
      </c>
      <c r="B34" s="1"/>
      <c r="C34" s="1"/>
      <c r="E34" s="1" t="s">
        <v>1106</v>
      </c>
      <c r="F34" s="1"/>
      <c r="G34" s="1" t="s">
        <v>1111</v>
      </c>
      <c r="H34" s="1"/>
      <c r="I34" s="1"/>
      <c r="J34" s="1"/>
      <c r="K34" s="1"/>
      <c r="L34" s="1" t="s">
        <v>1112</v>
      </c>
      <c r="N34" s="1"/>
      <c r="O34" s="1"/>
      <c r="P34" s="1"/>
      <c r="Q34" s="1"/>
    </row>
    <row r="35" spans="1:17" x14ac:dyDescent="0.25">
      <c r="A35" s="1" t="s">
        <v>1146</v>
      </c>
      <c r="B35" s="1"/>
      <c r="C35" s="1"/>
      <c r="E35" s="1" t="s">
        <v>1108</v>
      </c>
      <c r="F35" s="1"/>
      <c r="G35" s="1" t="s">
        <v>1157</v>
      </c>
      <c r="H35" s="1"/>
      <c r="I35" s="1"/>
      <c r="J35" s="1"/>
      <c r="K35" s="1"/>
      <c r="L35" s="1" t="s">
        <v>1110</v>
      </c>
      <c r="N35" s="1"/>
      <c r="O35" s="1"/>
      <c r="P35" s="1"/>
      <c r="Q35" s="1"/>
    </row>
    <row r="36" spans="1:17" x14ac:dyDescent="0.25">
      <c r="A36" s="1" t="s">
        <v>1161</v>
      </c>
      <c r="B36" s="1"/>
      <c r="C36" s="1"/>
      <c r="E36" s="1" t="s">
        <v>1120</v>
      </c>
      <c r="F36" s="1"/>
      <c r="G36" s="1" t="s">
        <v>1158</v>
      </c>
      <c r="H36" s="1"/>
      <c r="I36" s="1"/>
      <c r="J36" s="1"/>
      <c r="K36" s="1"/>
      <c r="L36" s="1" t="s">
        <v>1147</v>
      </c>
      <c r="N36" s="1"/>
      <c r="O36" s="1"/>
      <c r="P36" s="1"/>
      <c r="Q36" s="1"/>
    </row>
    <row r="37" spans="1:17" x14ac:dyDescent="0.25">
      <c r="A37" s="1"/>
      <c r="B37" s="1"/>
      <c r="C37" s="1"/>
      <c r="E37" s="1"/>
      <c r="F37" s="1"/>
      <c r="G37" s="1"/>
      <c r="H37" s="1"/>
      <c r="I37" s="1"/>
      <c r="J37" s="1"/>
      <c r="K37" s="1"/>
      <c r="L37" s="1"/>
      <c r="N37" s="1"/>
      <c r="O37" s="1"/>
      <c r="P37" s="1"/>
      <c r="Q37" s="1"/>
    </row>
    <row r="38" spans="1:17" x14ac:dyDescent="0.25">
      <c r="A38" s="1" t="s">
        <v>1148</v>
      </c>
      <c r="B38" s="1"/>
      <c r="C38" s="1"/>
      <c r="E38" s="1" t="s">
        <v>1106</v>
      </c>
      <c r="F38" s="1"/>
      <c r="G38" s="1" t="s">
        <v>1111</v>
      </c>
      <c r="H38" s="1"/>
      <c r="I38" s="1"/>
      <c r="J38" s="1"/>
      <c r="K38" s="1"/>
      <c r="L38" s="1" t="s">
        <v>1112</v>
      </c>
      <c r="N38" s="1"/>
      <c r="O38" s="1"/>
      <c r="P38" s="1"/>
      <c r="Q38" s="1"/>
    </row>
    <row r="39" spans="1:17" x14ac:dyDescent="0.25">
      <c r="A39" s="1" t="s">
        <v>1149</v>
      </c>
      <c r="B39" s="1"/>
      <c r="C39" s="1"/>
      <c r="E39" s="1" t="s">
        <v>1108</v>
      </c>
      <c r="F39" s="1"/>
      <c r="G39" s="1" t="s">
        <v>1150</v>
      </c>
      <c r="H39" s="1"/>
      <c r="I39" s="1"/>
      <c r="J39" s="1"/>
      <c r="K39" s="1"/>
      <c r="L39" s="1" t="s">
        <v>1110</v>
      </c>
      <c r="N39" s="1"/>
      <c r="O39" s="1"/>
      <c r="P39" s="1"/>
      <c r="Q39" s="1"/>
    </row>
    <row r="40" spans="1:17" x14ac:dyDescent="0.25">
      <c r="A40" s="1" t="s">
        <v>1151</v>
      </c>
      <c r="B40" s="1"/>
      <c r="C40" s="1"/>
      <c r="E40" s="1" t="s">
        <v>1120</v>
      </c>
      <c r="F40" s="1"/>
      <c r="G40" s="1" t="s">
        <v>1152</v>
      </c>
      <c r="H40" s="1"/>
      <c r="I40" s="1"/>
      <c r="J40" s="1"/>
      <c r="K40" s="1"/>
      <c r="L40" s="1" t="s">
        <v>1163</v>
      </c>
      <c r="N40" s="1"/>
      <c r="O40" s="1"/>
      <c r="P40" s="1"/>
      <c r="Q40" s="1"/>
    </row>
    <row r="41" spans="1:17" x14ac:dyDescent="0.25">
      <c r="A41" s="1"/>
      <c r="B41" s="1"/>
      <c r="C41" s="1"/>
      <c r="E41" s="1"/>
      <c r="F41" s="1"/>
      <c r="G41" s="1"/>
      <c r="H41" s="1"/>
      <c r="I41" s="1"/>
      <c r="J41" s="1"/>
      <c r="K41" s="1"/>
      <c r="M41" s="1"/>
      <c r="N41" s="1"/>
      <c r="O41" s="1"/>
      <c r="P41" s="1"/>
      <c r="Q41" s="1"/>
    </row>
    <row r="42" spans="1:17" x14ac:dyDescent="0.25">
      <c r="A42" s="1" t="s">
        <v>1153</v>
      </c>
      <c r="B42" s="1"/>
      <c r="C42" s="1"/>
      <c r="E42" s="1" t="s">
        <v>1106</v>
      </c>
      <c r="F42" s="1"/>
      <c r="G42" s="1" t="s">
        <v>1111</v>
      </c>
      <c r="H42" s="1"/>
      <c r="I42" s="1"/>
      <c r="J42" s="1"/>
      <c r="K42" s="1"/>
      <c r="L42" s="1" t="s">
        <v>1112</v>
      </c>
      <c r="N42" s="1"/>
      <c r="O42" s="1"/>
      <c r="P42" s="1"/>
      <c r="Q42" s="1"/>
    </row>
    <row r="43" spans="1:17" x14ac:dyDescent="0.25">
      <c r="A43" s="1" t="s">
        <v>1136</v>
      </c>
      <c r="B43" s="1"/>
      <c r="C43" s="1"/>
      <c r="E43" s="1" t="s">
        <v>1108</v>
      </c>
      <c r="F43" s="1"/>
      <c r="G43" s="1" t="s">
        <v>1166</v>
      </c>
      <c r="H43" s="1"/>
      <c r="I43" s="1"/>
      <c r="J43" s="1"/>
      <c r="K43" s="1"/>
      <c r="L43" s="1" t="s">
        <v>1110</v>
      </c>
      <c r="N43" s="1"/>
      <c r="O43" s="1"/>
      <c r="P43" s="1"/>
      <c r="Q43" s="1"/>
    </row>
    <row r="44" spans="1:17" x14ac:dyDescent="0.25">
      <c r="A44" s="1" t="s">
        <v>1154</v>
      </c>
      <c r="B44" s="1"/>
      <c r="C44" s="1"/>
      <c r="E44" s="1" t="s">
        <v>1120</v>
      </c>
      <c r="F44" s="1"/>
      <c r="G44" s="1" t="s">
        <v>1155</v>
      </c>
      <c r="H44" s="1"/>
      <c r="I44" s="1"/>
      <c r="J44" s="1"/>
      <c r="K44" s="1"/>
      <c r="L44" s="1" t="s">
        <v>1156</v>
      </c>
      <c r="N44" s="1"/>
      <c r="O44" s="1"/>
      <c r="P44" s="1"/>
      <c r="Q44" s="1"/>
    </row>
    <row r="46" spans="1:17" x14ac:dyDescent="0.25">
      <c r="A46" s="1" t="s">
        <v>1164</v>
      </c>
      <c r="B46" s="1"/>
      <c r="E46" s="1" t="s">
        <v>1106</v>
      </c>
      <c r="F46" s="1"/>
      <c r="G46" s="1" t="s">
        <v>1111</v>
      </c>
      <c r="H46" s="1"/>
      <c r="I46" s="1"/>
      <c r="J46" s="1"/>
      <c r="K46" s="1"/>
      <c r="L46" s="1" t="s">
        <v>1112</v>
      </c>
      <c r="M46" s="1"/>
      <c r="N46" s="1"/>
      <c r="O46" s="1"/>
      <c r="P46" s="1"/>
    </row>
    <row r="47" spans="1:17" x14ac:dyDescent="0.25">
      <c r="A47" s="1" t="s">
        <v>1165</v>
      </c>
      <c r="B47" s="1"/>
      <c r="E47" s="1" t="s">
        <v>1108</v>
      </c>
      <c r="F47" s="1"/>
      <c r="G47" s="1" t="s">
        <v>1167</v>
      </c>
      <c r="H47" s="1"/>
      <c r="I47" s="1"/>
      <c r="J47" s="1"/>
      <c r="K47" s="1"/>
      <c r="L47" s="1" t="s">
        <v>1110</v>
      </c>
      <c r="M47" s="1"/>
      <c r="N47" s="1"/>
      <c r="O47" s="1"/>
      <c r="P47" s="1"/>
    </row>
    <row r="49" spans="1:16" x14ac:dyDescent="0.25">
      <c r="A49" s="1" t="s">
        <v>1168</v>
      </c>
      <c r="G49" s="1" t="s">
        <v>1170</v>
      </c>
      <c r="L49" s="1" t="s">
        <v>1172</v>
      </c>
    </row>
    <row r="50" spans="1:16" x14ac:dyDescent="0.25">
      <c r="A50" s="1" t="s">
        <v>1169</v>
      </c>
      <c r="G50" s="1" t="s">
        <v>1171</v>
      </c>
    </row>
    <row r="52" spans="1:16" x14ac:dyDescent="0.25">
      <c r="A52" s="1" t="s">
        <v>1173</v>
      </c>
      <c r="G52" s="1" t="s">
        <v>1174</v>
      </c>
      <c r="L52" s="1" t="s">
        <v>1172</v>
      </c>
    </row>
    <row r="53" spans="1:16" x14ac:dyDescent="0.25">
      <c r="A53" s="1" t="s">
        <v>1169</v>
      </c>
      <c r="G53" s="1" t="s">
        <v>1171</v>
      </c>
    </row>
    <row r="55" spans="1:16" x14ac:dyDescent="0.25">
      <c r="A55" s="1" t="s">
        <v>1175</v>
      </c>
      <c r="G55" s="1" t="s">
        <v>1146</v>
      </c>
      <c r="L55" s="1" t="s">
        <v>1172</v>
      </c>
    </row>
    <row r="56" spans="1:16" x14ac:dyDescent="0.25">
      <c r="A56" s="1" t="s">
        <v>1169</v>
      </c>
      <c r="G56" s="1" t="s">
        <v>1171</v>
      </c>
      <c r="L56" s="1" t="s">
        <v>1122</v>
      </c>
      <c r="M56" s="84" t="s">
        <v>1176</v>
      </c>
      <c r="N56" s="1"/>
      <c r="O56" s="1"/>
      <c r="P56" s="32"/>
    </row>
  </sheetData>
  <hyperlinks>
    <hyperlink ref="M13" r:id="rId1"/>
    <hyperlink ref="M28" r:id="rId2"/>
    <hyperlink ref="M56" r:id="rId3"/>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25"/>
  <sheetViews>
    <sheetView zoomScaleNormal="100" workbookViewId="0">
      <pane xSplit="1" ySplit="7" topLeftCell="AS212" activePane="bottomRight" state="frozen"/>
      <selection pane="topRight" activeCell="B1" sqref="B1"/>
      <selection pane="bottomLeft" activeCell="A8" sqref="A8"/>
      <selection pane="bottomRight" activeCell="BB229" sqref="BB229"/>
    </sheetView>
  </sheetViews>
  <sheetFormatPr defaultRowHeight="14.25" x14ac:dyDescent="0.2"/>
  <cols>
    <col min="1" max="1" width="47.7109375" style="1" customWidth="1"/>
    <col min="2" max="56" width="10.7109375" style="1" customWidth="1"/>
    <col min="57" max="16384" width="9.140625" style="1"/>
  </cols>
  <sheetData>
    <row r="1" spans="1:56" ht="15" x14ac:dyDescent="0.25">
      <c r="A1" s="2" t="s">
        <v>0</v>
      </c>
    </row>
    <row r="2" spans="1:56" ht="15" x14ac:dyDescent="0.25">
      <c r="A2" s="1" t="s">
        <v>9</v>
      </c>
      <c r="E2" s="5" t="s">
        <v>10</v>
      </c>
      <c r="I2" s="4" t="s">
        <v>1</v>
      </c>
    </row>
    <row r="3" spans="1:56" ht="15" x14ac:dyDescent="0.25">
      <c r="A3" s="1" t="s">
        <v>8</v>
      </c>
      <c r="E3" s="5" t="s">
        <v>7</v>
      </c>
      <c r="I3" s="4" t="s">
        <v>6</v>
      </c>
      <c r="N3" s="4" t="s">
        <v>24</v>
      </c>
    </row>
    <row r="4" spans="1:56" ht="15" x14ac:dyDescent="0.25">
      <c r="A4" s="2" t="s">
        <v>13</v>
      </c>
      <c r="B4" s="6" t="s">
        <v>14</v>
      </c>
      <c r="C4" s="6" t="s">
        <v>15</v>
      </c>
      <c r="D4" s="6" t="s">
        <v>16</v>
      </c>
      <c r="E4" s="6" t="s">
        <v>17</v>
      </c>
      <c r="F4" s="6" t="s">
        <v>19</v>
      </c>
      <c r="G4" s="6" t="s">
        <v>18</v>
      </c>
      <c r="H4" s="6" t="s">
        <v>20</v>
      </c>
      <c r="I4" s="6" t="s">
        <v>21</v>
      </c>
      <c r="J4" s="6" t="s">
        <v>22</v>
      </c>
      <c r="K4" s="6" t="s">
        <v>23</v>
      </c>
      <c r="L4" s="6" t="s">
        <v>25</v>
      </c>
      <c r="M4" s="6" t="s">
        <v>26</v>
      </c>
      <c r="N4" s="6" t="s">
        <v>27</v>
      </c>
      <c r="O4" s="6" t="s">
        <v>28</v>
      </c>
      <c r="P4" s="6" t="s">
        <v>29</v>
      </c>
      <c r="Q4" s="6" t="s">
        <v>30</v>
      </c>
      <c r="R4" s="6" t="s">
        <v>31</v>
      </c>
      <c r="S4" s="6" t="s">
        <v>32</v>
      </c>
      <c r="T4" s="6" t="s">
        <v>33</v>
      </c>
      <c r="U4" s="6" t="s">
        <v>34</v>
      </c>
      <c r="V4" s="6" t="s">
        <v>35</v>
      </c>
      <c r="W4" s="6" t="s">
        <v>36</v>
      </c>
      <c r="X4" s="6" t="s">
        <v>37</v>
      </c>
      <c r="Y4" s="6" t="s">
        <v>38</v>
      </c>
      <c r="Z4" s="6" t="s">
        <v>39</v>
      </c>
      <c r="AA4" s="6" t="s">
        <v>40</v>
      </c>
      <c r="AB4" s="6" t="s">
        <v>41</v>
      </c>
      <c r="AC4" s="6" t="s">
        <v>42</v>
      </c>
      <c r="AD4" s="6" t="s">
        <v>43</v>
      </c>
      <c r="AE4" s="6" t="s">
        <v>44</v>
      </c>
      <c r="AF4" s="6" t="s">
        <v>45</v>
      </c>
      <c r="AG4" s="6" t="s">
        <v>46</v>
      </c>
      <c r="AH4" s="6" t="s">
        <v>47</v>
      </c>
      <c r="AI4" s="6" t="s">
        <v>48</v>
      </c>
      <c r="AJ4" s="6" t="s">
        <v>49</v>
      </c>
      <c r="AK4" s="6" t="s">
        <v>50</v>
      </c>
      <c r="AL4" s="6" t="s">
        <v>51</v>
      </c>
      <c r="AM4" s="6" t="s">
        <v>52</v>
      </c>
      <c r="AN4" s="6" t="s">
        <v>53</v>
      </c>
      <c r="AO4" s="6" t="s">
        <v>54</v>
      </c>
      <c r="AP4" s="6" t="s">
        <v>55</v>
      </c>
      <c r="AQ4" s="6" t="s">
        <v>56</v>
      </c>
      <c r="AR4" s="6" t="s">
        <v>57</v>
      </c>
      <c r="AS4" s="6" t="s">
        <v>58</v>
      </c>
      <c r="AT4" s="6" t="s">
        <v>59</v>
      </c>
      <c r="AU4" s="6" t="s">
        <v>60</v>
      </c>
      <c r="AV4" s="6" t="s">
        <v>61</v>
      </c>
      <c r="AW4" s="6" t="s">
        <v>62</v>
      </c>
      <c r="AX4" s="6" t="s">
        <v>63</v>
      </c>
      <c r="AY4" s="6" t="s">
        <v>64</v>
      </c>
      <c r="AZ4" s="6" t="s">
        <v>65</v>
      </c>
      <c r="BA4" s="6" t="s">
        <v>66</v>
      </c>
      <c r="BB4" s="6" t="s">
        <v>67</v>
      </c>
      <c r="BC4" s="6" t="s">
        <v>68</v>
      </c>
      <c r="BD4" s="6" t="s">
        <v>69</v>
      </c>
    </row>
    <row r="5" spans="1:56" ht="15" x14ac:dyDescent="0.25">
      <c r="B5" s="2">
        <v>2006</v>
      </c>
      <c r="C5" s="2">
        <v>2007</v>
      </c>
      <c r="D5" s="2">
        <v>2008</v>
      </c>
      <c r="E5" s="2">
        <v>2009</v>
      </c>
      <c r="F5" s="2">
        <v>2010</v>
      </c>
      <c r="G5" s="2">
        <v>2011</v>
      </c>
      <c r="H5" s="2">
        <v>2012</v>
      </c>
      <c r="I5" s="2">
        <v>2013</v>
      </c>
      <c r="J5" s="2">
        <v>2014</v>
      </c>
      <c r="K5" s="2">
        <v>2015</v>
      </c>
      <c r="L5" s="2">
        <v>2016</v>
      </c>
      <c r="M5" s="2">
        <v>2017</v>
      </c>
      <c r="N5" s="2">
        <v>2018</v>
      </c>
      <c r="O5" s="2">
        <v>2019</v>
      </c>
      <c r="P5" s="2">
        <v>2020</v>
      </c>
      <c r="Q5" s="2">
        <v>2021</v>
      </c>
      <c r="R5" s="2">
        <v>2022</v>
      </c>
      <c r="S5" s="2">
        <v>2023</v>
      </c>
      <c r="T5" s="2">
        <v>2024</v>
      </c>
      <c r="U5" s="2">
        <v>2025</v>
      </c>
      <c r="V5" s="2">
        <v>2026</v>
      </c>
      <c r="W5" s="2">
        <v>2027</v>
      </c>
      <c r="X5" s="2">
        <v>2028</v>
      </c>
      <c r="Y5" s="2">
        <v>2029</v>
      </c>
      <c r="Z5" s="2">
        <v>2030</v>
      </c>
      <c r="AA5" s="2">
        <v>2031</v>
      </c>
      <c r="AB5" s="2">
        <v>2032</v>
      </c>
      <c r="AC5" s="2">
        <v>2033</v>
      </c>
      <c r="AD5" s="2">
        <v>2034</v>
      </c>
      <c r="AE5" s="2">
        <v>2035</v>
      </c>
      <c r="AF5" s="2">
        <v>2036</v>
      </c>
      <c r="AG5" s="2">
        <v>2037</v>
      </c>
      <c r="AH5" s="2">
        <v>2038</v>
      </c>
      <c r="AI5" s="2">
        <v>2039</v>
      </c>
      <c r="AJ5" s="2">
        <v>2040</v>
      </c>
      <c r="AK5" s="2">
        <v>2041</v>
      </c>
      <c r="AL5" s="2">
        <v>2042</v>
      </c>
      <c r="AM5" s="2">
        <v>2043</v>
      </c>
      <c r="AN5" s="2">
        <v>2044</v>
      </c>
      <c r="AO5" s="2">
        <v>2045</v>
      </c>
      <c r="AP5" s="2">
        <v>2046</v>
      </c>
      <c r="AQ5" s="2">
        <v>2047</v>
      </c>
      <c r="AR5" s="2">
        <v>2048</v>
      </c>
      <c r="AS5" s="2">
        <v>2049</v>
      </c>
      <c r="AT5" s="2">
        <v>2050</v>
      </c>
      <c r="AU5" s="2">
        <v>2051</v>
      </c>
      <c r="AV5" s="2">
        <v>2052</v>
      </c>
      <c r="AW5" s="2">
        <v>2053</v>
      </c>
      <c r="AX5" s="2">
        <v>2054</v>
      </c>
      <c r="AY5" s="2">
        <v>2055</v>
      </c>
      <c r="AZ5" s="2">
        <v>2056</v>
      </c>
      <c r="BA5" s="2">
        <v>2057</v>
      </c>
      <c r="BB5" s="2">
        <v>2058</v>
      </c>
      <c r="BC5" s="2">
        <v>2059</v>
      </c>
      <c r="BD5" s="2">
        <v>2060</v>
      </c>
    </row>
    <row r="6" spans="1:56" ht="15" x14ac:dyDescent="0.25">
      <c r="A6" s="2" t="s">
        <v>70</v>
      </c>
      <c r="B6" s="8">
        <f t="shared" ref="B6:R6" si="0">SUM(B$10:B$100,B$110:B$200)/1000000</f>
        <v>4.1846300000000003</v>
      </c>
      <c r="C6" s="8">
        <f t="shared" si="0"/>
        <v>4.2238600000000002</v>
      </c>
      <c r="D6" s="8">
        <f t="shared" si="0"/>
        <v>4.2597500000000004</v>
      </c>
      <c r="E6" s="8">
        <f t="shared" si="0"/>
        <v>4.3025900000000004</v>
      </c>
      <c r="F6" s="8">
        <f t="shared" si="0"/>
        <v>4.35067</v>
      </c>
      <c r="G6" s="8">
        <f t="shared" si="0"/>
        <v>4.3839699999999997</v>
      </c>
      <c r="H6" s="8">
        <f t="shared" si="0"/>
        <v>4.4079800000000002</v>
      </c>
      <c r="I6" s="8">
        <f t="shared" si="0"/>
        <v>4.4420999999999999</v>
      </c>
      <c r="J6" s="8">
        <f t="shared" si="0"/>
        <v>4.5097800000000001</v>
      </c>
      <c r="K6" s="8">
        <f t="shared" si="0"/>
        <v>4.5924199999999997</v>
      </c>
      <c r="L6" s="8">
        <f t="shared" si="0"/>
        <v>4.6548299999999996</v>
      </c>
      <c r="M6" s="8">
        <f t="shared" si="0"/>
        <v>4.6965899999999996</v>
      </c>
      <c r="N6" s="8">
        <f t="shared" si="0"/>
        <v>4.7384300000000001</v>
      </c>
      <c r="O6" s="8">
        <f t="shared" si="0"/>
        <v>4.7805200000000001</v>
      </c>
      <c r="P6" s="8">
        <f t="shared" si="0"/>
        <v>4.8225300000000004</v>
      </c>
      <c r="Q6" s="8">
        <f>SUM(Q$10:Q$100,Q$110:Q$200)/1000000</f>
        <v>4.8647600000000004</v>
      </c>
      <c r="R6" s="8">
        <f t="shared" si="0"/>
        <v>4.90686</v>
      </c>
      <c r="S6" s="8">
        <f t="shared" ref="S6:AX6" si="1">SUM(S$10:S$100,S$110:S$200)/1000000</f>
        <v>4.9488899999999996</v>
      </c>
      <c r="T6" s="8">
        <f t="shared" si="1"/>
        <v>4.99057</v>
      </c>
      <c r="U6" s="8">
        <f t="shared" si="1"/>
        <v>5.03193</v>
      </c>
      <c r="V6" s="8">
        <f t="shared" si="1"/>
        <v>5.0727399999999996</v>
      </c>
      <c r="W6" s="8">
        <f t="shared" si="1"/>
        <v>5.11313</v>
      </c>
      <c r="X6" s="8">
        <f t="shared" si="1"/>
        <v>5.1528400000000003</v>
      </c>
      <c r="Y6" s="8">
        <f t="shared" si="1"/>
        <v>5.1918800000000003</v>
      </c>
      <c r="Z6" s="8">
        <f t="shared" si="1"/>
        <v>5.22987</v>
      </c>
      <c r="AA6" s="8">
        <f t="shared" si="1"/>
        <v>5.2670000000000003</v>
      </c>
      <c r="AB6" s="8">
        <f t="shared" si="1"/>
        <v>5.3032000000000004</v>
      </c>
      <c r="AC6" s="8">
        <f t="shared" si="1"/>
        <v>5.3383700000000003</v>
      </c>
      <c r="AD6" s="8">
        <f t="shared" si="1"/>
        <v>5.3723000000000001</v>
      </c>
      <c r="AE6" s="8">
        <f t="shared" si="1"/>
        <v>5.40543</v>
      </c>
      <c r="AF6" s="8">
        <f t="shared" si="1"/>
        <v>5.4375</v>
      </c>
      <c r="AG6" s="8">
        <f t="shared" si="1"/>
        <v>5.4686700000000004</v>
      </c>
      <c r="AH6" s="8">
        <f t="shared" si="1"/>
        <v>5.4992000000000001</v>
      </c>
      <c r="AI6" s="8">
        <f t="shared" si="1"/>
        <v>5.52867</v>
      </c>
      <c r="AJ6" s="8">
        <f t="shared" si="1"/>
        <v>5.5574199999999996</v>
      </c>
      <c r="AK6" s="8">
        <f t="shared" si="1"/>
        <v>5.5853299999999999</v>
      </c>
      <c r="AL6" s="8">
        <f t="shared" si="1"/>
        <v>5.6125699999999998</v>
      </c>
      <c r="AM6" s="8">
        <f t="shared" si="1"/>
        <v>5.6390399999999996</v>
      </c>
      <c r="AN6" s="8">
        <f t="shared" si="1"/>
        <v>5.6648500000000004</v>
      </c>
      <c r="AO6" s="8">
        <f t="shared" si="1"/>
        <v>5.6900399999999998</v>
      </c>
      <c r="AP6" s="8">
        <f t="shared" si="1"/>
        <v>5.7143800000000002</v>
      </c>
      <c r="AQ6" s="8">
        <f t="shared" si="1"/>
        <v>5.7379899999999999</v>
      </c>
      <c r="AR6" s="8">
        <f t="shared" si="1"/>
        <v>5.76112</v>
      </c>
      <c r="AS6" s="8">
        <f t="shared" si="1"/>
        <v>5.7836400000000001</v>
      </c>
      <c r="AT6" s="8">
        <f t="shared" si="1"/>
        <v>5.8054800000000002</v>
      </c>
      <c r="AU6" s="8">
        <f t="shared" si="1"/>
        <v>5.8269700000000002</v>
      </c>
      <c r="AV6" s="8">
        <f t="shared" si="1"/>
        <v>5.8479599999999996</v>
      </c>
      <c r="AW6" s="8">
        <f t="shared" si="1"/>
        <v>5.8687100000000001</v>
      </c>
      <c r="AX6" s="8">
        <f t="shared" si="1"/>
        <v>5.8891499999999999</v>
      </c>
      <c r="AY6" s="8">
        <f t="shared" ref="AY6:BD6" si="2">SUM(AY$10:AY$100,AY$110:AY$200)/1000000</f>
        <v>5.9093799999999996</v>
      </c>
      <c r="AZ6" s="8">
        <f t="shared" si="2"/>
        <v>5.9294200000000004</v>
      </c>
      <c r="BA6" s="8">
        <f t="shared" si="2"/>
        <v>5.9495300000000002</v>
      </c>
      <c r="BB6" s="8">
        <f t="shared" si="2"/>
        <v>5.9696100000000003</v>
      </c>
      <c r="BC6" s="8">
        <f t="shared" si="2"/>
        <v>5.9895800000000001</v>
      </c>
      <c r="BD6" s="8">
        <f t="shared" si="2"/>
        <v>6.00969</v>
      </c>
    </row>
    <row r="7" spans="1:56" x14ac:dyDescent="0.2">
      <c r="A7" s="4" t="s">
        <v>71</v>
      </c>
      <c r="B7" s="9"/>
      <c r="C7" s="9">
        <f t="shared" ref="C7:AZ7" si="3">C$6/B$6-1</f>
        <v>9.3747834336608271E-3</v>
      </c>
      <c r="D7" s="9">
        <f t="shared" si="3"/>
        <v>8.4969672290275966E-3</v>
      </c>
      <c r="E7" s="9">
        <f t="shared" si="3"/>
        <v>1.0056928223487249E-2</v>
      </c>
      <c r="F7" s="9">
        <f t="shared" si="3"/>
        <v>1.1174664562507708E-2</v>
      </c>
      <c r="G7" s="9">
        <f t="shared" si="3"/>
        <v>7.6539935228365774E-3</v>
      </c>
      <c r="H7" s="9">
        <f t="shared" si="3"/>
        <v>5.4767710545464698E-3</v>
      </c>
      <c r="I7" s="9">
        <f t="shared" si="3"/>
        <v>7.7405069895961631E-3</v>
      </c>
      <c r="J7" s="9">
        <f t="shared" si="3"/>
        <v>1.5236037009522585E-2</v>
      </c>
      <c r="K7" s="9">
        <f t="shared" si="3"/>
        <v>1.8324618939282944E-2</v>
      </c>
      <c r="L7" s="9">
        <f t="shared" si="3"/>
        <v>1.3589784906432811E-2</v>
      </c>
      <c r="M7" s="9">
        <f t="shared" si="3"/>
        <v>8.9713265575757095E-3</v>
      </c>
      <c r="N7" s="9">
        <f t="shared" si="3"/>
        <v>8.9085911267536844E-3</v>
      </c>
      <c r="O7" s="9">
        <f t="shared" si="3"/>
        <v>8.8826889919235708E-3</v>
      </c>
      <c r="P7" s="9">
        <f t="shared" si="3"/>
        <v>8.7877469396635544E-3</v>
      </c>
      <c r="Q7" s="9">
        <f>Q$6/P$6-1</f>
        <v>8.7568143692211553E-3</v>
      </c>
      <c r="R7" s="9">
        <f>R$6/Q$6-1</f>
        <v>8.6540754322925739E-3</v>
      </c>
      <c r="S7" s="9">
        <f t="shared" si="3"/>
        <v>8.5655592374755951E-3</v>
      </c>
      <c r="T7" s="9">
        <f t="shared" si="3"/>
        <v>8.4220906102177029E-3</v>
      </c>
      <c r="U7" s="9">
        <f t="shared" si="3"/>
        <v>8.2876304710683968E-3</v>
      </c>
      <c r="V7" s="9">
        <f t="shared" si="3"/>
        <v>8.1102082103685635E-3</v>
      </c>
      <c r="W7" s="9">
        <f t="shared" si="3"/>
        <v>7.962166403166826E-3</v>
      </c>
      <c r="X7" s="9">
        <f t="shared" si="3"/>
        <v>7.7662801454296826E-3</v>
      </c>
      <c r="Y7" s="9">
        <f t="shared" si="3"/>
        <v>7.576404468215614E-3</v>
      </c>
      <c r="Z7" s="9">
        <f t="shared" si="3"/>
        <v>7.3171953126804912E-3</v>
      </c>
      <c r="AA7" s="9">
        <f t="shared" si="3"/>
        <v>7.0996028581973292E-3</v>
      </c>
      <c r="AB7" s="9">
        <f t="shared" si="3"/>
        <v>6.8729827226123863E-3</v>
      </c>
      <c r="AC7" s="9">
        <f t="shared" si="3"/>
        <v>6.6318449238196298E-3</v>
      </c>
      <c r="AD7" s="9">
        <f t="shared" si="3"/>
        <v>6.3558726727446224E-3</v>
      </c>
      <c r="AE7" s="9">
        <f t="shared" si="3"/>
        <v>6.1668186810117653E-3</v>
      </c>
      <c r="AF7" s="9">
        <f t="shared" si="3"/>
        <v>5.932923005200319E-3</v>
      </c>
      <c r="AG7" s="9">
        <f t="shared" si="3"/>
        <v>5.732413793103408E-3</v>
      </c>
      <c r="AH7" s="9">
        <f t="shared" si="3"/>
        <v>5.5827102385039851E-3</v>
      </c>
      <c r="AI7" s="9">
        <f t="shared" si="3"/>
        <v>5.3589613034623618E-3</v>
      </c>
      <c r="AJ7" s="9">
        <f t="shared" si="3"/>
        <v>5.2001656818003728E-3</v>
      </c>
      <c r="AK7" s="9">
        <f t="shared" si="3"/>
        <v>5.0221145783475585E-3</v>
      </c>
      <c r="AL7" s="9">
        <f t="shared" si="3"/>
        <v>4.8770618745892502E-3</v>
      </c>
      <c r="AM7" s="9">
        <f t="shared" si="3"/>
        <v>4.7161995306961302E-3</v>
      </c>
      <c r="AN7" s="9">
        <f t="shared" si="3"/>
        <v>4.5770202020203321E-3</v>
      </c>
      <c r="AO7" s="9">
        <f t="shared" si="3"/>
        <v>4.4467196836632805E-3</v>
      </c>
      <c r="AP7" s="9">
        <f t="shared" si="3"/>
        <v>4.2776500692438546E-3</v>
      </c>
      <c r="AQ7" s="9">
        <f t="shared" si="3"/>
        <v>4.1316818272498779E-3</v>
      </c>
      <c r="AR7" s="9">
        <f t="shared" si="3"/>
        <v>4.0310282869089331E-3</v>
      </c>
      <c r="AS7" s="9">
        <f t="shared" si="3"/>
        <v>3.9089621462493618E-3</v>
      </c>
      <c r="AT7" s="9">
        <f t="shared" si="3"/>
        <v>3.7761686412016715E-3</v>
      </c>
      <c r="AU7" s="9">
        <f t="shared" si="3"/>
        <v>3.701674969166957E-3</v>
      </c>
      <c r="AV7" s="9">
        <f t="shared" si="3"/>
        <v>3.6022152164845167E-3</v>
      </c>
      <c r="AW7" s="9">
        <f t="shared" si="3"/>
        <v>3.5482458840347952E-3</v>
      </c>
      <c r="AX7" s="9">
        <f t="shared" si="3"/>
        <v>3.4828778385709303E-3</v>
      </c>
      <c r="AY7" s="9">
        <f t="shared" si="3"/>
        <v>3.4351307064686143E-3</v>
      </c>
      <c r="AZ7" s="9">
        <f t="shared" si="3"/>
        <v>3.3912187065310295E-3</v>
      </c>
      <c r="BA7" s="9">
        <f t="shared" ref="BA7:BD7" si="4">BA$6/AZ$6-1</f>
        <v>3.3915627498135592E-3</v>
      </c>
      <c r="BB7" s="9">
        <f t="shared" si="4"/>
        <v>3.3750565170693747E-3</v>
      </c>
      <c r="BC7" s="9">
        <f t="shared" si="4"/>
        <v>3.3452771621595989E-3</v>
      </c>
      <c r="BD7" s="9">
        <f t="shared" si="4"/>
        <v>3.3574975206942526E-3</v>
      </c>
    </row>
    <row r="8" spans="1:56" ht="15" x14ac:dyDescent="0.25">
      <c r="A8" s="2" t="s">
        <v>2</v>
      </c>
    </row>
    <row r="9" spans="1:56" ht="15" x14ac:dyDescent="0.25">
      <c r="A9" s="2" t="s">
        <v>5</v>
      </c>
    </row>
    <row r="10" spans="1:56" x14ac:dyDescent="0.2">
      <c r="A10" s="1">
        <v>0</v>
      </c>
      <c r="B10" s="3">
        <v>28910</v>
      </c>
      <c r="C10" s="3">
        <v>30230</v>
      </c>
      <c r="D10" s="3">
        <v>31360</v>
      </c>
      <c r="E10" s="3">
        <v>30830</v>
      </c>
      <c r="F10" s="3">
        <v>31510</v>
      </c>
      <c r="G10" s="3">
        <v>30670</v>
      </c>
      <c r="H10" s="3">
        <v>29880</v>
      </c>
      <c r="I10" s="3">
        <v>29370</v>
      </c>
      <c r="J10" s="3">
        <v>28560</v>
      </c>
      <c r="K10" s="3">
        <v>28510</v>
      </c>
      <c r="L10" s="3">
        <v>29010</v>
      </c>
      <c r="M10" s="3">
        <v>29320</v>
      </c>
      <c r="N10" s="3">
        <v>29590</v>
      </c>
      <c r="O10" s="3">
        <v>29850</v>
      </c>
      <c r="P10" s="3">
        <v>30110</v>
      </c>
      <c r="Q10" s="3">
        <v>30330</v>
      </c>
      <c r="R10" s="3">
        <v>30530</v>
      </c>
      <c r="S10" s="3">
        <v>30690</v>
      </c>
      <c r="T10" s="3">
        <v>30820</v>
      </c>
      <c r="U10" s="3">
        <v>30920</v>
      </c>
      <c r="V10" s="3">
        <v>30990</v>
      </c>
      <c r="W10" s="3">
        <v>31020</v>
      </c>
      <c r="X10" s="3">
        <v>31030</v>
      </c>
      <c r="Y10" s="3">
        <v>31000</v>
      </c>
      <c r="Z10" s="3">
        <v>30950</v>
      </c>
      <c r="AA10" s="3">
        <v>30870</v>
      </c>
      <c r="AB10" s="3">
        <v>30790</v>
      </c>
      <c r="AC10" s="3">
        <v>30710</v>
      </c>
      <c r="AD10" s="3">
        <v>30630</v>
      </c>
      <c r="AE10" s="3">
        <v>30580</v>
      </c>
      <c r="AF10" s="3">
        <v>30550</v>
      </c>
      <c r="AG10" s="3">
        <v>30550</v>
      </c>
      <c r="AH10" s="3">
        <v>30560</v>
      </c>
      <c r="AI10" s="3">
        <v>30590</v>
      </c>
      <c r="AJ10" s="3">
        <v>30630</v>
      </c>
      <c r="AK10" s="3">
        <v>30670</v>
      </c>
      <c r="AL10" s="3">
        <v>30710</v>
      </c>
      <c r="AM10" s="3">
        <v>30750</v>
      </c>
      <c r="AN10" s="3">
        <v>30780</v>
      </c>
      <c r="AO10" s="3">
        <v>30800</v>
      </c>
      <c r="AP10" s="3">
        <v>30810</v>
      </c>
      <c r="AQ10" s="3">
        <v>30820</v>
      </c>
      <c r="AR10" s="3">
        <v>30830</v>
      </c>
      <c r="AS10" s="3">
        <v>30850</v>
      </c>
      <c r="AT10" s="3">
        <v>30880</v>
      </c>
      <c r="AU10" s="3">
        <v>30920</v>
      </c>
      <c r="AV10" s="3">
        <v>30970</v>
      </c>
      <c r="AW10" s="3">
        <v>31030</v>
      </c>
      <c r="AX10" s="3">
        <v>31090</v>
      </c>
      <c r="AY10" s="3">
        <v>31160</v>
      </c>
      <c r="AZ10" s="3">
        <v>31230</v>
      </c>
      <c r="BA10" s="3">
        <v>31290</v>
      </c>
      <c r="BB10" s="3">
        <v>31350</v>
      </c>
      <c r="BC10" s="3">
        <v>31390</v>
      </c>
      <c r="BD10" s="3">
        <v>31420</v>
      </c>
    </row>
    <row r="11" spans="1:56" x14ac:dyDescent="0.2">
      <c r="A11" s="1">
        <v>1</v>
      </c>
      <c r="B11" s="3">
        <v>27990</v>
      </c>
      <c r="C11" s="3">
        <v>28850</v>
      </c>
      <c r="D11" s="3">
        <v>30110</v>
      </c>
      <c r="E11" s="3">
        <v>31260</v>
      </c>
      <c r="F11" s="3">
        <v>30820</v>
      </c>
      <c r="G11" s="3">
        <v>31460</v>
      </c>
      <c r="H11" s="3">
        <v>30640</v>
      </c>
      <c r="I11" s="3">
        <v>29950</v>
      </c>
      <c r="J11" s="3">
        <v>29530</v>
      </c>
      <c r="K11" s="3">
        <v>28760</v>
      </c>
      <c r="L11" s="3">
        <v>28610</v>
      </c>
      <c r="M11" s="3">
        <v>28980</v>
      </c>
      <c r="N11" s="3">
        <v>29300</v>
      </c>
      <c r="O11" s="3">
        <v>29570</v>
      </c>
      <c r="P11" s="3">
        <v>29830</v>
      </c>
      <c r="Q11" s="3">
        <v>30090</v>
      </c>
      <c r="R11" s="3">
        <v>30310</v>
      </c>
      <c r="S11" s="3">
        <v>30510</v>
      </c>
      <c r="T11" s="3">
        <v>30680</v>
      </c>
      <c r="U11" s="3">
        <v>30810</v>
      </c>
      <c r="V11" s="3">
        <v>30910</v>
      </c>
      <c r="W11" s="3">
        <v>30970</v>
      </c>
      <c r="X11" s="3">
        <v>31010</v>
      </c>
      <c r="Y11" s="3">
        <v>31010</v>
      </c>
      <c r="Z11" s="3">
        <v>30990</v>
      </c>
      <c r="AA11" s="3">
        <v>30930</v>
      </c>
      <c r="AB11" s="3">
        <v>30860</v>
      </c>
      <c r="AC11" s="3">
        <v>30780</v>
      </c>
      <c r="AD11" s="3">
        <v>30690</v>
      </c>
      <c r="AE11" s="3">
        <v>30620</v>
      </c>
      <c r="AF11" s="3">
        <v>30570</v>
      </c>
      <c r="AG11" s="3">
        <v>30540</v>
      </c>
      <c r="AH11" s="3">
        <v>30540</v>
      </c>
      <c r="AI11" s="3">
        <v>30550</v>
      </c>
      <c r="AJ11" s="3">
        <v>30580</v>
      </c>
      <c r="AK11" s="3">
        <v>30620</v>
      </c>
      <c r="AL11" s="3">
        <v>30660</v>
      </c>
      <c r="AM11" s="3">
        <v>30700</v>
      </c>
      <c r="AN11" s="3">
        <v>30740</v>
      </c>
      <c r="AO11" s="3">
        <v>30770</v>
      </c>
      <c r="AP11" s="3">
        <v>30790</v>
      </c>
      <c r="AQ11" s="3">
        <v>30800</v>
      </c>
      <c r="AR11" s="3">
        <v>30810</v>
      </c>
      <c r="AS11" s="3">
        <v>30830</v>
      </c>
      <c r="AT11" s="3">
        <v>30840</v>
      </c>
      <c r="AU11" s="3">
        <v>30870</v>
      </c>
      <c r="AV11" s="3">
        <v>30910</v>
      </c>
      <c r="AW11" s="3">
        <v>30960</v>
      </c>
      <c r="AX11" s="3">
        <v>31020</v>
      </c>
      <c r="AY11" s="3">
        <v>31090</v>
      </c>
      <c r="AZ11" s="3">
        <v>31160</v>
      </c>
      <c r="BA11" s="3">
        <v>31220</v>
      </c>
      <c r="BB11" s="3">
        <v>31290</v>
      </c>
      <c r="BC11" s="3">
        <v>31340</v>
      </c>
      <c r="BD11" s="3">
        <v>31380</v>
      </c>
    </row>
    <row r="12" spans="1:56" x14ac:dyDescent="0.2">
      <c r="A12" s="1">
        <v>2</v>
      </c>
      <c r="B12" s="3">
        <v>28180</v>
      </c>
      <c r="C12" s="3">
        <v>28100</v>
      </c>
      <c r="D12" s="3">
        <v>28870</v>
      </c>
      <c r="E12" s="3">
        <v>30220</v>
      </c>
      <c r="F12" s="3">
        <v>31340</v>
      </c>
      <c r="G12" s="3">
        <v>30770</v>
      </c>
      <c r="H12" s="3">
        <v>31310</v>
      </c>
      <c r="I12" s="3">
        <v>30580</v>
      </c>
      <c r="J12" s="3">
        <v>30150</v>
      </c>
      <c r="K12" s="3">
        <v>29760</v>
      </c>
      <c r="L12" s="3">
        <v>28870</v>
      </c>
      <c r="M12" s="3">
        <v>28590</v>
      </c>
      <c r="N12" s="3">
        <v>28960</v>
      </c>
      <c r="O12" s="3">
        <v>29280</v>
      </c>
      <c r="P12" s="3">
        <v>29550</v>
      </c>
      <c r="Q12" s="3">
        <v>29820</v>
      </c>
      <c r="R12" s="3">
        <v>30070</v>
      </c>
      <c r="S12" s="3">
        <v>30290</v>
      </c>
      <c r="T12" s="3">
        <v>30490</v>
      </c>
      <c r="U12" s="3">
        <v>30660</v>
      </c>
      <c r="V12" s="3">
        <v>30790</v>
      </c>
      <c r="W12" s="3">
        <v>30890</v>
      </c>
      <c r="X12" s="3">
        <v>30950</v>
      </c>
      <c r="Y12" s="3">
        <v>30990</v>
      </c>
      <c r="Z12" s="3">
        <v>30990</v>
      </c>
      <c r="AA12" s="3">
        <v>30970</v>
      </c>
      <c r="AB12" s="3">
        <v>30910</v>
      </c>
      <c r="AC12" s="3">
        <v>30840</v>
      </c>
      <c r="AD12" s="3">
        <v>30760</v>
      </c>
      <c r="AE12" s="3">
        <v>30680</v>
      </c>
      <c r="AF12" s="3">
        <v>30600</v>
      </c>
      <c r="AG12" s="3">
        <v>30550</v>
      </c>
      <c r="AH12" s="3">
        <v>30520</v>
      </c>
      <c r="AI12" s="3">
        <v>30520</v>
      </c>
      <c r="AJ12" s="3">
        <v>30530</v>
      </c>
      <c r="AK12" s="3">
        <v>30570</v>
      </c>
      <c r="AL12" s="3">
        <v>30610</v>
      </c>
      <c r="AM12" s="3">
        <v>30650</v>
      </c>
      <c r="AN12" s="3">
        <v>30690</v>
      </c>
      <c r="AO12" s="3">
        <v>30720</v>
      </c>
      <c r="AP12" s="3">
        <v>30750</v>
      </c>
      <c r="AQ12" s="3">
        <v>30770</v>
      </c>
      <c r="AR12" s="3">
        <v>30790</v>
      </c>
      <c r="AS12" s="3">
        <v>30800</v>
      </c>
      <c r="AT12" s="3">
        <v>30810</v>
      </c>
      <c r="AU12" s="3">
        <v>30830</v>
      </c>
      <c r="AV12" s="3">
        <v>30860</v>
      </c>
      <c r="AW12" s="3">
        <v>30890</v>
      </c>
      <c r="AX12" s="3">
        <v>30940</v>
      </c>
      <c r="AY12" s="3">
        <v>31000</v>
      </c>
      <c r="AZ12" s="3">
        <v>31070</v>
      </c>
      <c r="BA12" s="3">
        <v>31140</v>
      </c>
      <c r="BB12" s="3">
        <v>31210</v>
      </c>
      <c r="BC12" s="3">
        <v>31270</v>
      </c>
      <c r="BD12" s="3">
        <v>31330</v>
      </c>
    </row>
    <row r="13" spans="1:56" x14ac:dyDescent="0.2">
      <c r="A13" s="1">
        <v>3</v>
      </c>
      <c r="B13" s="3">
        <v>27310</v>
      </c>
      <c r="C13" s="3">
        <v>28260</v>
      </c>
      <c r="D13" s="3">
        <v>28090</v>
      </c>
      <c r="E13" s="3">
        <v>28910</v>
      </c>
      <c r="F13" s="3">
        <v>30280</v>
      </c>
      <c r="G13" s="3">
        <v>31290</v>
      </c>
      <c r="H13" s="3">
        <v>30670</v>
      </c>
      <c r="I13" s="3">
        <v>31320</v>
      </c>
      <c r="J13" s="3">
        <v>30750</v>
      </c>
      <c r="K13" s="3">
        <v>30380</v>
      </c>
      <c r="L13" s="3">
        <v>29870</v>
      </c>
      <c r="M13" s="3">
        <v>28860</v>
      </c>
      <c r="N13" s="3">
        <v>28580</v>
      </c>
      <c r="O13" s="3">
        <v>28960</v>
      </c>
      <c r="P13" s="3">
        <v>29270</v>
      </c>
      <c r="Q13" s="3">
        <v>29540</v>
      </c>
      <c r="R13" s="3">
        <v>29810</v>
      </c>
      <c r="S13" s="3">
        <v>30060</v>
      </c>
      <c r="T13" s="3">
        <v>30290</v>
      </c>
      <c r="U13" s="3">
        <v>30480</v>
      </c>
      <c r="V13" s="3">
        <v>30650</v>
      </c>
      <c r="W13" s="3">
        <v>30780</v>
      </c>
      <c r="X13" s="3">
        <v>30880</v>
      </c>
      <c r="Y13" s="3">
        <v>30950</v>
      </c>
      <c r="Z13" s="3">
        <v>30980</v>
      </c>
      <c r="AA13" s="3">
        <v>30990</v>
      </c>
      <c r="AB13" s="3">
        <v>30960</v>
      </c>
      <c r="AC13" s="3">
        <v>30910</v>
      </c>
      <c r="AD13" s="3">
        <v>30840</v>
      </c>
      <c r="AE13" s="3">
        <v>30750</v>
      </c>
      <c r="AF13" s="3">
        <v>30670</v>
      </c>
      <c r="AG13" s="3">
        <v>30600</v>
      </c>
      <c r="AH13" s="3">
        <v>30550</v>
      </c>
      <c r="AI13" s="3">
        <v>30520</v>
      </c>
      <c r="AJ13" s="3">
        <v>30510</v>
      </c>
      <c r="AK13" s="3">
        <v>30530</v>
      </c>
      <c r="AL13" s="3">
        <v>30560</v>
      </c>
      <c r="AM13" s="3">
        <v>30600</v>
      </c>
      <c r="AN13" s="3">
        <v>30640</v>
      </c>
      <c r="AO13" s="3">
        <v>30680</v>
      </c>
      <c r="AP13" s="3">
        <v>30720</v>
      </c>
      <c r="AQ13" s="3">
        <v>30750</v>
      </c>
      <c r="AR13" s="3">
        <v>30770</v>
      </c>
      <c r="AS13" s="3">
        <v>30780</v>
      </c>
      <c r="AT13" s="3">
        <v>30790</v>
      </c>
      <c r="AU13" s="3">
        <v>30810</v>
      </c>
      <c r="AV13" s="3">
        <v>30820</v>
      </c>
      <c r="AW13" s="3">
        <v>30850</v>
      </c>
      <c r="AX13" s="3">
        <v>30890</v>
      </c>
      <c r="AY13" s="3">
        <v>30940</v>
      </c>
      <c r="AZ13" s="3">
        <v>31000</v>
      </c>
      <c r="BA13" s="3">
        <v>31070</v>
      </c>
      <c r="BB13" s="3">
        <v>31140</v>
      </c>
      <c r="BC13" s="3">
        <v>31200</v>
      </c>
      <c r="BD13" s="3">
        <v>31270</v>
      </c>
    </row>
    <row r="14" spans="1:56" x14ac:dyDescent="0.2">
      <c r="A14" s="1">
        <v>4</v>
      </c>
      <c r="B14" s="3">
        <v>27400</v>
      </c>
      <c r="C14" s="3">
        <v>27460</v>
      </c>
      <c r="D14" s="3">
        <v>28310</v>
      </c>
      <c r="E14" s="3">
        <v>28190</v>
      </c>
      <c r="F14" s="3">
        <v>29030</v>
      </c>
      <c r="G14" s="3">
        <v>30250</v>
      </c>
      <c r="H14" s="3">
        <v>31140</v>
      </c>
      <c r="I14" s="3">
        <v>30550</v>
      </c>
      <c r="J14" s="3">
        <v>31460</v>
      </c>
      <c r="K14" s="3">
        <v>30990</v>
      </c>
      <c r="L14" s="3">
        <v>30500</v>
      </c>
      <c r="M14" s="3">
        <v>29870</v>
      </c>
      <c r="N14" s="3">
        <v>28860</v>
      </c>
      <c r="O14" s="3">
        <v>28580</v>
      </c>
      <c r="P14" s="3">
        <v>28960</v>
      </c>
      <c r="Q14" s="3">
        <v>29280</v>
      </c>
      <c r="R14" s="3">
        <v>29540</v>
      </c>
      <c r="S14" s="3">
        <v>29810</v>
      </c>
      <c r="T14" s="3">
        <v>30060</v>
      </c>
      <c r="U14" s="3">
        <v>30290</v>
      </c>
      <c r="V14" s="3">
        <v>30480</v>
      </c>
      <c r="W14" s="3">
        <v>30650</v>
      </c>
      <c r="X14" s="3">
        <v>30780</v>
      </c>
      <c r="Y14" s="3">
        <v>30880</v>
      </c>
      <c r="Z14" s="3">
        <v>30950</v>
      </c>
      <c r="AA14" s="3">
        <v>30990</v>
      </c>
      <c r="AB14" s="3">
        <v>30990</v>
      </c>
      <c r="AC14" s="3">
        <v>30960</v>
      </c>
      <c r="AD14" s="3">
        <v>30910</v>
      </c>
      <c r="AE14" s="3">
        <v>30840</v>
      </c>
      <c r="AF14" s="3">
        <v>30760</v>
      </c>
      <c r="AG14" s="3">
        <v>30670</v>
      </c>
      <c r="AH14" s="3">
        <v>30600</v>
      </c>
      <c r="AI14" s="3">
        <v>30550</v>
      </c>
      <c r="AJ14" s="3">
        <v>30520</v>
      </c>
      <c r="AK14" s="3">
        <v>30520</v>
      </c>
      <c r="AL14" s="3">
        <v>30530</v>
      </c>
      <c r="AM14" s="3">
        <v>30560</v>
      </c>
      <c r="AN14" s="3">
        <v>30600</v>
      </c>
      <c r="AO14" s="3">
        <v>30650</v>
      </c>
      <c r="AP14" s="3">
        <v>30690</v>
      </c>
      <c r="AQ14" s="3">
        <v>30720</v>
      </c>
      <c r="AR14" s="3">
        <v>30750</v>
      </c>
      <c r="AS14" s="3">
        <v>30770</v>
      </c>
      <c r="AT14" s="3">
        <v>30780</v>
      </c>
      <c r="AU14" s="3">
        <v>30800</v>
      </c>
      <c r="AV14" s="3">
        <v>30810</v>
      </c>
      <c r="AW14" s="3">
        <v>30830</v>
      </c>
      <c r="AX14" s="3">
        <v>30850</v>
      </c>
      <c r="AY14" s="3">
        <v>30890</v>
      </c>
      <c r="AZ14" s="3">
        <v>30940</v>
      </c>
      <c r="BA14" s="3">
        <v>31000</v>
      </c>
      <c r="BB14" s="3">
        <v>31070</v>
      </c>
      <c r="BC14" s="3">
        <v>31140</v>
      </c>
      <c r="BD14" s="3">
        <v>31210</v>
      </c>
    </row>
    <row r="15" spans="1:56" x14ac:dyDescent="0.2">
      <c r="A15" s="1">
        <v>5</v>
      </c>
      <c r="B15" s="3">
        <v>28370</v>
      </c>
      <c r="C15" s="3">
        <v>27650</v>
      </c>
      <c r="D15" s="3">
        <v>27610</v>
      </c>
      <c r="E15" s="3">
        <v>28410</v>
      </c>
      <c r="F15" s="3">
        <v>28320</v>
      </c>
      <c r="G15" s="3">
        <v>29050</v>
      </c>
      <c r="H15" s="3">
        <v>30120</v>
      </c>
      <c r="I15" s="3">
        <v>31090</v>
      </c>
      <c r="J15" s="3">
        <v>30740</v>
      </c>
      <c r="K15" s="3">
        <v>31690</v>
      </c>
      <c r="L15" s="3">
        <v>31100</v>
      </c>
      <c r="M15" s="3">
        <v>30500</v>
      </c>
      <c r="N15" s="3">
        <v>29870</v>
      </c>
      <c r="O15" s="3">
        <v>28860</v>
      </c>
      <c r="P15" s="3">
        <v>28580</v>
      </c>
      <c r="Q15" s="3">
        <v>28960</v>
      </c>
      <c r="R15" s="3">
        <v>29280</v>
      </c>
      <c r="S15" s="3">
        <v>29550</v>
      </c>
      <c r="T15" s="3">
        <v>29810</v>
      </c>
      <c r="U15" s="3">
        <v>30060</v>
      </c>
      <c r="V15" s="3">
        <v>30290</v>
      </c>
      <c r="W15" s="3">
        <v>30490</v>
      </c>
      <c r="X15" s="3">
        <v>30650</v>
      </c>
      <c r="Y15" s="3">
        <v>30790</v>
      </c>
      <c r="Z15" s="3">
        <v>30880</v>
      </c>
      <c r="AA15" s="3">
        <v>30950</v>
      </c>
      <c r="AB15" s="3">
        <v>30990</v>
      </c>
      <c r="AC15" s="3">
        <v>30990</v>
      </c>
      <c r="AD15" s="3">
        <v>30970</v>
      </c>
      <c r="AE15" s="3">
        <v>30910</v>
      </c>
      <c r="AF15" s="3">
        <v>30840</v>
      </c>
      <c r="AG15" s="3">
        <v>30760</v>
      </c>
      <c r="AH15" s="3">
        <v>30680</v>
      </c>
      <c r="AI15" s="3">
        <v>30600</v>
      </c>
      <c r="AJ15" s="3">
        <v>30550</v>
      </c>
      <c r="AK15" s="3">
        <v>30520</v>
      </c>
      <c r="AL15" s="3">
        <v>30520</v>
      </c>
      <c r="AM15" s="3">
        <v>30530</v>
      </c>
      <c r="AN15" s="3">
        <v>30570</v>
      </c>
      <c r="AO15" s="3">
        <v>30610</v>
      </c>
      <c r="AP15" s="3">
        <v>30650</v>
      </c>
      <c r="AQ15" s="3">
        <v>30690</v>
      </c>
      <c r="AR15" s="3">
        <v>30720</v>
      </c>
      <c r="AS15" s="3">
        <v>30750</v>
      </c>
      <c r="AT15" s="3">
        <v>30770</v>
      </c>
      <c r="AU15" s="3">
        <v>30790</v>
      </c>
      <c r="AV15" s="3">
        <v>30800</v>
      </c>
      <c r="AW15" s="3">
        <v>30810</v>
      </c>
      <c r="AX15" s="3">
        <v>30830</v>
      </c>
      <c r="AY15" s="3">
        <v>30860</v>
      </c>
      <c r="AZ15" s="3">
        <v>30890</v>
      </c>
      <c r="BA15" s="3">
        <v>30940</v>
      </c>
      <c r="BB15" s="3">
        <v>31010</v>
      </c>
      <c r="BC15" s="3">
        <v>31070</v>
      </c>
      <c r="BD15" s="3">
        <v>31140</v>
      </c>
    </row>
    <row r="16" spans="1:56" x14ac:dyDescent="0.2">
      <c r="A16" s="1">
        <v>6</v>
      </c>
      <c r="B16" s="3">
        <v>28910</v>
      </c>
      <c r="C16" s="3">
        <v>28620</v>
      </c>
      <c r="D16" s="3">
        <v>27860</v>
      </c>
      <c r="E16" s="3">
        <v>27770</v>
      </c>
      <c r="F16" s="3">
        <v>28550</v>
      </c>
      <c r="G16" s="3">
        <v>28290</v>
      </c>
      <c r="H16" s="3">
        <v>28900</v>
      </c>
      <c r="I16" s="3">
        <v>30050</v>
      </c>
      <c r="J16" s="3">
        <v>31230</v>
      </c>
      <c r="K16" s="3">
        <v>30960</v>
      </c>
      <c r="L16" s="3">
        <v>31800</v>
      </c>
      <c r="M16" s="3">
        <v>31110</v>
      </c>
      <c r="N16" s="3">
        <v>30500</v>
      </c>
      <c r="O16" s="3">
        <v>29870</v>
      </c>
      <c r="P16" s="3">
        <v>28870</v>
      </c>
      <c r="Q16" s="3">
        <v>28590</v>
      </c>
      <c r="R16" s="3">
        <v>28960</v>
      </c>
      <c r="S16" s="3">
        <v>29280</v>
      </c>
      <c r="T16" s="3">
        <v>29550</v>
      </c>
      <c r="U16" s="3">
        <v>29820</v>
      </c>
      <c r="V16" s="3">
        <v>30070</v>
      </c>
      <c r="W16" s="3">
        <v>30300</v>
      </c>
      <c r="X16" s="3">
        <v>30490</v>
      </c>
      <c r="Y16" s="3">
        <v>30660</v>
      </c>
      <c r="Z16" s="3">
        <v>30790</v>
      </c>
      <c r="AA16" s="3">
        <v>30890</v>
      </c>
      <c r="AB16" s="3">
        <v>30960</v>
      </c>
      <c r="AC16" s="3">
        <v>30990</v>
      </c>
      <c r="AD16" s="3">
        <v>31000</v>
      </c>
      <c r="AE16" s="3">
        <v>30970</v>
      </c>
      <c r="AF16" s="3">
        <v>30920</v>
      </c>
      <c r="AG16" s="3">
        <v>30850</v>
      </c>
      <c r="AH16" s="3">
        <v>30770</v>
      </c>
      <c r="AI16" s="3">
        <v>30680</v>
      </c>
      <c r="AJ16" s="3">
        <v>30610</v>
      </c>
      <c r="AK16" s="3">
        <v>30560</v>
      </c>
      <c r="AL16" s="3">
        <v>30530</v>
      </c>
      <c r="AM16" s="3">
        <v>30530</v>
      </c>
      <c r="AN16" s="3">
        <v>30540</v>
      </c>
      <c r="AO16" s="3">
        <v>30570</v>
      </c>
      <c r="AP16" s="3">
        <v>30610</v>
      </c>
      <c r="AQ16" s="3">
        <v>30660</v>
      </c>
      <c r="AR16" s="3">
        <v>30700</v>
      </c>
      <c r="AS16" s="3">
        <v>30730</v>
      </c>
      <c r="AT16" s="3">
        <v>30760</v>
      </c>
      <c r="AU16" s="3">
        <v>30780</v>
      </c>
      <c r="AV16" s="3">
        <v>30800</v>
      </c>
      <c r="AW16" s="3">
        <v>30810</v>
      </c>
      <c r="AX16" s="3">
        <v>30820</v>
      </c>
      <c r="AY16" s="3">
        <v>30840</v>
      </c>
      <c r="AZ16" s="3">
        <v>30860</v>
      </c>
      <c r="BA16" s="3">
        <v>30900</v>
      </c>
      <c r="BB16" s="3">
        <v>30950</v>
      </c>
      <c r="BC16" s="3">
        <v>31010</v>
      </c>
      <c r="BD16" s="3">
        <v>31080</v>
      </c>
    </row>
    <row r="17" spans="1:56" x14ac:dyDescent="0.2">
      <c r="A17" s="1">
        <v>7</v>
      </c>
      <c r="B17" s="3">
        <v>27980</v>
      </c>
      <c r="C17" s="3">
        <v>29160</v>
      </c>
      <c r="D17" s="3">
        <v>28760</v>
      </c>
      <c r="E17" s="3">
        <v>27990</v>
      </c>
      <c r="F17" s="3">
        <v>27850</v>
      </c>
      <c r="G17" s="3">
        <v>28600</v>
      </c>
      <c r="H17" s="3">
        <v>28200</v>
      </c>
      <c r="I17" s="3">
        <v>28790</v>
      </c>
      <c r="J17" s="3">
        <v>30110</v>
      </c>
      <c r="K17" s="3">
        <v>31450</v>
      </c>
      <c r="L17" s="3">
        <v>31080</v>
      </c>
      <c r="M17" s="3">
        <v>31810</v>
      </c>
      <c r="N17" s="3">
        <v>31120</v>
      </c>
      <c r="O17" s="3">
        <v>30510</v>
      </c>
      <c r="P17" s="3">
        <v>29880</v>
      </c>
      <c r="Q17" s="3">
        <v>28880</v>
      </c>
      <c r="R17" s="3">
        <v>28600</v>
      </c>
      <c r="S17" s="3">
        <v>28970</v>
      </c>
      <c r="T17" s="3">
        <v>29290</v>
      </c>
      <c r="U17" s="3">
        <v>29560</v>
      </c>
      <c r="V17" s="3">
        <v>29830</v>
      </c>
      <c r="W17" s="3">
        <v>30080</v>
      </c>
      <c r="X17" s="3">
        <v>30310</v>
      </c>
      <c r="Y17" s="3">
        <v>30500</v>
      </c>
      <c r="Z17" s="3">
        <v>30670</v>
      </c>
      <c r="AA17" s="3">
        <v>30800</v>
      </c>
      <c r="AB17" s="3">
        <v>30900</v>
      </c>
      <c r="AC17" s="3">
        <v>30970</v>
      </c>
      <c r="AD17" s="3">
        <v>31000</v>
      </c>
      <c r="AE17" s="3">
        <v>31010</v>
      </c>
      <c r="AF17" s="3">
        <v>30980</v>
      </c>
      <c r="AG17" s="3">
        <v>30930</v>
      </c>
      <c r="AH17" s="3">
        <v>30860</v>
      </c>
      <c r="AI17" s="3">
        <v>30780</v>
      </c>
      <c r="AJ17" s="3">
        <v>30690</v>
      </c>
      <c r="AK17" s="3">
        <v>30620</v>
      </c>
      <c r="AL17" s="3">
        <v>30570</v>
      </c>
      <c r="AM17" s="3">
        <v>30540</v>
      </c>
      <c r="AN17" s="3">
        <v>30540</v>
      </c>
      <c r="AO17" s="3">
        <v>30550</v>
      </c>
      <c r="AP17" s="3">
        <v>30580</v>
      </c>
      <c r="AQ17" s="3">
        <v>30620</v>
      </c>
      <c r="AR17" s="3">
        <v>30670</v>
      </c>
      <c r="AS17" s="3">
        <v>30710</v>
      </c>
      <c r="AT17" s="3">
        <v>30740</v>
      </c>
      <c r="AU17" s="3">
        <v>30770</v>
      </c>
      <c r="AV17" s="3">
        <v>30790</v>
      </c>
      <c r="AW17" s="3">
        <v>30810</v>
      </c>
      <c r="AX17" s="3">
        <v>30820</v>
      </c>
      <c r="AY17" s="3">
        <v>30830</v>
      </c>
      <c r="AZ17" s="3">
        <v>30850</v>
      </c>
      <c r="BA17" s="3">
        <v>30870</v>
      </c>
      <c r="BB17" s="3">
        <v>30910</v>
      </c>
      <c r="BC17" s="3">
        <v>30960</v>
      </c>
      <c r="BD17" s="3">
        <v>31020</v>
      </c>
    </row>
    <row r="18" spans="1:56" x14ac:dyDescent="0.2">
      <c r="A18" s="1">
        <v>8</v>
      </c>
      <c r="B18" s="3">
        <v>28620</v>
      </c>
      <c r="C18" s="3">
        <v>28230</v>
      </c>
      <c r="D18" s="3">
        <v>29340</v>
      </c>
      <c r="E18" s="3">
        <v>28950</v>
      </c>
      <c r="F18" s="3">
        <v>28120</v>
      </c>
      <c r="G18" s="3">
        <v>27910</v>
      </c>
      <c r="H18" s="3">
        <v>28490</v>
      </c>
      <c r="I18" s="3">
        <v>28140</v>
      </c>
      <c r="J18" s="3">
        <v>28910</v>
      </c>
      <c r="K18" s="3">
        <v>30330</v>
      </c>
      <c r="L18" s="3">
        <v>31570</v>
      </c>
      <c r="M18" s="3">
        <v>31080</v>
      </c>
      <c r="N18" s="3">
        <v>31820</v>
      </c>
      <c r="O18" s="3">
        <v>31120</v>
      </c>
      <c r="P18" s="3">
        <v>30520</v>
      </c>
      <c r="Q18" s="3">
        <v>29890</v>
      </c>
      <c r="R18" s="3">
        <v>28880</v>
      </c>
      <c r="S18" s="3">
        <v>28600</v>
      </c>
      <c r="T18" s="3">
        <v>28980</v>
      </c>
      <c r="U18" s="3">
        <v>29300</v>
      </c>
      <c r="V18" s="3">
        <v>29570</v>
      </c>
      <c r="W18" s="3">
        <v>29830</v>
      </c>
      <c r="X18" s="3">
        <v>30090</v>
      </c>
      <c r="Y18" s="3">
        <v>30310</v>
      </c>
      <c r="Z18" s="3">
        <v>30510</v>
      </c>
      <c r="AA18" s="3">
        <v>30680</v>
      </c>
      <c r="AB18" s="3">
        <v>30810</v>
      </c>
      <c r="AC18" s="3">
        <v>30910</v>
      </c>
      <c r="AD18" s="3">
        <v>30980</v>
      </c>
      <c r="AE18" s="3">
        <v>31010</v>
      </c>
      <c r="AF18" s="3">
        <v>31020</v>
      </c>
      <c r="AG18" s="3">
        <v>30990</v>
      </c>
      <c r="AH18" s="3">
        <v>30940</v>
      </c>
      <c r="AI18" s="3">
        <v>30860</v>
      </c>
      <c r="AJ18" s="3">
        <v>30780</v>
      </c>
      <c r="AK18" s="3">
        <v>30700</v>
      </c>
      <c r="AL18" s="3">
        <v>30630</v>
      </c>
      <c r="AM18" s="3">
        <v>30580</v>
      </c>
      <c r="AN18" s="3">
        <v>30550</v>
      </c>
      <c r="AO18" s="3">
        <v>30550</v>
      </c>
      <c r="AP18" s="3">
        <v>30560</v>
      </c>
      <c r="AQ18" s="3">
        <v>30590</v>
      </c>
      <c r="AR18" s="3">
        <v>30630</v>
      </c>
      <c r="AS18" s="3">
        <v>30670</v>
      </c>
      <c r="AT18" s="3">
        <v>30710</v>
      </c>
      <c r="AU18" s="3">
        <v>30750</v>
      </c>
      <c r="AV18" s="3">
        <v>30780</v>
      </c>
      <c r="AW18" s="3">
        <v>30800</v>
      </c>
      <c r="AX18" s="3">
        <v>30810</v>
      </c>
      <c r="AY18" s="3">
        <v>30830</v>
      </c>
      <c r="AZ18" s="3">
        <v>30840</v>
      </c>
      <c r="BA18" s="3">
        <v>30860</v>
      </c>
      <c r="BB18" s="3">
        <v>30880</v>
      </c>
      <c r="BC18" s="3">
        <v>30920</v>
      </c>
      <c r="BD18" s="3">
        <v>30970</v>
      </c>
    </row>
    <row r="19" spans="1:56" x14ac:dyDescent="0.2">
      <c r="A19" s="1">
        <v>9</v>
      </c>
      <c r="B19" s="3">
        <v>28770</v>
      </c>
      <c r="C19" s="3">
        <v>28910</v>
      </c>
      <c r="D19" s="3">
        <v>28390</v>
      </c>
      <c r="E19" s="3">
        <v>29550</v>
      </c>
      <c r="F19" s="3">
        <v>29150</v>
      </c>
      <c r="G19" s="3">
        <v>28210</v>
      </c>
      <c r="H19" s="3">
        <v>27850</v>
      </c>
      <c r="I19" s="3">
        <v>28430</v>
      </c>
      <c r="J19" s="3">
        <v>28240</v>
      </c>
      <c r="K19" s="3">
        <v>29140</v>
      </c>
      <c r="L19" s="3">
        <v>30450</v>
      </c>
      <c r="M19" s="3">
        <v>31580</v>
      </c>
      <c r="N19" s="3">
        <v>31090</v>
      </c>
      <c r="O19" s="3">
        <v>31830</v>
      </c>
      <c r="P19" s="3">
        <v>31130</v>
      </c>
      <c r="Q19" s="3">
        <v>30530</v>
      </c>
      <c r="R19" s="3">
        <v>29900</v>
      </c>
      <c r="S19" s="3">
        <v>28890</v>
      </c>
      <c r="T19" s="3">
        <v>28610</v>
      </c>
      <c r="U19" s="3">
        <v>28990</v>
      </c>
      <c r="V19" s="3">
        <v>29310</v>
      </c>
      <c r="W19" s="3">
        <v>29580</v>
      </c>
      <c r="X19" s="3">
        <v>29840</v>
      </c>
      <c r="Y19" s="3">
        <v>30100</v>
      </c>
      <c r="Z19" s="3">
        <v>30320</v>
      </c>
      <c r="AA19" s="3">
        <v>30520</v>
      </c>
      <c r="AB19" s="3">
        <v>30690</v>
      </c>
      <c r="AC19" s="3">
        <v>30820</v>
      </c>
      <c r="AD19" s="3">
        <v>30920</v>
      </c>
      <c r="AE19" s="3">
        <v>30990</v>
      </c>
      <c r="AF19" s="3">
        <v>31020</v>
      </c>
      <c r="AG19" s="3">
        <v>31030</v>
      </c>
      <c r="AH19" s="3">
        <v>31000</v>
      </c>
      <c r="AI19" s="3">
        <v>30950</v>
      </c>
      <c r="AJ19" s="3">
        <v>30870</v>
      </c>
      <c r="AK19" s="3">
        <v>30790</v>
      </c>
      <c r="AL19" s="3">
        <v>30710</v>
      </c>
      <c r="AM19" s="3">
        <v>30640</v>
      </c>
      <c r="AN19" s="3">
        <v>30590</v>
      </c>
      <c r="AO19" s="3">
        <v>30560</v>
      </c>
      <c r="AP19" s="3">
        <v>30560</v>
      </c>
      <c r="AQ19" s="3">
        <v>30570</v>
      </c>
      <c r="AR19" s="3">
        <v>30600</v>
      </c>
      <c r="AS19" s="3">
        <v>30640</v>
      </c>
      <c r="AT19" s="3">
        <v>30680</v>
      </c>
      <c r="AU19" s="3">
        <v>30720</v>
      </c>
      <c r="AV19" s="3">
        <v>30760</v>
      </c>
      <c r="AW19" s="3">
        <v>30790</v>
      </c>
      <c r="AX19" s="3">
        <v>30810</v>
      </c>
      <c r="AY19" s="3">
        <v>30820</v>
      </c>
      <c r="AZ19" s="3">
        <v>30840</v>
      </c>
      <c r="BA19" s="3">
        <v>30850</v>
      </c>
      <c r="BB19" s="3">
        <v>30870</v>
      </c>
      <c r="BC19" s="3">
        <v>30890</v>
      </c>
      <c r="BD19" s="3">
        <v>30930</v>
      </c>
    </row>
    <row r="20" spans="1:56" x14ac:dyDescent="0.2">
      <c r="A20" s="1">
        <v>10</v>
      </c>
      <c r="B20" s="3">
        <v>29250</v>
      </c>
      <c r="C20" s="3">
        <v>28990</v>
      </c>
      <c r="D20" s="3">
        <v>29090</v>
      </c>
      <c r="E20" s="3">
        <v>28550</v>
      </c>
      <c r="F20" s="3">
        <v>29770</v>
      </c>
      <c r="G20" s="3">
        <v>29310</v>
      </c>
      <c r="H20" s="3">
        <v>28210</v>
      </c>
      <c r="I20" s="3">
        <v>27900</v>
      </c>
      <c r="J20" s="3">
        <v>28490</v>
      </c>
      <c r="K20" s="3">
        <v>28480</v>
      </c>
      <c r="L20" s="3">
        <v>29270</v>
      </c>
      <c r="M20" s="3">
        <v>30470</v>
      </c>
      <c r="N20" s="3">
        <v>31590</v>
      </c>
      <c r="O20" s="3">
        <v>31110</v>
      </c>
      <c r="P20" s="3">
        <v>31840</v>
      </c>
      <c r="Q20" s="3">
        <v>31140</v>
      </c>
      <c r="R20" s="3">
        <v>30540</v>
      </c>
      <c r="S20" s="3">
        <v>29910</v>
      </c>
      <c r="T20" s="3">
        <v>28910</v>
      </c>
      <c r="U20" s="3">
        <v>28630</v>
      </c>
      <c r="V20" s="3">
        <v>29000</v>
      </c>
      <c r="W20" s="3">
        <v>29320</v>
      </c>
      <c r="X20" s="3">
        <v>29590</v>
      </c>
      <c r="Y20" s="3">
        <v>29860</v>
      </c>
      <c r="Z20" s="3">
        <v>30110</v>
      </c>
      <c r="AA20" s="3">
        <v>30340</v>
      </c>
      <c r="AB20" s="3">
        <v>30530</v>
      </c>
      <c r="AC20" s="3">
        <v>30700</v>
      </c>
      <c r="AD20" s="3">
        <v>30830</v>
      </c>
      <c r="AE20" s="3">
        <v>30930</v>
      </c>
      <c r="AF20" s="3">
        <v>31000</v>
      </c>
      <c r="AG20" s="3">
        <v>31040</v>
      </c>
      <c r="AH20" s="3">
        <v>31040</v>
      </c>
      <c r="AI20" s="3">
        <v>31010</v>
      </c>
      <c r="AJ20" s="3">
        <v>30960</v>
      </c>
      <c r="AK20" s="3">
        <v>30890</v>
      </c>
      <c r="AL20" s="3">
        <v>30810</v>
      </c>
      <c r="AM20" s="3">
        <v>30730</v>
      </c>
      <c r="AN20" s="3">
        <v>30650</v>
      </c>
      <c r="AO20" s="3">
        <v>30600</v>
      </c>
      <c r="AP20" s="3">
        <v>30570</v>
      </c>
      <c r="AQ20" s="3">
        <v>30570</v>
      </c>
      <c r="AR20" s="3">
        <v>30590</v>
      </c>
      <c r="AS20" s="3">
        <v>30620</v>
      </c>
      <c r="AT20" s="3">
        <v>30660</v>
      </c>
      <c r="AU20" s="3">
        <v>30700</v>
      </c>
      <c r="AV20" s="3">
        <v>30740</v>
      </c>
      <c r="AW20" s="3">
        <v>30780</v>
      </c>
      <c r="AX20" s="3">
        <v>30800</v>
      </c>
      <c r="AY20" s="3">
        <v>30830</v>
      </c>
      <c r="AZ20" s="3">
        <v>30840</v>
      </c>
      <c r="BA20" s="3">
        <v>30850</v>
      </c>
      <c r="BB20" s="3">
        <v>30860</v>
      </c>
      <c r="BC20" s="3">
        <v>30880</v>
      </c>
      <c r="BD20" s="3">
        <v>30910</v>
      </c>
    </row>
    <row r="21" spans="1:56" x14ac:dyDescent="0.2">
      <c r="A21" s="1">
        <v>11</v>
      </c>
      <c r="B21" s="3">
        <v>29970</v>
      </c>
      <c r="C21" s="3">
        <v>29430</v>
      </c>
      <c r="D21" s="3">
        <v>29180</v>
      </c>
      <c r="E21" s="3">
        <v>29270</v>
      </c>
      <c r="F21" s="3">
        <v>28700</v>
      </c>
      <c r="G21" s="3">
        <v>29880</v>
      </c>
      <c r="H21" s="3">
        <v>29380</v>
      </c>
      <c r="I21" s="3">
        <v>28280</v>
      </c>
      <c r="J21" s="3">
        <v>27980</v>
      </c>
      <c r="K21" s="3">
        <v>28730</v>
      </c>
      <c r="L21" s="3">
        <v>28610</v>
      </c>
      <c r="M21" s="3">
        <v>29280</v>
      </c>
      <c r="N21" s="3">
        <v>30480</v>
      </c>
      <c r="O21" s="3">
        <v>31600</v>
      </c>
      <c r="P21" s="3">
        <v>31120</v>
      </c>
      <c r="Q21" s="3">
        <v>31850</v>
      </c>
      <c r="R21" s="3">
        <v>31160</v>
      </c>
      <c r="S21" s="3">
        <v>30550</v>
      </c>
      <c r="T21" s="3">
        <v>29930</v>
      </c>
      <c r="U21" s="3">
        <v>28920</v>
      </c>
      <c r="V21" s="3">
        <v>28640</v>
      </c>
      <c r="W21" s="3">
        <v>29020</v>
      </c>
      <c r="X21" s="3">
        <v>29340</v>
      </c>
      <c r="Y21" s="3">
        <v>29600</v>
      </c>
      <c r="Z21" s="3">
        <v>29870</v>
      </c>
      <c r="AA21" s="3">
        <v>30120</v>
      </c>
      <c r="AB21" s="3">
        <v>30350</v>
      </c>
      <c r="AC21" s="3">
        <v>30550</v>
      </c>
      <c r="AD21" s="3">
        <v>30710</v>
      </c>
      <c r="AE21" s="3">
        <v>30850</v>
      </c>
      <c r="AF21" s="3">
        <v>30950</v>
      </c>
      <c r="AG21" s="3">
        <v>31010</v>
      </c>
      <c r="AH21" s="3">
        <v>31050</v>
      </c>
      <c r="AI21" s="3">
        <v>31050</v>
      </c>
      <c r="AJ21" s="3">
        <v>31030</v>
      </c>
      <c r="AK21" s="3">
        <v>30980</v>
      </c>
      <c r="AL21" s="3">
        <v>30900</v>
      </c>
      <c r="AM21" s="3">
        <v>30820</v>
      </c>
      <c r="AN21" s="3">
        <v>30740</v>
      </c>
      <c r="AO21" s="3">
        <v>30670</v>
      </c>
      <c r="AP21" s="3">
        <v>30620</v>
      </c>
      <c r="AQ21" s="3">
        <v>30590</v>
      </c>
      <c r="AR21" s="3">
        <v>30580</v>
      </c>
      <c r="AS21" s="3">
        <v>30600</v>
      </c>
      <c r="AT21" s="3">
        <v>30630</v>
      </c>
      <c r="AU21" s="3">
        <v>30670</v>
      </c>
      <c r="AV21" s="3">
        <v>30710</v>
      </c>
      <c r="AW21" s="3">
        <v>30750</v>
      </c>
      <c r="AX21" s="3">
        <v>30790</v>
      </c>
      <c r="AY21" s="3">
        <v>30820</v>
      </c>
      <c r="AZ21" s="3">
        <v>30840</v>
      </c>
      <c r="BA21" s="3">
        <v>30850</v>
      </c>
      <c r="BB21" s="3">
        <v>30870</v>
      </c>
      <c r="BC21" s="3">
        <v>30880</v>
      </c>
      <c r="BD21" s="3">
        <v>30900</v>
      </c>
    </row>
    <row r="22" spans="1:56" x14ac:dyDescent="0.2">
      <c r="A22" s="1">
        <v>12</v>
      </c>
      <c r="B22" s="3">
        <v>29990</v>
      </c>
      <c r="C22" s="3">
        <v>30090</v>
      </c>
      <c r="D22" s="3">
        <v>29510</v>
      </c>
      <c r="E22" s="3">
        <v>29370</v>
      </c>
      <c r="F22" s="3">
        <v>29520</v>
      </c>
      <c r="G22" s="3">
        <v>28870</v>
      </c>
      <c r="H22" s="3">
        <v>29910</v>
      </c>
      <c r="I22" s="3">
        <v>29480</v>
      </c>
      <c r="J22" s="3">
        <v>28340</v>
      </c>
      <c r="K22" s="3">
        <v>28220</v>
      </c>
      <c r="L22" s="3">
        <v>28860</v>
      </c>
      <c r="M22" s="3">
        <v>28620</v>
      </c>
      <c r="N22" s="3">
        <v>29290</v>
      </c>
      <c r="O22" s="3">
        <v>30490</v>
      </c>
      <c r="P22" s="3">
        <v>31610</v>
      </c>
      <c r="Q22" s="3">
        <v>31130</v>
      </c>
      <c r="R22" s="3">
        <v>31860</v>
      </c>
      <c r="S22" s="3">
        <v>31170</v>
      </c>
      <c r="T22" s="3">
        <v>30560</v>
      </c>
      <c r="U22" s="3">
        <v>29940</v>
      </c>
      <c r="V22" s="3">
        <v>28930</v>
      </c>
      <c r="W22" s="3">
        <v>28650</v>
      </c>
      <c r="X22" s="3">
        <v>29030</v>
      </c>
      <c r="Y22" s="3">
        <v>29350</v>
      </c>
      <c r="Z22" s="3">
        <v>29620</v>
      </c>
      <c r="AA22" s="3">
        <v>29880</v>
      </c>
      <c r="AB22" s="3">
        <v>30140</v>
      </c>
      <c r="AC22" s="3">
        <v>30360</v>
      </c>
      <c r="AD22" s="3">
        <v>30560</v>
      </c>
      <c r="AE22" s="3">
        <v>30720</v>
      </c>
      <c r="AF22" s="3">
        <v>30860</v>
      </c>
      <c r="AG22" s="3">
        <v>30960</v>
      </c>
      <c r="AH22" s="3">
        <v>31020</v>
      </c>
      <c r="AI22" s="3">
        <v>31060</v>
      </c>
      <c r="AJ22" s="3">
        <v>31070</v>
      </c>
      <c r="AK22" s="3">
        <v>31040</v>
      </c>
      <c r="AL22" s="3">
        <v>30990</v>
      </c>
      <c r="AM22" s="3">
        <v>30910</v>
      </c>
      <c r="AN22" s="3">
        <v>30830</v>
      </c>
      <c r="AO22" s="3">
        <v>30750</v>
      </c>
      <c r="AP22" s="3">
        <v>30680</v>
      </c>
      <c r="AQ22" s="3">
        <v>30630</v>
      </c>
      <c r="AR22" s="3">
        <v>30600</v>
      </c>
      <c r="AS22" s="3">
        <v>30600</v>
      </c>
      <c r="AT22" s="3">
        <v>30610</v>
      </c>
      <c r="AU22" s="3">
        <v>30640</v>
      </c>
      <c r="AV22" s="3">
        <v>30680</v>
      </c>
      <c r="AW22" s="3">
        <v>30730</v>
      </c>
      <c r="AX22" s="3">
        <v>30770</v>
      </c>
      <c r="AY22" s="3">
        <v>30800</v>
      </c>
      <c r="AZ22" s="3">
        <v>30830</v>
      </c>
      <c r="BA22" s="3">
        <v>30850</v>
      </c>
      <c r="BB22" s="3">
        <v>30870</v>
      </c>
      <c r="BC22" s="3">
        <v>30880</v>
      </c>
      <c r="BD22" s="3">
        <v>30890</v>
      </c>
    </row>
    <row r="23" spans="1:56" x14ac:dyDescent="0.2">
      <c r="A23" s="1">
        <v>13</v>
      </c>
      <c r="B23" s="3">
        <v>30750</v>
      </c>
      <c r="C23" s="3">
        <v>30090</v>
      </c>
      <c r="D23" s="3">
        <v>30120</v>
      </c>
      <c r="E23" s="3">
        <v>29630</v>
      </c>
      <c r="F23" s="3">
        <v>29590</v>
      </c>
      <c r="G23" s="3">
        <v>29630</v>
      </c>
      <c r="H23" s="3">
        <v>28910</v>
      </c>
      <c r="I23" s="3">
        <v>29930</v>
      </c>
      <c r="J23" s="3">
        <v>29550</v>
      </c>
      <c r="K23" s="3">
        <v>28560</v>
      </c>
      <c r="L23" s="3">
        <v>28330</v>
      </c>
      <c r="M23" s="3">
        <v>28860</v>
      </c>
      <c r="N23" s="3">
        <v>28620</v>
      </c>
      <c r="O23" s="3">
        <v>29290</v>
      </c>
      <c r="P23" s="3">
        <v>30490</v>
      </c>
      <c r="Q23" s="3">
        <v>31610</v>
      </c>
      <c r="R23" s="3">
        <v>31130</v>
      </c>
      <c r="S23" s="3">
        <v>31860</v>
      </c>
      <c r="T23" s="3">
        <v>31170</v>
      </c>
      <c r="U23" s="3">
        <v>30570</v>
      </c>
      <c r="V23" s="3">
        <v>29940</v>
      </c>
      <c r="W23" s="3">
        <v>28930</v>
      </c>
      <c r="X23" s="3">
        <v>28650</v>
      </c>
      <c r="Y23" s="3">
        <v>29030</v>
      </c>
      <c r="Z23" s="3">
        <v>29350</v>
      </c>
      <c r="AA23" s="3">
        <v>29620</v>
      </c>
      <c r="AB23" s="3">
        <v>29880</v>
      </c>
      <c r="AC23" s="3">
        <v>30140</v>
      </c>
      <c r="AD23" s="3">
        <v>30360</v>
      </c>
      <c r="AE23" s="3">
        <v>30560</v>
      </c>
      <c r="AF23" s="3">
        <v>30730</v>
      </c>
      <c r="AG23" s="3">
        <v>30860</v>
      </c>
      <c r="AH23" s="3">
        <v>30960</v>
      </c>
      <c r="AI23" s="3">
        <v>31030</v>
      </c>
      <c r="AJ23" s="3">
        <v>31060</v>
      </c>
      <c r="AK23" s="3">
        <v>31070</v>
      </c>
      <c r="AL23" s="3">
        <v>31040</v>
      </c>
      <c r="AM23" s="3">
        <v>30990</v>
      </c>
      <c r="AN23" s="3">
        <v>30920</v>
      </c>
      <c r="AO23" s="3">
        <v>30840</v>
      </c>
      <c r="AP23" s="3">
        <v>30750</v>
      </c>
      <c r="AQ23" s="3">
        <v>30680</v>
      </c>
      <c r="AR23" s="3">
        <v>30630</v>
      </c>
      <c r="AS23" s="3">
        <v>30600</v>
      </c>
      <c r="AT23" s="3">
        <v>30600</v>
      </c>
      <c r="AU23" s="3">
        <v>30610</v>
      </c>
      <c r="AV23" s="3">
        <v>30640</v>
      </c>
      <c r="AW23" s="3">
        <v>30680</v>
      </c>
      <c r="AX23" s="3">
        <v>30730</v>
      </c>
      <c r="AY23" s="3">
        <v>30770</v>
      </c>
      <c r="AZ23" s="3">
        <v>30800</v>
      </c>
      <c r="BA23" s="3">
        <v>30830</v>
      </c>
      <c r="BB23" s="3">
        <v>30850</v>
      </c>
      <c r="BC23" s="3">
        <v>30870</v>
      </c>
      <c r="BD23" s="3">
        <v>30880</v>
      </c>
    </row>
    <row r="24" spans="1:56" x14ac:dyDescent="0.2">
      <c r="A24" s="1">
        <v>14</v>
      </c>
      <c r="B24" s="3">
        <v>30960</v>
      </c>
      <c r="C24" s="3">
        <v>30780</v>
      </c>
      <c r="D24" s="3">
        <v>30110</v>
      </c>
      <c r="E24" s="3">
        <v>30170</v>
      </c>
      <c r="F24" s="3">
        <v>29830</v>
      </c>
      <c r="G24" s="3">
        <v>29790</v>
      </c>
      <c r="H24" s="3">
        <v>29700</v>
      </c>
      <c r="I24" s="3">
        <v>29000</v>
      </c>
      <c r="J24" s="3">
        <v>30010</v>
      </c>
      <c r="K24" s="3">
        <v>29750</v>
      </c>
      <c r="L24" s="3">
        <v>28670</v>
      </c>
      <c r="M24" s="3">
        <v>28340</v>
      </c>
      <c r="N24" s="3">
        <v>28870</v>
      </c>
      <c r="O24" s="3">
        <v>28640</v>
      </c>
      <c r="P24" s="3">
        <v>29310</v>
      </c>
      <c r="Q24" s="3">
        <v>30510</v>
      </c>
      <c r="R24" s="3">
        <v>31630</v>
      </c>
      <c r="S24" s="3">
        <v>31150</v>
      </c>
      <c r="T24" s="3">
        <v>31880</v>
      </c>
      <c r="U24" s="3">
        <v>31190</v>
      </c>
      <c r="V24" s="3">
        <v>30580</v>
      </c>
      <c r="W24" s="3">
        <v>29960</v>
      </c>
      <c r="X24" s="3">
        <v>28950</v>
      </c>
      <c r="Y24" s="3">
        <v>28670</v>
      </c>
      <c r="Z24" s="3">
        <v>29050</v>
      </c>
      <c r="AA24" s="3">
        <v>29370</v>
      </c>
      <c r="AB24" s="3">
        <v>29640</v>
      </c>
      <c r="AC24" s="3">
        <v>29900</v>
      </c>
      <c r="AD24" s="3">
        <v>30160</v>
      </c>
      <c r="AE24" s="3">
        <v>30380</v>
      </c>
      <c r="AF24" s="3">
        <v>30580</v>
      </c>
      <c r="AG24" s="3">
        <v>30750</v>
      </c>
      <c r="AH24" s="3">
        <v>30880</v>
      </c>
      <c r="AI24" s="3">
        <v>30980</v>
      </c>
      <c r="AJ24" s="3">
        <v>31050</v>
      </c>
      <c r="AK24" s="3">
        <v>31080</v>
      </c>
      <c r="AL24" s="3">
        <v>31090</v>
      </c>
      <c r="AM24" s="3">
        <v>31060</v>
      </c>
      <c r="AN24" s="3">
        <v>31010</v>
      </c>
      <c r="AO24" s="3">
        <v>30940</v>
      </c>
      <c r="AP24" s="3">
        <v>30860</v>
      </c>
      <c r="AQ24" s="3">
        <v>30770</v>
      </c>
      <c r="AR24" s="3">
        <v>30700</v>
      </c>
      <c r="AS24" s="3">
        <v>30650</v>
      </c>
      <c r="AT24" s="3">
        <v>30620</v>
      </c>
      <c r="AU24" s="3">
        <v>30620</v>
      </c>
      <c r="AV24" s="3">
        <v>30630</v>
      </c>
      <c r="AW24" s="3">
        <v>30670</v>
      </c>
      <c r="AX24" s="3">
        <v>30710</v>
      </c>
      <c r="AY24" s="3">
        <v>30750</v>
      </c>
      <c r="AZ24" s="3">
        <v>30790</v>
      </c>
      <c r="BA24" s="3">
        <v>30830</v>
      </c>
      <c r="BB24" s="3">
        <v>30850</v>
      </c>
      <c r="BC24" s="3">
        <v>30880</v>
      </c>
      <c r="BD24" s="3">
        <v>30890</v>
      </c>
    </row>
    <row r="25" spans="1:56" x14ac:dyDescent="0.2">
      <c r="A25" s="1">
        <v>15</v>
      </c>
      <c r="B25" s="3">
        <v>32030</v>
      </c>
      <c r="C25" s="3">
        <v>31100</v>
      </c>
      <c r="D25" s="3">
        <v>30870</v>
      </c>
      <c r="E25" s="3">
        <v>30230</v>
      </c>
      <c r="F25" s="3">
        <v>30410</v>
      </c>
      <c r="G25" s="3">
        <v>29940</v>
      </c>
      <c r="H25" s="3">
        <v>30020</v>
      </c>
      <c r="I25" s="3">
        <v>29930</v>
      </c>
      <c r="J25" s="3">
        <v>29180</v>
      </c>
      <c r="K25" s="3">
        <v>30300</v>
      </c>
      <c r="L25" s="3">
        <v>29970</v>
      </c>
      <c r="M25" s="3">
        <v>28790</v>
      </c>
      <c r="N25" s="3">
        <v>28470</v>
      </c>
      <c r="O25" s="3">
        <v>29000</v>
      </c>
      <c r="P25" s="3">
        <v>28770</v>
      </c>
      <c r="Q25" s="3">
        <v>29430</v>
      </c>
      <c r="R25" s="3">
        <v>30630</v>
      </c>
      <c r="S25" s="3">
        <v>31760</v>
      </c>
      <c r="T25" s="3">
        <v>31280</v>
      </c>
      <c r="U25" s="3">
        <v>32010</v>
      </c>
      <c r="V25" s="3">
        <v>31310</v>
      </c>
      <c r="W25" s="3">
        <v>30710</v>
      </c>
      <c r="X25" s="3">
        <v>30080</v>
      </c>
      <c r="Y25" s="3">
        <v>29080</v>
      </c>
      <c r="Z25" s="3">
        <v>28800</v>
      </c>
      <c r="AA25" s="3">
        <v>29180</v>
      </c>
      <c r="AB25" s="3">
        <v>29500</v>
      </c>
      <c r="AC25" s="3">
        <v>29770</v>
      </c>
      <c r="AD25" s="3">
        <v>30030</v>
      </c>
      <c r="AE25" s="3">
        <v>30290</v>
      </c>
      <c r="AF25" s="3">
        <v>30510</v>
      </c>
      <c r="AG25" s="3">
        <v>30710</v>
      </c>
      <c r="AH25" s="3">
        <v>30870</v>
      </c>
      <c r="AI25" s="3">
        <v>31010</v>
      </c>
      <c r="AJ25" s="3">
        <v>31110</v>
      </c>
      <c r="AK25" s="3">
        <v>31180</v>
      </c>
      <c r="AL25" s="3">
        <v>31210</v>
      </c>
      <c r="AM25" s="3">
        <v>31220</v>
      </c>
      <c r="AN25" s="3">
        <v>31190</v>
      </c>
      <c r="AO25" s="3">
        <v>31140</v>
      </c>
      <c r="AP25" s="3">
        <v>31070</v>
      </c>
      <c r="AQ25" s="3">
        <v>30980</v>
      </c>
      <c r="AR25" s="3">
        <v>30900</v>
      </c>
      <c r="AS25" s="3">
        <v>30830</v>
      </c>
      <c r="AT25" s="3">
        <v>30780</v>
      </c>
      <c r="AU25" s="3">
        <v>30750</v>
      </c>
      <c r="AV25" s="3">
        <v>30750</v>
      </c>
      <c r="AW25" s="3">
        <v>30760</v>
      </c>
      <c r="AX25" s="3">
        <v>30800</v>
      </c>
      <c r="AY25" s="3">
        <v>30840</v>
      </c>
      <c r="AZ25" s="3">
        <v>30880</v>
      </c>
      <c r="BA25" s="3">
        <v>30920</v>
      </c>
      <c r="BB25" s="3">
        <v>30960</v>
      </c>
      <c r="BC25" s="3">
        <v>30980</v>
      </c>
      <c r="BD25" s="3">
        <v>31010</v>
      </c>
    </row>
    <row r="26" spans="1:56" x14ac:dyDescent="0.2">
      <c r="A26" s="1">
        <v>16</v>
      </c>
      <c r="B26" s="3">
        <v>31990</v>
      </c>
      <c r="C26" s="3">
        <v>32170</v>
      </c>
      <c r="D26" s="3">
        <v>31150</v>
      </c>
      <c r="E26" s="3">
        <v>31080</v>
      </c>
      <c r="F26" s="3">
        <v>30550</v>
      </c>
      <c r="G26" s="3">
        <v>30730</v>
      </c>
      <c r="H26" s="3">
        <v>30160</v>
      </c>
      <c r="I26" s="3">
        <v>30350</v>
      </c>
      <c r="J26" s="3">
        <v>30280</v>
      </c>
      <c r="K26" s="3">
        <v>29650</v>
      </c>
      <c r="L26" s="3">
        <v>30670</v>
      </c>
      <c r="M26" s="3">
        <v>30240</v>
      </c>
      <c r="N26" s="3">
        <v>29070</v>
      </c>
      <c r="O26" s="3">
        <v>28740</v>
      </c>
      <c r="P26" s="3">
        <v>29270</v>
      </c>
      <c r="Q26" s="3">
        <v>29040</v>
      </c>
      <c r="R26" s="3">
        <v>29710</v>
      </c>
      <c r="S26" s="3">
        <v>30910</v>
      </c>
      <c r="T26" s="3">
        <v>32030</v>
      </c>
      <c r="U26" s="3">
        <v>31550</v>
      </c>
      <c r="V26" s="3">
        <v>32280</v>
      </c>
      <c r="W26" s="3">
        <v>31590</v>
      </c>
      <c r="X26" s="3">
        <v>30980</v>
      </c>
      <c r="Y26" s="3">
        <v>30360</v>
      </c>
      <c r="Z26" s="3">
        <v>29350</v>
      </c>
      <c r="AA26" s="3">
        <v>29070</v>
      </c>
      <c r="AB26" s="3">
        <v>29450</v>
      </c>
      <c r="AC26" s="3">
        <v>29770</v>
      </c>
      <c r="AD26" s="3">
        <v>30040</v>
      </c>
      <c r="AE26" s="3">
        <v>30300</v>
      </c>
      <c r="AF26" s="3">
        <v>30560</v>
      </c>
      <c r="AG26" s="3">
        <v>30790</v>
      </c>
      <c r="AH26" s="3">
        <v>30980</v>
      </c>
      <c r="AI26" s="3">
        <v>31150</v>
      </c>
      <c r="AJ26" s="3">
        <v>31280</v>
      </c>
      <c r="AK26" s="3">
        <v>31380</v>
      </c>
      <c r="AL26" s="3">
        <v>31450</v>
      </c>
      <c r="AM26" s="3">
        <v>31490</v>
      </c>
      <c r="AN26" s="3">
        <v>31490</v>
      </c>
      <c r="AO26" s="3">
        <v>31470</v>
      </c>
      <c r="AP26" s="3">
        <v>31410</v>
      </c>
      <c r="AQ26" s="3">
        <v>31340</v>
      </c>
      <c r="AR26" s="3">
        <v>31260</v>
      </c>
      <c r="AS26" s="3">
        <v>31180</v>
      </c>
      <c r="AT26" s="3">
        <v>31110</v>
      </c>
      <c r="AU26" s="3">
        <v>31060</v>
      </c>
      <c r="AV26" s="3">
        <v>31030</v>
      </c>
      <c r="AW26" s="3">
        <v>31020</v>
      </c>
      <c r="AX26" s="3">
        <v>31040</v>
      </c>
      <c r="AY26" s="3">
        <v>31070</v>
      </c>
      <c r="AZ26" s="3">
        <v>31110</v>
      </c>
      <c r="BA26" s="3">
        <v>31150</v>
      </c>
      <c r="BB26" s="3">
        <v>31200</v>
      </c>
      <c r="BC26" s="3">
        <v>31230</v>
      </c>
      <c r="BD26" s="3">
        <v>31260</v>
      </c>
    </row>
    <row r="27" spans="1:56" x14ac:dyDescent="0.2">
      <c r="A27" s="1">
        <v>17</v>
      </c>
      <c r="B27" s="3">
        <v>30880</v>
      </c>
      <c r="C27" s="3">
        <v>32080</v>
      </c>
      <c r="D27" s="3">
        <v>32330</v>
      </c>
      <c r="E27" s="3">
        <v>31430</v>
      </c>
      <c r="F27" s="3">
        <v>31420</v>
      </c>
      <c r="G27" s="3">
        <v>30830</v>
      </c>
      <c r="H27" s="3">
        <v>30890</v>
      </c>
      <c r="I27" s="3">
        <v>30440</v>
      </c>
      <c r="J27" s="3">
        <v>30720</v>
      </c>
      <c r="K27" s="3">
        <v>30720</v>
      </c>
      <c r="L27" s="3">
        <v>29970</v>
      </c>
      <c r="M27" s="3">
        <v>30870</v>
      </c>
      <c r="N27" s="3">
        <v>30440</v>
      </c>
      <c r="O27" s="3">
        <v>29270</v>
      </c>
      <c r="P27" s="3">
        <v>28950</v>
      </c>
      <c r="Q27" s="3">
        <v>29480</v>
      </c>
      <c r="R27" s="3">
        <v>29240</v>
      </c>
      <c r="S27" s="3">
        <v>29910</v>
      </c>
      <c r="T27" s="3">
        <v>31110</v>
      </c>
      <c r="U27" s="3">
        <v>32230</v>
      </c>
      <c r="V27" s="3">
        <v>31750</v>
      </c>
      <c r="W27" s="3">
        <v>32480</v>
      </c>
      <c r="X27" s="3">
        <v>31790</v>
      </c>
      <c r="Y27" s="3">
        <v>31190</v>
      </c>
      <c r="Z27" s="3">
        <v>30560</v>
      </c>
      <c r="AA27" s="3">
        <v>29560</v>
      </c>
      <c r="AB27" s="3">
        <v>29280</v>
      </c>
      <c r="AC27" s="3">
        <v>29660</v>
      </c>
      <c r="AD27" s="3">
        <v>29970</v>
      </c>
      <c r="AE27" s="3">
        <v>30240</v>
      </c>
      <c r="AF27" s="3">
        <v>30510</v>
      </c>
      <c r="AG27" s="3">
        <v>30760</v>
      </c>
      <c r="AH27" s="3">
        <v>30990</v>
      </c>
      <c r="AI27" s="3">
        <v>31190</v>
      </c>
      <c r="AJ27" s="3">
        <v>31350</v>
      </c>
      <c r="AK27" s="3">
        <v>31490</v>
      </c>
      <c r="AL27" s="3">
        <v>31590</v>
      </c>
      <c r="AM27" s="3">
        <v>31650</v>
      </c>
      <c r="AN27" s="3">
        <v>31690</v>
      </c>
      <c r="AO27" s="3">
        <v>31700</v>
      </c>
      <c r="AP27" s="3">
        <v>31670</v>
      </c>
      <c r="AQ27" s="3">
        <v>31620</v>
      </c>
      <c r="AR27" s="3">
        <v>31550</v>
      </c>
      <c r="AS27" s="3">
        <v>31470</v>
      </c>
      <c r="AT27" s="3">
        <v>31380</v>
      </c>
      <c r="AU27" s="3">
        <v>31310</v>
      </c>
      <c r="AV27" s="3">
        <v>31260</v>
      </c>
      <c r="AW27" s="3">
        <v>31230</v>
      </c>
      <c r="AX27" s="3">
        <v>31230</v>
      </c>
      <c r="AY27" s="3">
        <v>31250</v>
      </c>
      <c r="AZ27" s="3">
        <v>31280</v>
      </c>
      <c r="BA27" s="3">
        <v>31320</v>
      </c>
      <c r="BB27" s="3">
        <v>31360</v>
      </c>
      <c r="BC27" s="3">
        <v>31400</v>
      </c>
      <c r="BD27" s="3">
        <v>31440</v>
      </c>
    </row>
    <row r="28" spans="1:56" x14ac:dyDescent="0.2">
      <c r="A28" s="1">
        <v>18</v>
      </c>
      <c r="B28" s="3">
        <v>30180</v>
      </c>
      <c r="C28" s="3">
        <v>30570</v>
      </c>
      <c r="D28" s="3">
        <v>31740</v>
      </c>
      <c r="E28" s="3">
        <v>32180</v>
      </c>
      <c r="F28" s="3">
        <v>31390</v>
      </c>
      <c r="G28" s="3">
        <v>31250</v>
      </c>
      <c r="H28" s="3">
        <v>30590</v>
      </c>
      <c r="I28" s="3">
        <v>30770</v>
      </c>
      <c r="J28" s="3">
        <v>30600</v>
      </c>
      <c r="K28" s="3">
        <v>31210</v>
      </c>
      <c r="L28" s="3">
        <v>31020</v>
      </c>
      <c r="M28" s="3">
        <v>30070</v>
      </c>
      <c r="N28" s="3">
        <v>30970</v>
      </c>
      <c r="O28" s="3">
        <v>30540</v>
      </c>
      <c r="P28" s="3">
        <v>29370</v>
      </c>
      <c r="Q28" s="3">
        <v>29050</v>
      </c>
      <c r="R28" s="3">
        <v>29580</v>
      </c>
      <c r="S28" s="3">
        <v>29340</v>
      </c>
      <c r="T28" s="3">
        <v>30010</v>
      </c>
      <c r="U28" s="3">
        <v>31210</v>
      </c>
      <c r="V28" s="3">
        <v>32330</v>
      </c>
      <c r="W28" s="3">
        <v>31850</v>
      </c>
      <c r="X28" s="3">
        <v>32590</v>
      </c>
      <c r="Y28" s="3">
        <v>31890</v>
      </c>
      <c r="Z28" s="3">
        <v>31290</v>
      </c>
      <c r="AA28" s="3">
        <v>30660</v>
      </c>
      <c r="AB28" s="3">
        <v>29660</v>
      </c>
      <c r="AC28" s="3">
        <v>29380</v>
      </c>
      <c r="AD28" s="3">
        <v>29760</v>
      </c>
      <c r="AE28" s="3">
        <v>30080</v>
      </c>
      <c r="AF28" s="3">
        <v>30350</v>
      </c>
      <c r="AG28" s="3">
        <v>30610</v>
      </c>
      <c r="AH28" s="3">
        <v>30870</v>
      </c>
      <c r="AI28" s="3">
        <v>31090</v>
      </c>
      <c r="AJ28" s="3">
        <v>31290</v>
      </c>
      <c r="AK28" s="3">
        <v>31460</v>
      </c>
      <c r="AL28" s="3">
        <v>31590</v>
      </c>
      <c r="AM28" s="3">
        <v>31690</v>
      </c>
      <c r="AN28" s="3">
        <v>31760</v>
      </c>
      <c r="AO28" s="3">
        <v>31800</v>
      </c>
      <c r="AP28" s="3">
        <v>31800</v>
      </c>
      <c r="AQ28" s="3">
        <v>31780</v>
      </c>
      <c r="AR28" s="3">
        <v>31720</v>
      </c>
      <c r="AS28" s="3">
        <v>31650</v>
      </c>
      <c r="AT28" s="3">
        <v>31570</v>
      </c>
      <c r="AU28" s="3">
        <v>31490</v>
      </c>
      <c r="AV28" s="3">
        <v>31420</v>
      </c>
      <c r="AW28" s="3">
        <v>31370</v>
      </c>
      <c r="AX28" s="3">
        <v>31340</v>
      </c>
      <c r="AY28" s="3">
        <v>31340</v>
      </c>
      <c r="AZ28" s="3">
        <v>31350</v>
      </c>
      <c r="BA28" s="3">
        <v>31380</v>
      </c>
      <c r="BB28" s="3">
        <v>31420</v>
      </c>
      <c r="BC28" s="3">
        <v>31470</v>
      </c>
      <c r="BD28" s="3">
        <v>31510</v>
      </c>
    </row>
    <row r="29" spans="1:56" x14ac:dyDescent="0.2">
      <c r="A29" s="1">
        <v>19</v>
      </c>
      <c r="B29" s="3">
        <v>29070</v>
      </c>
      <c r="C29" s="3">
        <v>30050</v>
      </c>
      <c r="D29" s="3">
        <v>30440</v>
      </c>
      <c r="E29" s="3">
        <v>31800</v>
      </c>
      <c r="F29" s="3">
        <v>32490</v>
      </c>
      <c r="G29" s="3">
        <v>31470</v>
      </c>
      <c r="H29" s="3">
        <v>31340</v>
      </c>
      <c r="I29" s="3">
        <v>30840</v>
      </c>
      <c r="J29" s="3">
        <v>31350</v>
      </c>
      <c r="K29" s="3">
        <v>31340</v>
      </c>
      <c r="L29" s="3">
        <v>31690</v>
      </c>
      <c r="M29" s="3">
        <v>31230</v>
      </c>
      <c r="N29" s="3">
        <v>30280</v>
      </c>
      <c r="O29" s="3">
        <v>31180</v>
      </c>
      <c r="P29" s="3">
        <v>30750</v>
      </c>
      <c r="Q29" s="3">
        <v>29580</v>
      </c>
      <c r="R29" s="3">
        <v>29260</v>
      </c>
      <c r="S29" s="3">
        <v>29790</v>
      </c>
      <c r="T29" s="3">
        <v>29550</v>
      </c>
      <c r="U29" s="3">
        <v>30220</v>
      </c>
      <c r="V29" s="3">
        <v>31420</v>
      </c>
      <c r="W29" s="3">
        <v>32540</v>
      </c>
      <c r="X29" s="3">
        <v>32060</v>
      </c>
      <c r="Y29" s="3">
        <v>32800</v>
      </c>
      <c r="Z29" s="3">
        <v>32100</v>
      </c>
      <c r="AA29" s="3">
        <v>31500</v>
      </c>
      <c r="AB29" s="3">
        <v>30880</v>
      </c>
      <c r="AC29" s="3">
        <v>29870</v>
      </c>
      <c r="AD29" s="3">
        <v>29590</v>
      </c>
      <c r="AE29" s="3">
        <v>29970</v>
      </c>
      <c r="AF29" s="3">
        <v>30290</v>
      </c>
      <c r="AG29" s="3">
        <v>30560</v>
      </c>
      <c r="AH29" s="3">
        <v>30830</v>
      </c>
      <c r="AI29" s="3">
        <v>31080</v>
      </c>
      <c r="AJ29" s="3">
        <v>31310</v>
      </c>
      <c r="AK29" s="3">
        <v>31500</v>
      </c>
      <c r="AL29" s="3">
        <v>31670</v>
      </c>
      <c r="AM29" s="3">
        <v>31800</v>
      </c>
      <c r="AN29" s="3">
        <v>31900</v>
      </c>
      <c r="AO29" s="3">
        <v>31970</v>
      </c>
      <c r="AP29" s="3">
        <v>32010</v>
      </c>
      <c r="AQ29" s="3">
        <v>32010</v>
      </c>
      <c r="AR29" s="3">
        <v>31990</v>
      </c>
      <c r="AS29" s="3">
        <v>31940</v>
      </c>
      <c r="AT29" s="3">
        <v>31870</v>
      </c>
      <c r="AU29" s="3">
        <v>31780</v>
      </c>
      <c r="AV29" s="3">
        <v>31700</v>
      </c>
      <c r="AW29" s="3">
        <v>31630</v>
      </c>
      <c r="AX29" s="3">
        <v>31580</v>
      </c>
      <c r="AY29" s="3">
        <v>31550</v>
      </c>
      <c r="AZ29" s="3">
        <v>31550</v>
      </c>
      <c r="BA29" s="3">
        <v>31570</v>
      </c>
      <c r="BB29" s="3">
        <v>31600</v>
      </c>
      <c r="BC29" s="3">
        <v>31640</v>
      </c>
      <c r="BD29" s="3">
        <v>31680</v>
      </c>
    </row>
    <row r="30" spans="1:56" x14ac:dyDescent="0.2">
      <c r="A30" s="1">
        <v>20</v>
      </c>
      <c r="B30" s="3">
        <v>29720</v>
      </c>
      <c r="C30" s="3">
        <v>29030</v>
      </c>
      <c r="D30" s="3">
        <v>30070</v>
      </c>
      <c r="E30" s="3">
        <v>30550</v>
      </c>
      <c r="F30" s="3">
        <v>32200</v>
      </c>
      <c r="G30" s="3">
        <v>32780</v>
      </c>
      <c r="H30" s="3">
        <v>31580</v>
      </c>
      <c r="I30" s="3">
        <v>31590</v>
      </c>
      <c r="J30" s="3">
        <v>31450</v>
      </c>
      <c r="K30" s="3">
        <v>32120</v>
      </c>
      <c r="L30" s="3">
        <v>31840</v>
      </c>
      <c r="M30" s="3">
        <v>31920</v>
      </c>
      <c r="N30" s="3">
        <v>31460</v>
      </c>
      <c r="O30" s="3">
        <v>30520</v>
      </c>
      <c r="P30" s="3">
        <v>31410</v>
      </c>
      <c r="Q30" s="3">
        <v>30980</v>
      </c>
      <c r="R30" s="3">
        <v>29810</v>
      </c>
      <c r="S30" s="3">
        <v>29490</v>
      </c>
      <c r="T30" s="3">
        <v>30020</v>
      </c>
      <c r="U30" s="3">
        <v>29790</v>
      </c>
      <c r="V30" s="3">
        <v>30460</v>
      </c>
      <c r="W30" s="3">
        <v>31650</v>
      </c>
      <c r="X30" s="3">
        <v>32780</v>
      </c>
      <c r="Y30" s="3">
        <v>32300</v>
      </c>
      <c r="Z30" s="3">
        <v>33030</v>
      </c>
      <c r="AA30" s="3">
        <v>32340</v>
      </c>
      <c r="AB30" s="3">
        <v>31740</v>
      </c>
      <c r="AC30" s="3">
        <v>31110</v>
      </c>
      <c r="AD30" s="3">
        <v>30110</v>
      </c>
      <c r="AE30" s="3">
        <v>29830</v>
      </c>
      <c r="AF30" s="3">
        <v>30210</v>
      </c>
      <c r="AG30" s="3">
        <v>30530</v>
      </c>
      <c r="AH30" s="3">
        <v>30800</v>
      </c>
      <c r="AI30" s="3">
        <v>31060</v>
      </c>
      <c r="AJ30" s="3">
        <v>31320</v>
      </c>
      <c r="AK30" s="3">
        <v>31540</v>
      </c>
      <c r="AL30" s="3">
        <v>31740</v>
      </c>
      <c r="AM30" s="3">
        <v>31910</v>
      </c>
      <c r="AN30" s="3">
        <v>32040</v>
      </c>
      <c r="AO30" s="3">
        <v>32140</v>
      </c>
      <c r="AP30" s="3">
        <v>32210</v>
      </c>
      <c r="AQ30" s="3">
        <v>32250</v>
      </c>
      <c r="AR30" s="3">
        <v>32250</v>
      </c>
      <c r="AS30" s="3">
        <v>32230</v>
      </c>
      <c r="AT30" s="3">
        <v>32170</v>
      </c>
      <c r="AU30" s="3">
        <v>32100</v>
      </c>
      <c r="AV30" s="3">
        <v>32020</v>
      </c>
      <c r="AW30" s="3">
        <v>31940</v>
      </c>
      <c r="AX30" s="3">
        <v>31870</v>
      </c>
      <c r="AY30" s="3">
        <v>31820</v>
      </c>
      <c r="AZ30" s="3">
        <v>31790</v>
      </c>
      <c r="BA30" s="3">
        <v>31790</v>
      </c>
      <c r="BB30" s="3">
        <v>31800</v>
      </c>
      <c r="BC30" s="3">
        <v>31840</v>
      </c>
      <c r="BD30" s="3">
        <v>31880</v>
      </c>
    </row>
    <row r="31" spans="1:56" x14ac:dyDescent="0.2">
      <c r="A31" s="1">
        <v>21</v>
      </c>
      <c r="B31" s="3">
        <v>29650</v>
      </c>
      <c r="C31" s="3">
        <v>29360</v>
      </c>
      <c r="D31" s="3">
        <v>28760</v>
      </c>
      <c r="E31" s="3">
        <v>29990</v>
      </c>
      <c r="F31" s="3">
        <v>30640</v>
      </c>
      <c r="G31" s="3">
        <v>32110</v>
      </c>
      <c r="H31" s="3">
        <v>32450</v>
      </c>
      <c r="I31" s="3">
        <v>31430</v>
      </c>
      <c r="J31" s="3">
        <v>31920</v>
      </c>
      <c r="K31" s="3">
        <v>32050</v>
      </c>
      <c r="L31" s="3">
        <v>32420</v>
      </c>
      <c r="M31" s="3">
        <v>31840</v>
      </c>
      <c r="N31" s="3">
        <v>31920</v>
      </c>
      <c r="O31" s="3">
        <v>31460</v>
      </c>
      <c r="P31" s="3">
        <v>30520</v>
      </c>
      <c r="Q31" s="3">
        <v>31420</v>
      </c>
      <c r="R31" s="3">
        <v>30980</v>
      </c>
      <c r="S31" s="3">
        <v>29820</v>
      </c>
      <c r="T31" s="3">
        <v>29490</v>
      </c>
      <c r="U31" s="3">
        <v>30020</v>
      </c>
      <c r="V31" s="3">
        <v>29790</v>
      </c>
      <c r="W31" s="3">
        <v>30460</v>
      </c>
      <c r="X31" s="3">
        <v>31660</v>
      </c>
      <c r="Y31" s="3">
        <v>32780</v>
      </c>
      <c r="Z31" s="3">
        <v>32300</v>
      </c>
      <c r="AA31" s="3">
        <v>33030</v>
      </c>
      <c r="AB31" s="3">
        <v>32340</v>
      </c>
      <c r="AC31" s="3">
        <v>31740</v>
      </c>
      <c r="AD31" s="3">
        <v>31110</v>
      </c>
      <c r="AE31" s="3">
        <v>30110</v>
      </c>
      <c r="AF31" s="3">
        <v>29830</v>
      </c>
      <c r="AG31" s="3">
        <v>30210</v>
      </c>
      <c r="AH31" s="3">
        <v>30530</v>
      </c>
      <c r="AI31" s="3">
        <v>30800</v>
      </c>
      <c r="AJ31" s="3">
        <v>31070</v>
      </c>
      <c r="AK31" s="3">
        <v>31320</v>
      </c>
      <c r="AL31" s="3">
        <v>31550</v>
      </c>
      <c r="AM31" s="3">
        <v>31740</v>
      </c>
      <c r="AN31" s="3">
        <v>31910</v>
      </c>
      <c r="AO31" s="3">
        <v>32050</v>
      </c>
      <c r="AP31" s="3">
        <v>32150</v>
      </c>
      <c r="AQ31" s="3">
        <v>32210</v>
      </c>
      <c r="AR31" s="3">
        <v>32250</v>
      </c>
      <c r="AS31" s="3">
        <v>32260</v>
      </c>
      <c r="AT31" s="3">
        <v>32230</v>
      </c>
      <c r="AU31" s="3">
        <v>32180</v>
      </c>
      <c r="AV31" s="3">
        <v>32110</v>
      </c>
      <c r="AW31" s="3">
        <v>32030</v>
      </c>
      <c r="AX31" s="3">
        <v>31950</v>
      </c>
      <c r="AY31" s="3">
        <v>31880</v>
      </c>
      <c r="AZ31" s="3">
        <v>31830</v>
      </c>
      <c r="BA31" s="3">
        <v>31800</v>
      </c>
      <c r="BB31" s="3">
        <v>31800</v>
      </c>
      <c r="BC31" s="3">
        <v>31810</v>
      </c>
      <c r="BD31" s="3">
        <v>31840</v>
      </c>
    </row>
    <row r="32" spans="1:56" x14ac:dyDescent="0.2">
      <c r="A32" s="1">
        <v>22</v>
      </c>
      <c r="B32" s="3">
        <v>29240</v>
      </c>
      <c r="C32" s="3">
        <v>29060</v>
      </c>
      <c r="D32" s="3">
        <v>28760</v>
      </c>
      <c r="E32" s="3">
        <v>28500</v>
      </c>
      <c r="F32" s="3">
        <v>29830</v>
      </c>
      <c r="G32" s="3">
        <v>30220</v>
      </c>
      <c r="H32" s="3">
        <v>31400</v>
      </c>
      <c r="I32" s="3">
        <v>32070</v>
      </c>
      <c r="J32" s="3">
        <v>31670</v>
      </c>
      <c r="K32" s="3">
        <v>32440</v>
      </c>
      <c r="L32" s="3">
        <v>32220</v>
      </c>
      <c r="M32" s="3">
        <v>32250</v>
      </c>
      <c r="N32" s="3">
        <v>31680</v>
      </c>
      <c r="O32" s="3">
        <v>31750</v>
      </c>
      <c r="P32" s="3">
        <v>31290</v>
      </c>
      <c r="Q32" s="3">
        <v>30350</v>
      </c>
      <c r="R32" s="3">
        <v>31250</v>
      </c>
      <c r="S32" s="3">
        <v>30820</v>
      </c>
      <c r="T32" s="3">
        <v>29650</v>
      </c>
      <c r="U32" s="3">
        <v>29330</v>
      </c>
      <c r="V32" s="3">
        <v>29860</v>
      </c>
      <c r="W32" s="3">
        <v>29630</v>
      </c>
      <c r="X32" s="3">
        <v>30290</v>
      </c>
      <c r="Y32" s="3">
        <v>31490</v>
      </c>
      <c r="Z32" s="3">
        <v>32620</v>
      </c>
      <c r="AA32" s="3">
        <v>32140</v>
      </c>
      <c r="AB32" s="3">
        <v>32870</v>
      </c>
      <c r="AC32" s="3">
        <v>32180</v>
      </c>
      <c r="AD32" s="3">
        <v>31580</v>
      </c>
      <c r="AE32" s="3">
        <v>30950</v>
      </c>
      <c r="AF32" s="3">
        <v>29950</v>
      </c>
      <c r="AG32" s="3">
        <v>29670</v>
      </c>
      <c r="AH32" s="3">
        <v>30050</v>
      </c>
      <c r="AI32" s="3">
        <v>30370</v>
      </c>
      <c r="AJ32" s="3">
        <v>30640</v>
      </c>
      <c r="AK32" s="3">
        <v>30900</v>
      </c>
      <c r="AL32" s="3">
        <v>31160</v>
      </c>
      <c r="AM32" s="3">
        <v>31380</v>
      </c>
      <c r="AN32" s="3">
        <v>31580</v>
      </c>
      <c r="AO32" s="3">
        <v>31750</v>
      </c>
      <c r="AP32" s="3">
        <v>31880</v>
      </c>
      <c r="AQ32" s="3">
        <v>31980</v>
      </c>
      <c r="AR32" s="3">
        <v>32050</v>
      </c>
      <c r="AS32" s="3">
        <v>32090</v>
      </c>
      <c r="AT32" s="3">
        <v>32100</v>
      </c>
      <c r="AU32" s="3">
        <v>32070</v>
      </c>
      <c r="AV32" s="3">
        <v>32020</v>
      </c>
      <c r="AW32" s="3">
        <v>31950</v>
      </c>
      <c r="AX32" s="3">
        <v>31870</v>
      </c>
      <c r="AY32" s="3">
        <v>31790</v>
      </c>
      <c r="AZ32" s="3">
        <v>31710</v>
      </c>
      <c r="BA32" s="3">
        <v>31660</v>
      </c>
      <c r="BB32" s="3">
        <v>31640</v>
      </c>
      <c r="BC32" s="3">
        <v>31630</v>
      </c>
      <c r="BD32" s="3">
        <v>31650</v>
      </c>
    </row>
    <row r="33" spans="1:56" x14ac:dyDescent="0.2">
      <c r="A33" s="1">
        <v>23</v>
      </c>
      <c r="B33" s="3">
        <v>28880</v>
      </c>
      <c r="C33" s="3">
        <v>28650</v>
      </c>
      <c r="D33" s="3">
        <v>28520</v>
      </c>
      <c r="E33" s="3">
        <v>28380</v>
      </c>
      <c r="F33" s="3">
        <v>28400</v>
      </c>
      <c r="G33" s="3">
        <v>29440</v>
      </c>
      <c r="H33" s="3">
        <v>29730</v>
      </c>
      <c r="I33" s="3">
        <v>31030</v>
      </c>
      <c r="J33" s="3">
        <v>32570</v>
      </c>
      <c r="K33" s="3">
        <v>32410</v>
      </c>
      <c r="L33" s="3">
        <v>32790</v>
      </c>
      <c r="M33" s="3">
        <v>32170</v>
      </c>
      <c r="N33" s="3">
        <v>32190</v>
      </c>
      <c r="O33" s="3">
        <v>31620</v>
      </c>
      <c r="P33" s="3">
        <v>31700</v>
      </c>
      <c r="Q33" s="3">
        <v>31240</v>
      </c>
      <c r="R33" s="3">
        <v>30300</v>
      </c>
      <c r="S33" s="3">
        <v>31200</v>
      </c>
      <c r="T33" s="3">
        <v>30770</v>
      </c>
      <c r="U33" s="3">
        <v>29600</v>
      </c>
      <c r="V33" s="3">
        <v>29280</v>
      </c>
      <c r="W33" s="3">
        <v>29810</v>
      </c>
      <c r="X33" s="3">
        <v>29580</v>
      </c>
      <c r="Y33" s="3">
        <v>30240</v>
      </c>
      <c r="Z33" s="3">
        <v>31440</v>
      </c>
      <c r="AA33" s="3">
        <v>32560</v>
      </c>
      <c r="AB33" s="3">
        <v>32080</v>
      </c>
      <c r="AC33" s="3">
        <v>32820</v>
      </c>
      <c r="AD33" s="3">
        <v>32130</v>
      </c>
      <c r="AE33" s="3">
        <v>31530</v>
      </c>
      <c r="AF33" s="3">
        <v>30900</v>
      </c>
      <c r="AG33" s="3">
        <v>29900</v>
      </c>
      <c r="AH33" s="3">
        <v>29620</v>
      </c>
      <c r="AI33" s="3">
        <v>30000</v>
      </c>
      <c r="AJ33" s="3">
        <v>30320</v>
      </c>
      <c r="AK33" s="3">
        <v>30590</v>
      </c>
      <c r="AL33" s="3">
        <v>30850</v>
      </c>
      <c r="AM33" s="3">
        <v>31110</v>
      </c>
      <c r="AN33" s="3">
        <v>31340</v>
      </c>
      <c r="AO33" s="3">
        <v>31530</v>
      </c>
      <c r="AP33" s="3">
        <v>31700</v>
      </c>
      <c r="AQ33" s="3">
        <v>31830</v>
      </c>
      <c r="AR33" s="3">
        <v>31930</v>
      </c>
      <c r="AS33" s="3">
        <v>32000</v>
      </c>
      <c r="AT33" s="3">
        <v>32040</v>
      </c>
      <c r="AU33" s="3">
        <v>32050</v>
      </c>
      <c r="AV33" s="3">
        <v>32020</v>
      </c>
      <c r="AW33" s="3">
        <v>31970</v>
      </c>
      <c r="AX33" s="3">
        <v>31900</v>
      </c>
      <c r="AY33" s="3">
        <v>31820</v>
      </c>
      <c r="AZ33" s="3">
        <v>31740</v>
      </c>
      <c r="BA33" s="3">
        <v>31670</v>
      </c>
      <c r="BB33" s="3">
        <v>31620</v>
      </c>
      <c r="BC33" s="3">
        <v>31590</v>
      </c>
      <c r="BD33" s="3">
        <v>31590</v>
      </c>
    </row>
    <row r="34" spans="1:56" x14ac:dyDescent="0.2">
      <c r="A34" s="1">
        <v>24</v>
      </c>
      <c r="B34" s="3">
        <v>27860</v>
      </c>
      <c r="C34" s="3">
        <v>28440</v>
      </c>
      <c r="D34" s="3">
        <v>28250</v>
      </c>
      <c r="E34" s="3">
        <v>28310</v>
      </c>
      <c r="F34" s="3">
        <v>28250</v>
      </c>
      <c r="G34" s="3">
        <v>28180</v>
      </c>
      <c r="H34" s="3">
        <v>29140</v>
      </c>
      <c r="I34" s="3">
        <v>29620</v>
      </c>
      <c r="J34" s="3">
        <v>31710</v>
      </c>
      <c r="K34" s="3">
        <v>33470</v>
      </c>
      <c r="L34" s="3">
        <v>32910</v>
      </c>
      <c r="M34" s="3">
        <v>32880</v>
      </c>
      <c r="N34" s="3">
        <v>32260</v>
      </c>
      <c r="O34" s="3">
        <v>32290</v>
      </c>
      <c r="P34" s="3">
        <v>31720</v>
      </c>
      <c r="Q34" s="3">
        <v>31800</v>
      </c>
      <c r="R34" s="3">
        <v>31340</v>
      </c>
      <c r="S34" s="3">
        <v>30390</v>
      </c>
      <c r="T34" s="3">
        <v>31290</v>
      </c>
      <c r="U34" s="3">
        <v>30860</v>
      </c>
      <c r="V34" s="3">
        <v>29700</v>
      </c>
      <c r="W34" s="3">
        <v>29370</v>
      </c>
      <c r="X34" s="3">
        <v>29900</v>
      </c>
      <c r="Y34" s="3">
        <v>29670</v>
      </c>
      <c r="Z34" s="3">
        <v>30340</v>
      </c>
      <c r="AA34" s="3">
        <v>31540</v>
      </c>
      <c r="AB34" s="3">
        <v>32660</v>
      </c>
      <c r="AC34" s="3">
        <v>32180</v>
      </c>
      <c r="AD34" s="3">
        <v>32910</v>
      </c>
      <c r="AE34" s="3">
        <v>32220</v>
      </c>
      <c r="AF34" s="3">
        <v>31620</v>
      </c>
      <c r="AG34" s="3">
        <v>31000</v>
      </c>
      <c r="AH34" s="3">
        <v>30000</v>
      </c>
      <c r="AI34" s="3">
        <v>29720</v>
      </c>
      <c r="AJ34" s="3">
        <v>30100</v>
      </c>
      <c r="AK34" s="3">
        <v>30420</v>
      </c>
      <c r="AL34" s="3">
        <v>30690</v>
      </c>
      <c r="AM34" s="3">
        <v>30950</v>
      </c>
      <c r="AN34" s="3">
        <v>31210</v>
      </c>
      <c r="AO34" s="3">
        <v>31430</v>
      </c>
      <c r="AP34" s="3">
        <v>31630</v>
      </c>
      <c r="AQ34" s="3">
        <v>31800</v>
      </c>
      <c r="AR34" s="3">
        <v>31930</v>
      </c>
      <c r="AS34" s="3">
        <v>32030</v>
      </c>
      <c r="AT34" s="3">
        <v>32100</v>
      </c>
      <c r="AU34" s="3">
        <v>32140</v>
      </c>
      <c r="AV34" s="3">
        <v>32150</v>
      </c>
      <c r="AW34" s="3">
        <v>32120</v>
      </c>
      <c r="AX34" s="3">
        <v>32070</v>
      </c>
      <c r="AY34" s="3">
        <v>32000</v>
      </c>
      <c r="AZ34" s="3">
        <v>31920</v>
      </c>
      <c r="BA34" s="3">
        <v>31840</v>
      </c>
      <c r="BB34" s="3">
        <v>31770</v>
      </c>
      <c r="BC34" s="3">
        <v>31720</v>
      </c>
      <c r="BD34" s="3">
        <v>31690</v>
      </c>
    </row>
    <row r="35" spans="1:56" x14ac:dyDescent="0.2">
      <c r="A35" s="1">
        <v>25</v>
      </c>
      <c r="B35" s="3">
        <v>27140</v>
      </c>
      <c r="C35" s="3">
        <v>27660</v>
      </c>
      <c r="D35" s="3">
        <v>28050</v>
      </c>
      <c r="E35" s="3">
        <v>28170</v>
      </c>
      <c r="F35" s="3">
        <v>28260</v>
      </c>
      <c r="G35" s="3">
        <v>28120</v>
      </c>
      <c r="H35" s="3">
        <v>28030</v>
      </c>
      <c r="I35" s="3">
        <v>29240</v>
      </c>
      <c r="J35" s="3">
        <v>30420</v>
      </c>
      <c r="K35" s="3">
        <v>32690</v>
      </c>
      <c r="L35" s="3">
        <v>34080</v>
      </c>
      <c r="M35" s="3">
        <v>33150</v>
      </c>
      <c r="N35" s="3">
        <v>33120</v>
      </c>
      <c r="O35" s="3">
        <v>32500</v>
      </c>
      <c r="P35" s="3">
        <v>32530</v>
      </c>
      <c r="Q35" s="3">
        <v>31950</v>
      </c>
      <c r="R35" s="3">
        <v>32030</v>
      </c>
      <c r="S35" s="3">
        <v>31570</v>
      </c>
      <c r="T35" s="3">
        <v>30630</v>
      </c>
      <c r="U35" s="3">
        <v>31530</v>
      </c>
      <c r="V35" s="3">
        <v>31100</v>
      </c>
      <c r="W35" s="3">
        <v>29930</v>
      </c>
      <c r="X35" s="3">
        <v>29610</v>
      </c>
      <c r="Y35" s="3">
        <v>30140</v>
      </c>
      <c r="Z35" s="3">
        <v>29910</v>
      </c>
      <c r="AA35" s="3">
        <v>30580</v>
      </c>
      <c r="AB35" s="3">
        <v>31780</v>
      </c>
      <c r="AC35" s="3">
        <v>32900</v>
      </c>
      <c r="AD35" s="3">
        <v>32420</v>
      </c>
      <c r="AE35" s="3">
        <v>33150</v>
      </c>
      <c r="AF35" s="3">
        <v>32460</v>
      </c>
      <c r="AG35" s="3">
        <v>31860</v>
      </c>
      <c r="AH35" s="3">
        <v>31240</v>
      </c>
      <c r="AI35" s="3">
        <v>30240</v>
      </c>
      <c r="AJ35" s="3">
        <v>29960</v>
      </c>
      <c r="AK35" s="3">
        <v>30340</v>
      </c>
      <c r="AL35" s="3">
        <v>30660</v>
      </c>
      <c r="AM35" s="3">
        <v>30930</v>
      </c>
      <c r="AN35" s="3">
        <v>31190</v>
      </c>
      <c r="AO35" s="3">
        <v>31450</v>
      </c>
      <c r="AP35" s="3">
        <v>31670</v>
      </c>
      <c r="AQ35" s="3">
        <v>31870</v>
      </c>
      <c r="AR35" s="3">
        <v>32040</v>
      </c>
      <c r="AS35" s="3">
        <v>32170</v>
      </c>
      <c r="AT35" s="3">
        <v>32270</v>
      </c>
      <c r="AU35" s="3">
        <v>32340</v>
      </c>
      <c r="AV35" s="3">
        <v>32380</v>
      </c>
      <c r="AW35" s="3">
        <v>32390</v>
      </c>
      <c r="AX35" s="3">
        <v>32360</v>
      </c>
      <c r="AY35" s="3">
        <v>32310</v>
      </c>
      <c r="AZ35" s="3">
        <v>32240</v>
      </c>
      <c r="BA35" s="3">
        <v>32160</v>
      </c>
      <c r="BB35" s="3">
        <v>32080</v>
      </c>
      <c r="BC35" s="3">
        <v>32010</v>
      </c>
      <c r="BD35" s="3">
        <v>31960</v>
      </c>
    </row>
    <row r="36" spans="1:56" x14ac:dyDescent="0.2">
      <c r="A36" s="1">
        <v>26</v>
      </c>
      <c r="B36" s="3">
        <v>26810</v>
      </c>
      <c r="C36" s="3">
        <v>27200</v>
      </c>
      <c r="D36" s="3">
        <v>27510</v>
      </c>
      <c r="E36" s="3">
        <v>28030</v>
      </c>
      <c r="F36" s="3">
        <v>28290</v>
      </c>
      <c r="G36" s="3">
        <v>28060</v>
      </c>
      <c r="H36" s="3">
        <v>27980</v>
      </c>
      <c r="I36" s="3">
        <v>28240</v>
      </c>
      <c r="J36" s="3">
        <v>30220</v>
      </c>
      <c r="K36" s="3">
        <v>31490</v>
      </c>
      <c r="L36" s="3">
        <v>33420</v>
      </c>
      <c r="M36" s="3">
        <v>34470</v>
      </c>
      <c r="N36" s="3">
        <v>33530</v>
      </c>
      <c r="O36" s="3">
        <v>33510</v>
      </c>
      <c r="P36" s="3">
        <v>32890</v>
      </c>
      <c r="Q36" s="3">
        <v>32910</v>
      </c>
      <c r="R36" s="3">
        <v>32340</v>
      </c>
      <c r="S36" s="3">
        <v>32420</v>
      </c>
      <c r="T36" s="3">
        <v>31960</v>
      </c>
      <c r="U36" s="3">
        <v>31020</v>
      </c>
      <c r="V36" s="3">
        <v>31920</v>
      </c>
      <c r="W36" s="3">
        <v>31490</v>
      </c>
      <c r="X36" s="3">
        <v>30320</v>
      </c>
      <c r="Y36" s="3">
        <v>30000</v>
      </c>
      <c r="Z36" s="3">
        <v>30530</v>
      </c>
      <c r="AA36" s="3">
        <v>30300</v>
      </c>
      <c r="AB36" s="3">
        <v>30970</v>
      </c>
      <c r="AC36" s="3">
        <v>32170</v>
      </c>
      <c r="AD36" s="3">
        <v>33290</v>
      </c>
      <c r="AE36" s="3">
        <v>32810</v>
      </c>
      <c r="AF36" s="3">
        <v>33540</v>
      </c>
      <c r="AG36" s="3">
        <v>32850</v>
      </c>
      <c r="AH36" s="3">
        <v>32250</v>
      </c>
      <c r="AI36" s="3">
        <v>31630</v>
      </c>
      <c r="AJ36" s="3">
        <v>30630</v>
      </c>
      <c r="AK36" s="3">
        <v>30350</v>
      </c>
      <c r="AL36" s="3">
        <v>30730</v>
      </c>
      <c r="AM36" s="3">
        <v>31050</v>
      </c>
      <c r="AN36" s="3">
        <v>31320</v>
      </c>
      <c r="AO36" s="3">
        <v>31580</v>
      </c>
      <c r="AP36" s="3">
        <v>31840</v>
      </c>
      <c r="AQ36" s="3">
        <v>32070</v>
      </c>
      <c r="AR36" s="3">
        <v>32260</v>
      </c>
      <c r="AS36" s="3">
        <v>32430</v>
      </c>
      <c r="AT36" s="3">
        <v>32570</v>
      </c>
      <c r="AU36" s="3">
        <v>32670</v>
      </c>
      <c r="AV36" s="3">
        <v>32740</v>
      </c>
      <c r="AW36" s="3">
        <v>32770</v>
      </c>
      <c r="AX36" s="3">
        <v>32780</v>
      </c>
      <c r="AY36" s="3">
        <v>32750</v>
      </c>
      <c r="AZ36" s="3">
        <v>32700</v>
      </c>
      <c r="BA36" s="3">
        <v>32630</v>
      </c>
      <c r="BB36" s="3">
        <v>32550</v>
      </c>
      <c r="BC36" s="3">
        <v>32470</v>
      </c>
      <c r="BD36" s="3">
        <v>32400</v>
      </c>
    </row>
    <row r="37" spans="1:56" x14ac:dyDescent="0.2">
      <c r="A37" s="1">
        <v>27</v>
      </c>
      <c r="B37" s="3">
        <v>26790</v>
      </c>
      <c r="C37" s="3">
        <v>26970</v>
      </c>
      <c r="D37" s="3">
        <v>27250</v>
      </c>
      <c r="E37" s="3">
        <v>27710</v>
      </c>
      <c r="F37" s="3">
        <v>28270</v>
      </c>
      <c r="G37" s="3">
        <v>28130</v>
      </c>
      <c r="H37" s="3">
        <v>28050</v>
      </c>
      <c r="I37" s="3">
        <v>28080</v>
      </c>
      <c r="J37" s="3">
        <v>29170</v>
      </c>
      <c r="K37" s="3">
        <v>31250</v>
      </c>
      <c r="L37" s="3">
        <v>32220</v>
      </c>
      <c r="M37" s="3">
        <v>33850</v>
      </c>
      <c r="N37" s="3">
        <v>34900</v>
      </c>
      <c r="O37" s="3">
        <v>33970</v>
      </c>
      <c r="P37" s="3">
        <v>33940</v>
      </c>
      <c r="Q37" s="3">
        <v>33320</v>
      </c>
      <c r="R37" s="3">
        <v>33350</v>
      </c>
      <c r="S37" s="3">
        <v>32780</v>
      </c>
      <c r="T37" s="3">
        <v>32860</v>
      </c>
      <c r="U37" s="3">
        <v>32400</v>
      </c>
      <c r="V37" s="3">
        <v>31460</v>
      </c>
      <c r="W37" s="3">
        <v>32350</v>
      </c>
      <c r="X37" s="3">
        <v>31920</v>
      </c>
      <c r="Y37" s="3">
        <v>30760</v>
      </c>
      <c r="Z37" s="3">
        <v>30440</v>
      </c>
      <c r="AA37" s="3">
        <v>30970</v>
      </c>
      <c r="AB37" s="3">
        <v>30740</v>
      </c>
      <c r="AC37" s="3">
        <v>31410</v>
      </c>
      <c r="AD37" s="3">
        <v>32600</v>
      </c>
      <c r="AE37" s="3">
        <v>33720</v>
      </c>
      <c r="AF37" s="3">
        <v>33250</v>
      </c>
      <c r="AG37" s="3">
        <v>33980</v>
      </c>
      <c r="AH37" s="3">
        <v>33290</v>
      </c>
      <c r="AI37" s="3">
        <v>32690</v>
      </c>
      <c r="AJ37" s="3">
        <v>32070</v>
      </c>
      <c r="AK37" s="3">
        <v>31060</v>
      </c>
      <c r="AL37" s="3">
        <v>30790</v>
      </c>
      <c r="AM37" s="3">
        <v>31170</v>
      </c>
      <c r="AN37" s="3">
        <v>31490</v>
      </c>
      <c r="AO37" s="3">
        <v>31760</v>
      </c>
      <c r="AP37" s="3">
        <v>32020</v>
      </c>
      <c r="AQ37" s="3">
        <v>32280</v>
      </c>
      <c r="AR37" s="3">
        <v>32500</v>
      </c>
      <c r="AS37" s="3">
        <v>32700</v>
      </c>
      <c r="AT37" s="3">
        <v>32870</v>
      </c>
      <c r="AU37" s="3">
        <v>33000</v>
      </c>
      <c r="AV37" s="3">
        <v>33100</v>
      </c>
      <c r="AW37" s="3">
        <v>33170</v>
      </c>
      <c r="AX37" s="3">
        <v>33210</v>
      </c>
      <c r="AY37" s="3">
        <v>33220</v>
      </c>
      <c r="AZ37" s="3">
        <v>33190</v>
      </c>
      <c r="BA37" s="3">
        <v>33140</v>
      </c>
      <c r="BB37" s="3">
        <v>33070</v>
      </c>
      <c r="BC37" s="3">
        <v>32990</v>
      </c>
      <c r="BD37" s="3">
        <v>32910</v>
      </c>
    </row>
    <row r="38" spans="1:56" x14ac:dyDescent="0.2">
      <c r="A38" s="1">
        <v>28</v>
      </c>
      <c r="B38" s="3">
        <v>26050</v>
      </c>
      <c r="C38" s="3">
        <v>27100</v>
      </c>
      <c r="D38" s="3">
        <v>27180</v>
      </c>
      <c r="E38" s="3">
        <v>27540</v>
      </c>
      <c r="F38" s="3">
        <v>27920</v>
      </c>
      <c r="G38" s="3">
        <v>28350</v>
      </c>
      <c r="H38" s="3">
        <v>28130</v>
      </c>
      <c r="I38" s="3">
        <v>28290</v>
      </c>
      <c r="J38" s="3">
        <v>28870</v>
      </c>
      <c r="K38" s="3">
        <v>30190</v>
      </c>
      <c r="L38" s="3">
        <v>31990</v>
      </c>
      <c r="M38" s="3">
        <v>32680</v>
      </c>
      <c r="N38" s="3">
        <v>34310</v>
      </c>
      <c r="O38" s="3">
        <v>35360</v>
      </c>
      <c r="P38" s="3">
        <v>34430</v>
      </c>
      <c r="Q38" s="3">
        <v>34400</v>
      </c>
      <c r="R38" s="3">
        <v>33780</v>
      </c>
      <c r="S38" s="3">
        <v>33810</v>
      </c>
      <c r="T38" s="3">
        <v>33240</v>
      </c>
      <c r="U38" s="3">
        <v>33320</v>
      </c>
      <c r="V38" s="3">
        <v>32860</v>
      </c>
      <c r="W38" s="3">
        <v>31920</v>
      </c>
      <c r="X38" s="3">
        <v>32820</v>
      </c>
      <c r="Y38" s="3">
        <v>32390</v>
      </c>
      <c r="Z38" s="3">
        <v>31220</v>
      </c>
      <c r="AA38" s="3">
        <v>30900</v>
      </c>
      <c r="AB38" s="3">
        <v>31430</v>
      </c>
      <c r="AC38" s="3">
        <v>31200</v>
      </c>
      <c r="AD38" s="3">
        <v>31870</v>
      </c>
      <c r="AE38" s="3">
        <v>33070</v>
      </c>
      <c r="AF38" s="3">
        <v>34190</v>
      </c>
      <c r="AG38" s="3">
        <v>33710</v>
      </c>
      <c r="AH38" s="3">
        <v>34440</v>
      </c>
      <c r="AI38" s="3">
        <v>33750</v>
      </c>
      <c r="AJ38" s="3">
        <v>33150</v>
      </c>
      <c r="AK38" s="3">
        <v>32530</v>
      </c>
      <c r="AL38" s="3">
        <v>31530</v>
      </c>
      <c r="AM38" s="3">
        <v>31250</v>
      </c>
      <c r="AN38" s="3">
        <v>31630</v>
      </c>
      <c r="AO38" s="3">
        <v>31950</v>
      </c>
      <c r="AP38" s="3">
        <v>32220</v>
      </c>
      <c r="AQ38" s="3">
        <v>32490</v>
      </c>
      <c r="AR38" s="3">
        <v>32740</v>
      </c>
      <c r="AS38" s="3">
        <v>32970</v>
      </c>
      <c r="AT38" s="3">
        <v>33170</v>
      </c>
      <c r="AU38" s="3">
        <v>33340</v>
      </c>
      <c r="AV38" s="3">
        <v>33470</v>
      </c>
      <c r="AW38" s="3">
        <v>33570</v>
      </c>
      <c r="AX38" s="3">
        <v>33640</v>
      </c>
      <c r="AY38" s="3">
        <v>33680</v>
      </c>
      <c r="AZ38" s="3">
        <v>33680</v>
      </c>
      <c r="BA38" s="3">
        <v>33660</v>
      </c>
      <c r="BB38" s="3">
        <v>33610</v>
      </c>
      <c r="BC38" s="3">
        <v>33540</v>
      </c>
      <c r="BD38" s="3">
        <v>33460</v>
      </c>
    </row>
    <row r="39" spans="1:56" x14ac:dyDescent="0.2">
      <c r="A39" s="1">
        <v>29</v>
      </c>
      <c r="B39" s="3">
        <v>26810</v>
      </c>
      <c r="C39" s="3">
        <v>26550</v>
      </c>
      <c r="D39" s="3">
        <v>27440</v>
      </c>
      <c r="E39" s="3">
        <v>27550</v>
      </c>
      <c r="F39" s="3">
        <v>27810</v>
      </c>
      <c r="G39" s="3">
        <v>28140</v>
      </c>
      <c r="H39" s="3">
        <v>28370</v>
      </c>
      <c r="I39" s="3">
        <v>28300</v>
      </c>
      <c r="J39" s="3">
        <v>29190</v>
      </c>
      <c r="K39" s="3">
        <v>29850</v>
      </c>
      <c r="L39" s="3">
        <v>30940</v>
      </c>
      <c r="M39" s="3">
        <v>32490</v>
      </c>
      <c r="N39" s="3">
        <v>33190</v>
      </c>
      <c r="O39" s="3">
        <v>34810</v>
      </c>
      <c r="P39" s="3">
        <v>35860</v>
      </c>
      <c r="Q39" s="3">
        <v>34930</v>
      </c>
      <c r="R39" s="3">
        <v>34900</v>
      </c>
      <c r="S39" s="3">
        <v>34290</v>
      </c>
      <c r="T39" s="3">
        <v>34310</v>
      </c>
      <c r="U39" s="3">
        <v>33740</v>
      </c>
      <c r="V39" s="3">
        <v>33820</v>
      </c>
      <c r="W39" s="3">
        <v>33360</v>
      </c>
      <c r="X39" s="3">
        <v>32420</v>
      </c>
      <c r="Y39" s="3">
        <v>33320</v>
      </c>
      <c r="Z39" s="3">
        <v>32890</v>
      </c>
      <c r="AA39" s="3">
        <v>31730</v>
      </c>
      <c r="AB39" s="3">
        <v>31410</v>
      </c>
      <c r="AC39" s="3">
        <v>31940</v>
      </c>
      <c r="AD39" s="3">
        <v>31710</v>
      </c>
      <c r="AE39" s="3">
        <v>32370</v>
      </c>
      <c r="AF39" s="3">
        <v>33570</v>
      </c>
      <c r="AG39" s="3">
        <v>34690</v>
      </c>
      <c r="AH39" s="3">
        <v>34220</v>
      </c>
      <c r="AI39" s="3">
        <v>34950</v>
      </c>
      <c r="AJ39" s="3">
        <v>34260</v>
      </c>
      <c r="AK39" s="3">
        <v>33660</v>
      </c>
      <c r="AL39" s="3">
        <v>33040</v>
      </c>
      <c r="AM39" s="3">
        <v>32040</v>
      </c>
      <c r="AN39" s="3">
        <v>31760</v>
      </c>
      <c r="AO39" s="3">
        <v>32140</v>
      </c>
      <c r="AP39" s="3">
        <v>32460</v>
      </c>
      <c r="AQ39" s="3">
        <v>32730</v>
      </c>
      <c r="AR39" s="3">
        <v>32990</v>
      </c>
      <c r="AS39" s="3">
        <v>33250</v>
      </c>
      <c r="AT39" s="3">
        <v>33480</v>
      </c>
      <c r="AU39" s="3">
        <v>33670</v>
      </c>
      <c r="AV39" s="3">
        <v>33840</v>
      </c>
      <c r="AW39" s="3">
        <v>33980</v>
      </c>
      <c r="AX39" s="3">
        <v>34080</v>
      </c>
      <c r="AY39" s="3">
        <v>34150</v>
      </c>
      <c r="AZ39" s="3">
        <v>34180</v>
      </c>
      <c r="BA39" s="3">
        <v>34190</v>
      </c>
      <c r="BB39" s="3">
        <v>34170</v>
      </c>
      <c r="BC39" s="3">
        <v>34120</v>
      </c>
      <c r="BD39" s="3">
        <v>34050</v>
      </c>
    </row>
    <row r="40" spans="1:56" x14ac:dyDescent="0.2">
      <c r="A40" s="1">
        <v>30</v>
      </c>
      <c r="B40" s="3">
        <v>27080</v>
      </c>
      <c r="C40" s="3">
        <v>27260</v>
      </c>
      <c r="D40" s="3">
        <v>26940</v>
      </c>
      <c r="E40" s="3">
        <v>27910</v>
      </c>
      <c r="F40" s="3">
        <v>28010</v>
      </c>
      <c r="G40" s="3">
        <v>27920</v>
      </c>
      <c r="H40" s="3">
        <v>28260</v>
      </c>
      <c r="I40" s="3">
        <v>28630</v>
      </c>
      <c r="J40" s="3">
        <v>29130</v>
      </c>
      <c r="K40" s="3">
        <v>30050</v>
      </c>
      <c r="L40" s="3">
        <v>30530</v>
      </c>
      <c r="M40" s="3">
        <v>31430</v>
      </c>
      <c r="N40" s="3">
        <v>32980</v>
      </c>
      <c r="O40" s="3">
        <v>33680</v>
      </c>
      <c r="P40" s="3">
        <v>35300</v>
      </c>
      <c r="Q40" s="3">
        <v>36350</v>
      </c>
      <c r="R40" s="3">
        <v>35420</v>
      </c>
      <c r="S40" s="3">
        <v>35390</v>
      </c>
      <c r="T40" s="3">
        <v>34780</v>
      </c>
      <c r="U40" s="3">
        <v>34800</v>
      </c>
      <c r="V40" s="3">
        <v>34230</v>
      </c>
      <c r="W40" s="3">
        <v>34310</v>
      </c>
      <c r="X40" s="3">
        <v>33850</v>
      </c>
      <c r="Y40" s="3">
        <v>32920</v>
      </c>
      <c r="Z40" s="3">
        <v>33810</v>
      </c>
      <c r="AA40" s="3">
        <v>33380</v>
      </c>
      <c r="AB40" s="3">
        <v>32220</v>
      </c>
      <c r="AC40" s="3">
        <v>31900</v>
      </c>
      <c r="AD40" s="3">
        <v>32430</v>
      </c>
      <c r="AE40" s="3">
        <v>32200</v>
      </c>
      <c r="AF40" s="3">
        <v>32870</v>
      </c>
      <c r="AG40" s="3">
        <v>34060</v>
      </c>
      <c r="AH40" s="3">
        <v>35190</v>
      </c>
      <c r="AI40" s="3">
        <v>34710</v>
      </c>
      <c r="AJ40" s="3">
        <v>35440</v>
      </c>
      <c r="AK40" s="3">
        <v>34750</v>
      </c>
      <c r="AL40" s="3">
        <v>34150</v>
      </c>
      <c r="AM40" s="3">
        <v>33530</v>
      </c>
      <c r="AN40" s="3">
        <v>32530</v>
      </c>
      <c r="AO40" s="3">
        <v>32250</v>
      </c>
      <c r="AP40" s="3">
        <v>32630</v>
      </c>
      <c r="AQ40" s="3">
        <v>32950</v>
      </c>
      <c r="AR40" s="3">
        <v>33220</v>
      </c>
      <c r="AS40" s="3">
        <v>33490</v>
      </c>
      <c r="AT40" s="3">
        <v>33740</v>
      </c>
      <c r="AU40" s="3">
        <v>33970</v>
      </c>
      <c r="AV40" s="3">
        <v>34170</v>
      </c>
      <c r="AW40" s="3">
        <v>34340</v>
      </c>
      <c r="AX40" s="3">
        <v>34470</v>
      </c>
      <c r="AY40" s="3">
        <v>34570</v>
      </c>
      <c r="AZ40" s="3">
        <v>34640</v>
      </c>
      <c r="BA40" s="3">
        <v>34680</v>
      </c>
      <c r="BB40" s="3">
        <v>34690</v>
      </c>
      <c r="BC40" s="3">
        <v>34660</v>
      </c>
      <c r="BD40" s="3">
        <v>34610</v>
      </c>
    </row>
    <row r="41" spans="1:56" x14ac:dyDescent="0.2">
      <c r="A41" s="1">
        <v>31</v>
      </c>
      <c r="B41" s="3">
        <v>28670</v>
      </c>
      <c r="C41" s="3">
        <v>27610</v>
      </c>
      <c r="D41" s="3">
        <v>27590</v>
      </c>
      <c r="E41" s="3">
        <v>27380</v>
      </c>
      <c r="F41" s="3">
        <v>28230</v>
      </c>
      <c r="G41" s="3">
        <v>28200</v>
      </c>
      <c r="H41" s="3">
        <v>28030</v>
      </c>
      <c r="I41" s="3">
        <v>28510</v>
      </c>
      <c r="J41" s="3">
        <v>29290</v>
      </c>
      <c r="K41" s="3">
        <v>29870</v>
      </c>
      <c r="L41" s="3">
        <v>30620</v>
      </c>
      <c r="M41" s="3">
        <v>30920</v>
      </c>
      <c r="N41" s="3">
        <v>31810</v>
      </c>
      <c r="O41" s="3">
        <v>33370</v>
      </c>
      <c r="P41" s="3">
        <v>34060</v>
      </c>
      <c r="Q41" s="3">
        <v>35690</v>
      </c>
      <c r="R41" s="3">
        <v>36740</v>
      </c>
      <c r="S41" s="3">
        <v>35810</v>
      </c>
      <c r="T41" s="3">
        <v>35780</v>
      </c>
      <c r="U41" s="3">
        <v>35160</v>
      </c>
      <c r="V41" s="3">
        <v>35190</v>
      </c>
      <c r="W41" s="3">
        <v>34620</v>
      </c>
      <c r="X41" s="3">
        <v>34700</v>
      </c>
      <c r="Y41" s="3">
        <v>34240</v>
      </c>
      <c r="Z41" s="3">
        <v>33300</v>
      </c>
      <c r="AA41" s="3">
        <v>34200</v>
      </c>
      <c r="AB41" s="3">
        <v>33770</v>
      </c>
      <c r="AC41" s="3">
        <v>32610</v>
      </c>
      <c r="AD41" s="3">
        <v>32290</v>
      </c>
      <c r="AE41" s="3">
        <v>32820</v>
      </c>
      <c r="AF41" s="3">
        <v>32590</v>
      </c>
      <c r="AG41" s="3">
        <v>33260</v>
      </c>
      <c r="AH41" s="3">
        <v>34450</v>
      </c>
      <c r="AI41" s="3">
        <v>35570</v>
      </c>
      <c r="AJ41" s="3">
        <v>35100</v>
      </c>
      <c r="AK41" s="3">
        <v>35830</v>
      </c>
      <c r="AL41" s="3">
        <v>35140</v>
      </c>
      <c r="AM41" s="3">
        <v>34540</v>
      </c>
      <c r="AN41" s="3">
        <v>33920</v>
      </c>
      <c r="AO41" s="3">
        <v>32920</v>
      </c>
      <c r="AP41" s="3">
        <v>32640</v>
      </c>
      <c r="AQ41" s="3">
        <v>33020</v>
      </c>
      <c r="AR41" s="3">
        <v>33340</v>
      </c>
      <c r="AS41" s="3">
        <v>33610</v>
      </c>
      <c r="AT41" s="3">
        <v>33880</v>
      </c>
      <c r="AU41" s="3">
        <v>34130</v>
      </c>
      <c r="AV41" s="3">
        <v>34360</v>
      </c>
      <c r="AW41" s="3">
        <v>34560</v>
      </c>
      <c r="AX41" s="3">
        <v>34730</v>
      </c>
      <c r="AY41" s="3">
        <v>34860</v>
      </c>
      <c r="AZ41" s="3">
        <v>34960</v>
      </c>
      <c r="BA41" s="3">
        <v>35030</v>
      </c>
      <c r="BB41" s="3">
        <v>35070</v>
      </c>
      <c r="BC41" s="3">
        <v>35080</v>
      </c>
      <c r="BD41" s="3">
        <v>35050</v>
      </c>
    </row>
    <row r="42" spans="1:56" x14ac:dyDescent="0.2">
      <c r="A42" s="1">
        <v>32</v>
      </c>
      <c r="B42" s="3">
        <v>29960</v>
      </c>
      <c r="C42" s="3">
        <v>28990</v>
      </c>
      <c r="D42" s="3">
        <v>27810</v>
      </c>
      <c r="E42" s="3">
        <v>27780</v>
      </c>
      <c r="F42" s="3">
        <v>27520</v>
      </c>
      <c r="G42" s="3">
        <v>28300</v>
      </c>
      <c r="H42" s="3">
        <v>28140</v>
      </c>
      <c r="I42" s="3">
        <v>28010</v>
      </c>
      <c r="J42" s="3">
        <v>28940</v>
      </c>
      <c r="K42" s="3">
        <v>29840</v>
      </c>
      <c r="L42" s="3">
        <v>30250</v>
      </c>
      <c r="M42" s="3">
        <v>30830</v>
      </c>
      <c r="N42" s="3">
        <v>31130</v>
      </c>
      <c r="O42" s="3">
        <v>32030</v>
      </c>
      <c r="P42" s="3">
        <v>33580</v>
      </c>
      <c r="Q42" s="3">
        <v>34270</v>
      </c>
      <c r="R42" s="3">
        <v>35900</v>
      </c>
      <c r="S42" s="3">
        <v>36950</v>
      </c>
      <c r="T42" s="3">
        <v>36020</v>
      </c>
      <c r="U42" s="3">
        <v>35990</v>
      </c>
      <c r="V42" s="3">
        <v>35380</v>
      </c>
      <c r="W42" s="3">
        <v>35400</v>
      </c>
      <c r="X42" s="3">
        <v>34830</v>
      </c>
      <c r="Y42" s="3">
        <v>34910</v>
      </c>
      <c r="Z42" s="3">
        <v>34460</v>
      </c>
      <c r="AA42" s="3">
        <v>33520</v>
      </c>
      <c r="AB42" s="3">
        <v>34420</v>
      </c>
      <c r="AC42" s="3">
        <v>33990</v>
      </c>
      <c r="AD42" s="3">
        <v>32830</v>
      </c>
      <c r="AE42" s="3">
        <v>32510</v>
      </c>
      <c r="AF42" s="3">
        <v>33040</v>
      </c>
      <c r="AG42" s="3">
        <v>32810</v>
      </c>
      <c r="AH42" s="3">
        <v>33470</v>
      </c>
      <c r="AI42" s="3">
        <v>34670</v>
      </c>
      <c r="AJ42" s="3">
        <v>35790</v>
      </c>
      <c r="AK42" s="3">
        <v>35310</v>
      </c>
      <c r="AL42" s="3">
        <v>36050</v>
      </c>
      <c r="AM42" s="3">
        <v>35360</v>
      </c>
      <c r="AN42" s="3">
        <v>34760</v>
      </c>
      <c r="AO42" s="3">
        <v>34140</v>
      </c>
      <c r="AP42" s="3">
        <v>33140</v>
      </c>
      <c r="AQ42" s="3">
        <v>32860</v>
      </c>
      <c r="AR42" s="3">
        <v>33240</v>
      </c>
      <c r="AS42" s="3">
        <v>33560</v>
      </c>
      <c r="AT42" s="3">
        <v>33830</v>
      </c>
      <c r="AU42" s="3">
        <v>34100</v>
      </c>
      <c r="AV42" s="3">
        <v>34350</v>
      </c>
      <c r="AW42" s="3">
        <v>34580</v>
      </c>
      <c r="AX42" s="3">
        <v>34780</v>
      </c>
      <c r="AY42" s="3">
        <v>34950</v>
      </c>
      <c r="AZ42" s="3">
        <v>35080</v>
      </c>
      <c r="BA42" s="3">
        <v>35180</v>
      </c>
      <c r="BB42" s="3">
        <v>35250</v>
      </c>
      <c r="BC42" s="3">
        <v>35290</v>
      </c>
      <c r="BD42" s="3">
        <v>35300</v>
      </c>
    </row>
    <row r="43" spans="1:56" x14ac:dyDescent="0.2">
      <c r="A43" s="1">
        <v>33</v>
      </c>
      <c r="B43" s="3">
        <v>31240</v>
      </c>
      <c r="C43" s="3">
        <v>30280</v>
      </c>
      <c r="D43" s="3">
        <v>29200</v>
      </c>
      <c r="E43" s="3">
        <v>27960</v>
      </c>
      <c r="F43" s="3">
        <v>27980</v>
      </c>
      <c r="G43" s="3">
        <v>27550</v>
      </c>
      <c r="H43" s="3">
        <v>28290</v>
      </c>
      <c r="I43" s="3">
        <v>28140</v>
      </c>
      <c r="J43" s="3">
        <v>28390</v>
      </c>
      <c r="K43" s="3">
        <v>29360</v>
      </c>
      <c r="L43" s="3">
        <v>30120</v>
      </c>
      <c r="M43" s="3">
        <v>30380</v>
      </c>
      <c r="N43" s="3">
        <v>30970</v>
      </c>
      <c r="O43" s="3">
        <v>31260</v>
      </c>
      <c r="P43" s="3">
        <v>32160</v>
      </c>
      <c r="Q43" s="3">
        <v>33720</v>
      </c>
      <c r="R43" s="3">
        <v>34410</v>
      </c>
      <c r="S43" s="3">
        <v>36030</v>
      </c>
      <c r="T43" s="3">
        <v>37080</v>
      </c>
      <c r="U43" s="3">
        <v>36150</v>
      </c>
      <c r="V43" s="3">
        <v>36130</v>
      </c>
      <c r="W43" s="3">
        <v>35510</v>
      </c>
      <c r="X43" s="3">
        <v>35540</v>
      </c>
      <c r="Y43" s="3">
        <v>34970</v>
      </c>
      <c r="Z43" s="3">
        <v>35050</v>
      </c>
      <c r="AA43" s="3">
        <v>34590</v>
      </c>
      <c r="AB43" s="3">
        <v>33650</v>
      </c>
      <c r="AC43" s="3">
        <v>34550</v>
      </c>
      <c r="AD43" s="3">
        <v>34120</v>
      </c>
      <c r="AE43" s="3">
        <v>32960</v>
      </c>
      <c r="AF43" s="3">
        <v>32640</v>
      </c>
      <c r="AG43" s="3">
        <v>33170</v>
      </c>
      <c r="AH43" s="3">
        <v>32940</v>
      </c>
      <c r="AI43" s="3">
        <v>33610</v>
      </c>
      <c r="AJ43" s="3">
        <v>34810</v>
      </c>
      <c r="AK43" s="3">
        <v>35930</v>
      </c>
      <c r="AL43" s="3">
        <v>35450</v>
      </c>
      <c r="AM43" s="3">
        <v>36180</v>
      </c>
      <c r="AN43" s="3">
        <v>35500</v>
      </c>
      <c r="AO43" s="3">
        <v>34900</v>
      </c>
      <c r="AP43" s="3">
        <v>34280</v>
      </c>
      <c r="AQ43" s="3">
        <v>33280</v>
      </c>
      <c r="AR43" s="3">
        <v>33000</v>
      </c>
      <c r="AS43" s="3">
        <v>33380</v>
      </c>
      <c r="AT43" s="3">
        <v>33700</v>
      </c>
      <c r="AU43" s="3">
        <v>33970</v>
      </c>
      <c r="AV43" s="3">
        <v>34240</v>
      </c>
      <c r="AW43" s="3">
        <v>34490</v>
      </c>
      <c r="AX43" s="3">
        <v>34720</v>
      </c>
      <c r="AY43" s="3">
        <v>34920</v>
      </c>
      <c r="AZ43" s="3">
        <v>35090</v>
      </c>
      <c r="BA43" s="3">
        <v>35220</v>
      </c>
      <c r="BB43" s="3">
        <v>35320</v>
      </c>
      <c r="BC43" s="3">
        <v>35390</v>
      </c>
      <c r="BD43" s="3">
        <v>35430</v>
      </c>
    </row>
    <row r="44" spans="1:56" x14ac:dyDescent="0.2">
      <c r="A44" s="1">
        <v>34</v>
      </c>
      <c r="B44" s="3">
        <v>32740</v>
      </c>
      <c r="C44" s="3">
        <v>31520</v>
      </c>
      <c r="D44" s="3">
        <v>30510</v>
      </c>
      <c r="E44" s="3">
        <v>29420</v>
      </c>
      <c r="F44" s="3">
        <v>28160</v>
      </c>
      <c r="G44" s="3">
        <v>28030</v>
      </c>
      <c r="H44" s="3">
        <v>27560</v>
      </c>
      <c r="I44" s="3">
        <v>28290</v>
      </c>
      <c r="J44" s="3">
        <v>28410</v>
      </c>
      <c r="K44" s="3">
        <v>28800</v>
      </c>
      <c r="L44" s="3">
        <v>29630</v>
      </c>
      <c r="M44" s="3">
        <v>30250</v>
      </c>
      <c r="N44" s="3">
        <v>30520</v>
      </c>
      <c r="O44" s="3">
        <v>31100</v>
      </c>
      <c r="P44" s="3">
        <v>31400</v>
      </c>
      <c r="Q44" s="3">
        <v>32290</v>
      </c>
      <c r="R44" s="3">
        <v>33850</v>
      </c>
      <c r="S44" s="3">
        <v>34540</v>
      </c>
      <c r="T44" s="3">
        <v>36170</v>
      </c>
      <c r="U44" s="3">
        <v>37210</v>
      </c>
      <c r="V44" s="3">
        <v>36290</v>
      </c>
      <c r="W44" s="3">
        <v>36260</v>
      </c>
      <c r="X44" s="3">
        <v>35650</v>
      </c>
      <c r="Y44" s="3">
        <v>35670</v>
      </c>
      <c r="Z44" s="3">
        <v>35100</v>
      </c>
      <c r="AA44" s="3">
        <v>35180</v>
      </c>
      <c r="AB44" s="3">
        <v>34730</v>
      </c>
      <c r="AC44" s="3">
        <v>33790</v>
      </c>
      <c r="AD44" s="3">
        <v>34690</v>
      </c>
      <c r="AE44" s="3">
        <v>34260</v>
      </c>
      <c r="AF44" s="3">
        <v>33100</v>
      </c>
      <c r="AG44" s="3">
        <v>32780</v>
      </c>
      <c r="AH44" s="3">
        <v>33310</v>
      </c>
      <c r="AI44" s="3">
        <v>33080</v>
      </c>
      <c r="AJ44" s="3">
        <v>33750</v>
      </c>
      <c r="AK44" s="3">
        <v>34940</v>
      </c>
      <c r="AL44" s="3">
        <v>36060</v>
      </c>
      <c r="AM44" s="3">
        <v>35590</v>
      </c>
      <c r="AN44" s="3">
        <v>36320</v>
      </c>
      <c r="AO44" s="3">
        <v>35630</v>
      </c>
      <c r="AP44" s="3">
        <v>35040</v>
      </c>
      <c r="AQ44" s="3">
        <v>34410</v>
      </c>
      <c r="AR44" s="3">
        <v>33420</v>
      </c>
      <c r="AS44" s="3">
        <v>33140</v>
      </c>
      <c r="AT44" s="3">
        <v>33520</v>
      </c>
      <c r="AU44" s="3">
        <v>33840</v>
      </c>
      <c r="AV44" s="3">
        <v>34110</v>
      </c>
      <c r="AW44" s="3">
        <v>34380</v>
      </c>
      <c r="AX44" s="3">
        <v>34630</v>
      </c>
      <c r="AY44" s="3">
        <v>34860</v>
      </c>
      <c r="AZ44" s="3">
        <v>35060</v>
      </c>
      <c r="BA44" s="3">
        <v>35230</v>
      </c>
      <c r="BB44" s="3">
        <v>35360</v>
      </c>
      <c r="BC44" s="3">
        <v>35460</v>
      </c>
      <c r="BD44" s="3">
        <v>35530</v>
      </c>
    </row>
    <row r="45" spans="1:56" x14ac:dyDescent="0.2">
      <c r="A45" s="1">
        <v>35</v>
      </c>
      <c r="B45" s="3">
        <v>33360</v>
      </c>
      <c r="C45" s="3">
        <v>33040</v>
      </c>
      <c r="D45" s="3">
        <v>31710</v>
      </c>
      <c r="E45" s="3">
        <v>30800</v>
      </c>
      <c r="F45" s="3">
        <v>29620</v>
      </c>
      <c r="G45" s="3">
        <v>28240</v>
      </c>
      <c r="H45" s="3">
        <v>28000</v>
      </c>
      <c r="I45" s="3">
        <v>27630</v>
      </c>
      <c r="J45" s="3">
        <v>28590</v>
      </c>
      <c r="K45" s="3">
        <v>28820</v>
      </c>
      <c r="L45" s="3">
        <v>29060</v>
      </c>
      <c r="M45" s="3">
        <v>29750</v>
      </c>
      <c r="N45" s="3">
        <v>30370</v>
      </c>
      <c r="O45" s="3">
        <v>30640</v>
      </c>
      <c r="P45" s="3">
        <v>31220</v>
      </c>
      <c r="Q45" s="3">
        <v>31520</v>
      </c>
      <c r="R45" s="3">
        <v>32410</v>
      </c>
      <c r="S45" s="3">
        <v>33970</v>
      </c>
      <c r="T45" s="3">
        <v>34660</v>
      </c>
      <c r="U45" s="3">
        <v>36280</v>
      </c>
      <c r="V45" s="3">
        <v>37330</v>
      </c>
      <c r="W45" s="3">
        <v>36410</v>
      </c>
      <c r="X45" s="3">
        <v>36380</v>
      </c>
      <c r="Y45" s="3">
        <v>35770</v>
      </c>
      <c r="Z45" s="3">
        <v>35790</v>
      </c>
      <c r="AA45" s="3">
        <v>35230</v>
      </c>
      <c r="AB45" s="3">
        <v>35310</v>
      </c>
      <c r="AC45" s="3">
        <v>34850</v>
      </c>
      <c r="AD45" s="3">
        <v>33910</v>
      </c>
      <c r="AE45" s="3">
        <v>34810</v>
      </c>
      <c r="AF45" s="3">
        <v>34380</v>
      </c>
      <c r="AG45" s="3">
        <v>33220</v>
      </c>
      <c r="AH45" s="3">
        <v>32900</v>
      </c>
      <c r="AI45" s="3">
        <v>33430</v>
      </c>
      <c r="AJ45" s="3">
        <v>33200</v>
      </c>
      <c r="AK45" s="3">
        <v>33870</v>
      </c>
      <c r="AL45" s="3">
        <v>35070</v>
      </c>
      <c r="AM45" s="3">
        <v>36190</v>
      </c>
      <c r="AN45" s="3">
        <v>35710</v>
      </c>
      <c r="AO45" s="3">
        <v>36450</v>
      </c>
      <c r="AP45" s="3">
        <v>35760</v>
      </c>
      <c r="AQ45" s="3">
        <v>35160</v>
      </c>
      <c r="AR45" s="3">
        <v>34540</v>
      </c>
      <c r="AS45" s="3">
        <v>33540</v>
      </c>
      <c r="AT45" s="3">
        <v>33260</v>
      </c>
      <c r="AU45" s="3">
        <v>33640</v>
      </c>
      <c r="AV45" s="3">
        <v>33960</v>
      </c>
      <c r="AW45" s="3">
        <v>34230</v>
      </c>
      <c r="AX45" s="3">
        <v>34500</v>
      </c>
      <c r="AY45" s="3">
        <v>34760</v>
      </c>
      <c r="AZ45" s="3">
        <v>34980</v>
      </c>
      <c r="BA45" s="3">
        <v>35180</v>
      </c>
      <c r="BB45" s="3">
        <v>35350</v>
      </c>
      <c r="BC45" s="3">
        <v>35490</v>
      </c>
      <c r="BD45" s="3">
        <v>35590</v>
      </c>
    </row>
    <row r="46" spans="1:56" x14ac:dyDescent="0.2">
      <c r="A46" s="1">
        <v>36</v>
      </c>
      <c r="B46" s="3">
        <v>32520</v>
      </c>
      <c r="C46" s="3">
        <v>33680</v>
      </c>
      <c r="D46" s="3">
        <v>33230</v>
      </c>
      <c r="E46" s="3">
        <v>31930</v>
      </c>
      <c r="F46" s="3">
        <v>30980</v>
      </c>
      <c r="G46" s="3">
        <v>29690</v>
      </c>
      <c r="H46" s="3">
        <v>28210</v>
      </c>
      <c r="I46" s="3">
        <v>28060</v>
      </c>
      <c r="J46" s="3">
        <v>27840</v>
      </c>
      <c r="K46" s="3">
        <v>28970</v>
      </c>
      <c r="L46" s="3">
        <v>29070</v>
      </c>
      <c r="M46" s="3">
        <v>29170</v>
      </c>
      <c r="N46" s="3">
        <v>29850</v>
      </c>
      <c r="O46" s="3">
        <v>30480</v>
      </c>
      <c r="P46" s="3">
        <v>30740</v>
      </c>
      <c r="Q46" s="3">
        <v>31320</v>
      </c>
      <c r="R46" s="3">
        <v>31620</v>
      </c>
      <c r="S46" s="3">
        <v>32520</v>
      </c>
      <c r="T46" s="3">
        <v>34070</v>
      </c>
      <c r="U46" s="3">
        <v>34760</v>
      </c>
      <c r="V46" s="3">
        <v>36390</v>
      </c>
      <c r="W46" s="3">
        <v>37430</v>
      </c>
      <c r="X46" s="3">
        <v>36510</v>
      </c>
      <c r="Y46" s="3">
        <v>36480</v>
      </c>
      <c r="Z46" s="3">
        <v>35870</v>
      </c>
      <c r="AA46" s="3">
        <v>35890</v>
      </c>
      <c r="AB46" s="3">
        <v>35330</v>
      </c>
      <c r="AC46" s="3">
        <v>35410</v>
      </c>
      <c r="AD46" s="3">
        <v>34950</v>
      </c>
      <c r="AE46" s="3">
        <v>34020</v>
      </c>
      <c r="AF46" s="3">
        <v>34910</v>
      </c>
      <c r="AG46" s="3">
        <v>34490</v>
      </c>
      <c r="AH46" s="3">
        <v>33330</v>
      </c>
      <c r="AI46" s="3">
        <v>33010</v>
      </c>
      <c r="AJ46" s="3">
        <v>33540</v>
      </c>
      <c r="AK46" s="3">
        <v>33310</v>
      </c>
      <c r="AL46" s="3">
        <v>33980</v>
      </c>
      <c r="AM46" s="3">
        <v>35170</v>
      </c>
      <c r="AN46" s="3">
        <v>36290</v>
      </c>
      <c r="AO46" s="3">
        <v>35820</v>
      </c>
      <c r="AP46" s="3">
        <v>36550</v>
      </c>
      <c r="AQ46" s="3">
        <v>35860</v>
      </c>
      <c r="AR46" s="3">
        <v>35270</v>
      </c>
      <c r="AS46" s="3">
        <v>34640</v>
      </c>
      <c r="AT46" s="3">
        <v>33650</v>
      </c>
      <c r="AU46" s="3">
        <v>33370</v>
      </c>
      <c r="AV46" s="3">
        <v>33750</v>
      </c>
      <c r="AW46" s="3">
        <v>34070</v>
      </c>
      <c r="AX46" s="3">
        <v>34340</v>
      </c>
      <c r="AY46" s="3">
        <v>34610</v>
      </c>
      <c r="AZ46" s="3">
        <v>34870</v>
      </c>
      <c r="BA46" s="3">
        <v>35090</v>
      </c>
      <c r="BB46" s="3">
        <v>35290</v>
      </c>
      <c r="BC46" s="3">
        <v>35460</v>
      </c>
      <c r="BD46" s="3">
        <v>35600</v>
      </c>
    </row>
    <row r="47" spans="1:56" x14ac:dyDescent="0.2">
      <c r="A47" s="1">
        <v>37</v>
      </c>
      <c r="B47" s="3">
        <v>32870</v>
      </c>
      <c r="C47" s="3">
        <v>32750</v>
      </c>
      <c r="D47" s="3">
        <v>33850</v>
      </c>
      <c r="E47" s="3">
        <v>33430</v>
      </c>
      <c r="F47" s="3">
        <v>32100</v>
      </c>
      <c r="G47" s="3">
        <v>30990</v>
      </c>
      <c r="H47" s="3">
        <v>29700</v>
      </c>
      <c r="I47" s="3">
        <v>28300</v>
      </c>
      <c r="J47" s="3">
        <v>28270</v>
      </c>
      <c r="K47" s="3">
        <v>28200</v>
      </c>
      <c r="L47" s="3">
        <v>29190</v>
      </c>
      <c r="M47" s="3">
        <v>29150</v>
      </c>
      <c r="N47" s="3">
        <v>29250</v>
      </c>
      <c r="O47" s="3">
        <v>29940</v>
      </c>
      <c r="P47" s="3">
        <v>30560</v>
      </c>
      <c r="Q47" s="3">
        <v>30820</v>
      </c>
      <c r="R47" s="3">
        <v>31410</v>
      </c>
      <c r="S47" s="3">
        <v>31710</v>
      </c>
      <c r="T47" s="3">
        <v>32600</v>
      </c>
      <c r="U47" s="3">
        <v>34150</v>
      </c>
      <c r="V47" s="3">
        <v>34850</v>
      </c>
      <c r="W47" s="3">
        <v>36470</v>
      </c>
      <c r="X47" s="3">
        <v>37520</v>
      </c>
      <c r="Y47" s="3">
        <v>36590</v>
      </c>
      <c r="Z47" s="3">
        <v>36570</v>
      </c>
      <c r="AA47" s="3">
        <v>35950</v>
      </c>
      <c r="AB47" s="3">
        <v>35980</v>
      </c>
      <c r="AC47" s="3">
        <v>35410</v>
      </c>
      <c r="AD47" s="3">
        <v>35490</v>
      </c>
      <c r="AE47" s="3">
        <v>35040</v>
      </c>
      <c r="AF47" s="3">
        <v>34100</v>
      </c>
      <c r="AG47" s="3">
        <v>35000</v>
      </c>
      <c r="AH47" s="3">
        <v>34570</v>
      </c>
      <c r="AI47" s="3">
        <v>33410</v>
      </c>
      <c r="AJ47" s="3">
        <v>33100</v>
      </c>
      <c r="AK47" s="3">
        <v>33630</v>
      </c>
      <c r="AL47" s="3">
        <v>33400</v>
      </c>
      <c r="AM47" s="3">
        <v>34060</v>
      </c>
      <c r="AN47" s="3">
        <v>35260</v>
      </c>
      <c r="AO47" s="3">
        <v>36380</v>
      </c>
      <c r="AP47" s="3">
        <v>35910</v>
      </c>
      <c r="AQ47" s="3">
        <v>36640</v>
      </c>
      <c r="AR47" s="3">
        <v>35950</v>
      </c>
      <c r="AS47" s="3">
        <v>35350</v>
      </c>
      <c r="AT47" s="3">
        <v>34730</v>
      </c>
      <c r="AU47" s="3">
        <v>33740</v>
      </c>
      <c r="AV47" s="3">
        <v>33460</v>
      </c>
      <c r="AW47" s="3">
        <v>33840</v>
      </c>
      <c r="AX47" s="3">
        <v>34160</v>
      </c>
      <c r="AY47" s="3">
        <v>34430</v>
      </c>
      <c r="AZ47" s="3">
        <v>34700</v>
      </c>
      <c r="BA47" s="3">
        <v>34960</v>
      </c>
      <c r="BB47" s="3">
        <v>35180</v>
      </c>
      <c r="BC47" s="3">
        <v>35380</v>
      </c>
      <c r="BD47" s="3">
        <v>35550</v>
      </c>
    </row>
    <row r="48" spans="1:56" x14ac:dyDescent="0.2">
      <c r="A48" s="1">
        <v>38</v>
      </c>
      <c r="B48" s="3">
        <v>32450</v>
      </c>
      <c r="C48" s="3">
        <v>33080</v>
      </c>
      <c r="D48" s="3">
        <v>32830</v>
      </c>
      <c r="E48" s="3">
        <v>34000</v>
      </c>
      <c r="F48" s="3">
        <v>33580</v>
      </c>
      <c r="G48" s="3">
        <v>32190</v>
      </c>
      <c r="H48" s="3">
        <v>30960</v>
      </c>
      <c r="I48" s="3">
        <v>29790</v>
      </c>
      <c r="J48" s="3">
        <v>28420</v>
      </c>
      <c r="K48" s="3">
        <v>28600</v>
      </c>
      <c r="L48" s="3">
        <v>28400</v>
      </c>
      <c r="M48" s="3">
        <v>29260</v>
      </c>
      <c r="N48" s="3">
        <v>29220</v>
      </c>
      <c r="O48" s="3">
        <v>29320</v>
      </c>
      <c r="P48" s="3">
        <v>30000</v>
      </c>
      <c r="Q48" s="3">
        <v>30630</v>
      </c>
      <c r="R48" s="3">
        <v>30890</v>
      </c>
      <c r="S48" s="3">
        <v>31470</v>
      </c>
      <c r="T48" s="3">
        <v>31770</v>
      </c>
      <c r="U48" s="3">
        <v>32670</v>
      </c>
      <c r="V48" s="3">
        <v>34220</v>
      </c>
      <c r="W48" s="3">
        <v>34910</v>
      </c>
      <c r="X48" s="3">
        <v>36530</v>
      </c>
      <c r="Y48" s="3">
        <v>37580</v>
      </c>
      <c r="Z48" s="3">
        <v>36660</v>
      </c>
      <c r="AA48" s="3">
        <v>36630</v>
      </c>
      <c r="AB48" s="3">
        <v>36020</v>
      </c>
      <c r="AC48" s="3">
        <v>36050</v>
      </c>
      <c r="AD48" s="3">
        <v>35480</v>
      </c>
      <c r="AE48" s="3">
        <v>35560</v>
      </c>
      <c r="AF48" s="3">
        <v>35110</v>
      </c>
      <c r="AG48" s="3">
        <v>34170</v>
      </c>
      <c r="AH48" s="3">
        <v>35070</v>
      </c>
      <c r="AI48" s="3">
        <v>34640</v>
      </c>
      <c r="AJ48" s="3">
        <v>33480</v>
      </c>
      <c r="AK48" s="3">
        <v>33170</v>
      </c>
      <c r="AL48" s="3">
        <v>33700</v>
      </c>
      <c r="AM48" s="3">
        <v>33470</v>
      </c>
      <c r="AN48" s="3">
        <v>34140</v>
      </c>
      <c r="AO48" s="3">
        <v>35330</v>
      </c>
      <c r="AP48" s="3">
        <v>36450</v>
      </c>
      <c r="AQ48" s="3">
        <v>35980</v>
      </c>
      <c r="AR48" s="3">
        <v>36710</v>
      </c>
      <c r="AS48" s="3">
        <v>36020</v>
      </c>
      <c r="AT48" s="3">
        <v>35430</v>
      </c>
      <c r="AU48" s="3">
        <v>34810</v>
      </c>
      <c r="AV48" s="3">
        <v>33810</v>
      </c>
      <c r="AW48" s="3">
        <v>33530</v>
      </c>
      <c r="AX48" s="3">
        <v>33910</v>
      </c>
      <c r="AY48" s="3">
        <v>34240</v>
      </c>
      <c r="AZ48" s="3">
        <v>34510</v>
      </c>
      <c r="BA48" s="3">
        <v>34770</v>
      </c>
      <c r="BB48" s="3">
        <v>35030</v>
      </c>
      <c r="BC48" s="3">
        <v>35260</v>
      </c>
      <c r="BD48" s="3">
        <v>35460</v>
      </c>
    </row>
    <row r="49" spans="1:56" x14ac:dyDescent="0.2">
      <c r="A49" s="1">
        <v>39</v>
      </c>
      <c r="B49" s="3">
        <v>32220</v>
      </c>
      <c r="C49" s="3">
        <v>32560</v>
      </c>
      <c r="D49" s="3">
        <v>33200</v>
      </c>
      <c r="E49" s="3">
        <v>32960</v>
      </c>
      <c r="F49" s="3">
        <v>34140</v>
      </c>
      <c r="G49" s="3">
        <v>33600</v>
      </c>
      <c r="H49" s="3">
        <v>32280</v>
      </c>
      <c r="I49" s="3">
        <v>31070</v>
      </c>
      <c r="J49" s="3">
        <v>29910</v>
      </c>
      <c r="K49" s="3">
        <v>28710</v>
      </c>
      <c r="L49" s="3">
        <v>28770</v>
      </c>
      <c r="M49" s="3">
        <v>28450</v>
      </c>
      <c r="N49" s="3">
        <v>29310</v>
      </c>
      <c r="O49" s="3">
        <v>29270</v>
      </c>
      <c r="P49" s="3">
        <v>29370</v>
      </c>
      <c r="Q49" s="3">
        <v>30050</v>
      </c>
      <c r="R49" s="3">
        <v>30680</v>
      </c>
      <c r="S49" s="3">
        <v>30940</v>
      </c>
      <c r="T49" s="3">
        <v>31520</v>
      </c>
      <c r="U49" s="3">
        <v>31820</v>
      </c>
      <c r="V49" s="3">
        <v>32720</v>
      </c>
      <c r="W49" s="3">
        <v>34270</v>
      </c>
      <c r="X49" s="3">
        <v>34960</v>
      </c>
      <c r="Y49" s="3">
        <v>36580</v>
      </c>
      <c r="Z49" s="3">
        <v>37630</v>
      </c>
      <c r="AA49" s="3">
        <v>36700</v>
      </c>
      <c r="AB49" s="3">
        <v>36680</v>
      </c>
      <c r="AC49" s="3">
        <v>36070</v>
      </c>
      <c r="AD49" s="3">
        <v>36100</v>
      </c>
      <c r="AE49" s="3">
        <v>35530</v>
      </c>
      <c r="AF49" s="3">
        <v>35610</v>
      </c>
      <c r="AG49" s="3">
        <v>35160</v>
      </c>
      <c r="AH49" s="3">
        <v>34220</v>
      </c>
      <c r="AI49" s="3">
        <v>35120</v>
      </c>
      <c r="AJ49" s="3">
        <v>34690</v>
      </c>
      <c r="AK49" s="3">
        <v>33540</v>
      </c>
      <c r="AL49" s="3">
        <v>33220</v>
      </c>
      <c r="AM49" s="3">
        <v>33750</v>
      </c>
      <c r="AN49" s="3">
        <v>33520</v>
      </c>
      <c r="AO49" s="3">
        <v>34190</v>
      </c>
      <c r="AP49" s="3">
        <v>35380</v>
      </c>
      <c r="AQ49" s="3">
        <v>36500</v>
      </c>
      <c r="AR49" s="3">
        <v>36030</v>
      </c>
      <c r="AS49" s="3">
        <v>36760</v>
      </c>
      <c r="AT49" s="3">
        <v>36080</v>
      </c>
      <c r="AU49" s="3">
        <v>35480</v>
      </c>
      <c r="AV49" s="3">
        <v>34860</v>
      </c>
      <c r="AW49" s="3">
        <v>33870</v>
      </c>
      <c r="AX49" s="3">
        <v>33590</v>
      </c>
      <c r="AY49" s="3">
        <v>33970</v>
      </c>
      <c r="AZ49" s="3">
        <v>34290</v>
      </c>
      <c r="BA49" s="3">
        <v>34560</v>
      </c>
      <c r="BB49" s="3">
        <v>34830</v>
      </c>
      <c r="BC49" s="3">
        <v>35090</v>
      </c>
      <c r="BD49" s="3">
        <v>35310</v>
      </c>
    </row>
    <row r="50" spans="1:56" x14ac:dyDescent="0.2">
      <c r="A50" s="1">
        <v>40</v>
      </c>
      <c r="B50" s="3">
        <v>32020</v>
      </c>
      <c r="C50" s="3">
        <v>32380</v>
      </c>
      <c r="D50" s="3">
        <v>32680</v>
      </c>
      <c r="E50" s="3">
        <v>33300</v>
      </c>
      <c r="F50" s="3">
        <v>33100</v>
      </c>
      <c r="G50" s="3">
        <v>34190</v>
      </c>
      <c r="H50" s="3">
        <v>33550</v>
      </c>
      <c r="I50" s="3">
        <v>32360</v>
      </c>
      <c r="J50" s="3">
        <v>31240</v>
      </c>
      <c r="K50" s="3">
        <v>30170</v>
      </c>
      <c r="L50" s="3">
        <v>28860</v>
      </c>
      <c r="M50" s="3">
        <v>28800</v>
      </c>
      <c r="N50" s="3">
        <v>28480</v>
      </c>
      <c r="O50" s="3">
        <v>29340</v>
      </c>
      <c r="P50" s="3">
        <v>29300</v>
      </c>
      <c r="Q50" s="3">
        <v>29400</v>
      </c>
      <c r="R50" s="3">
        <v>30090</v>
      </c>
      <c r="S50" s="3">
        <v>30710</v>
      </c>
      <c r="T50" s="3">
        <v>30980</v>
      </c>
      <c r="U50" s="3">
        <v>31560</v>
      </c>
      <c r="V50" s="3">
        <v>31860</v>
      </c>
      <c r="W50" s="3">
        <v>32750</v>
      </c>
      <c r="X50" s="3">
        <v>34300</v>
      </c>
      <c r="Y50" s="3">
        <v>34990</v>
      </c>
      <c r="Z50" s="3">
        <v>36610</v>
      </c>
      <c r="AA50" s="3">
        <v>37660</v>
      </c>
      <c r="AB50" s="3">
        <v>36740</v>
      </c>
      <c r="AC50" s="3">
        <v>36720</v>
      </c>
      <c r="AD50" s="3">
        <v>36100</v>
      </c>
      <c r="AE50" s="3">
        <v>36130</v>
      </c>
      <c r="AF50" s="3">
        <v>35570</v>
      </c>
      <c r="AG50" s="3">
        <v>35650</v>
      </c>
      <c r="AH50" s="3">
        <v>35200</v>
      </c>
      <c r="AI50" s="3">
        <v>34260</v>
      </c>
      <c r="AJ50" s="3">
        <v>35160</v>
      </c>
      <c r="AK50" s="3">
        <v>34730</v>
      </c>
      <c r="AL50" s="3">
        <v>33580</v>
      </c>
      <c r="AM50" s="3">
        <v>33260</v>
      </c>
      <c r="AN50" s="3">
        <v>33790</v>
      </c>
      <c r="AO50" s="3">
        <v>33560</v>
      </c>
      <c r="AP50" s="3">
        <v>34230</v>
      </c>
      <c r="AQ50" s="3">
        <v>35420</v>
      </c>
      <c r="AR50" s="3">
        <v>36540</v>
      </c>
      <c r="AS50" s="3">
        <v>36070</v>
      </c>
      <c r="AT50" s="3">
        <v>36800</v>
      </c>
      <c r="AU50" s="3">
        <v>36120</v>
      </c>
      <c r="AV50" s="3">
        <v>35520</v>
      </c>
      <c r="AW50" s="3">
        <v>34900</v>
      </c>
      <c r="AX50" s="3">
        <v>33910</v>
      </c>
      <c r="AY50" s="3">
        <v>33630</v>
      </c>
      <c r="AZ50" s="3">
        <v>34010</v>
      </c>
      <c r="BA50" s="3">
        <v>34330</v>
      </c>
      <c r="BB50" s="3">
        <v>34610</v>
      </c>
      <c r="BC50" s="3">
        <v>34870</v>
      </c>
      <c r="BD50" s="3">
        <v>35130</v>
      </c>
    </row>
    <row r="51" spans="1:56" x14ac:dyDescent="0.2">
      <c r="A51" s="1">
        <v>41</v>
      </c>
      <c r="B51" s="3">
        <v>32420</v>
      </c>
      <c r="C51" s="3">
        <v>32110</v>
      </c>
      <c r="D51" s="3">
        <v>32440</v>
      </c>
      <c r="E51" s="3">
        <v>32740</v>
      </c>
      <c r="F51" s="3">
        <v>33370</v>
      </c>
      <c r="G51" s="3">
        <v>33100</v>
      </c>
      <c r="H51" s="3">
        <v>34190</v>
      </c>
      <c r="I51" s="3">
        <v>33550</v>
      </c>
      <c r="J51" s="3">
        <v>32450</v>
      </c>
      <c r="K51" s="3">
        <v>31480</v>
      </c>
      <c r="L51" s="3">
        <v>30300</v>
      </c>
      <c r="M51" s="3">
        <v>28880</v>
      </c>
      <c r="N51" s="3">
        <v>28820</v>
      </c>
      <c r="O51" s="3">
        <v>28510</v>
      </c>
      <c r="P51" s="3">
        <v>29370</v>
      </c>
      <c r="Q51" s="3">
        <v>29330</v>
      </c>
      <c r="R51" s="3">
        <v>29430</v>
      </c>
      <c r="S51" s="3">
        <v>30110</v>
      </c>
      <c r="T51" s="3">
        <v>30730</v>
      </c>
      <c r="U51" s="3">
        <v>31000</v>
      </c>
      <c r="V51" s="3">
        <v>31580</v>
      </c>
      <c r="W51" s="3">
        <v>31880</v>
      </c>
      <c r="X51" s="3">
        <v>32780</v>
      </c>
      <c r="Y51" s="3">
        <v>34330</v>
      </c>
      <c r="Z51" s="3">
        <v>35020</v>
      </c>
      <c r="AA51" s="3">
        <v>36640</v>
      </c>
      <c r="AB51" s="3">
        <v>37680</v>
      </c>
      <c r="AC51" s="3">
        <v>36760</v>
      </c>
      <c r="AD51" s="3">
        <v>36740</v>
      </c>
      <c r="AE51" s="3">
        <v>36130</v>
      </c>
      <c r="AF51" s="3">
        <v>36160</v>
      </c>
      <c r="AG51" s="3">
        <v>35590</v>
      </c>
      <c r="AH51" s="3">
        <v>35680</v>
      </c>
      <c r="AI51" s="3">
        <v>35220</v>
      </c>
      <c r="AJ51" s="3">
        <v>34290</v>
      </c>
      <c r="AK51" s="3">
        <v>35190</v>
      </c>
      <c r="AL51" s="3">
        <v>34760</v>
      </c>
      <c r="AM51" s="3">
        <v>33610</v>
      </c>
      <c r="AN51" s="3">
        <v>33290</v>
      </c>
      <c r="AO51" s="3">
        <v>33820</v>
      </c>
      <c r="AP51" s="3">
        <v>33590</v>
      </c>
      <c r="AQ51" s="3">
        <v>34260</v>
      </c>
      <c r="AR51" s="3">
        <v>35450</v>
      </c>
      <c r="AS51" s="3">
        <v>36570</v>
      </c>
      <c r="AT51" s="3">
        <v>36100</v>
      </c>
      <c r="AU51" s="3">
        <v>36830</v>
      </c>
      <c r="AV51" s="3">
        <v>36150</v>
      </c>
      <c r="AW51" s="3">
        <v>35550</v>
      </c>
      <c r="AX51" s="3">
        <v>34940</v>
      </c>
      <c r="AY51" s="3">
        <v>33940</v>
      </c>
      <c r="AZ51" s="3">
        <v>33670</v>
      </c>
      <c r="BA51" s="3">
        <v>34050</v>
      </c>
      <c r="BB51" s="3">
        <v>34370</v>
      </c>
      <c r="BC51" s="3">
        <v>34640</v>
      </c>
      <c r="BD51" s="3">
        <v>34910</v>
      </c>
    </row>
    <row r="52" spans="1:56" x14ac:dyDescent="0.2">
      <c r="A52" s="1">
        <v>42</v>
      </c>
      <c r="B52" s="3">
        <v>33510</v>
      </c>
      <c r="C52" s="3">
        <v>32510</v>
      </c>
      <c r="D52" s="3">
        <v>32160</v>
      </c>
      <c r="E52" s="3">
        <v>32460</v>
      </c>
      <c r="F52" s="3">
        <v>32800</v>
      </c>
      <c r="G52" s="3">
        <v>33360</v>
      </c>
      <c r="H52" s="3">
        <v>33050</v>
      </c>
      <c r="I52" s="3">
        <v>34240</v>
      </c>
      <c r="J52" s="3">
        <v>33630</v>
      </c>
      <c r="K52" s="3">
        <v>32670</v>
      </c>
      <c r="L52" s="3">
        <v>31590</v>
      </c>
      <c r="M52" s="3">
        <v>30300</v>
      </c>
      <c r="N52" s="3">
        <v>28890</v>
      </c>
      <c r="O52" s="3">
        <v>28830</v>
      </c>
      <c r="P52" s="3">
        <v>28510</v>
      </c>
      <c r="Q52" s="3">
        <v>29370</v>
      </c>
      <c r="R52" s="3">
        <v>29330</v>
      </c>
      <c r="S52" s="3">
        <v>29430</v>
      </c>
      <c r="T52" s="3">
        <v>30120</v>
      </c>
      <c r="U52" s="3">
        <v>30740</v>
      </c>
      <c r="V52" s="3">
        <v>31010</v>
      </c>
      <c r="W52" s="3">
        <v>31590</v>
      </c>
      <c r="X52" s="3">
        <v>31890</v>
      </c>
      <c r="Y52" s="3">
        <v>32790</v>
      </c>
      <c r="Z52" s="3">
        <v>34340</v>
      </c>
      <c r="AA52" s="3">
        <v>35030</v>
      </c>
      <c r="AB52" s="3">
        <v>36650</v>
      </c>
      <c r="AC52" s="3">
        <v>37690</v>
      </c>
      <c r="AD52" s="3">
        <v>36770</v>
      </c>
      <c r="AE52" s="3">
        <v>36750</v>
      </c>
      <c r="AF52" s="3">
        <v>36140</v>
      </c>
      <c r="AG52" s="3">
        <v>36170</v>
      </c>
      <c r="AH52" s="3">
        <v>35610</v>
      </c>
      <c r="AI52" s="3">
        <v>35690</v>
      </c>
      <c r="AJ52" s="3">
        <v>35240</v>
      </c>
      <c r="AK52" s="3">
        <v>34300</v>
      </c>
      <c r="AL52" s="3">
        <v>35200</v>
      </c>
      <c r="AM52" s="3">
        <v>34780</v>
      </c>
      <c r="AN52" s="3">
        <v>33620</v>
      </c>
      <c r="AO52" s="3">
        <v>33310</v>
      </c>
      <c r="AP52" s="3">
        <v>33840</v>
      </c>
      <c r="AQ52" s="3">
        <v>33610</v>
      </c>
      <c r="AR52" s="3">
        <v>34280</v>
      </c>
      <c r="AS52" s="3">
        <v>35470</v>
      </c>
      <c r="AT52" s="3">
        <v>36590</v>
      </c>
      <c r="AU52" s="3">
        <v>36120</v>
      </c>
      <c r="AV52" s="3">
        <v>36850</v>
      </c>
      <c r="AW52" s="3">
        <v>36170</v>
      </c>
      <c r="AX52" s="3">
        <v>35570</v>
      </c>
      <c r="AY52" s="3">
        <v>34950</v>
      </c>
      <c r="AZ52" s="3">
        <v>33960</v>
      </c>
      <c r="BA52" s="3">
        <v>33690</v>
      </c>
      <c r="BB52" s="3">
        <v>34070</v>
      </c>
      <c r="BC52" s="3">
        <v>34390</v>
      </c>
      <c r="BD52" s="3">
        <v>34660</v>
      </c>
    </row>
    <row r="53" spans="1:56" x14ac:dyDescent="0.2">
      <c r="A53" s="1">
        <v>43</v>
      </c>
      <c r="B53" s="3">
        <v>34420</v>
      </c>
      <c r="C53" s="3">
        <v>33610</v>
      </c>
      <c r="D53" s="3">
        <v>32450</v>
      </c>
      <c r="E53" s="3">
        <v>32140</v>
      </c>
      <c r="F53" s="3">
        <v>32540</v>
      </c>
      <c r="G53" s="3">
        <v>32750</v>
      </c>
      <c r="H53" s="3">
        <v>33270</v>
      </c>
      <c r="I53" s="3">
        <v>33070</v>
      </c>
      <c r="J53" s="3">
        <v>34320</v>
      </c>
      <c r="K53" s="3">
        <v>33820</v>
      </c>
      <c r="L53" s="3">
        <v>32750</v>
      </c>
      <c r="M53" s="3">
        <v>31570</v>
      </c>
      <c r="N53" s="3">
        <v>30290</v>
      </c>
      <c r="O53" s="3">
        <v>28870</v>
      </c>
      <c r="P53" s="3">
        <v>28820</v>
      </c>
      <c r="Q53" s="3">
        <v>28500</v>
      </c>
      <c r="R53" s="3">
        <v>29360</v>
      </c>
      <c r="S53" s="3">
        <v>29320</v>
      </c>
      <c r="T53" s="3">
        <v>29420</v>
      </c>
      <c r="U53" s="3">
        <v>30110</v>
      </c>
      <c r="V53" s="3">
        <v>30730</v>
      </c>
      <c r="W53" s="3">
        <v>31000</v>
      </c>
      <c r="X53" s="3">
        <v>31580</v>
      </c>
      <c r="Y53" s="3">
        <v>31880</v>
      </c>
      <c r="Z53" s="3">
        <v>32770</v>
      </c>
      <c r="AA53" s="3">
        <v>34320</v>
      </c>
      <c r="AB53" s="3">
        <v>35020</v>
      </c>
      <c r="AC53" s="3">
        <v>36630</v>
      </c>
      <c r="AD53" s="3">
        <v>37680</v>
      </c>
      <c r="AE53" s="3">
        <v>36760</v>
      </c>
      <c r="AF53" s="3">
        <v>36740</v>
      </c>
      <c r="AG53" s="3">
        <v>36130</v>
      </c>
      <c r="AH53" s="3">
        <v>36160</v>
      </c>
      <c r="AI53" s="3">
        <v>35600</v>
      </c>
      <c r="AJ53" s="3">
        <v>35680</v>
      </c>
      <c r="AK53" s="3">
        <v>35230</v>
      </c>
      <c r="AL53" s="3">
        <v>34300</v>
      </c>
      <c r="AM53" s="3">
        <v>35190</v>
      </c>
      <c r="AN53" s="3">
        <v>34770</v>
      </c>
      <c r="AO53" s="3">
        <v>33620</v>
      </c>
      <c r="AP53" s="3">
        <v>33300</v>
      </c>
      <c r="AQ53" s="3">
        <v>33830</v>
      </c>
      <c r="AR53" s="3">
        <v>33600</v>
      </c>
      <c r="AS53" s="3">
        <v>34270</v>
      </c>
      <c r="AT53" s="3">
        <v>35470</v>
      </c>
      <c r="AU53" s="3">
        <v>36580</v>
      </c>
      <c r="AV53" s="3">
        <v>36110</v>
      </c>
      <c r="AW53" s="3">
        <v>36850</v>
      </c>
      <c r="AX53" s="3">
        <v>36160</v>
      </c>
      <c r="AY53" s="3">
        <v>35570</v>
      </c>
      <c r="AZ53" s="3">
        <v>34950</v>
      </c>
      <c r="BA53" s="3">
        <v>33960</v>
      </c>
      <c r="BB53" s="3">
        <v>33680</v>
      </c>
      <c r="BC53" s="3">
        <v>34070</v>
      </c>
      <c r="BD53" s="3">
        <v>34390</v>
      </c>
    </row>
    <row r="54" spans="1:56" x14ac:dyDescent="0.2">
      <c r="A54" s="1">
        <v>44</v>
      </c>
      <c r="B54" s="3">
        <v>34170</v>
      </c>
      <c r="C54" s="3">
        <v>34490</v>
      </c>
      <c r="D54" s="3">
        <v>33560</v>
      </c>
      <c r="E54" s="3">
        <v>32440</v>
      </c>
      <c r="F54" s="3">
        <v>32160</v>
      </c>
      <c r="G54" s="3">
        <v>32530</v>
      </c>
      <c r="H54" s="3">
        <v>32680</v>
      </c>
      <c r="I54" s="3">
        <v>33180</v>
      </c>
      <c r="J54" s="3">
        <v>33170</v>
      </c>
      <c r="K54" s="3">
        <v>34470</v>
      </c>
      <c r="L54" s="3">
        <v>33880</v>
      </c>
      <c r="M54" s="3">
        <v>32710</v>
      </c>
      <c r="N54" s="3">
        <v>31530</v>
      </c>
      <c r="O54" s="3">
        <v>30250</v>
      </c>
      <c r="P54" s="3">
        <v>28830</v>
      </c>
      <c r="Q54" s="3">
        <v>28780</v>
      </c>
      <c r="R54" s="3">
        <v>28470</v>
      </c>
      <c r="S54" s="3">
        <v>29330</v>
      </c>
      <c r="T54" s="3">
        <v>29290</v>
      </c>
      <c r="U54" s="3">
        <v>29390</v>
      </c>
      <c r="V54" s="3">
        <v>30080</v>
      </c>
      <c r="W54" s="3">
        <v>30700</v>
      </c>
      <c r="X54" s="3">
        <v>30960</v>
      </c>
      <c r="Y54" s="3">
        <v>31550</v>
      </c>
      <c r="Z54" s="3">
        <v>31850</v>
      </c>
      <c r="AA54" s="3">
        <v>32740</v>
      </c>
      <c r="AB54" s="3">
        <v>34290</v>
      </c>
      <c r="AC54" s="3">
        <v>34980</v>
      </c>
      <c r="AD54" s="3">
        <v>36600</v>
      </c>
      <c r="AE54" s="3">
        <v>37650</v>
      </c>
      <c r="AF54" s="3">
        <v>36730</v>
      </c>
      <c r="AG54" s="3">
        <v>36710</v>
      </c>
      <c r="AH54" s="3">
        <v>36100</v>
      </c>
      <c r="AI54" s="3">
        <v>36130</v>
      </c>
      <c r="AJ54" s="3">
        <v>35570</v>
      </c>
      <c r="AK54" s="3">
        <v>35650</v>
      </c>
      <c r="AL54" s="3">
        <v>35200</v>
      </c>
      <c r="AM54" s="3">
        <v>34270</v>
      </c>
      <c r="AN54" s="3">
        <v>35170</v>
      </c>
      <c r="AO54" s="3">
        <v>34740</v>
      </c>
      <c r="AP54" s="3">
        <v>33590</v>
      </c>
      <c r="AQ54" s="3">
        <v>33280</v>
      </c>
      <c r="AR54" s="3">
        <v>33810</v>
      </c>
      <c r="AS54" s="3">
        <v>33580</v>
      </c>
      <c r="AT54" s="3">
        <v>34250</v>
      </c>
      <c r="AU54" s="3">
        <v>35440</v>
      </c>
      <c r="AV54" s="3">
        <v>36560</v>
      </c>
      <c r="AW54" s="3">
        <v>36090</v>
      </c>
      <c r="AX54" s="3">
        <v>36820</v>
      </c>
      <c r="AY54" s="3">
        <v>36140</v>
      </c>
      <c r="AZ54" s="3">
        <v>35550</v>
      </c>
      <c r="BA54" s="3">
        <v>34930</v>
      </c>
      <c r="BB54" s="3">
        <v>33940</v>
      </c>
      <c r="BC54" s="3">
        <v>33660</v>
      </c>
      <c r="BD54" s="3">
        <v>34040</v>
      </c>
    </row>
    <row r="55" spans="1:56" x14ac:dyDescent="0.2">
      <c r="A55" s="1">
        <v>45</v>
      </c>
      <c r="B55" s="3">
        <v>33510</v>
      </c>
      <c r="C55" s="3">
        <v>34170</v>
      </c>
      <c r="D55" s="3">
        <v>34370</v>
      </c>
      <c r="E55" s="3">
        <v>33510</v>
      </c>
      <c r="F55" s="3">
        <v>32390</v>
      </c>
      <c r="G55" s="3">
        <v>32090</v>
      </c>
      <c r="H55" s="3">
        <v>32440</v>
      </c>
      <c r="I55" s="3">
        <v>32650</v>
      </c>
      <c r="J55" s="3">
        <v>33190</v>
      </c>
      <c r="K55" s="3">
        <v>33290</v>
      </c>
      <c r="L55" s="3">
        <v>34500</v>
      </c>
      <c r="M55" s="3">
        <v>33810</v>
      </c>
      <c r="N55" s="3">
        <v>32650</v>
      </c>
      <c r="O55" s="3">
        <v>31470</v>
      </c>
      <c r="P55" s="3">
        <v>30190</v>
      </c>
      <c r="Q55" s="3">
        <v>28780</v>
      </c>
      <c r="R55" s="3">
        <v>28730</v>
      </c>
      <c r="S55" s="3">
        <v>28410</v>
      </c>
      <c r="T55" s="3">
        <v>29270</v>
      </c>
      <c r="U55" s="3">
        <v>29230</v>
      </c>
      <c r="V55" s="3">
        <v>29340</v>
      </c>
      <c r="W55" s="3">
        <v>30020</v>
      </c>
      <c r="X55" s="3">
        <v>30640</v>
      </c>
      <c r="Y55" s="3">
        <v>30910</v>
      </c>
      <c r="Z55" s="3">
        <v>31490</v>
      </c>
      <c r="AA55" s="3">
        <v>31790</v>
      </c>
      <c r="AB55" s="3">
        <v>32690</v>
      </c>
      <c r="AC55" s="3">
        <v>34240</v>
      </c>
      <c r="AD55" s="3">
        <v>34930</v>
      </c>
      <c r="AE55" s="3">
        <v>36540</v>
      </c>
      <c r="AF55" s="3">
        <v>37590</v>
      </c>
      <c r="AG55" s="3">
        <v>36670</v>
      </c>
      <c r="AH55" s="3">
        <v>36650</v>
      </c>
      <c r="AI55" s="3">
        <v>36050</v>
      </c>
      <c r="AJ55" s="3">
        <v>36080</v>
      </c>
      <c r="AK55" s="3">
        <v>35520</v>
      </c>
      <c r="AL55" s="3">
        <v>35600</v>
      </c>
      <c r="AM55" s="3">
        <v>35150</v>
      </c>
      <c r="AN55" s="3">
        <v>34220</v>
      </c>
      <c r="AO55" s="3">
        <v>35120</v>
      </c>
      <c r="AP55" s="3">
        <v>34690</v>
      </c>
      <c r="AQ55" s="3">
        <v>33540</v>
      </c>
      <c r="AR55" s="3">
        <v>33230</v>
      </c>
      <c r="AS55" s="3">
        <v>33760</v>
      </c>
      <c r="AT55" s="3">
        <v>33540</v>
      </c>
      <c r="AU55" s="3">
        <v>34200</v>
      </c>
      <c r="AV55" s="3">
        <v>35400</v>
      </c>
      <c r="AW55" s="3">
        <v>36510</v>
      </c>
      <c r="AX55" s="3">
        <v>36040</v>
      </c>
      <c r="AY55" s="3">
        <v>36780</v>
      </c>
      <c r="AZ55" s="3">
        <v>36090</v>
      </c>
      <c r="BA55" s="3">
        <v>35500</v>
      </c>
      <c r="BB55" s="3">
        <v>34890</v>
      </c>
      <c r="BC55" s="3">
        <v>33900</v>
      </c>
      <c r="BD55" s="3">
        <v>33620</v>
      </c>
    </row>
    <row r="56" spans="1:56" x14ac:dyDescent="0.2">
      <c r="A56" s="1">
        <v>46</v>
      </c>
      <c r="B56" s="3">
        <v>31920</v>
      </c>
      <c r="C56" s="3">
        <v>33480</v>
      </c>
      <c r="D56" s="3">
        <v>34110</v>
      </c>
      <c r="E56" s="3">
        <v>34280</v>
      </c>
      <c r="F56" s="3">
        <v>33480</v>
      </c>
      <c r="G56" s="3">
        <v>32280</v>
      </c>
      <c r="H56" s="3">
        <v>31920</v>
      </c>
      <c r="I56" s="3">
        <v>32390</v>
      </c>
      <c r="J56" s="3">
        <v>32640</v>
      </c>
      <c r="K56" s="3">
        <v>33290</v>
      </c>
      <c r="L56" s="3">
        <v>33300</v>
      </c>
      <c r="M56" s="3">
        <v>34410</v>
      </c>
      <c r="N56" s="3">
        <v>33730</v>
      </c>
      <c r="O56" s="3">
        <v>32560</v>
      </c>
      <c r="P56" s="3">
        <v>31390</v>
      </c>
      <c r="Q56" s="3">
        <v>30110</v>
      </c>
      <c r="R56" s="3">
        <v>28700</v>
      </c>
      <c r="S56" s="3">
        <v>28650</v>
      </c>
      <c r="T56" s="3">
        <v>28340</v>
      </c>
      <c r="U56" s="3">
        <v>29200</v>
      </c>
      <c r="V56" s="3">
        <v>29160</v>
      </c>
      <c r="W56" s="3">
        <v>29260</v>
      </c>
      <c r="X56" s="3">
        <v>29950</v>
      </c>
      <c r="Y56" s="3">
        <v>30570</v>
      </c>
      <c r="Z56" s="3">
        <v>30840</v>
      </c>
      <c r="AA56" s="3">
        <v>31420</v>
      </c>
      <c r="AB56" s="3">
        <v>31720</v>
      </c>
      <c r="AC56" s="3">
        <v>32620</v>
      </c>
      <c r="AD56" s="3">
        <v>34160</v>
      </c>
      <c r="AE56" s="3">
        <v>34860</v>
      </c>
      <c r="AF56" s="3">
        <v>36470</v>
      </c>
      <c r="AG56" s="3">
        <v>37520</v>
      </c>
      <c r="AH56" s="3">
        <v>36600</v>
      </c>
      <c r="AI56" s="3">
        <v>36580</v>
      </c>
      <c r="AJ56" s="3">
        <v>35980</v>
      </c>
      <c r="AK56" s="3">
        <v>36010</v>
      </c>
      <c r="AL56" s="3">
        <v>35450</v>
      </c>
      <c r="AM56" s="3">
        <v>35530</v>
      </c>
      <c r="AN56" s="3">
        <v>35080</v>
      </c>
      <c r="AO56" s="3">
        <v>34160</v>
      </c>
      <c r="AP56" s="3">
        <v>35050</v>
      </c>
      <c r="AQ56" s="3">
        <v>34630</v>
      </c>
      <c r="AR56" s="3">
        <v>33480</v>
      </c>
      <c r="AS56" s="3">
        <v>33170</v>
      </c>
      <c r="AT56" s="3">
        <v>33700</v>
      </c>
      <c r="AU56" s="3">
        <v>33470</v>
      </c>
      <c r="AV56" s="3">
        <v>34140</v>
      </c>
      <c r="AW56" s="3">
        <v>35330</v>
      </c>
      <c r="AX56" s="3">
        <v>36450</v>
      </c>
      <c r="AY56" s="3">
        <v>35980</v>
      </c>
      <c r="AZ56" s="3">
        <v>36710</v>
      </c>
      <c r="BA56" s="3">
        <v>36030</v>
      </c>
      <c r="BB56" s="3">
        <v>35440</v>
      </c>
      <c r="BC56" s="3">
        <v>34830</v>
      </c>
      <c r="BD56" s="3">
        <v>33840</v>
      </c>
    </row>
    <row r="57" spans="1:56" x14ac:dyDescent="0.2">
      <c r="A57" s="1">
        <v>47</v>
      </c>
      <c r="B57" s="3">
        <v>31370</v>
      </c>
      <c r="C57" s="3">
        <v>31900</v>
      </c>
      <c r="D57" s="3">
        <v>33410</v>
      </c>
      <c r="E57" s="3">
        <v>34030</v>
      </c>
      <c r="F57" s="3">
        <v>34240</v>
      </c>
      <c r="G57" s="3">
        <v>33400</v>
      </c>
      <c r="H57" s="3">
        <v>32110</v>
      </c>
      <c r="I57" s="3">
        <v>31790</v>
      </c>
      <c r="J57" s="3">
        <v>32330</v>
      </c>
      <c r="K57" s="3">
        <v>32700</v>
      </c>
      <c r="L57" s="3">
        <v>33260</v>
      </c>
      <c r="M57" s="3">
        <v>33190</v>
      </c>
      <c r="N57" s="3">
        <v>34300</v>
      </c>
      <c r="O57" s="3">
        <v>33620</v>
      </c>
      <c r="P57" s="3">
        <v>32460</v>
      </c>
      <c r="Q57" s="3">
        <v>31290</v>
      </c>
      <c r="R57" s="3">
        <v>30010</v>
      </c>
      <c r="S57" s="3">
        <v>28610</v>
      </c>
      <c r="T57" s="3">
        <v>28560</v>
      </c>
      <c r="U57" s="3">
        <v>28250</v>
      </c>
      <c r="V57" s="3">
        <v>29110</v>
      </c>
      <c r="W57" s="3">
        <v>29070</v>
      </c>
      <c r="X57" s="3">
        <v>29170</v>
      </c>
      <c r="Y57" s="3">
        <v>29860</v>
      </c>
      <c r="Z57" s="3">
        <v>30480</v>
      </c>
      <c r="AA57" s="3">
        <v>30750</v>
      </c>
      <c r="AB57" s="3">
        <v>31330</v>
      </c>
      <c r="AC57" s="3">
        <v>31630</v>
      </c>
      <c r="AD57" s="3">
        <v>32530</v>
      </c>
      <c r="AE57" s="3">
        <v>34070</v>
      </c>
      <c r="AF57" s="3">
        <v>34770</v>
      </c>
      <c r="AG57" s="3">
        <v>36380</v>
      </c>
      <c r="AH57" s="3">
        <v>37430</v>
      </c>
      <c r="AI57" s="3">
        <v>36510</v>
      </c>
      <c r="AJ57" s="3">
        <v>36490</v>
      </c>
      <c r="AK57" s="3">
        <v>35890</v>
      </c>
      <c r="AL57" s="3">
        <v>35920</v>
      </c>
      <c r="AM57" s="3">
        <v>35360</v>
      </c>
      <c r="AN57" s="3">
        <v>35450</v>
      </c>
      <c r="AO57" s="3">
        <v>35000</v>
      </c>
      <c r="AP57" s="3">
        <v>34070</v>
      </c>
      <c r="AQ57" s="3">
        <v>34970</v>
      </c>
      <c r="AR57" s="3">
        <v>34550</v>
      </c>
      <c r="AS57" s="3">
        <v>33400</v>
      </c>
      <c r="AT57" s="3">
        <v>33090</v>
      </c>
      <c r="AU57" s="3">
        <v>33620</v>
      </c>
      <c r="AV57" s="3">
        <v>33390</v>
      </c>
      <c r="AW57" s="3">
        <v>34060</v>
      </c>
      <c r="AX57" s="3">
        <v>35250</v>
      </c>
      <c r="AY57" s="3">
        <v>36370</v>
      </c>
      <c r="AZ57" s="3">
        <v>35900</v>
      </c>
      <c r="BA57" s="3">
        <v>36640</v>
      </c>
      <c r="BB57" s="3">
        <v>35960</v>
      </c>
      <c r="BC57" s="3">
        <v>35370</v>
      </c>
      <c r="BD57" s="3">
        <v>34750</v>
      </c>
    </row>
    <row r="58" spans="1:56" x14ac:dyDescent="0.2">
      <c r="A58" s="1">
        <v>48</v>
      </c>
      <c r="B58" s="3">
        <v>29970</v>
      </c>
      <c r="C58" s="3">
        <v>31320</v>
      </c>
      <c r="D58" s="3">
        <v>31780</v>
      </c>
      <c r="E58" s="3">
        <v>33320</v>
      </c>
      <c r="F58" s="3">
        <v>33960</v>
      </c>
      <c r="G58" s="3">
        <v>34130</v>
      </c>
      <c r="H58" s="3">
        <v>33190</v>
      </c>
      <c r="I58" s="3">
        <v>31970</v>
      </c>
      <c r="J58" s="3">
        <v>31730</v>
      </c>
      <c r="K58" s="3">
        <v>32360</v>
      </c>
      <c r="L58" s="3">
        <v>32650</v>
      </c>
      <c r="M58" s="3">
        <v>33140</v>
      </c>
      <c r="N58" s="3">
        <v>33070</v>
      </c>
      <c r="O58" s="3">
        <v>34180</v>
      </c>
      <c r="P58" s="3">
        <v>33500</v>
      </c>
      <c r="Q58" s="3">
        <v>32350</v>
      </c>
      <c r="R58" s="3">
        <v>31180</v>
      </c>
      <c r="S58" s="3">
        <v>29910</v>
      </c>
      <c r="T58" s="3">
        <v>28500</v>
      </c>
      <c r="U58" s="3">
        <v>28450</v>
      </c>
      <c r="V58" s="3">
        <v>28140</v>
      </c>
      <c r="W58" s="3">
        <v>29000</v>
      </c>
      <c r="X58" s="3">
        <v>28970</v>
      </c>
      <c r="Y58" s="3">
        <v>29070</v>
      </c>
      <c r="Z58" s="3">
        <v>29760</v>
      </c>
      <c r="AA58" s="3">
        <v>30380</v>
      </c>
      <c r="AB58" s="3">
        <v>30650</v>
      </c>
      <c r="AC58" s="3">
        <v>31230</v>
      </c>
      <c r="AD58" s="3">
        <v>31530</v>
      </c>
      <c r="AE58" s="3">
        <v>32430</v>
      </c>
      <c r="AF58" s="3">
        <v>33970</v>
      </c>
      <c r="AG58" s="3">
        <v>34670</v>
      </c>
      <c r="AH58" s="3">
        <v>36280</v>
      </c>
      <c r="AI58" s="3">
        <v>37330</v>
      </c>
      <c r="AJ58" s="3">
        <v>36410</v>
      </c>
      <c r="AK58" s="3">
        <v>36400</v>
      </c>
      <c r="AL58" s="3">
        <v>35790</v>
      </c>
      <c r="AM58" s="3">
        <v>35820</v>
      </c>
      <c r="AN58" s="3">
        <v>35270</v>
      </c>
      <c r="AO58" s="3">
        <v>35350</v>
      </c>
      <c r="AP58" s="3">
        <v>34900</v>
      </c>
      <c r="AQ58" s="3">
        <v>33980</v>
      </c>
      <c r="AR58" s="3">
        <v>34880</v>
      </c>
      <c r="AS58" s="3">
        <v>34460</v>
      </c>
      <c r="AT58" s="3">
        <v>33310</v>
      </c>
      <c r="AU58" s="3">
        <v>33000</v>
      </c>
      <c r="AV58" s="3">
        <v>33530</v>
      </c>
      <c r="AW58" s="3">
        <v>33300</v>
      </c>
      <c r="AX58" s="3">
        <v>33970</v>
      </c>
      <c r="AY58" s="3">
        <v>35160</v>
      </c>
      <c r="AZ58" s="3">
        <v>36280</v>
      </c>
      <c r="BA58" s="3">
        <v>35810</v>
      </c>
      <c r="BB58" s="3">
        <v>36550</v>
      </c>
      <c r="BC58" s="3">
        <v>35870</v>
      </c>
      <c r="BD58" s="3">
        <v>35280</v>
      </c>
    </row>
    <row r="59" spans="1:56" x14ac:dyDescent="0.2">
      <c r="A59" s="1">
        <v>49</v>
      </c>
      <c r="B59" s="3">
        <v>29280</v>
      </c>
      <c r="C59" s="3">
        <v>29840</v>
      </c>
      <c r="D59" s="3">
        <v>31230</v>
      </c>
      <c r="E59" s="3">
        <v>31700</v>
      </c>
      <c r="F59" s="3">
        <v>33260</v>
      </c>
      <c r="G59" s="3">
        <v>33830</v>
      </c>
      <c r="H59" s="3">
        <v>33930</v>
      </c>
      <c r="I59" s="3">
        <v>33100</v>
      </c>
      <c r="J59" s="3">
        <v>31900</v>
      </c>
      <c r="K59" s="3">
        <v>31750</v>
      </c>
      <c r="L59" s="3">
        <v>32300</v>
      </c>
      <c r="M59" s="3">
        <v>32520</v>
      </c>
      <c r="N59" s="3">
        <v>33010</v>
      </c>
      <c r="O59" s="3">
        <v>32950</v>
      </c>
      <c r="P59" s="3">
        <v>34060</v>
      </c>
      <c r="Q59" s="3">
        <v>33380</v>
      </c>
      <c r="R59" s="3">
        <v>32230</v>
      </c>
      <c r="S59" s="3">
        <v>31060</v>
      </c>
      <c r="T59" s="3">
        <v>29790</v>
      </c>
      <c r="U59" s="3">
        <v>28390</v>
      </c>
      <c r="V59" s="3">
        <v>28340</v>
      </c>
      <c r="W59" s="3">
        <v>28040</v>
      </c>
      <c r="X59" s="3">
        <v>28890</v>
      </c>
      <c r="Y59" s="3">
        <v>28860</v>
      </c>
      <c r="Z59" s="3">
        <v>28960</v>
      </c>
      <c r="AA59" s="3">
        <v>29650</v>
      </c>
      <c r="AB59" s="3">
        <v>30270</v>
      </c>
      <c r="AC59" s="3">
        <v>30540</v>
      </c>
      <c r="AD59" s="3">
        <v>31120</v>
      </c>
      <c r="AE59" s="3">
        <v>31430</v>
      </c>
      <c r="AF59" s="3">
        <v>32320</v>
      </c>
      <c r="AG59" s="3">
        <v>33870</v>
      </c>
      <c r="AH59" s="3">
        <v>34560</v>
      </c>
      <c r="AI59" s="3">
        <v>36170</v>
      </c>
      <c r="AJ59" s="3">
        <v>37220</v>
      </c>
      <c r="AK59" s="3">
        <v>36310</v>
      </c>
      <c r="AL59" s="3">
        <v>36290</v>
      </c>
      <c r="AM59" s="3">
        <v>35690</v>
      </c>
      <c r="AN59" s="3">
        <v>35720</v>
      </c>
      <c r="AO59" s="3">
        <v>35160</v>
      </c>
      <c r="AP59" s="3">
        <v>35250</v>
      </c>
      <c r="AQ59" s="3">
        <v>34800</v>
      </c>
      <c r="AR59" s="3">
        <v>33880</v>
      </c>
      <c r="AS59" s="3">
        <v>34780</v>
      </c>
      <c r="AT59" s="3">
        <v>34360</v>
      </c>
      <c r="AU59" s="3">
        <v>33210</v>
      </c>
      <c r="AV59" s="3">
        <v>32900</v>
      </c>
      <c r="AW59" s="3">
        <v>33430</v>
      </c>
      <c r="AX59" s="3">
        <v>33210</v>
      </c>
      <c r="AY59" s="3">
        <v>33880</v>
      </c>
      <c r="AZ59" s="3">
        <v>35070</v>
      </c>
      <c r="BA59" s="3">
        <v>36190</v>
      </c>
      <c r="BB59" s="3">
        <v>35720</v>
      </c>
      <c r="BC59" s="3">
        <v>36450</v>
      </c>
      <c r="BD59" s="3">
        <v>35770</v>
      </c>
    </row>
    <row r="60" spans="1:56" x14ac:dyDescent="0.2">
      <c r="A60" s="1">
        <v>50</v>
      </c>
      <c r="B60" s="3">
        <v>28580</v>
      </c>
      <c r="C60" s="3">
        <v>29200</v>
      </c>
      <c r="D60" s="3">
        <v>29730</v>
      </c>
      <c r="E60" s="3">
        <v>31150</v>
      </c>
      <c r="F60" s="3">
        <v>31650</v>
      </c>
      <c r="G60" s="3">
        <v>33090</v>
      </c>
      <c r="H60" s="3">
        <v>33640</v>
      </c>
      <c r="I60" s="3">
        <v>33790</v>
      </c>
      <c r="J60" s="3">
        <v>33040</v>
      </c>
      <c r="K60" s="3">
        <v>31910</v>
      </c>
      <c r="L60" s="3">
        <v>31690</v>
      </c>
      <c r="M60" s="3">
        <v>32170</v>
      </c>
      <c r="N60" s="3">
        <v>32390</v>
      </c>
      <c r="O60" s="3">
        <v>32880</v>
      </c>
      <c r="P60" s="3">
        <v>32820</v>
      </c>
      <c r="Q60" s="3">
        <v>33930</v>
      </c>
      <c r="R60" s="3">
        <v>33250</v>
      </c>
      <c r="S60" s="3">
        <v>32100</v>
      </c>
      <c r="T60" s="3">
        <v>30940</v>
      </c>
      <c r="U60" s="3">
        <v>29670</v>
      </c>
      <c r="V60" s="3">
        <v>28280</v>
      </c>
      <c r="W60" s="3">
        <v>28230</v>
      </c>
      <c r="X60" s="3">
        <v>27920</v>
      </c>
      <c r="Y60" s="3">
        <v>28780</v>
      </c>
      <c r="Z60" s="3">
        <v>28750</v>
      </c>
      <c r="AA60" s="3">
        <v>28850</v>
      </c>
      <c r="AB60" s="3">
        <v>29540</v>
      </c>
      <c r="AC60" s="3">
        <v>30160</v>
      </c>
      <c r="AD60" s="3">
        <v>30430</v>
      </c>
      <c r="AE60" s="3">
        <v>31010</v>
      </c>
      <c r="AF60" s="3">
        <v>31320</v>
      </c>
      <c r="AG60" s="3">
        <v>32210</v>
      </c>
      <c r="AH60" s="3">
        <v>33750</v>
      </c>
      <c r="AI60" s="3">
        <v>34450</v>
      </c>
      <c r="AJ60" s="3">
        <v>36060</v>
      </c>
      <c r="AK60" s="3">
        <v>37110</v>
      </c>
      <c r="AL60" s="3">
        <v>36200</v>
      </c>
      <c r="AM60" s="3">
        <v>36180</v>
      </c>
      <c r="AN60" s="3">
        <v>35580</v>
      </c>
      <c r="AO60" s="3">
        <v>35610</v>
      </c>
      <c r="AP60" s="3">
        <v>35060</v>
      </c>
      <c r="AQ60" s="3">
        <v>35140</v>
      </c>
      <c r="AR60" s="3">
        <v>34700</v>
      </c>
      <c r="AS60" s="3">
        <v>33780</v>
      </c>
      <c r="AT60" s="3">
        <v>34670</v>
      </c>
      <c r="AU60" s="3">
        <v>34250</v>
      </c>
      <c r="AV60" s="3">
        <v>33110</v>
      </c>
      <c r="AW60" s="3">
        <v>32800</v>
      </c>
      <c r="AX60" s="3">
        <v>33330</v>
      </c>
      <c r="AY60" s="3">
        <v>33110</v>
      </c>
      <c r="AZ60" s="3">
        <v>33780</v>
      </c>
      <c r="BA60" s="3">
        <v>34970</v>
      </c>
      <c r="BB60" s="3">
        <v>36090</v>
      </c>
      <c r="BC60" s="3">
        <v>35620</v>
      </c>
      <c r="BD60" s="3">
        <v>36350</v>
      </c>
    </row>
    <row r="61" spans="1:56" x14ac:dyDescent="0.2">
      <c r="A61" s="1">
        <v>51</v>
      </c>
      <c r="B61" s="3">
        <v>27550</v>
      </c>
      <c r="C61" s="3">
        <v>28490</v>
      </c>
      <c r="D61" s="3">
        <v>29090</v>
      </c>
      <c r="E61" s="3">
        <v>29610</v>
      </c>
      <c r="F61" s="3">
        <v>31090</v>
      </c>
      <c r="G61" s="3">
        <v>31520</v>
      </c>
      <c r="H61" s="3">
        <v>32950</v>
      </c>
      <c r="I61" s="3">
        <v>33500</v>
      </c>
      <c r="J61" s="3">
        <v>33700</v>
      </c>
      <c r="K61" s="3">
        <v>33030</v>
      </c>
      <c r="L61" s="3">
        <v>31830</v>
      </c>
      <c r="M61" s="3">
        <v>31550</v>
      </c>
      <c r="N61" s="3">
        <v>32040</v>
      </c>
      <c r="O61" s="3">
        <v>32260</v>
      </c>
      <c r="P61" s="3">
        <v>32750</v>
      </c>
      <c r="Q61" s="3">
        <v>32690</v>
      </c>
      <c r="R61" s="3">
        <v>33800</v>
      </c>
      <c r="S61" s="3">
        <v>33130</v>
      </c>
      <c r="T61" s="3">
        <v>31980</v>
      </c>
      <c r="U61" s="3">
        <v>30820</v>
      </c>
      <c r="V61" s="3">
        <v>29550</v>
      </c>
      <c r="W61" s="3">
        <v>28160</v>
      </c>
      <c r="X61" s="3">
        <v>28120</v>
      </c>
      <c r="Y61" s="3">
        <v>27810</v>
      </c>
      <c r="Z61" s="3">
        <v>28670</v>
      </c>
      <c r="AA61" s="3">
        <v>28640</v>
      </c>
      <c r="AB61" s="3">
        <v>28740</v>
      </c>
      <c r="AC61" s="3">
        <v>29430</v>
      </c>
      <c r="AD61" s="3">
        <v>30050</v>
      </c>
      <c r="AE61" s="3">
        <v>30320</v>
      </c>
      <c r="AF61" s="3">
        <v>30900</v>
      </c>
      <c r="AG61" s="3">
        <v>31210</v>
      </c>
      <c r="AH61" s="3">
        <v>32100</v>
      </c>
      <c r="AI61" s="3">
        <v>33650</v>
      </c>
      <c r="AJ61" s="3">
        <v>34340</v>
      </c>
      <c r="AK61" s="3">
        <v>35950</v>
      </c>
      <c r="AL61" s="3">
        <v>37000</v>
      </c>
      <c r="AM61" s="3">
        <v>36090</v>
      </c>
      <c r="AN61" s="3">
        <v>36070</v>
      </c>
      <c r="AO61" s="3">
        <v>35470</v>
      </c>
      <c r="AP61" s="3">
        <v>35510</v>
      </c>
      <c r="AQ61" s="3">
        <v>34950</v>
      </c>
      <c r="AR61" s="3">
        <v>35040</v>
      </c>
      <c r="AS61" s="3">
        <v>34600</v>
      </c>
      <c r="AT61" s="3">
        <v>33680</v>
      </c>
      <c r="AU61" s="3">
        <v>34570</v>
      </c>
      <c r="AV61" s="3">
        <v>34160</v>
      </c>
      <c r="AW61" s="3">
        <v>33010</v>
      </c>
      <c r="AX61" s="3">
        <v>32700</v>
      </c>
      <c r="AY61" s="3">
        <v>33240</v>
      </c>
      <c r="AZ61" s="3">
        <v>33010</v>
      </c>
      <c r="BA61" s="3">
        <v>33680</v>
      </c>
      <c r="BB61" s="3">
        <v>34870</v>
      </c>
      <c r="BC61" s="3">
        <v>35990</v>
      </c>
      <c r="BD61" s="3">
        <v>35530</v>
      </c>
    </row>
    <row r="62" spans="1:56" x14ac:dyDescent="0.2">
      <c r="A62" s="1">
        <v>52</v>
      </c>
      <c r="B62" s="3">
        <v>26780</v>
      </c>
      <c r="C62" s="3">
        <v>27430</v>
      </c>
      <c r="D62" s="3">
        <v>28360</v>
      </c>
      <c r="E62" s="3">
        <v>28970</v>
      </c>
      <c r="F62" s="3">
        <v>29570</v>
      </c>
      <c r="G62" s="3">
        <v>30970</v>
      </c>
      <c r="H62" s="3">
        <v>31340</v>
      </c>
      <c r="I62" s="3">
        <v>32770</v>
      </c>
      <c r="J62" s="3">
        <v>33420</v>
      </c>
      <c r="K62" s="3">
        <v>33690</v>
      </c>
      <c r="L62" s="3">
        <v>32960</v>
      </c>
      <c r="M62" s="3">
        <v>31710</v>
      </c>
      <c r="N62" s="3">
        <v>31430</v>
      </c>
      <c r="O62" s="3">
        <v>31910</v>
      </c>
      <c r="P62" s="3">
        <v>32140</v>
      </c>
      <c r="Q62" s="3">
        <v>32630</v>
      </c>
      <c r="R62" s="3">
        <v>32570</v>
      </c>
      <c r="S62" s="3">
        <v>33680</v>
      </c>
      <c r="T62" s="3">
        <v>33010</v>
      </c>
      <c r="U62" s="3">
        <v>31870</v>
      </c>
      <c r="V62" s="3">
        <v>30700</v>
      </c>
      <c r="W62" s="3">
        <v>29450</v>
      </c>
      <c r="X62" s="3">
        <v>28060</v>
      </c>
      <c r="Y62" s="3">
        <v>28010</v>
      </c>
      <c r="Z62" s="3">
        <v>27710</v>
      </c>
      <c r="AA62" s="3">
        <v>28570</v>
      </c>
      <c r="AB62" s="3">
        <v>28530</v>
      </c>
      <c r="AC62" s="3">
        <v>28640</v>
      </c>
      <c r="AD62" s="3">
        <v>29330</v>
      </c>
      <c r="AE62" s="3">
        <v>29950</v>
      </c>
      <c r="AF62" s="3">
        <v>30220</v>
      </c>
      <c r="AG62" s="3">
        <v>30810</v>
      </c>
      <c r="AH62" s="3">
        <v>31110</v>
      </c>
      <c r="AI62" s="3">
        <v>32000</v>
      </c>
      <c r="AJ62" s="3">
        <v>33550</v>
      </c>
      <c r="AK62" s="3">
        <v>34240</v>
      </c>
      <c r="AL62" s="3">
        <v>35850</v>
      </c>
      <c r="AM62" s="3">
        <v>36900</v>
      </c>
      <c r="AN62" s="3">
        <v>35990</v>
      </c>
      <c r="AO62" s="3">
        <v>35980</v>
      </c>
      <c r="AP62" s="3">
        <v>35380</v>
      </c>
      <c r="AQ62" s="3">
        <v>35410</v>
      </c>
      <c r="AR62" s="3">
        <v>34860</v>
      </c>
      <c r="AS62" s="3">
        <v>34950</v>
      </c>
      <c r="AT62" s="3">
        <v>34510</v>
      </c>
      <c r="AU62" s="3">
        <v>33590</v>
      </c>
      <c r="AV62" s="3">
        <v>34480</v>
      </c>
      <c r="AW62" s="3">
        <v>34070</v>
      </c>
      <c r="AX62" s="3">
        <v>32930</v>
      </c>
      <c r="AY62" s="3">
        <v>32620</v>
      </c>
      <c r="AZ62" s="3">
        <v>33150</v>
      </c>
      <c r="BA62" s="3">
        <v>32930</v>
      </c>
      <c r="BB62" s="3">
        <v>33600</v>
      </c>
      <c r="BC62" s="3">
        <v>34790</v>
      </c>
      <c r="BD62" s="3">
        <v>35910</v>
      </c>
    </row>
    <row r="63" spans="1:56" x14ac:dyDescent="0.2">
      <c r="A63" s="1">
        <v>53</v>
      </c>
      <c r="B63" s="3">
        <v>25610</v>
      </c>
      <c r="C63" s="3">
        <v>26710</v>
      </c>
      <c r="D63" s="3">
        <v>27350</v>
      </c>
      <c r="E63" s="3">
        <v>28270</v>
      </c>
      <c r="F63" s="3">
        <v>28970</v>
      </c>
      <c r="G63" s="3">
        <v>29410</v>
      </c>
      <c r="H63" s="3">
        <v>30830</v>
      </c>
      <c r="I63" s="3">
        <v>31240</v>
      </c>
      <c r="J63" s="3">
        <v>32720</v>
      </c>
      <c r="K63" s="3">
        <v>33420</v>
      </c>
      <c r="L63" s="3">
        <v>33620</v>
      </c>
      <c r="M63" s="3">
        <v>32840</v>
      </c>
      <c r="N63" s="3">
        <v>31590</v>
      </c>
      <c r="O63" s="3">
        <v>31310</v>
      </c>
      <c r="P63" s="3">
        <v>31800</v>
      </c>
      <c r="Q63" s="3">
        <v>32020</v>
      </c>
      <c r="R63" s="3">
        <v>32520</v>
      </c>
      <c r="S63" s="3">
        <v>32460</v>
      </c>
      <c r="T63" s="3">
        <v>33570</v>
      </c>
      <c r="U63" s="3">
        <v>32900</v>
      </c>
      <c r="V63" s="3">
        <v>31760</v>
      </c>
      <c r="W63" s="3">
        <v>30600</v>
      </c>
      <c r="X63" s="3">
        <v>29350</v>
      </c>
      <c r="Y63" s="3">
        <v>27960</v>
      </c>
      <c r="Z63" s="3">
        <v>27920</v>
      </c>
      <c r="AA63" s="3">
        <v>27620</v>
      </c>
      <c r="AB63" s="3">
        <v>28480</v>
      </c>
      <c r="AC63" s="3">
        <v>28450</v>
      </c>
      <c r="AD63" s="3">
        <v>28550</v>
      </c>
      <c r="AE63" s="3">
        <v>29240</v>
      </c>
      <c r="AF63" s="3">
        <v>29860</v>
      </c>
      <c r="AG63" s="3">
        <v>30140</v>
      </c>
      <c r="AH63" s="3">
        <v>30720</v>
      </c>
      <c r="AI63" s="3">
        <v>31030</v>
      </c>
      <c r="AJ63" s="3">
        <v>31920</v>
      </c>
      <c r="AK63" s="3">
        <v>33460</v>
      </c>
      <c r="AL63" s="3">
        <v>34150</v>
      </c>
      <c r="AM63" s="3">
        <v>35760</v>
      </c>
      <c r="AN63" s="3">
        <v>36810</v>
      </c>
      <c r="AO63" s="3">
        <v>35910</v>
      </c>
      <c r="AP63" s="3">
        <v>35890</v>
      </c>
      <c r="AQ63" s="3">
        <v>35300</v>
      </c>
      <c r="AR63" s="3">
        <v>35330</v>
      </c>
      <c r="AS63" s="3">
        <v>34780</v>
      </c>
      <c r="AT63" s="3">
        <v>34870</v>
      </c>
      <c r="AU63" s="3">
        <v>34430</v>
      </c>
      <c r="AV63" s="3">
        <v>33510</v>
      </c>
      <c r="AW63" s="3">
        <v>34410</v>
      </c>
      <c r="AX63" s="3">
        <v>33990</v>
      </c>
      <c r="AY63" s="3">
        <v>32850</v>
      </c>
      <c r="AZ63" s="3">
        <v>32550</v>
      </c>
      <c r="BA63" s="3">
        <v>33080</v>
      </c>
      <c r="BB63" s="3">
        <v>32860</v>
      </c>
      <c r="BC63" s="3">
        <v>33530</v>
      </c>
      <c r="BD63" s="3">
        <v>34720</v>
      </c>
    </row>
    <row r="64" spans="1:56" x14ac:dyDescent="0.2">
      <c r="A64" s="1">
        <v>54</v>
      </c>
      <c r="B64" s="3">
        <v>25210</v>
      </c>
      <c r="C64" s="3">
        <v>25540</v>
      </c>
      <c r="D64" s="3">
        <v>26610</v>
      </c>
      <c r="E64" s="3">
        <v>27230</v>
      </c>
      <c r="F64" s="3">
        <v>28220</v>
      </c>
      <c r="G64" s="3">
        <v>28900</v>
      </c>
      <c r="H64" s="3">
        <v>29320</v>
      </c>
      <c r="I64" s="3">
        <v>30700</v>
      </c>
      <c r="J64" s="3">
        <v>31170</v>
      </c>
      <c r="K64" s="3">
        <v>32720</v>
      </c>
      <c r="L64" s="3">
        <v>33360</v>
      </c>
      <c r="M64" s="3">
        <v>33510</v>
      </c>
      <c r="N64" s="3">
        <v>32730</v>
      </c>
      <c r="O64" s="3">
        <v>31490</v>
      </c>
      <c r="P64" s="3">
        <v>31210</v>
      </c>
      <c r="Q64" s="3">
        <v>31700</v>
      </c>
      <c r="R64" s="3">
        <v>31930</v>
      </c>
      <c r="S64" s="3">
        <v>32420</v>
      </c>
      <c r="T64" s="3">
        <v>32360</v>
      </c>
      <c r="U64" s="3">
        <v>33470</v>
      </c>
      <c r="V64" s="3">
        <v>32810</v>
      </c>
      <c r="W64" s="3">
        <v>31670</v>
      </c>
      <c r="X64" s="3">
        <v>30520</v>
      </c>
      <c r="Y64" s="3">
        <v>29270</v>
      </c>
      <c r="Z64" s="3">
        <v>27890</v>
      </c>
      <c r="AA64" s="3">
        <v>27840</v>
      </c>
      <c r="AB64" s="3">
        <v>27540</v>
      </c>
      <c r="AC64" s="3">
        <v>28400</v>
      </c>
      <c r="AD64" s="3">
        <v>28370</v>
      </c>
      <c r="AE64" s="3">
        <v>28480</v>
      </c>
      <c r="AF64" s="3">
        <v>29170</v>
      </c>
      <c r="AG64" s="3">
        <v>29790</v>
      </c>
      <c r="AH64" s="3">
        <v>30060</v>
      </c>
      <c r="AI64" s="3">
        <v>30650</v>
      </c>
      <c r="AJ64" s="3">
        <v>30950</v>
      </c>
      <c r="AK64" s="3">
        <v>31850</v>
      </c>
      <c r="AL64" s="3">
        <v>33390</v>
      </c>
      <c r="AM64" s="3">
        <v>34080</v>
      </c>
      <c r="AN64" s="3">
        <v>35690</v>
      </c>
      <c r="AO64" s="3">
        <v>36740</v>
      </c>
      <c r="AP64" s="3">
        <v>35840</v>
      </c>
      <c r="AQ64" s="3">
        <v>35820</v>
      </c>
      <c r="AR64" s="3">
        <v>35230</v>
      </c>
      <c r="AS64" s="3">
        <v>35260</v>
      </c>
      <c r="AT64" s="3">
        <v>34720</v>
      </c>
      <c r="AU64" s="3">
        <v>34810</v>
      </c>
      <c r="AV64" s="3">
        <v>34370</v>
      </c>
      <c r="AW64" s="3">
        <v>33450</v>
      </c>
      <c r="AX64" s="3">
        <v>34350</v>
      </c>
      <c r="AY64" s="3">
        <v>33930</v>
      </c>
      <c r="AZ64" s="3">
        <v>32790</v>
      </c>
      <c r="BA64" s="3">
        <v>32490</v>
      </c>
      <c r="BB64" s="3">
        <v>33020</v>
      </c>
      <c r="BC64" s="3">
        <v>32800</v>
      </c>
      <c r="BD64" s="3">
        <v>33470</v>
      </c>
    </row>
    <row r="65" spans="1:56" x14ac:dyDescent="0.2">
      <c r="A65" s="1">
        <v>55</v>
      </c>
      <c r="B65" s="3">
        <v>24770</v>
      </c>
      <c r="C65" s="3">
        <v>25110</v>
      </c>
      <c r="D65" s="3">
        <v>25500</v>
      </c>
      <c r="E65" s="3">
        <v>26580</v>
      </c>
      <c r="F65" s="3">
        <v>27210</v>
      </c>
      <c r="G65" s="3">
        <v>28110</v>
      </c>
      <c r="H65" s="3">
        <v>28840</v>
      </c>
      <c r="I65" s="3">
        <v>29230</v>
      </c>
      <c r="J65" s="3">
        <v>30650</v>
      </c>
      <c r="K65" s="3">
        <v>31180</v>
      </c>
      <c r="L65" s="3">
        <v>32680</v>
      </c>
      <c r="M65" s="3">
        <v>33260</v>
      </c>
      <c r="N65" s="3">
        <v>33410</v>
      </c>
      <c r="O65" s="3">
        <v>32640</v>
      </c>
      <c r="P65" s="3">
        <v>31400</v>
      </c>
      <c r="Q65" s="3">
        <v>31130</v>
      </c>
      <c r="R65" s="3">
        <v>31620</v>
      </c>
      <c r="S65" s="3">
        <v>31840</v>
      </c>
      <c r="T65" s="3">
        <v>32340</v>
      </c>
      <c r="U65" s="3">
        <v>32280</v>
      </c>
      <c r="V65" s="3">
        <v>33390</v>
      </c>
      <c r="W65" s="3">
        <v>32730</v>
      </c>
      <c r="X65" s="3">
        <v>31600</v>
      </c>
      <c r="Y65" s="3">
        <v>30450</v>
      </c>
      <c r="Z65" s="3">
        <v>29200</v>
      </c>
      <c r="AA65" s="3">
        <v>27820</v>
      </c>
      <c r="AB65" s="3">
        <v>27780</v>
      </c>
      <c r="AC65" s="3">
        <v>27480</v>
      </c>
      <c r="AD65" s="3">
        <v>28340</v>
      </c>
      <c r="AE65" s="3">
        <v>28310</v>
      </c>
      <c r="AF65" s="3">
        <v>28420</v>
      </c>
      <c r="AG65" s="3">
        <v>29110</v>
      </c>
      <c r="AH65" s="3">
        <v>29740</v>
      </c>
      <c r="AI65" s="3">
        <v>30010</v>
      </c>
      <c r="AJ65" s="3">
        <v>30590</v>
      </c>
      <c r="AK65" s="3">
        <v>30900</v>
      </c>
      <c r="AL65" s="3">
        <v>31790</v>
      </c>
      <c r="AM65" s="3">
        <v>33330</v>
      </c>
      <c r="AN65" s="3">
        <v>34030</v>
      </c>
      <c r="AO65" s="3">
        <v>35640</v>
      </c>
      <c r="AP65" s="3">
        <v>36680</v>
      </c>
      <c r="AQ65" s="3">
        <v>35780</v>
      </c>
      <c r="AR65" s="3">
        <v>35770</v>
      </c>
      <c r="AS65" s="3">
        <v>35180</v>
      </c>
      <c r="AT65" s="3">
        <v>35220</v>
      </c>
      <c r="AU65" s="3">
        <v>34670</v>
      </c>
      <c r="AV65" s="3">
        <v>34760</v>
      </c>
      <c r="AW65" s="3">
        <v>34320</v>
      </c>
      <c r="AX65" s="3">
        <v>33410</v>
      </c>
      <c r="AY65" s="3">
        <v>34300</v>
      </c>
      <c r="AZ65" s="3">
        <v>33890</v>
      </c>
      <c r="BA65" s="3">
        <v>32750</v>
      </c>
      <c r="BB65" s="3">
        <v>32450</v>
      </c>
      <c r="BC65" s="3">
        <v>32980</v>
      </c>
      <c r="BD65" s="3">
        <v>32760</v>
      </c>
    </row>
    <row r="66" spans="1:56" x14ac:dyDescent="0.2">
      <c r="A66" s="1">
        <v>56</v>
      </c>
      <c r="B66" s="3">
        <v>24930</v>
      </c>
      <c r="C66" s="3">
        <v>24730</v>
      </c>
      <c r="D66" s="3">
        <v>25040</v>
      </c>
      <c r="E66" s="3">
        <v>25500</v>
      </c>
      <c r="F66" s="3">
        <v>26570</v>
      </c>
      <c r="G66" s="3">
        <v>27160</v>
      </c>
      <c r="H66" s="3">
        <v>28040</v>
      </c>
      <c r="I66" s="3">
        <v>28790</v>
      </c>
      <c r="J66" s="3">
        <v>29210</v>
      </c>
      <c r="K66" s="3">
        <v>30680</v>
      </c>
      <c r="L66" s="3">
        <v>31150</v>
      </c>
      <c r="M66" s="3">
        <v>32590</v>
      </c>
      <c r="N66" s="3">
        <v>33170</v>
      </c>
      <c r="O66" s="3">
        <v>33330</v>
      </c>
      <c r="P66" s="3">
        <v>32550</v>
      </c>
      <c r="Q66" s="3">
        <v>31320</v>
      </c>
      <c r="R66" s="3">
        <v>31060</v>
      </c>
      <c r="S66" s="3">
        <v>31550</v>
      </c>
      <c r="T66" s="3">
        <v>31770</v>
      </c>
      <c r="U66" s="3">
        <v>32270</v>
      </c>
      <c r="V66" s="3">
        <v>32220</v>
      </c>
      <c r="W66" s="3">
        <v>33320</v>
      </c>
      <c r="X66" s="3">
        <v>32670</v>
      </c>
      <c r="Y66" s="3">
        <v>31540</v>
      </c>
      <c r="Z66" s="3">
        <v>30390</v>
      </c>
      <c r="AA66" s="3">
        <v>29150</v>
      </c>
      <c r="AB66" s="3">
        <v>27780</v>
      </c>
      <c r="AC66" s="3">
        <v>27740</v>
      </c>
      <c r="AD66" s="3">
        <v>27440</v>
      </c>
      <c r="AE66" s="3">
        <v>28300</v>
      </c>
      <c r="AF66" s="3">
        <v>28270</v>
      </c>
      <c r="AG66" s="3">
        <v>28380</v>
      </c>
      <c r="AH66" s="3">
        <v>29070</v>
      </c>
      <c r="AI66" s="3">
        <v>29700</v>
      </c>
      <c r="AJ66" s="3">
        <v>29970</v>
      </c>
      <c r="AK66" s="3">
        <v>30550</v>
      </c>
      <c r="AL66" s="3">
        <v>30860</v>
      </c>
      <c r="AM66" s="3">
        <v>31750</v>
      </c>
      <c r="AN66" s="3">
        <v>33290</v>
      </c>
      <c r="AO66" s="3">
        <v>33990</v>
      </c>
      <c r="AP66" s="3">
        <v>35600</v>
      </c>
      <c r="AQ66" s="3">
        <v>36640</v>
      </c>
      <c r="AR66" s="3">
        <v>35740</v>
      </c>
      <c r="AS66" s="3">
        <v>35730</v>
      </c>
      <c r="AT66" s="3">
        <v>35140</v>
      </c>
      <c r="AU66" s="3">
        <v>35180</v>
      </c>
      <c r="AV66" s="3">
        <v>34640</v>
      </c>
      <c r="AW66" s="3">
        <v>34730</v>
      </c>
      <c r="AX66" s="3">
        <v>34290</v>
      </c>
      <c r="AY66" s="3">
        <v>33380</v>
      </c>
      <c r="AZ66" s="3">
        <v>34270</v>
      </c>
      <c r="BA66" s="3">
        <v>33860</v>
      </c>
      <c r="BB66" s="3">
        <v>32730</v>
      </c>
      <c r="BC66" s="3">
        <v>32420</v>
      </c>
      <c r="BD66" s="3">
        <v>32950</v>
      </c>
    </row>
    <row r="67" spans="1:56" x14ac:dyDescent="0.2">
      <c r="A67" s="1">
        <v>57</v>
      </c>
      <c r="B67" s="3">
        <v>24090</v>
      </c>
      <c r="C67" s="3">
        <v>24850</v>
      </c>
      <c r="D67" s="3">
        <v>24680</v>
      </c>
      <c r="E67" s="3">
        <v>25000</v>
      </c>
      <c r="F67" s="3">
        <v>25510</v>
      </c>
      <c r="G67" s="3">
        <v>26540</v>
      </c>
      <c r="H67" s="3">
        <v>27140</v>
      </c>
      <c r="I67" s="3">
        <v>27970</v>
      </c>
      <c r="J67" s="3">
        <v>28750</v>
      </c>
      <c r="K67" s="3">
        <v>29240</v>
      </c>
      <c r="L67" s="3">
        <v>30650</v>
      </c>
      <c r="M67" s="3">
        <v>31080</v>
      </c>
      <c r="N67" s="3">
        <v>32510</v>
      </c>
      <c r="O67" s="3">
        <v>33100</v>
      </c>
      <c r="P67" s="3">
        <v>33250</v>
      </c>
      <c r="Q67" s="3">
        <v>32490</v>
      </c>
      <c r="R67" s="3">
        <v>31260</v>
      </c>
      <c r="S67" s="3">
        <v>31000</v>
      </c>
      <c r="T67" s="3">
        <v>31490</v>
      </c>
      <c r="U67" s="3">
        <v>31720</v>
      </c>
      <c r="V67" s="3">
        <v>32210</v>
      </c>
      <c r="W67" s="3">
        <v>32160</v>
      </c>
      <c r="X67" s="3">
        <v>33270</v>
      </c>
      <c r="Y67" s="3">
        <v>32620</v>
      </c>
      <c r="Z67" s="3">
        <v>31490</v>
      </c>
      <c r="AA67" s="3">
        <v>30350</v>
      </c>
      <c r="AB67" s="3">
        <v>29110</v>
      </c>
      <c r="AC67" s="3">
        <v>27740</v>
      </c>
      <c r="AD67" s="3">
        <v>27700</v>
      </c>
      <c r="AE67" s="3">
        <v>27410</v>
      </c>
      <c r="AF67" s="3">
        <v>28270</v>
      </c>
      <c r="AG67" s="3">
        <v>28240</v>
      </c>
      <c r="AH67" s="3">
        <v>28350</v>
      </c>
      <c r="AI67" s="3">
        <v>29040</v>
      </c>
      <c r="AJ67" s="3">
        <v>29670</v>
      </c>
      <c r="AK67" s="3">
        <v>29940</v>
      </c>
      <c r="AL67" s="3">
        <v>30530</v>
      </c>
      <c r="AM67" s="3">
        <v>30830</v>
      </c>
      <c r="AN67" s="3">
        <v>31730</v>
      </c>
      <c r="AO67" s="3">
        <v>33270</v>
      </c>
      <c r="AP67" s="3">
        <v>33960</v>
      </c>
      <c r="AQ67" s="3">
        <v>35570</v>
      </c>
      <c r="AR67" s="3">
        <v>36610</v>
      </c>
      <c r="AS67" s="3">
        <v>35720</v>
      </c>
      <c r="AT67" s="3">
        <v>35710</v>
      </c>
      <c r="AU67" s="3">
        <v>35120</v>
      </c>
      <c r="AV67" s="3">
        <v>35160</v>
      </c>
      <c r="AW67" s="3">
        <v>34620</v>
      </c>
      <c r="AX67" s="3">
        <v>34710</v>
      </c>
      <c r="AY67" s="3">
        <v>34270</v>
      </c>
      <c r="AZ67" s="3">
        <v>33360</v>
      </c>
      <c r="BA67" s="3">
        <v>34260</v>
      </c>
      <c r="BB67" s="3">
        <v>33850</v>
      </c>
      <c r="BC67" s="3">
        <v>32710</v>
      </c>
      <c r="BD67" s="3">
        <v>32410</v>
      </c>
    </row>
    <row r="68" spans="1:56" x14ac:dyDescent="0.2">
      <c r="A68" s="1">
        <v>58</v>
      </c>
      <c r="B68" s="3">
        <v>24480</v>
      </c>
      <c r="C68" s="3">
        <v>24050</v>
      </c>
      <c r="D68" s="3">
        <v>24700</v>
      </c>
      <c r="E68" s="3">
        <v>24570</v>
      </c>
      <c r="F68" s="3">
        <v>25000</v>
      </c>
      <c r="G68" s="3">
        <v>25480</v>
      </c>
      <c r="H68" s="3">
        <v>26530</v>
      </c>
      <c r="I68" s="3">
        <v>27100</v>
      </c>
      <c r="J68" s="3">
        <v>27950</v>
      </c>
      <c r="K68" s="3">
        <v>28800</v>
      </c>
      <c r="L68" s="3">
        <v>29240</v>
      </c>
      <c r="M68" s="3">
        <v>30590</v>
      </c>
      <c r="N68" s="3">
        <v>31010</v>
      </c>
      <c r="O68" s="3">
        <v>32450</v>
      </c>
      <c r="P68" s="3">
        <v>33030</v>
      </c>
      <c r="Q68" s="3">
        <v>33190</v>
      </c>
      <c r="R68" s="3">
        <v>32430</v>
      </c>
      <c r="S68" s="3">
        <v>31210</v>
      </c>
      <c r="T68" s="3">
        <v>30950</v>
      </c>
      <c r="U68" s="3">
        <v>31440</v>
      </c>
      <c r="V68" s="3">
        <v>31670</v>
      </c>
      <c r="W68" s="3">
        <v>32170</v>
      </c>
      <c r="X68" s="3">
        <v>32120</v>
      </c>
      <c r="Y68" s="3">
        <v>33230</v>
      </c>
      <c r="Z68" s="3">
        <v>32580</v>
      </c>
      <c r="AA68" s="3">
        <v>31460</v>
      </c>
      <c r="AB68" s="3">
        <v>30320</v>
      </c>
      <c r="AC68" s="3">
        <v>29090</v>
      </c>
      <c r="AD68" s="3">
        <v>27720</v>
      </c>
      <c r="AE68" s="3">
        <v>27680</v>
      </c>
      <c r="AF68" s="3">
        <v>27390</v>
      </c>
      <c r="AG68" s="3">
        <v>28250</v>
      </c>
      <c r="AH68" s="3">
        <v>28230</v>
      </c>
      <c r="AI68" s="3">
        <v>28340</v>
      </c>
      <c r="AJ68" s="3">
        <v>29030</v>
      </c>
      <c r="AK68" s="3">
        <v>29650</v>
      </c>
      <c r="AL68" s="3">
        <v>29930</v>
      </c>
      <c r="AM68" s="3">
        <v>30510</v>
      </c>
      <c r="AN68" s="3">
        <v>30820</v>
      </c>
      <c r="AO68" s="3">
        <v>31720</v>
      </c>
      <c r="AP68" s="3">
        <v>33250</v>
      </c>
      <c r="AQ68" s="3">
        <v>33950</v>
      </c>
      <c r="AR68" s="3">
        <v>35560</v>
      </c>
      <c r="AS68" s="3">
        <v>36600</v>
      </c>
      <c r="AT68" s="3">
        <v>35710</v>
      </c>
      <c r="AU68" s="3">
        <v>35700</v>
      </c>
      <c r="AV68" s="3">
        <v>35110</v>
      </c>
      <c r="AW68" s="3">
        <v>35150</v>
      </c>
      <c r="AX68" s="3">
        <v>34610</v>
      </c>
      <c r="AY68" s="3">
        <v>34700</v>
      </c>
      <c r="AZ68" s="3">
        <v>34270</v>
      </c>
      <c r="BA68" s="3">
        <v>33360</v>
      </c>
      <c r="BB68" s="3">
        <v>34260</v>
      </c>
      <c r="BC68" s="3">
        <v>33850</v>
      </c>
      <c r="BD68" s="3">
        <v>32720</v>
      </c>
    </row>
    <row r="69" spans="1:56" x14ac:dyDescent="0.2">
      <c r="A69" s="1">
        <v>59</v>
      </c>
      <c r="B69" s="3">
        <v>24660</v>
      </c>
      <c r="C69" s="3">
        <v>24450</v>
      </c>
      <c r="D69" s="3">
        <v>23980</v>
      </c>
      <c r="E69" s="3">
        <v>24630</v>
      </c>
      <c r="F69" s="3">
        <v>24500</v>
      </c>
      <c r="G69" s="3">
        <v>24970</v>
      </c>
      <c r="H69" s="3">
        <v>25480</v>
      </c>
      <c r="I69" s="3">
        <v>26490</v>
      </c>
      <c r="J69" s="3">
        <v>27120</v>
      </c>
      <c r="K69" s="3">
        <v>28000</v>
      </c>
      <c r="L69" s="3">
        <v>28800</v>
      </c>
      <c r="M69" s="3">
        <v>29180</v>
      </c>
      <c r="N69" s="3">
        <v>30530</v>
      </c>
      <c r="O69" s="3">
        <v>30950</v>
      </c>
      <c r="P69" s="3">
        <v>32390</v>
      </c>
      <c r="Q69" s="3">
        <v>32970</v>
      </c>
      <c r="R69" s="3">
        <v>33130</v>
      </c>
      <c r="S69" s="3">
        <v>32380</v>
      </c>
      <c r="T69" s="3">
        <v>31160</v>
      </c>
      <c r="U69" s="3">
        <v>30910</v>
      </c>
      <c r="V69" s="3">
        <v>31400</v>
      </c>
      <c r="W69" s="3">
        <v>31630</v>
      </c>
      <c r="X69" s="3">
        <v>32130</v>
      </c>
      <c r="Y69" s="3">
        <v>32080</v>
      </c>
      <c r="Z69" s="3">
        <v>33190</v>
      </c>
      <c r="AA69" s="3">
        <v>32550</v>
      </c>
      <c r="AB69" s="3">
        <v>31430</v>
      </c>
      <c r="AC69" s="3">
        <v>30300</v>
      </c>
      <c r="AD69" s="3">
        <v>29070</v>
      </c>
      <c r="AE69" s="3">
        <v>27710</v>
      </c>
      <c r="AF69" s="3">
        <v>27670</v>
      </c>
      <c r="AG69" s="3">
        <v>27380</v>
      </c>
      <c r="AH69" s="3">
        <v>28240</v>
      </c>
      <c r="AI69" s="3">
        <v>28220</v>
      </c>
      <c r="AJ69" s="3">
        <v>28330</v>
      </c>
      <c r="AK69" s="3">
        <v>29020</v>
      </c>
      <c r="AL69" s="3">
        <v>29650</v>
      </c>
      <c r="AM69" s="3">
        <v>29920</v>
      </c>
      <c r="AN69" s="3">
        <v>30510</v>
      </c>
      <c r="AO69" s="3">
        <v>30820</v>
      </c>
      <c r="AP69" s="3">
        <v>31710</v>
      </c>
      <c r="AQ69" s="3">
        <v>33250</v>
      </c>
      <c r="AR69" s="3">
        <v>33940</v>
      </c>
      <c r="AS69" s="3">
        <v>35550</v>
      </c>
      <c r="AT69" s="3">
        <v>36600</v>
      </c>
      <c r="AU69" s="3">
        <v>35710</v>
      </c>
      <c r="AV69" s="3">
        <v>35700</v>
      </c>
      <c r="AW69" s="3">
        <v>35110</v>
      </c>
      <c r="AX69" s="3">
        <v>35160</v>
      </c>
      <c r="AY69" s="3">
        <v>34610</v>
      </c>
      <c r="AZ69" s="3">
        <v>34710</v>
      </c>
      <c r="BA69" s="3">
        <v>34280</v>
      </c>
      <c r="BB69" s="3">
        <v>33370</v>
      </c>
      <c r="BC69" s="3">
        <v>34270</v>
      </c>
      <c r="BD69" s="3">
        <v>33860</v>
      </c>
    </row>
    <row r="70" spans="1:56" x14ac:dyDescent="0.2">
      <c r="A70" s="1">
        <v>60</v>
      </c>
      <c r="B70" s="3">
        <v>20800</v>
      </c>
      <c r="C70" s="3">
        <v>24570</v>
      </c>
      <c r="D70" s="3">
        <v>24410</v>
      </c>
      <c r="E70" s="3">
        <v>23930</v>
      </c>
      <c r="F70" s="3">
        <v>24560</v>
      </c>
      <c r="G70" s="3">
        <v>24490</v>
      </c>
      <c r="H70" s="3">
        <v>24980</v>
      </c>
      <c r="I70" s="3">
        <v>25490</v>
      </c>
      <c r="J70" s="3">
        <v>26520</v>
      </c>
      <c r="K70" s="3">
        <v>27180</v>
      </c>
      <c r="L70" s="3">
        <v>28000</v>
      </c>
      <c r="M70" s="3">
        <v>28740</v>
      </c>
      <c r="N70" s="3">
        <v>29120</v>
      </c>
      <c r="O70" s="3">
        <v>30470</v>
      </c>
      <c r="P70" s="3">
        <v>30890</v>
      </c>
      <c r="Q70" s="3">
        <v>32330</v>
      </c>
      <c r="R70" s="3">
        <v>32920</v>
      </c>
      <c r="S70" s="3">
        <v>33080</v>
      </c>
      <c r="T70" s="3">
        <v>32330</v>
      </c>
      <c r="U70" s="3">
        <v>31120</v>
      </c>
      <c r="V70" s="3">
        <v>30870</v>
      </c>
      <c r="W70" s="3">
        <v>31360</v>
      </c>
      <c r="X70" s="3">
        <v>31600</v>
      </c>
      <c r="Y70" s="3">
        <v>32100</v>
      </c>
      <c r="Z70" s="3">
        <v>32050</v>
      </c>
      <c r="AA70" s="3">
        <v>33160</v>
      </c>
      <c r="AB70" s="3">
        <v>32520</v>
      </c>
      <c r="AC70" s="3">
        <v>31410</v>
      </c>
      <c r="AD70" s="3">
        <v>30280</v>
      </c>
      <c r="AE70" s="3">
        <v>29060</v>
      </c>
      <c r="AF70" s="3">
        <v>27700</v>
      </c>
      <c r="AG70" s="3">
        <v>27670</v>
      </c>
      <c r="AH70" s="3">
        <v>27380</v>
      </c>
      <c r="AI70" s="3">
        <v>28230</v>
      </c>
      <c r="AJ70" s="3">
        <v>28220</v>
      </c>
      <c r="AK70" s="3">
        <v>28330</v>
      </c>
      <c r="AL70" s="3">
        <v>29020</v>
      </c>
      <c r="AM70" s="3">
        <v>29650</v>
      </c>
      <c r="AN70" s="3">
        <v>29920</v>
      </c>
      <c r="AO70" s="3">
        <v>30510</v>
      </c>
      <c r="AP70" s="3">
        <v>30820</v>
      </c>
      <c r="AQ70" s="3">
        <v>31710</v>
      </c>
      <c r="AR70" s="3">
        <v>33250</v>
      </c>
      <c r="AS70" s="3">
        <v>33950</v>
      </c>
      <c r="AT70" s="3">
        <v>35550</v>
      </c>
      <c r="AU70" s="3">
        <v>36600</v>
      </c>
      <c r="AV70" s="3">
        <v>35710</v>
      </c>
      <c r="AW70" s="3">
        <v>35710</v>
      </c>
      <c r="AX70" s="3">
        <v>35120</v>
      </c>
      <c r="AY70" s="3">
        <v>35160</v>
      </c>
      <c r="AZ70" s="3">
        <v>34630</v>
      </c>
      <c r="BA70" s="3">
        <v>34720</v>
      </c>
      <c r="BB70" s="3">
        <v>34290</v>
      </c>
      <c r="BC70" s="3">
        <v>33380</v>
      </c>
      <c r="BD70" s="3">
        <v>34280</v>
      </c>
    </row>
    <row r="71" spans="1:56" x14ac:dyDescent="0.2">
      <c r="A71" s="1">
        <v>61</v>
      </c>
      <c r="B71" s="3">
        <v>19700</v>
      </c>
      <c r="C71" s="3">
        <v>20750</v>
      </c>
      <c r="D71" s="3">
        <v>24470</v>
      </c>
      <c r="E71" s="3">
        <v>24340</v>
      </c>
      <c r="F71" s="3">
        <v>23890</v>
      </c>
      <c r="G71" s="3">
        <v>24540</v>
      </c>
      <c r="H71" s="3">
        <v>24440</v>
      </c>
      <c r="I71" s="3">
        <v>24970</v>
      </c>
      <c r="J71" s="3">
        <v>25480</v>
      </c>
      <c r="K71" s="3">
        <v>26580</v>
      </c>
      <c r="L71" s="3">
        <v>27180</v>
      </c>
      <c r="M71" s="3">
        <v>27950</v>
      </c>
      <c r="N71" s="3">
        <v>28690</v>
      </c>
      <c r="O71" s="3">
        <v>29060</v>
      </c>
      <c r="P71" s="3">
        <v>30410</v>
      </c>
      <c r="Q71" s="3">
        <v>30840</v>
      </c>
      <c r="R71" s="3">
        <v>32270</v>
      </c>
      <c r="S71" s="3">
        <v>32860</v>
      </c>
      <c r="T71" s="3">
        <v>33030</v>
      </c>
      <c r="U71" s="3">
        <v>32280</v>
      </c>
      <c r="V71" s="3">
        <v>31080</v>
      </c>
      <c r="W71" s="3">
        <v>30830</v>
      </c>
      <c r="X71" s="3">
        <v>31330</v>
      </c>
      <c r="Y71" s="3">
        <v>31570</v>
      </c>
      <c r="Z71" s="3">
        <v>32070</v>
      </c>
      <c r="AA71" s="3">
        <v>32030</v>
      </c>
      <c r="AB71" s="3">
        <v>33130</v>
      </c>
      <c r="AC71" s="3">
        <v>32490</v>
      </c>
      <c r="AD71" s="3">
        <v>31390</v>
      </c>
      <c r="AE71" s="3">
        <v>30270</v>
      </c>
      <c r="AF71" s="3">
        <v>29050</v>
      </c>
      <c r="AG71" s="3">
        <v>27700</v>
      </c>
      <c r="AH71" s="3">
        <v>27670</v>
      </c>
      <c r="AI71" s="3">
        <v>27380</v>
      </c>
      <c r="AJ71" s="3">
        <v>28240</v>
      </c>
      <c r="AK71" s="3">
        <v>28220</v>
      </c>
      <c r="AL71" s="3">
        <v>28330</v>
      </c>
      <c r="AM71" s="3">
        <v>29020</v>
      </c>
      <c r="AN71" s="3">
        <v>29650</v>
      </c>
      <c r="AO71" s="3">
        <v>29930</v>
      </c>
      <c r="AP71" s="3">
        <v>30520</v>
      </c>
      <c r="AQ71" s="3">
        <v>30830</v>
      </c>
      <c r="AR71" s="3">
        <v>31720</v>
      </c>
      <c r="AS71" s="3">
        <v>33260</v>
      </c>
      <c r="AT71" s="3">
        <v>33950</v>
      </c>
      <c r="AU71" s="3">
        <v>35560</v>
      </c>
      <c r="AV71" s="3">
        <v>36600</v>
      </c>
      <c r="AW71" s="3">
        <v>35720</v>
      </c>
      <c r="AX71" s="3">
        <v>35720</v>
      </c>
      <c r="AY71" s="3">
        <v>35130</v>
      </c>
      <c r="AZ71" s="3">
        <v>35180</v>
      </c>
      <c r="BA71" s="3">
        <v>34640</v>
      </c>
      <c r="BB71" s="3">
        <v>34740</v>
      </c>
      <c r="BC71" s="3">
        <v>34310</v>
      </c>
      <c r="BD71" s="3">
        <v>33410</v>
      </c>
    </row>
    <row r="72" spans="1:56" x14ac:dyDescent="0.2">
      <c r="A72" s="1">
        <v>62</v>
      </c>
      <c r="B72" s="3">
        <v>18680</v>
      </c>
      <c r="C72" s="3">
        <v>19610</v>
      </c>
      <c r="D72" s="3">
        <v>20680</v>
      </c>
      <c r="E72" s="3">
        <v>24370</v>
      </c>
      <c r="F72" s="3">
        <v>24280</v>
      </c>
      <c r="G72" s="3">
        <v>23840</v>
      </c>
      <c r="H72" s="3">
        <v>24510</v>
      </c>
      <c r="I72" s="3">
        <v>24380</v>
      </c>
      <c r="J72" s="3">
        <v>24990</v>
      </c>
      <c r="K72" s="3">
        <v>25530</v>
      </c>
      <c r="L72" s="3">
        <v>26580</v>
      </c>
      <c r="M72" s="3">
        <v>27120</v>
      </c>
      <c r="N72" s="3">
        <v>27890</v>
      </c>
      <c r="O72" s="3">
        <v>28630</v>
      </c>
      <c r="P72" s="3">
        <v>29010</v>
      </c>
      <c r="Q72" s="3">
        <v>30350</v>
      </c>
      <c r="R72" s="3">
        <v>30780</v>
      </c>
      <c r="S72" s="3">
        <v>32210</v>
      </c>
      <c r="T72" s="3">
        <v>32800</v>
      </c>
      <c r="U72" s="3">
        <v>32970</v>
      </c>
      <c r="V72" s="3">
        <v>32230</v>
      </c>
      <c r="W72" s="3">
        <v>31040</v>
      </c>
      <c r="X72" s="3">
        <v>30790</v>
      </c>
      <c r="Y72" s="3">
        <v>31290</v>
      </c>
      <c r="Z72" s="3">
        <v>31530</v>
      </c>
      <c r="AA72" s="3">
        <v>32040</v>
      </c>
      <c r="AB72" s="3">
        <v>32000</v>
      </c>
      <c r="AC72" s="3">
        <v>33100</v>
      </c>
      <c r="AD72" s="3">
        <v>32470</v>
      </c>
      <c r="AE72" s="3">
        <v>31370</v>
      </c>
      <c r="AF72" s="3">
        <v>30250</v>
      </c>
      <c r="AG72" s="3">
        <v>29040</v>
      </c>
      <c r="AH72" s="3">
        <v>27690</v>
      </c>
      <c r="AI72" s="3">
        <v>27660</v>
      </c>
      <c r="AJ72" s="3">
        <v>27380</v>
      </c>
      <c r="AK72" s="3">
        <v>28240</v>
      </c>
      <c r="AL72" s="3">
        <v>28220</v>
      </c>
      <c r="AM72" s="3">
        <v>28340</v>
      </c>
      <c r="AN72" s="3">
        <v>29030</v>
      </c>
      <c r="AO72" s="3">
        <v>29660</v>
      </c>
      <c r="AP72" s="3">
        <v>29940</v>
      </c>
      <c r="AQ72" s="3">
        <v>30520</v>
      </c>
      <c r="AR72" s="3">
        <v>30840</v>
      </c>
      <c r="AS72" s="3">
        <v>31730</v>
      </c>
      <c r="AT72" s="3">
        <v>33270</v>
      </c>
      <c r="AU72" s="3">
        <v>33960</v>
      </c>
      <c r="AV72" s="3">
        <v>35570</v>
      </c>
      <c r="AW72" s="3">
        <v>36610</v>
      </c>
      <c r="AX72" s="3">
        <v>35730</v>
      </c>
      <c r="AY72" s="3">
        <v>35730</v>
      </c>
      <c r="AZ72" s="3">
        <v>35150</v>
      </c>
      <c r="BA72" s="3">
        <v>35190</v>
      </c>
      <c r="BB72" s="3">
        <v>34660</v>
      </c>
      <c r="BC72" s="3">
        <v>34760</v>
      </c>
      <c r="BD72" s="3">
        <v>34330</v>
      </c>
    </row>
    <row r="73" spans="1:56" x14ac:dyDescent="0.2">
      <c r="A73" s="1">
        <v>63</v>
      </c>
      <c r="B73" s="3">
        <v>16840</v>
      </c>
      <c r="C73" s="3">
        <v>18600</v>
      </c>
      <c r="D73" s="3">
        <v>19540</v>
      </c>
      <c r="E73" s="3">
        <v>20580</v>
      </c>
      <c r="F73" s="3">
        <v>24270</v>
      </c>
      <c r="G73" s="3">
        <v>24200</v>
      </c>
      <c r="H73" s="3">
        <v>23820</v>
      </c>
      <c r="I73" s="3">
        <v>24470</v>
      </c>
      <c r="J73" s="3">
        <v>24330</v>
      </c>
      <c r="K73" s="3">
        <v>25020</v>
      </c>
      <c r="L73" s="3">
        <v>25510</v>
      </c>
      <c r="M73" s="3">
        <v>26510</v>
      </c>
      <c r="N73" s="3">
        <v>27050</v>
      </c>
      <c r="O73" s="3">
        <v>27820</v>
      </c>
      <c r="P73" s="3">
        <v>28560</v>
      </c>
      <c r="Q73" s="3">
        <v>28940</v>
      </c>
      <c r="R73" s="3">
        <v>30290</v>
      </c>
      <c r="S73" s="3">
        <v>30720</v>
      </c>
      <c r="T73" s="3">
        <v>32150</v>
      </c>
      <c r="U73" s="3">
        <v>32740</v>
      </c>
      <c r="V73" s="3">
        <v>32910</v>
      </c>
      <c r="W73" s="3">
        <v>32180</v>
      </c>
      <c r="X73" s="3">
        <v>30990</v>
      </c>
      <c r="Y73" s="3">
        <v>30750</v>
      </c>
      <c r="Z73" s="3">
        <v>31250</v>
      </c>
      <c r="AA73" s="3">
        <v>31490</v>
      </c>
      <c r="AB73" s="3">
        <v>32000</v>
      </c>
      <c r="AC73" s="3">
        <v>31960</v>
      </c>
      <c r="AD73" s="3">
        <v>33070</v>
      </c>
      <c r="AE73" s="3">
        <v>32440</v>
      </c>
      <c r="AF73" s="3">
        <v>31350</v>
      </c>
      <c r="AG73" s="3">
        <v>30240</v>
      </c>
      <c r="AH73" s="3">
        <v>29030</v>
      </c>
      <c r="AI73" s="3">
        <v>27690</v>
      </c>
      <c r="AJ73" s="3">
        <v>27660</v>
      </c>
      <c r="AK73" s="3">
        <v>27380</v>
      </c>
      <c r="AL73" s="3">
        <v>28230</v>
      </c>
      <c r="AM73" s="3">
        <v>28220</v>
      </c>
      <c r="AN73" s="3">
        <v>28340</v>
      </c>
      <c r="AO73" s="3">
        <v>29030</v>
      </c>
      <c r="AP73" s="3">
        <v>29660</v>
      </c>
      <c r="AQ73" s="3">
        <v>29940</v>
      </c>
      <c r="AR73" s="3">
        <v>30530</v>
      </c>
      <c r="AS73" s="3">
        <v>30840</v>
      </c>
      <c r="AT73" s="3">
        <v>31740</v>
      </c>
      <c r="AU73" s="3">
        <v>33270</v>
      </c>
      <c r="AV73" s="3">
        <v>33970</v>
      </c>
      <c r="AW73" s="3">
        <v>35570</v>
      </c>
      <c r="AX73" s="3">
        <v>36610</v>
      </c>
      <c r="AY73" s="3">
        <v>35740</v>
      </c>
      <c r="AZ73" s="3">
        <v>35740</v>
      </c>
      <c r="BA73" s="3">
        <v>35160</v>
      </c>
      <c r="BB73" s="3">
        <v>35210</v>
      </c>
      <c r="BC73" s="3">
        <v>34670</v>
      </c>
      <c r="BD73" s="3">
        <v>34770</v>
      </c>
    </row>
    <row r="74" spans="1:56" x14ac:dyDescent="0.2">
      <c r="A74" s="1">
        <v>64</v>
      </c>
      <c r="B74" s="3">
        <v>18730</v>
      </c>
      <c r="C74" s="3">
        <v>16750</v>
      </c>
      <c r="D74" s="3">
        <v>18530</v>
      </c>
      <c r="E74" s="3">
        <v>19490</v>
      </c>
      <c r="F74" s="3">
        <v>20520</v>
      </c>
      <c r="G74" s="3">
        <v>24170</v>
      </c>
      <c r="H74" s="3">
        <v>24150</v>
      </c>
      <c r="I74" s="3">
        <v>23800</v>
      </c>
      <c r="J74" s="3">
        <v>24420</v>
      </c>
      <c r="K74" s="3">
        <v>24340</v>
      </c>
      <c r="L74" s="3">
        <v>24990</v>
      </c>
      <c r="M74" s="3">
        <v>25440</v>
      </c>
      <c r="N74" s="3">
        <v>26430</v>
      </c>
      <c r="O74" s="3">
        <v>26970</v>
      </c>
      <c r="P74" s="3">
        <v>27740</v>
      </c>
      <c r="Q74" s="3">
        <v>28480</v>
      </c>
      <c r="R74" s="3">
        <v>28870</v>
      </c>
      <c r="S74" s="3">
        <v>30210</v>
      </c>
      <c r="T74" s="3">
        <v>30640</v>
      </c>
      <c r="U74" s="3">
        <v>32070</v>
      </c>
      <c r="V74" s="3">
        <v>32670</v>
      </c>
      <c r="W74" s="3">
        <v>32840</v>
      </c>
      <c r="X74" s="3">
        <v>32120</v>
      </c>
      <c r="Y74" s="3">
        <v>30940</v>
      </c>
      <c r="Z74" s="3">
        <v>30700</v>
      </c>
      <c r="AA74" s="3">
        <v>31200</v>
      </c>
      <c r="AB74" s="3">
        <v>31450</v>
      </c>
      <c r="AC74" s="3">
        <v>31950</v>
      </c>
      <c r="AD74" s="3">
        <v>31920</v>
      </c>
      <c r="AE74" s="3">
        <v>33030</v>
      </c>
      <c r="AF74" s="3">
        <v>32400</v>
      </c>
      <c r="AG74" s="3">
        <v>31320</v>
      </c>
      <c r="AH74" s="3">
        <v>30210</v>
      </c>
      <c r="AI74" s="3">
        <v>29010</v>
      </c>
      <c r="AJ74" s="3">
        <v>27670</v>
      </c>
      <c r="AK74" s="3">
        <v>27650</v>
      </c>
      <c r="AL74" s="3">
        <v>27370</v>
      </c>
      <c r="AM74" s="3">
        <v>28230</v>
      </c>
      <c r="AN74" s="3">
        <v>28210</v>
      </c>
      <c r="AO74" s="3">
        <v>28340</v>
      </c>
      <c r="AP74" s="3">
        <v>29030</v>
      </c>
      <c r="AQ74" s="3">
        <v>29660</v>
      </c>
      <c r="AR74" s="3">
        <v>29940</v>
      </c>
      <c r="AS74" s="3">
        <v>30530</v>
      </c>
      <c r="AT74" s="3">
        <v>30840</v>
      </c>
      <c r="AU74" s="3">
        <v>31740</v>
      </c>
      <c r="AV74" s="3">
        <v>33270</v>
      </c>
      <c r="AW74" s="3">
        <v>33970</v>
      </c>
      <c r="AX74" s="3">
        <v>35570</v>
      </c>
      <c r="AY74" s="3">
        <v>36610</v>
      </c>
      <c r="AZ74" s="3">
        <v>35740</v>
      </c>
      <c r="BA74" s="3">
        <v>35740</v>
      </c>
      <c r="BB74" s="3">
        <v>35170</v>
      </c>
      <c r="BC74" s="3">
        <v>35210</v>
      </c>
      <c r="BD74" s="3">
        <v>34680</v>
      </c>
    </row>
    <row r="75" spans="1:56" x14ac:dyDescent="0.2">
      <c r="A75" s="1">
        <v>65</v>
      </c>
      <c r="B75" s="3">
        <v>18400</v>
      </c>
      <c r="C75" s="3">
        <v>18630</v>
      </c>
      <c r="D75" s="3">
        <v>16670</v>
      </c>
      <c r="E75" s="3">
        <v>18440</v>
      </c>
      <c r="F75" s="3">
        <v>19440</v>
      </c>
      <c r="G75" s="3">
        <v>20450</v>
      </c>
      <c r="H75" s="3">
        <v>24040</v>
      </c>
      <c r="I75" s="3">
        <v>24050</v>
      </c>
      <c r="J75" s="3">
        <v>23740</v>
      </c>
      <c r="K75" s="3">
        <v>24400</v>
      </c>
      <c r="L75" s="3">
        <v>24290</v>
      </c>
      <c r="M75" s="3">
        <v>24900</v>
      </c>
      <c r="N75" s="3">
        <v>25350</v>
      </c>
      <c r="O75" s="3">
        <v>26340</v>
      </c>
      <c r="P75" s="3">
        <v>26880</v>
      </c>
      <c r="Q75" s="3">
        <v>27650</v>
      </c>
      <c r="R75" s="3">
        <v>28390</v>
      </c>
      <c r="S75" s="3">
        <v>28780</v>
      </c>
      <c r="T75" s="3">
        <v>30120</v>
      </c>
      <c r="U75" s="3">
        <v>30560</v>
      </c>
      <c r="V75" s="3">
        <v>31980</v>
      </c>
      <c r="W75" s="3">
        <v>32580</v>
      </c>
      <c r="X75" s="3">
        <v>32760</v>
      </c>
      <c r="Y75" s="3">
        <v>32040</v>
      </c>
      <c r="Z75" s="3">
        <v>30870</v>
      </c>
      <c r="AA75" s="3">
        <v>30640</v>
      </c>
      <c r="AB75" s="3">
        <v>31140</v>
      </c>
      <c r="AC75" s="3">
        <v>31390</v>
      </c>
      <c r="AD75" s="3">
        <v>31900</v>
      </c>
      <c r="AE75" s="3">
        <v>31870</v>
      </c>
      <c r="AF75" s="3">
        <v>32970</v>
      </c>
      <c r="AG75" s="3">
        <v>32360</v>
      </c>
      <c r="AH75" s="3">
        <v>31280</v>
      </c>
      <c r="AI75" s="3">
        <v>30180</v>
      </c>
      <c r="AJ75" s="3">
        <v>28980</v>
      </c>
      <c r="AK75" s="3">
        <v>27650</v>
      </c>
      <c r="AL75" s="3">
        <v>27630</v>
      </c>
      <c r="AM75" s="3">
        <v>27350</v>
      </c>
      <c r="AN75" s="3">
        <v>28210</v>
      </c>
      <c r="AO75" s="3">
        <v>28200</v>
      </c>
      <c r="AP75" s="3">
        <v>28330</v>
      </c>
      <c r="AQ75" s="3">
        <v>29020</v>
      </c>
      <c r="AR75" s="3">
        <v>29640</v>
      </c>
      <c r="AS75" s="3">
        <v>29930</v>
      </c>
      <c r="AT75" s="3">
        <v>30520</v>
      </c>
      <c r="AU75" s="3">
        <v>30840</v>
      </c>
      <c r="AV75" s="3">
        <v>31730</v>
      </c>
      <c r="AW75" s="3">
        <v>33260</v>
      </c>
      <c r="AX75" s="3">
        <v>33960</v>
      </c>
      <c r="AY75" s="3">
        <v>35560</v>
      </c>
      <c r="AZ75" s="3">
        <v>36600</v>
      </c>
      <c r="BA75" s="3">
        <v>35730</v>
      </c>
      <c r="BB75" s="3">
        <v>35740</v>
      </c>
      <c r="BC75" s="3">
        <v>35160</v>
      </c>
      <c r="BD75" s="3">
        <v>35220</v>
      </c>
    </row>
    <row r="76" spans="1:56" x14ac:dyDescent="0.2">
      <c r="A76" s="1">
        <v>66</v>
      </c>
      <c r="B76" s="3">
        <v>16900</v>
      </c>
      <c r="C76" s="3">
        <v>18240</v>
      </c>
      <c r="D76" s="3">
        <v>18470</v>
      </c>
      <c r="E76" s="3">
        <v>16570</v>
      </c>
      <c r="F76" s="3">
        <v>18340</v>
      </c>
      <c r="G76" s="3">
        <v>19330</v>
      </c>
      <c r="H76" s="3">
        <v>20350</v>
      </c>
      <c r="I76" s="3">
        <v>23940</v>
      </c>
      <c r="J76" s="3">
        <v>23970</v>
      </c>
      <c r="K76" s="3">
        <v>23700</v>
      </c>
      <c r="L76" s="3">
        <v>24330</v>
      </c>
      <c r="M76" s="3">
        <v>24180</v>
      </c>
      <c r="N76" s="3">
        <v>24790</v>
      </c>
      <c r="O76" s="3">
        <v>25240</v>
      </c>
      <c r="P76" s="3">
        <v>26230</v>
      </c>
      <c r="Q76" s="3">
        <v>26780</v>
      </c>
      <c r="R76" s="3">
        <v>27550</v>
      </c>
      <c r="S76" s="3">
        <v>28290</v>
      </c>
      <c r="T76" s="3">
        <v>28680</v>
      </c>
      <c r="U76" s="3">
        <v>30020</v>
      </c>
      <c r="V76" s="3">
        <v>30460</v>
      </c>
      <c r="W76" s="3">
        <v>31880</v>
      </c>
      <c r="X76" s="3">
        <v>32480</v>
      </c>
      <c r="Y76" s="3">
        <v>32660</v>
      </c>
      <c r="Z76" s="3">
        <v>31950</v>
      </c>
      <c r="AA76" s="3">
        <v>30790</v>
      </c>
      <c r="AB76" s="3">
        <v>30560</v>
      </c>
      <c r="AC76" s="3">
        <v>31070</v>
      </c>
      <c r="AD76" s="3">
        <v>31320</v>
      </c>
      <c r="AE76" s="3">
        <v>31830</v>
      </c>
      <c r="AF76" s="3">
        <v>31800</v>
      </c>
      <c r="AG76" s="3">
        <v>32910</v>
      </c>
      <c r="AH76" s="3">
        <v>32300</v>
      </c>
      <c r="AI76" s="3">
        <v>31220</v>
      </c>
      <c r="AJ76" s="3">
        <v>30130</v>
      </c>
      <c r="AK76" s="3">
        <v>28940</v>
      </c>
      <c r="AL76" s="3">
        <v>27620</v>
      </c>
      <c r="AM76" s="3">
        <v>27600</v>
      </c>
      <c r="AN76" s="3">
        <v>27330</v>
      </c>
      <c r="AO76" s="3">
        <v>28180</v>
      </c>
      <c r="AP76" s="3">
        <v>28180</v>
      </c>
      <c r="AQ76" s="3">
        <v>28300</v>
      </c>
      <c r="AR76" s="3">
        <v>28990</v>
      </c>
      <c r="AS76" s="3">
        <v>29620</v>
      </c>
      <c r="AT76" s="3">
        <v>29910</v>
      </c>
      <c r="AU76" s="3">
        <v>30500</v>
      </c>
      <c r="AV76" s="3">
        <v>30820</v>
      </c>
      <c r="AW76" s="3">
        <v>31710</v>
      </c>
      <c r="AX76" s="3">
        <v>33240</v>
      </c>
      <c r="AY76" s="3">
        <v>33940</v>
      </c>
      <c r="AZ76" s="3">
        <v>35540</v>
      </c>
      <c r="BA76" s="3">
        <v>36580</v>
      </c>
      <c r="BB76" s="3">
        <v>35720</v>
      </c>
      <c r="BC76" s="3">
        <v>35720</v>
      </c>
      <c r="BD76" s="3">
        <v>35150</v>
      </c>
    </row>
    <row r="77" spans="1:56" x14ac:dyDescent="0.2">
      <c r="A77" s="1">
        <v>67</v>
      </c>
      <c r="B77" s="3">
        <v>15620</v>
      </c>
      <c r="C77" s="3">
        <v>16740</v>
      </c>
      <c r="D77" s="3">
        <v>18050</v>
      </c>
      <c r="E77" s="3">
        <v>18370</v>
      </c>
      <c r="F77" s="3">
        <v>16430</v>
      </c>
      <c r="G77" s="3">
        <v>18210</v>
      </c>
      <c r="H77" s="3">
        <v>19190</v>
      </c>
      <c r="I77" s="3">
        <v>20190</v>
      </c>
      <c r="J77" s="3">
        <v>23830</v>
      </c>
      <c r="K77" s="3">
        <v>23890</v>
      </c>
      <c r="L77" s="3">
        <v>23600</v>
      </c>
      <c r="M77" s="3">
        <v>24190</v>
      </c>
      <c r="N77" s="3">
        <v>24060</v>
      </c>
      <c r="O77" s="3">
        <v>24670</v>
      </c>
      <c r="P77" s="3">
        <v>25120</v>
      </c>
      <c r="Q77" s="3">
        <v>26110</v>
      </c>
      <c r="R77" s="3">
        <v>26660</v>
      </c>
      <c r="S77" s="3">
        <v>27420</v>
      </c>
      <c r="T77" s="3">
        <v>28170</v>
      </c>
      <c r="U77" s="3">
        <v>28560</v>
      </c>
      <c r="V77" s="3">
        <v>29900</v>
      </c>
      <c r="W77" s="3">
        <v>30340</v>
      </c>
      <c r="X77" s="3">
        <v>31760</v>
      </c>
      <c r="Y77" s="3">
        <v>32360</v>
      </c>
      <c r="Z77" s="3">
        <v>32550</v>
      </c>
      <c r="AA77" s="3">
        <v>31840</v>
      </c>
      <c r="AB77" s="3">
        <v>30690</v>
      </c>
      <c r="AC77" s="3">
        <v>30470</v>
      </c>
      <c r="AD77" s="3">
        <v>30980</v>
      </c>
      <c r="AE77" s="3">
        <v>31230</v>
      </c>
      <c r="AF77" s="3">
        <v>31740</v>
      </c>
      <c r="AG77" s="3">
        <v>31720</v>
      </c>
      <c r="AH77" s="3">
        <v>32820</v>
      </c>
      <c r="AI77" s="3">
        <v>32220</v>
      </c>
      <c r="AJ77" s="3">
        <v>31150</v>
      </c>
      <c r="AK77" s="3">
        <v>30070</v>
      </c>
      <c r="AL77" s="3">
        <v>28880</v>
      </c>
      <c r="AM77" s="3">
        <v>27570</v>
      </c>
      <c r="AN77" s="3">
        <v>27550</v>
      </c>
      <c r="AO77" s="3">
        <v>27290</v>
      </c>
      <c r="AP77" s="3">
        <v>28140</v>
      </c>
      <c r="AQ77" s="3">
        <v>28140</v>
      </c>
      <c r="AR77" s="3">
        <v>28270</v>
      </c>
      <c r="AS77" s="3">
        <v>28960</v>
      </c>
      <c r="AT77" s="3">
        <v>29590</v>
      </c>
      <c r="AU77" s="3">
        <v>29870</v>
      </c>
      <c r="AV77" s="3">
        <v>30460</v>
      </c>
      <c r="AW77" s="3">
        <v>30790</v>
      </c>
      <c r="AX77" s="3">
        <v>31680</v>
      </c>
      <c r="AY77" s="3">
        <v>33210</v>
      </c>
      <c r="AZ77" s="3">
        <v>33910</v>
      </c>
      <c r="BA77" s="3">
        <v>35510</v>
      </c>
      <c r="BB77" s="3">
        <v>36550</v>
      </c>
      <c r="BC77" s="3">
        <v>35690</v>
      </c>
      <c r="BD77" s="3">
        <v>35690</v>
      </c>
    </row>
    <row r="78" spans="1:56" x14ac:dyDescent="0.2">
      <c r="A78" s="1">
        <v>68</v>
      </c>
      <c r="B78" s="3">
        <v>14760</v>
      </c>
      <c r="C78" s="3">
        <v>15410</v>
      </c>
      <c r="D78" s="3">
        <v>16570</v>
      </c>
      <c r="E78" s="3">
        <v>17860</v>
      </c>
      <c r="F78" s="3">
        <v>18190</v>
      </c>
      <c r="G78" s="3">
        <v>16290</v>
      </c>
      <c r="H78" s="3">
        <v>18050</v>
      </c>
      <c r="I78" s="3">
        <v>19110</v>
      </c>
      <c r="J78" s="3">
        <v>20080</v>
      </c>
      <c r="K78" s="3">
        <v>23710</v>
      </c>
      <c r="L78" s="3">
        <v>23760</v>
      </c>
      <c r="M78" s="3">
        <v>23440</v>
      </c>
      <c r="N78" s="3">
        <v>24040</v>
      </c>
      <c r="O78" s="3">
        <v>23910</v>
      </c>
      <c r="P78" s="3">
        <v>24520</v>
      </c>
      <c r="Q78" s="3">
        <v>24980</v>
      </c>
      <c r="R78" s="3">
        <v>25960</v>
      </c>
      <c r="S78" s="3">
        <v>26510</v>
      </c>
      <c r="T78" s="3">
        <v>27280</v>
      </c>
      <c r="U78" s="3">
        <v>28030</v>
      </c>
      <c r="V78" s="3">
        <v>28420</v>
      </c>
      <c r="W78" s="3">
        <v>29760</v>
      </c>
      <c r="X78" s="3">
        <v>30200</v>
      </c>
      <c r="Y78" s="3">
        <v>31620</v>
      </c>
      <c r="Z78" s="3">
        <v>32220</v>
      </c>
      <c r="AA78" s="3">
        <v>32410</v>
      </c>
      <c r="AB78" s="3">
        <v>31720</v>
      </c>
      <c r="AC78" s="3">
        <v>30580</v>
      </c>
      <c r="AD78" s="3">
        <v>30360</v>
      </c>
      <c r="AE78" s="3">
        <v>30870</v>
      </c>
      <c r="AF78" s="3">
        <v>31120</v>
      </c>
      <c r="AG78" s="3">
        <v>31640</v>
      </c>
      <c r="AH78" s="3">
        <v>31620</v>
      </c>
      <c r="AI78" s="3">
        <v>32720</v>
      </c>
      <c r="AJ78" s="3">
        <v>32120</v>
      </c>
      <c r="AK78" s="3">
        <v>31070</v>
      </c>
      <c r="AL78" s="3">
        <v>29990</v>
      </c>
      <c r="AM78" s="3">
        <v>28810</v>
      </c>
      <c r="AN78" s="3">
        <v>27510</v>
      </c>
      <c r="AO78" s="3">
        <v>27500</v>
      </c>
      <c r="AP78" s="3">
        <v>27230</v>
      </c>
      <c r="AQ78" s="3">
        <v>28090</v>
      </c>
      <c r="AR78" s="3">
        <v>28080</v>
      </c>
      <c r="AS78" s="3">
        <v>28210</v>
      </c>
      <c r="AT78" s="3">
        <v>28910</v>
      </c>
      <c r="AU78" s="3">
        <v>29540</v>
      </c>
      <c r="AV78" s="3">
        <v>29830</v>
      </c>
      <c r="AW78" s="3">
        <v>30420</v>
      </c>
      <c r="AX78" s="3">
        <v>30740</v>
      </c>
      <c r="AY78" s="3">
        <v>31630</v>
      </c>
      <c r="AZ78" s="3">
        <v>33160</v>
      </c>
      <c r="BA78" s="3">
        <v>33860</v>
      </c>
      <c r="BB78" s="3">
        <v>35460</v>
      </c>
      <c r="BC78" s="3">
        <v>36500</v>
      </c>
      <c r="BD78" s="3">
        <v>35640</v>
      </c>
    </row>
    <row r="79" spans="1:56" x14ac:dyDescent="0.2">
      <c r="A79" s="1">
        <v>69</v>
      </c>
      <c r="B79" s="3">
        <v>14230</v>
      </c>
      <c r="C79" s="3">
        <v>14600</v>
      </c>
      <c r="D79" s="3">
        <v>15220</v>
      </c>
      <c r="E79" s="3">
        <v>16380</v>
      </c>
      <c r="F79" s="3">
        <v>17680</v>
      </c>
      <c r="G79" s="3">
        <v>18000</v>
      </c>
      <c r="H79" s="3">
        <v>16110</v>
      </c>
      <c r="I79" s="3">
        <v>17900</v>
      </c>
      <c r="J79" s="3">
        <v>18970</v>
      </c>
      <c r="K79" s="3">
        <v>19960</v>
      </c>
      <c r="L79" s="3">
        <v>23550</v>
      </c>
      <c r="M79" s="3">
        <v>23570</v>
      </c>
      <c r="N79" s="3">
        <v>23270</v>
      </c>
      <c r="O79" s="3">
        <v>23870</v>
      </c>
      <c r="P79" s="3">
        <v>23750</v>
      </c>
      <c r="Q79" s="3">
        <v>24360</v>
      </c>
      <c r="R79" s="3">
        <v>24810</v>
      </c>
      <c r="S79" s="3">
        <v>25800</v>
      </c>
      <c r="T79" s="3">
        <v>26350</v>
      </c>
      <c r="U79" s="3">
        <v>27120</v>
      </c>
      <c r="V79" s="3">
        <v>27870</v>
      </c>
      <c r="W79" s="3">
        <v>28270</v>
      </c>
      <c r="X79" s="3">
        <v>29600</v>
      </c>
      <c r="Y79" s="3">
        <v>30040</v>
      </c>
      <c r="Z79" s="3">
        <v>31460</v>
      </c>
      <c r="AA79" s="3">
        <v>32060</v>
      </c>
      <c r="AB79" s="3">
        <v>32260</v>
      </c>
      <c r="AC79" s="3">
        <v>31570</v>
      </c>
      <c r="AD79" s="3">
        <v>30440</v>
      </c>
      <c r="AE79" s="3">
        <v>30230</v>
      </c>
      <c r="AF79" s="3">
        <v>30740</v>
      </c>
      <c r="AG79" s="3">
        <v>31000</v>
      </c>
      <c r="AH79" s="3">
        <v>31520</v>
      </c>
      <c r="AI79" s="3">
        <v>31500</v>
      </c>
      <c r="AJ79" s="3">
        <v>32610</v>
      </c>
      <c r="AK79" s="3">
        <v>32010</v>
      </c>
      <c r="AL79" s="3">
        <v>30970</v>
      </c>
      <c r="AM79" s="3">
        <v>29900</v>
      </c>
      <c r="AN79" s="3">
        <v>28730</v>
      </c>
      <c r="AO79" s="3">
        <v>27430</v>
      </c>
      <c r="AP79" s="3">
        <v>27420</v>
      </c>
      <c r="AQ79" s="3">
        <v>27160</v>
      </c>
      <c r="AR79" s="3">
        <v>28020</v>
      </c>
      <c r="AS79" s="3">
        <v>28020</v>
      </c>
      <c r="AT79" s="3">
        <v>28150</v>
      </c>
      <c r="AU79" s="3">
        <v>28840</v>
      </c>
      <c r="AV79" s="3">
        <v>29470</v>
      </c>
      <c r="AW79" s="3">
        <v>29760</v>
      </c>
      <c r="AX79" s="3">
        <v>30360</v>
      </c>
      <c r="AY79" s="3">
        <v>30680</v>
      </c>
      <c r="AZ79" s="3">
        <v>31570</v>
      </c>
      <c r="BA79" s="3">
        <v>33100</v>
      </c>
      <c r="BB79" s="3">
        <v>33800</v>
      </c>
      <c r="BC79" s="3">
        <v>35400</v>
      </c>
      <c r="BD79" s="3">
        <v>36440</v>
      </c>
    </row>
    <row r="80" spans="1:56" x14ac:dyDescent="0.2">
      <c r="A80" s="1">
        <v>70</v>
      </c>
      <c r="B80" s="3">
        <v>13460</v>
      </c>
      <c r="C80" s="3">
        <v>13990</v>
      </c>
      <c r="D80" s="3">
        <v>14400</v>
      </c>
      <c r="E80" s="3">
        <v>15000</v>
      </c>
      <c r="F80" s="3">
        <v>16170</v>
      </c>
      <c r="G80" s="3">
        <v>17450</v>
      </c>
      <c r="H80" s="3">
        <v>17790</v>
      </c>
      <c r="I80" s="3">
        <v>15930</v>
      </c>
      <c r="J80" s="3">
        <v>17750</v>
      </c>
      <c r="K80" s="3">
        <v>18840</v>
      </c>
      <c r="L80" s="3">
        <v>19810</v>
      </c>
      <c r="M80" s="3">
        <v>23340</v>
      </c>
      <c r="N80" s="3">
        <v>23380</v>
      </c>
      <c r="O80" s="3">
        <v>23080</v>
      </c>
      <c r="P80" s="3">
        <v>23680</v>
      </c>
      <c r="Q80" s="3">
        <v>23570</v>
      </c>
      <c r="R80" s="3">
        <v>24180</v>
      </c>
      <c r="S80" s="3">
        <v>24640</v>
      </c>
      <c r="T80" s="3">
        <v>25620</v>
      </c>
      <c r="U80" s="3">
        <v>26180</v>
      </c>
      <c r="V80" s="3">
        <v>26950</v>
      </c>
      <c r="W80" s="3">
        <v>27690</v>
      </c>
      <c r="X80" s="3">
        <v>28090</v>
      </c>
      <c r="Y80" s="3">
        <v>29420</v>
      </c>
      <c r="Z80" s="3">
        <v>29870</v>
      </c>
      <c r="AA80" s="3">
        <v>31280</v>
      </c>
      <c r="AB80" s="3">
        <v>31880</v>
      </c>
      <c r="AC80" s="3">
        <v>32080</v>
      </c>
      <c r="AD80" s="3">
        <v>31410</v>
      </c>
      <c r="AE80" s="3">
        <v>30290</v>
      </c>
      <c r="AF80" s="3">
        <v>30090</v>
      </c>
      <c r="AG80" s="3">
        <v>30600</v>
      </c>
      <c r="AH80" s="3">
        <v>30860</v>
      </c>
      <c r="AI80" s="3">
        <v>31380</v>
      </c>
      <c r="AJ80" s="3">
        <v>31370</v>
      </c>
      <c r="AK80" s="3">
        <v>32470</v>
      </c>
      <c r="AL80" s="3">
        <v>31890</v>
      </c>
      <c r="AM80" s="3">
        <v>30850</v>
      </c>
      <c r="AN80" s="3">
        <v>29790</v>
      </c>
      <c r="AO80" s="3">
        <v>28630</v>
      </c>
      <c r="AP80" s="3">
        <v>27340</v>
      </c>
      <c r="AQ80" s="3">
        <v>27340</v>
      </c>
      <c r="AR80" s="3">
        <v>27080</v>
      </c>
      <c r="AS80" s="3">
        <v>27930</v>
      </c>
      <c r="AT80" s="3">
        <v>27940</v>
      </c>
      <c r="AU80" s="3">
        <v>28070</v>
      </c>
      <c r="AV80" s="3">
        <v>28770</v>
      </c>
      <c r="AW80" s="3">
        <v>29400</v>
      </c>
      <c r="AX80" s="3">
        <v>29690</v>
      </c>
      <c r="AY80" s="3">
        <v>30280</v>
      </c>
      <c r="AZ80" s="3">
        <v>30610</v>
      </c>
      <c r="BA80" s="3">
        <v>31500</v>
      </c>
      <c r="BB80" s="3">
        <v>33030</v>
      </c>
      <c r="BC80" s="3">
        <v>33730</v>
      </c>
      <c r="BD80" s="3">
        <v>35320</v>
      </c>
    </row>
    <row r="81" spans="1:56" x14ac:dyDescent="0.2">
      <c r="A81" s="1">
        <v>71</v>
      </c>
      <c r="B81" s="3">
        <v>12650</v>
      </c>
      <c r="C81" s="3">
        <v>13250</v>
      </c>
      <c r="D81" s="3">
        <v>13770</v>
      </c>
      <c r="E81" s="3">
        <v>14190</v>
      </c>
      <c r="F81" s="3">
        <v>14780</v>
      </c>
      <c r="G81" s="3">
        <v>15900</v>
      </c>
      <c r="H81" s="3">
        <v>17210</v>
      </c>
      <c r="I81" s="3">
        <v>17570</v>
      </c>
      <c r="J81" s="3">
        <v>15760</v>
      </c>
      <c r="K81" s="3">
        <v>17600</v>
      </c>
      <c r="L81" s="3">
        <v>18670</v>
      </c>
      <c r="M81" s="3">
        <v>19620</v>
      </c>
      <c r="N81" s="3">
        <v>23120</v>
      </c>
      <c r="O81" s="3">
        <v>23160</v>
      </c>
      <c r="P81" s="3">
        <v>22880</v>
      </c>
      <c r="Q81" s="3">
        <v>23480</v>
      </c>
      <c r="R81" s="3">
        <v>23370</v>
      </c>
      <c r="S81" s="3">
        <v>23990</v>
      </c>
      <c r="T81" s="3">
        <v>24440</v>
      </c>
      <c r="U81" s="3">
        <v>25430</v>
      </c>
      <c r="V81" s="3">
        <v>25980</v>
      </c>
      <c r="W81" s="3">
        <v>26750</v>
      </c>
      <c r="X81" s="3">
        <v>27500</v>
      </c>
      <c r="Y81" s="3">
        <v>27900</v>
      </c>
      <c r="Z81" s="3">
        <v>29220</v>
      </c>
      <c r="AA81" s="3">
        <v>29680</v>
      </c>
      <c r="AB81" s="3">
        <v>31080</v>
      </c>
      <c r="AC81" s="3">
        <v>31690</v>
      </c>
      <c r="AD81" s="3">
        <v>31900</v>
      </c>
      <c r="AE81" s="3">
        <v>31230</v>
      </c>
      <c r="AF81" s="3">
        <v>30130</v>
      </c>
      <c r="AG81" s="3">
        <v>29930</v>
      </c>
      <c r="AH81" s="3">
        <v>30440</v>
      </c>
      <c r="AI81" s="3">
        <v>30710</v>
      </c>
      <c r="AJ81" s="3">
        <v>31230</v>
      </c>
      <c r="AK81" s="3">
        <v>31230</v>
      </c>
      <c r="AL81" s="3">
        <v>32330</v>
      </c>
      <c r="AM81" s="3">
        <v>31750</v>
      </c>
      <c r="AN81" s="3">
        <v>30720</v>
      </c>
      <c r="AO81" s="3">
        <v>29670</v>
      </c>
      <c r="AP81" s="3">
        <v>28520</v>
      </c>
      <c r="AQ81" s="3">
        <v>27240</v>
      </c>
      <c r="AR81" s="3">
        <v>27240</v>
      </c>
      <c r="AS81" s="3">
        <v>26990</v>
      </c>
      <c r="AT81" s="3">
        <v>27840</v>
      </c>
      <c r="AU81" s="3">
        <v>27850</v>
      </c>
      <c r="AV81" s="3">
        <v>27990</v>
      </c>
      <c r="AW81" s="3">
        <v>28680</v>
      </c>
      <c r="AX81" s="3">
        <v>29310</v>
      </c>
      <c r="AY81" s="3">
        <v>29610</v>
      </c>
      <c r="AZ81" s="3">
        <v>30200</v>
      </c>
      <c r="BA81" s="3">
        <v>30530</v>
      </c>
      <c r="BB81" s="3">
        <v>31420</v>
      </c>
      <c r="BC81" s="3">
        <v>32940</v>
      </c>
      <c r="BD81" s="3">
        <v>33650</v>
      </c>
    </row>
    <row r="82" spans="1:56" x14ac:dyDescent="0.2">
      <c r="A82" s="1">
        <v>72</v>
      </c>
      <c r="B82" s="3">
        <v>12410</v>
      </c>
      <c r="C82" s="3">
        <v>12440</v>
      </c>
      <c r="D82" s="3">
        <v>13040</v>
      </c>
      <c r="E82" s="3">
        <v>13540</v>
      </c>
      <c r="F82" s="3">
        <v>14000</v>
      </c>
      <c r="G82" s="3">
        <v>14570</v>
      </c>
      <c r="H82" s="3">
        <v>15680</v>
      </c>
      <c r="I82" s="3">
        <v>16960</v>
      </c>
      <c r="J82" s="3">
        <v>17350</v>
      </c>
      <c r="K82" s="3">
        <v>15620</v>
      </c>
      <c r="L82" s="3">
        <v>17430</v>
      </c>
      <c r="M82" s="3">
        <v>18470</v>
      </c>
      <c r="N82" s="3">
        <v>19410</v>
      </c>
      <c r="O82" s="3">
        <v>22880</v>
      </c>
      <c r="P82" s="3">
        <v>22930</v>
      </c>
      <c r="Q82" s="3">
        <v>22660</v>
      </c>
      <c r="R82" s="3">
        <v>23260</v>
      </c>
      <c r="S82" s="3">
        <v>23160</v>
      </c>
      <c r="T82" s="3">
        <v>23770</v>
      </c>
      <c r="U82" s="3">
        <v>24230</v>
      </c>
      <c r="V82" s="3">
        <v>25210</v>
      </c>
      <c r="W82" s="3">
        <v>25770</v>
      </c>
      <c r="X82" s="3">
        <v>26540</v>
      </c>
      <c r="Y82" s="3">
        <v>27290</v>
      </c>
      <c r="Z82" s="3">
        <v>27700</v>
      </c>
      <c r="AA82" s="3">
        <v>29010</v>
      </c>
      <c r="AB82" s="3">
        <v>29470</v>
      </c>
      <c r="AC82" s="3">
        <v>30870</v>
      </c>
      <c r="AD82" s="3">
        <v>31480</v>
      </c>
      <c r="AE82" s="3">
        <v>31690</v>
      </c>
      <c r="AF82" s="3">
        <v>31040</v>
      </c>
      <c r="AG82" s="3">
        <v>29950</v>
      </c>
      <c r="AH82" s="3">
        <v>29760</v>
      </c>
      <c r="AI82" s="3">
        <v>30270</v>
      </c>
      <c r="AJ82" s="3">
        <v>30540</v>
      </c>
      <c r="AK82" s="3">
        <v>31060</v>
      </c>
      <c r="AL82" s="3">
        <v>31070</v>
      </c>
      <c r="AM82" s="3">
        <v>32170</v>
      </c>
      <c r="AN82" s="3">
        <v>31600</v>
      </c>
      <c r="AO82" s="3">
        <v>30580</v>
      </c>
      <c r="AP82" s="3">
        <v>29540</v>
      </c>
      <c r="AQ82" s="3">
        <v>28400</v>
      </c>
      <c r="AR82" s="3">
        <v>27130</v>
      </c>
      <c r="AS82" s="3">
        <v>27130</v>
      </c>
      <c r="AT82" s="3">
        <v>26880</v>
      </c>
      <c r="AU82" s="3">
        <v>27740</v>
      </c>
      <c r="AV82" s="3">
        <v>27750</v>
      </c>
      <c r="AW82" s="3">
        <v>27890</v>
      </c>
      <c r="AX82" s="3">
        <v>28580</v>
      </c>
      <c r="AY82" s="3">
        <v>29220</v>
      </c>
      <c r="AZ82" s="3">
        <v>29510</v>
      </c>
      <c r="BA82" s="3">
        <v>30110</v>
      </c>
      <c r="BB82" s="3">
        <v>30440</v>
      </c>
      <c r="BC82" s="3">
        <v>31330</v>
      </c>
      <c r="BD82" s="3">
        <v>32850</v>
      </c>
    </row>
    <row r="83" spans="1:56" x14ac:dyDescent="0.2">
      <c r="A83" s="1">
        <v>73</v>
      </c>
      <c r="B83" s="3">
        <v>12300</v>
      </c>
      <c r="C83" s="3">
        <v>12150</v>
      </c>
      <c r="D83" s="3">
        <v>12180</v>
      </c>
      <c r="E83" s="3">
        <v>12780</v>
      </c>
      <c r="F83" s="3">
        <v>13280</v>
      </c>
      <c r="G83" s="3">
        <v>13760</v>
      </c>
      <c r="H83" s="3">
        <v>14350</v>
      </c>
      <c r="I83" s="3">
        <v>15490</v>
      </c>
      <c r="J83" s="3">
        <v>16750</v>
      </c>
      <c r="K83" s="3">
        <v>17160</v>
      </c>
      <c r="L83" s="3">
        <v>15440</v>
      </c>
      <c r="M83" s="3">
        <v>17210</v>
      </c>
      <c r="N83" s="3">
        <v>18250</v>
      </c>
      <c r="O83" s="3">
        <v>19190</v>
      </c>
      <c r="P83" s="3">
        <v>22620</v>
      </c>
      <c r="Q83" s="3">
        <v>22680</v>
      </c>
      <c r="R83" s="3">
        <v>22420</v>
      </c>
      <c r="S83" s="3">
        <v>23020</v>
      </c>
      <c r="T83" s="3">
        <v>22930</v>
      </c>
      <c r="U83" s="3">
        <v>23540</v>
      </c>
      <c r="V83" s="3">
        <v>24000</v>
      </c>
      <c r="W83" s="3">
        <v>24980</v>
      </c>
      <c r="X83" s="3">
        <v>25540</v>
      </c>
      <c r="Y83" s="3">
        <v>26310</v>
      </c>
      <c r="Z83" s="3">
        <v>27060</v>
      </c>
      <c r="AA83" s="3">
        <v>27470</v>
      </c>
      <c r="AB83" s="3">
        <v>28780</v>
      </c>
      <c r="AC83" s="3">
        <v>29240</v>
      </c>
      <c r="AD83" s="3">
        <v>30640</v>
      </c>
      <c r="AE83" s="3">
        <v>31250</v>
      </c>
      <c r="AF83" s="3">
        <v>31470</v>
      </c>
      <c r="AG83" s="3">
        <v>30820</v>
      </c>
      <c r="AH83" s="3">
        <v>29750</v>
      </c>
      <c r="AI83" s="3">
        <v>29570</v>
      </c>
      <c r="AJ83" s="3">
        <v>30080</v>
      </c>
      <c r="AK83" s="3">
        <v>30360</v>
      </c>
      <c r="AL83" s="3">
        <v>30880</v>
      </c>
      <c r="AM83" s="3">
        <v>30890</v>
      </c>
      <c r="AN83" s="3">
        <v>31990</v>
      </c>
      <c r="AO83" s="3">
        <v>31430</v>
      </c>
      <c r="AP83" s="3">
        <v>30420</v>
      </c>
      <c r="AQ83" s="3">
        <v>29390</v>
      </c>
      <c r="AR83" s="3">
        <v>28260</v>
      </c>
      <c r="AS83" s="3">
        <v>27000</v>
      </c>
      <c r="AT83" s="3">
        <v>27010</v>
      </c>
      <c r="AU83" s="3">
        <v>26770</v>
      </c>
      <c r="AV83" s="3">
        <v>27620</v>
      </c>
      <c r="AW83" s="3">
        <v>27630</v>
      </c>
      <c r="AX83" s="3">
        <v>27780</v>
      </c>
      <c r="AY83" s="3">
        <v>28470</v>
      </c>
      <c r="AZ83" s="3">
        <v>29110</v>
      </c>
      <c r="BA83" s="3">
        <v>29410</v>
      </c>
      <c r="BB83" s="3">
        <v>30000</v>
      </c>
      <c r="BC83" s="3">
        <v>30330</v>
      </c>
      <c r="BD83" s="3">
        <v>31230</v>
      </c>
    </row>
    <row r="84" spans="1:56" x14ac:dyDescent="0.2">
      <c r="A84" s="1">
        <v>74</v>
      </c>
      <c r="B84" s="3">
        <v>11960</v>
      </c>
      <c r="C84" s="3">
        <v>12030</v>
      </c>
      <c r="D84" s="3">
        <v>11880</v>
      </c>
      <c r="E84" s="3">
        <v>11930</v>
      </c>
      <c r="F84" s="3">
        <v>12500</v>
      </c>
      <c r="G84" s="3">
        <v>13050</v>
      </c>
      <c r="H84" s="3">
        <v>13510</v>
      </c>
      <c r="I84" s="3">
        <v>14060</v>
      </c>
      <c r="J84" s="3">
        <v>15280</v>
      </c>
      <c r="K84" s="3">
        <v>16540</v>
      </c>
      <c r="L84" s="3">
        <v>16940</v>
      </c>
      <c r="M84" s="3">
        <v>15230</v>
      </c>
      <c r="N84" s="3">
        <v>16990</v>
      </c>
      <c r="O84" s="3">
        <v>18010</v>
      </c>
      <c r="P84" s="3">
        <v>18950</v>
      </c>
      <c r="Q84" s="3">
        <v>22340</v>
      </c>
      <c r="R84" s="3">
        <v>22410</v>
      </c>
      <c r="S84" s="3">
        <v>22160</v>
      </c>
      <c r="T84" s="3">
        <v>22760</v>
      </c>
      <c r="U84" s="3">
        <v>22680</v>
      </c>
      <c r="V84" s="3">
        <v>23290</v>
      </c>
      <c r="W84" s="3">
        <v>23760</v>
      </c>
      <c r="X84" s="3">
        <v>24730</v>
      </c>
      <c r="Y84" s="3">
        <v>25290</v>
      </c>
      <c r="Z84" s="3">
        <v>26060</v>
      </c>
      <c r="AA84" s="3">
        <v>26810</v>
      </c>
      <c r="AB84" s="3">
        <v>27220</v>
      </c>
      <c r="AC84" s="3">
        <v>28530</v>
      </c>
      <c r="AD84" s="3">
        <v>28990</v>
      </c>
      <c r="AE84" s="3">
        <v>30380</v>
      </c>
      <c r="AF84" s="3">
        <v>31000</v>
      </c>
      <c r="AG84" s="3">
        <v>31220</v>
      </c>
      <c r="AH84" s="3">
        <v>30590</v>
      </c>
      <c r="AI84" s="3">
        <v>29530</v>
      </c>
      <c r="AJ84" s="3">
        <v>29360</v>
      </c>
      <c r="AK84" s="3">
        <v>29880</v>
      </c>
      <c r="AL84" s="3">
        <v>30150</v>
      </c>
      <c r="AM84" s="3">
        <v>30680</v>
      </c>
      <c r="AN84" s="3">
        <v>30690</v>
      </c>
      <c r="AO84" s="3">
        <v>31790</v>
      </c>
      <c r="AP84" s="3">
        <v>31240</v>
      </c>
      <c r="AQ84" s="3">
        <v>30240</v>
      </c>
      <c r="AR84" s="3">
        <v>29220</v>
      </c>
      <c r="AS84" s="3">
        <v>28110</v>
      </c>
      <c r="AT84" s="3">
        <v>26860</v>
      </c>
      <c r="AU84" s="3">
        <v>26870</v>
      </c>
      <c r="AV84" s="3">
        <v>26640</v>
      </c>
      <c r="AW84" s="3">
        <v>27490</v>
      </c>
      <c r="AX84" s="3">
        <v>27510</v>
      </c>
      <c r="AY84" s="3">
        <v>27650</v>
      </c>
      <c r="AZ84" s="3">
        <v>28350</v>
      </c>
      <c r="BA84" s="3">
        <v>28980</v>
      </c>
      <c r="BB84" s="3">
        <v>29280</v>
      </c>
      <c r="BC84" s="3">
        <v>29880</v>
      </c>
      <c r="BD84" s="3">
        <v>30220</v>
      </c>
    </row>
    <row r="85" spans="1:56" x14ac:dyDescent="0.2">
      <c r="A85" s="1">
        <v>75</v>
      </c>
      <c r="B85" s="3">
        <v>12130</v>
      </c>
      <c r="C85" s="3">
        <v>11650</v>
      </c>
      <c r="D85" s="3">
        <v>11720</v>
      </c>
      <c r="E85" s="3">
        <v>11580</v>
      </c>
      <c r="F85" s="3">
        <v>11660</v>
      </c>
      <c r="G85" s="3">
        <v>12210</v>
      </c>
      <c r="H85" s="3">
        <v>12750</v>
      </c>
      <c r="I85" s="3">
        <v>13220</v>
      </c>
      <c r="J85" s="3">
        <v>13820</v>
      </c>
      <c r="K85" s="3">
        <v>15060</v>
      </c>
      <c r="L85" s="3">
        <v>16290</v>
      </c>
      <c r="M85" s="3">
        <v>16670</v>
      </c>
      <c r="N85" s="3">
        <v>15010</v>
      </c>
      <c r="O85" s="3">
        <v>16740</v>
      </c>
      <c r="P85" s="3">
        <v>17760</v>
      </c>
      <c r="Q85" s="3">
        <v>18680</v>
      </c>
      <c r="R85" s="3">
        <v>22040</v>
      </c>
      <c r="S85" s="3">
        <v>22110</v>
      </c>
      <c r="T85" s="3">
        <v>21870</v>
      </c>
      <c r="U85" s="3">
        <v>22470</v>
      </c>
      <c r="V85" s="3">
        <v>22400</v>
      </c>
      <c r="W85" s="3">
        <v>23020</v>
      </c>
      <c r="X85" s="3">
        <v>23480</v>
      </c>
      <c r="Y85" s="3">
        <v>24460</v>
      </c>
      <c r="Z85" s="3">
        <v>25020</v>
      </c>
      <c r="AA85" s="3">
        <v>25790</v>
      </c>
      <c r="AB85" s="3">
        <v>26530</v>
      </c>
      <c r="AC85" s="3">
        <v>26950</v>
      </c>
      <c r="AD85" s="3">
        <v>28250</v>
      </c>
      <c r="AE85" s="3">
        <v>28720</v>
      </c>
      <c r="AF85" s="3">
        <v>30100</v>
      </c>
      <c r="AG85" s="3">
        <v>30720</v>
      </c>
      <c r="AH85" s="3">
        <v>30950</v>
      </c>
      <c r="AI85" s="3">
        <v>30330</v>
      </c>
      <c r="AJ85" s="3">
        <v>29290</v>
      </c>
      <c r="AK85" s="3">
        <v>29120</v>
      </c>
      <c r="AL85" s="3">
        <v>29640</v>
      </c>
      <c r="AM85" s="3">
        <v>29930</v>
      </c>
      <c r="AN85" s="3">
        <v>30460</v>
      </c>
      <c r="AO85" s="3">
        <v>30480</v>
      </c>
      <c r="AP85" s="3">
        <v>31570</v>
      </c>
      <c r="AQ85" s="3">
        <v>31030</v>
      </c>
      <c r="AR85" s="3">
        <v>30050</v>
      </c>
      <c r="AS85" s="3">
        <v>29040</v>
      </c>
      <c r="AT85" s="3">
        <v>27940</v>
      </c>
      <c r="AU85" s="3">
        <v>26710</v>
      </c>
      <c r="AV85" s="3">
        <v>26720</v>
      </c>
      <c r="AW85" s="3">
        <v>26490</v>
      </c>
      <c r="AX85" s="3">
        <v>27340</v>
      </c>
      <c r="AY85" s="3">
        <v>27360</v>
      </c>
      <c r="AZ85" s="3">
        <v>27510</v>
      </c>
      <c r="BA85" s="3">
        <v>28210</v>
      </c>
      <c r="BB85" s="3">
        <v>28850</v>
      </c>
      <c r="BC85" s="3">
        <v>29150</v>
      </c>
      <c r="BD85" s="3">
        <v>29750</v>
      </c>
    </row>
    <row r="86" spans="1:56" x14ac:dyDescent="0.2">
      <c r="A86" s="1">
        <v>76</v>
      </c>
      <c r="B86" s="3">
        <v>11810</v>
      </c>
      <c r="C86" s="3">
        <v>11810</v>
      </c>
      <c r="D86" s="3">
        <v>11370</v>
      </c>
      <c r="E86" s="3">
        <v>11450</v>
      </c>
      <c r="F86" s="3">
        <v>11320</v>
      </c>
      <c r="G86" s="3">
        <v>11380</v>
      </c>
      <c r="H86" s="3">
        <v>11880</v>
      </c>
      <c r="I86" s="3">
        <v>12470</v>
      </c>
      <c r="J86" s="3">
        <v>12960</v>
      </c>
      <c r="K86" s="3">
        <v>13590</v>
      </c>
      <c r="L86" s="3">
        <v>14810</v>
      </c>
      <c r="M86" s="3">
        <v>16010</v>
      </c>
      <c r="N86" s="3">
        <v>16390</v>
      </c>
      <c r="O86" s="3">
        <v>14760</v>
      </c>
      <c r="P86" s="3">
        <v>16470</v>
      </c>
      <c r="Q86" s="3">
        <v>17480</v>
      </c>
      <c r="R86" s="3">
        <v>18400</v>
      </c>
      <c r="S86" s="3">
        <v>21710</v>
      </c>
      <c r="T86" s="3">
        <v>21790</v>
      </c>
      <c r="U86" s="3">
        <v>21560</v>
      </c>
      <c r="V86" s="3">
        <v>22160</v>
      </c>
      <c r="W86" s="3">
        <v>22100</v>
      </c>
      <c r="X86" s="3">
        <v>22720</v>
      </c>
      <c r="Y86" s="3">
        <v>23190</v>
      </c>
      <c r="Z86" s="3">
        <v>24150</v>
      </c>
      <c r="AA86" s="3">
        <v>24720</v>
      </c>
      <c r="AB86" s="3">
        <v>25480</v>
      </c>
      <c r="AC86" s="3">
        <v>26230</v>
      </c>
      <c r="AD86" s="3">
        <v>26650</v>
      </c>
      <c r="AE86" s="3">
        <v>27950</v>
      </c>
      <c r="AF86" s="3">
        <v>28420</v>
      </c>
      <c r="AG86" s="3">
        <v>29800</v>
      </c>
      <c r="AH86" s="3">
        <v>30420</v>
      </c>
      <c r="AI86" s="3">
        <v>30650</v>
      </c>
      <c r="AJ86" s="3">
        <v>30050</v>
      </c>
      <c r="AK86" s="3">
        <v>29020</v>
      </c>
      <c r="AL86" s="3">
        <v>28860</v>
      </c>
      <c r="AM86" s="3">
        <v>29390</v>
      </c>
      <c r="AN86" s="3">
        <v>29680</v>
      </c>
      <c r="AO86" s="3">
        <v>30210</v>
      </c>
      <c r="AP86" s="3">
        <v>30230</v>
      </c>
      <c r="AQ86" s="3">
        <v>31330</v>
      </c>
      <c r="AR86" s="3">
        <v>30800</v>
      </c>
      <c r="AS86" s="3">
        <v>29830</v>
      </c>
      <c r="AT86" s="3">
        <v>28830</v>
      </c>
      <c r="AU86" s="3">
        <v>27750</v>
      </c>
      <c r="AV86" s="3">
        <v>26530</v>
      </c>
      <c r="AW86" s="3">
        <v>26550</v>
      </c>
      <c r="AX86" s="3">
        <v>26320</v>
      </c>
      <c r="AY86" s="3">
        <v>27170</v>
      </c>
      <c r="AZ86" s="3">
        <v>27200</v>
      </c>
      <c r="BA86" s="3">
        <v>27350</v>
      </c>
      <c r="BB86" s="3">
        <v>28050</v>
      </c>
      <c r="BC86" s="3">
        <v>28690</v>
      </c>
      <c r="BD86" s="3">
        <v>28990</v>
      </c>
    </row>
    <row r="87" spans="1:56" x14ac:dyDescent="0.2">
      <c r="A87" s="1">
        <v>77</v>
      </c>
      <c r="B87" s="3">
        <v>11080</v>
      </c>
      <c r="C87" s="3">
        <v>11460</v>
      </c>
      <c r="D87" s="3">
        <v>11470</v>
      </c>
      <c r="E87" s="3">
        <v>11050</v>
      </c>
      <c r="F87" s="3">
        <v>11120</v>
      </c>
      <c r="G87" s="3">
        <v>11050</v>
      </c>
      <c r="H87" s="3">
        <v>11070</v>
      </c>
      <c r="I87" s="3">
        <v>11540</v>
      </c>
      <c r="J87" s="3">
        <v>12160</v>
      </c>
      <c r="K87" s="3">
        <v>12710</v>
      </c>
      <c r="L87" s="3">
        <v>13330</v>
      </c>
      <c r="M87" s="3">
        <v>14510</v>
      </c>
      <c r="N87" s="3">
        <v>15700</v>
      </c>
      <c r="O87" s="3">
        <v>16080</v>
      </c>
      <c r="P87" s="3">
        <v>14490</v>
      </c>
      <c r="Q87" s="3">
        <v>16170</v>
      </c>
      <c r="R87" s="3">
        <v>17170</v>
      </c>
      <c r="S87" s="3">
        <v>18090</v>
      </c>
      <c r="T87" s="3">
        <v>21350</v>
      </c>
      <c r="U87" s="3">
        <v>21440</v>
      </c>
      <c r="V87" s="3">
        <v>21220</v>
      </c>
      <c r="W87" s="3">
        <v>21830</v>
      </c>
      <c r="X87" s="3">
        <v>21770</v>
      </c>
      <c r="Y87" s="3">
        <v>22390</v>
      </c>
      <c r="Z87" s="3">
        <v>22860</v>
      </c>
      <c r="AA87" s="3">
        <v>23820</v>
      </c>
      <c r="AB87" s="3">
        <v>24390</v>
      </c>
      <c r="AC87" s="3">
        <v>25150</v>
      </c>
      <c r="AD87" s="3">
        <v>25900</v>
      </c>
      <c r="AE87" s="3">
        <v>26320</v>
      </c>
      <c r="AF87" s="3">
        <v>27610</v>
      </c>
      <c r="AG87" s="3">
        <v>28080</v>
      </c>
      <c r="AH87" s="3">
        <v>29460</v>
      </c>
      <c r="AI87" s="3">
        <v>30080</v>
      </c>
      <c r="AJ87" s="3">
        <v>30320</v>
      </c>
      <c r="AK87" s="3">
        <v>29730</v>
      </c>
      <c r="AL87" s="3">
        <v>28720</v>
      </c>
      <c r="AM87" s="3">
        <v>28570</v>
      </c>
      <c r="AN87" s="3">
        <v>29100</v>
      </c>
      <c r="AO87" s="3">
        <v>29390</v>
      </c>
      <c r="AP87" s="3">
        <v>29930</v>
      </c>
      <c r="AQ87" s="3">
        <v>29960</v>
      </c>
      <c r="AR87" s="3">
        <v>31050</v>
      </c>
      <c r="AS87" s="3">
        <v>30530</v>
      </c>
      <c r="AT87" s="3">
        <v>29580</v>
      </c>
      <c r="AU87" s="3">
        <v>28600</v>
      </c>
      <c r="AV87" s="3">
        <v>27530</v>
      </c>
      <c r="AW87" s="3">
        <v>26320</v>
      </c>
      <c r="AX87" s="3">
        <v>26350</v>
      </c>
      <c r="AY87" s="3">
        <v>26130</v>
      </c>
      <c r="AZ87" s="3">
        <v>26980</v>
      </c>
      <c r="BA87" s="3">
        <v>27010</v>
      </c>
      <c r="BB87" s="3">
        <v>27170</v>
      </c>
      <c r="BC87" s="3">
        <v>27870</v>
      </c>
      <c r="BD87" s="3">
        <v>28510</v>
      </c>
    </row>
    <row r="88" spans="1:56" x14ac:dyDescent="0.2">
      <c r="A88" s="1">
        <v>78</v>
      </c>
      <c r="B88" s="3">
        <v>10800</v>
      </c>
      <c r="C88" s="3">
        <v>10740</v>
      </c>
      <c r="D88" s="3">
        <v>11110</v>
      </c>
      <c r="E88" s="3">
        <v>11130</v>
      </c>
      <c r="F88" s="3">
        <v>10710</v>
      </c>
      <c r="G88" s="3">
        <v>10800</v>
      </c>
      <c r="H88" s="3">
        <v>10750</v>
      </c>
      <c r="I88" s="3">
        <v>10730</v>
      </c>
      <c r="J88" s="3">
        <v>11230</v>
      </c>
      <c r="K88" s="3">
        <v>11900</v>
      </c>
      <c r="L88" s="3">
        <v>12430</v>
      </c>
      <c r="M88" s="3">
        <v>13030</v>
      </c>
      <c r="N88" s="3">
        <v>14190</v>
      </c>
      <c r="O88" s="3">
        <v>15360</v>
      </c>
      <c r="P88" s="3">
        <v>15740</v>
      </c>
      <c r="Q88" s="3">
        <v>14190</v>
      </c>
      <c r="R88" s="3">
        <v>15850</v>
      </c>
      <c r="S88" s="3">
        <v>16840</v>
      </c>
      <c r="T88" s="3">
        <v>17750</v>
      </c>
      <c r="U88" s="3">
        <v>20960</v>
      </c>
      <c r="V88" s="3">
        <v>21050</v>
      </c>
      <c r="W88" s="3">
        <v>20850</v>
      </c>
      <c r="X88" s="3">
        <v>21450</v>
      </c>
      <c r="Y88" s="3">
        <v>21410</v>
      </c>
      <c r="Z88" s="3">
        <v>22030</v>
      </c>
      <c r="AA88" s="3">
        <v>22500</v>
      </c>
      <c r="AB88" s="3">
        <v>23460</v>
      </c>
      <c r="AC88" s="3">
        <v>24020</v>
      </c>
      <c r="AD88" s="3">
        <v>24780</v>
      </c>
      <c r="AE88" s="3">
        <v>25530</v>
      </c>
      <c r="AF88" s="3">
        <v>25960</v>
      </c>
      <c r="AG88" s="3">
        <v>27240</v>
      </c>
      <c r="AH88" s="3">
        <v>27710</v>
      </c>
      <c r="AI88" s="3">
        <v>29080</v>
      </c>
      <c r="AJ88" s="3">
        <v>29700</v>
      </c>
      <c r="AK88" s="3">
        <v>29950</v>
      </c>
      <c r="AL88" s="3">
        <v>29370</v>
      </c>
      <c r="AM88" s="3">
        <v>28390</v>
      </c>
      <c r="AN88" s="3">
        <v>28250</v>
      </c>
      <c r="AO88" s="3">
        <v>28780</v>
      </c>
      <c r="AP88" s="3">
        <v>29080</v>
      </c>
      <c r="AQ88" s="3">
        <v>29610</v>
      </c>
      <c r="AR88" s="3">
        <v>29660</v>
      </c>
      <c r="AS88" s="3">
        <v>30740</v>
      </c>
      <c r="AT88" s="3">
        <v>30240</v>
      </c>
      <c r="AU88" s="3">
        <v>29300</v>
      </c>
      <c r="AV88" s="3">
        <v>28340</v>
      </c>
      <c r="AW88" s="3">
        <v>27280</v>
      </c>
      <c r="AX88" s="3">
        <v>26100</v>
      </c>
      <c r="AY88" s="3">
        <v>26130</v>
      </c>
      <c r="AZ88" s="3">
        <v>25920</v>
      </c>
      <c r="BA88" s="3">
        <v>26770</v>
      </c>
      <c r="BB88" s="3">
        <v>26800</v>
      </c>
      <c r="BC88" s="3">
        <v>26960</v>
      </c>
      <c r="BD88" s="3">
        <v>27660</v>
      </c>
    </row>
    <row r="89" spans="1:56" x14ac:dyDescent="0.2">
      <c r="A89" s="1">
        <v>79</v>
      </c>
      <c r="B89" s="3">
        <v>10220</v>
      </c>
      <c r="C89" s="3">
        <v>10390</v>
      </c>
      <c r="D89" s="3">
        <v>10360</v>
      </c>
      <c r="E89" s="3">
        <v>10710</v>
      </c>
      <c r="F89" s="3">
        <v>10800</v>
      </c>
      <c r="G89" s="3">
        <v>10360</v>
      </c>
      <c r="H89" s="3">
        <v>10460</v>
      </c>
      <c r="I89" s="3">
        <v>10380</v>
      </c>
      <c r="J89" s="3">
        <v>10400</v>
      </c>
      <c r="K89" s="3">
        <v>10950</v>
      </c>
      <c r="L89" s="3">
        <v>11600</v>
      </c>
      <c r="M89" s="3">
        <v>12110</v>
      </c>
      <c r="N89" s="3">
        <v>12700</v>
      </c>
      <c r="O89" s="3">
        <v>13850</v>
      </c>
      <c r="P89" s="3">
        <v>15000</v>
      </c>
      <c r="Q89" s="3">
        <v>15380</v>
      </c>
      <c r="R89" s="3">
        <v>13870</v>
      </c>
      <c r="S89" s="3">
        <v>15500</v>
      </c>
      <c r="T89" s="3">
        <v>16480</v>
      </c>
      <c r="U89" s="3">
        <v>17370</v>
      </c>
      <c r="V89" s="3">
        <v>20520</v>
      </c>
      <c r="W89" s="3">
        <v>20630</v>
      </c>
      <c r="X89" s="3">
        <v>20440</v>
      </c>
      <c r="Y89" s="3">
        <v>21040</v>
      </c>
      <c r="Z89" s="3">
        <v>21010</v>
      </c>
      <c r="AA89" s="3">
        <v>21630</v>
      </c>
      <c r="AB89" s="3">
        <v>22100</v>
      </c>
      <c r="AC89" s="3">
        <v>23050</v>
      </c>
      <c r="AD89" s="3">
        <v>23610</v>
      </c>
      <c r="AE89" s="3">
        <v>24370</v>
      </c>
      <c r="AF89" s="3">
        <v>25120</v>
      </c>
      <c r="AG89" s="3">
        <v>25550</v>
      </c>
      <c r="AH89" s="3">
        <v>26820</v>
      </c>
      <c r="AI89" s="3">
        <v>27300</v>
      </c>
      <c r="AJ89" s="3">
        <v>28650</v>
      </c>
      <c r="AK89" s="3">
        <v>29280</v>
      </c>
      <c r="AL89" s="3">
        <v>29530</v>
      </c>
      <c r="AM89" s="3">
        <v>28980</v>
      </c>
      <c r="AN89" s="3">
        <v>28020</v>
      </c>
      <c r="AO89" s="3">
        <v>27890</v>
      </c>
      <c r="AP89" s="3">
        <v>28420</v>
      </c>
      <c r="AQ89" s="3">
        <v>28720</v>
      </c>
      <c r="AR89" s="3">
        <v>29260</v>
      </c>
      <c r="AS89" s="3">
        <v>29310</v>
      </c>
      <c r="AT89" s="3">
        <v>30390</v>
      </c>
      <c r="AU89" s="3">
        <v>29900</v>
      </c>
      <c r="AV89" s="3">
        <v>28980</v>
      </c>
      <c r="AW89" s="3">
        <v>28040</v>
      </c>
      <c r="AX89" s="3">
        <v>27000</v>
      </c>
      <c r="AY89" s="3">
        <v>25830</v>
      </c>
      <c r="AZ89" s="3">
        <v>25870</v>
      </c>
      <c r="BA89" s="3">
        <v>25670</v>
      </c>
      <c r="BB89" s="3">
        <v>26520</v>
      </c>
      <c r="BC89" s="3">
        <v>26560</v>
      </c>
      <c r="BD89" s="3">
        <v>26730</v>
      </c>
    </row>
    <row r="90" spans="1:56" x14ac:dyDescent="0.2">
      <c r="A90" s="1">
        <v>80</v>
      </c>
      <c r="B90" s="3">
        <v>9890</v>
      </c>
      <c r="C90" s="3">
        <v>9830</v>
      </c>
      <c r="D90" s="3">
        <v>9990</v>
      </c>
      <c r="E90" s="3">
        <v>9950</v>
      </c>
      <c r="F90" s="3">
        <v>10300</v>
      </c>
      <c r="G90" s="3">
        <v>10410</v>
      </c>
      <c r="H90" s="3">
        <v>9930</v>
      </c>
      <c r="I90" s="3">
        <v>10090</v>
      </c>
      <c r="J90" s="3">
        <v>10020</v>
      </c>
      <c r="K90" s="3">
        <v>10100</v>
      </c>
      <c r="L90" s="3">
        <v>10640</v>
      </c>
      <c r="M90" s="3">
        <v>11260</v>
      </c>
      <c r="N90" s="3">
        <v>11770</v>
      </c>
      <c r="O90" s="3">
        <v>12350</v>
      </c>
      <c r="P90" s="3">
        <v>13470</v>
      </c>
      <c r="Q90" s="3">
        <v>14600</v>
      </c>
      <c r="R90" s="3">
        <v>14980</v>
      </c>
      <c r="S90" s="3">
        <v>13520</v>
      </c>
      <c r="T90" s="3">
        <v>15120</v>
      </c>
      <c r="U90" s="3">
        <v>16080</v>
      </c>
      <c r="V90" s="3">
        <v>16960</v>
      </c>
      <c r="W90" s="3">
        <v>20050</v>
      </c>
      <c r="X90" s="3">
        <v>20160</v>
      </c>
      <c r="Y90" s="3">
        <v>19990</v>
      </c>
      <c r="Z90" s="3">
        <v>20590</v>
      </c>
      <c r="AA90" s="3">
        <v>20570</v>
      </c>
      <c r="AB90" s="3">
        <v>21180</v>
      </c>
      <c r="AC90" s="3">
        <v>21660</v>
      </c>
      <c r="AD90" s="3">
        <v>22600</v>
      </c>
      <c r="AE90" s="3">
        <v>23160</v>
      </c>
      <c r="AF90" s="3">
        <v>23920</v>
      </c>
      <c r="AG90" s="3">
        <v>24660</v>
      </c>
      <c r="AH90" s="3">
        <v>25090</v>
      </c>
      <c r="AI90" s="3">
        <v>26350</v>
      </c>
      <c r="AJ90" s="3">
        <v>26830</v>
      </c>
      <c r="AK90" s="3">
        <v>28170</v>
      </c>
      <c r="AL90" s="3">
        <v>28800</v>
      </c>
      <c r="AM90" s="3">
        <v>29060</v>
      </c>
      <c r="AN90" s="3">
        <v>28530</v>
      </c>
      <c r="AO90" s="3">
        <v>27590</v>
      </c>
      <c r="AP90" s="3">
        <v>27470</v>
      </c>
      <c r="AQ90" s="3">
        <v>28010</v>
      </c>
      <c r="AR90" s="3">
        <v>28320</v>
      </c>
      <c r="AS90" s="3">
        <v>28860</v>
      </c>
      <c r="AT90" s="3">
        <v>28910</v>
      </c>
      <c r="AU90" s="3">
        <v>29990</v>
      </c>
      <c r="AV90" s="3">
        <v>29520</v>
      </c>
      <c r="AW90" s="3">
        <v>28620</v>
      </c>
      <c r="AX90" s="3">
        <v>27700</v>
      </c>
      <c r="AY90" s="3">
        <v>26680</v>
      </c>
      <c r="AZ90" s="3">
        <v>25530</v>
      </c>
      <c r="BA90" s="3">
        <v>25580</v>
      </c>
      <c r="BB90" s="3">
        <v>25380</v>
      </c>
      <c r="BC90" s="3">
        <v>26230</v>
      </c>
      <c r="BD90" s="3">
        <v>26280</v>
      </c>
    </row>
    <row r="91" spans="1:56" x14ac:dyDescent="0.2">
      <c r="A91" s="1">
        <v>81</v>
      </c>
      <c r="B91" s="3">
        <v>9610</v>
      </c>
      <c r="C91" s="3">
        <v>9450</v>
      </c>
      <c r="D91" s="3">
        <v>9380</v>
      </c>
      <c r="E91" s="3">
        <v>9540</v>
      </c>
      <c r="F91" s="3">
        <v>9510</v>
      </c>
      <c r="G91" s="3">
        <v>9820</v>
      </c>
      <c r="H91" s="3">
        <v>9960</v>
      </c>
      <c r="I91" s="3">
        <v>9520</v>
      </c>
      <c r="J91" s="3">
        <v>9690</v>
      </c>
      <c r="K91" s="3">
        <v>9690</v>
      </c>
      <c r="L91" s="3">
        <v>9770</v>
      </c>
      <c r="M91" s="3">
        <v>10280</v>
      </c>
      <c r="N91" s="3">
        <v>10890</v>
      </c>
      <c r="O91" s="3">
        <v>11390</v>
      </c>
      <c r="P91" s="3">
        <v>11960</v>
      </c>
      <c r="Q91" s="3">
        <v>13060</v>
      </c>
      <c r="R91" s="3">
        <v>14160</v>
      </c>
      <c r="S91" s="3">
        <v>14540</v>
      </c>
      <c r="T91" s="3">
        <v>13140</v>
      </c>
      <c r="U91" s="3">
        <v>14700</v>
      </c>
      <c r="V91" s="3">
        <v>15640</v>
      </c>
      <c r="W91" s="3">
        <v>16510</v>
      </c>
      <c r="X91" s="3">
        <v>19520</v>
      </c>
      <c r="Y91" s="3">
        <v>19650</v>
      </c>
      <c r="Z91" s="3">
        <v>19490</v>
      </c>
      <c r="AA91" s="3">
        <v>20080</v>
      </c>
      <c r="AB91" s="3">
        <v>20080</v>
      </c>
      <c r="AC91" s="3">
        <v>20680</v>
      </c>
      <c r="AD91" s="3">
        <v>21160</v>
      </c>
      <c r="AE91" s="3">
        <v>22090</v>
      </c>
      <c r="AF91" s="3">
        <v>22650</v>
      </c>
      <c r="AG91" s="3">
        <v>23400</v>
      </c>
      <c r="AH91" s="3">
        <v>24140</v>
      </c>
      <c r="AI91" s="3">
        <v>24580</v>
      </c>
      <c r="AJ91" s="3">
        <v>25820</v>
      </c>
      <c r="AK91" s="3">
        <v>26300</v>
      </c>
      <c r="AL91" s="3">
        <v>27630</v>
      </c>
      <c r="AM91" s="3">
        <v>28260</v>
      </c>
      <c r="AN91" s="3">
        <v>28520</v>
      </c>
      <c r="AO91" s="3">
        <v>28010</v>
      </c>
      <c r="AP91" s="3">
        <v>27110</v>
      </c>
      <c r="AQ91" s="3">
        <v>27000</v>
      </c>
      <c r="AR91" s="3">
        <v>27540</v>
      </c>
      <c r="AS91" s="3">
        <v>27850</v>
      </c>
      <c r="AT91" s="3">
        <v>28390</v>
      </c>
      <c r="AU91" s="3">
        <v>28460</v>
      </c>
      <c r="AV91" s="3">
        <v>29530</v>
      </c>
      <c r="AW91" s="3">
        <v>29070</v>
      </c>
      <c r="AX91" s="3">
        <v>28200</v>
      </c>
      <c r="AY91" s="3">
        <v>27300</v>
      </c>
      <c r="AZ91" s="3">
        <v>26300</v>
      </c>
      <c r="BA91" s="3">
        <v>25180</v>
      </c>
      <c r="BB91" s="3">
        <v>25230</v>
      </c>
      <c r="BC91" s="3">
        <v>25050</v>
      </c>
      <c r="BD91" s="3">
        <v>25890</v>
      </c>
    </row>
    <row r="92" spans="1:56" x14ac:dyDescent="0.2">
      <c r="A92" s="1">
        <v>82</v>
      </c>
      <c r="B92" s="3">
        <v>8770</v>
      </c>
      <c r="C92" s="3">
        <v>9110</v>
      </c>
      <c r="D92" s="3">
        <v>8970</v>
      </c>
      <c r="E92" s="3">
        <v>8930</v>
      </c>
      <c r="F92" s="3">
        <v>9080</v>
      </c>
      <c r="G92" s="3">
        <v>9040</v>
      </c>
      <c r="H92" s="3">
        <v>9340</v>
      </c>
      <c r="I92" s="3">
        <v>9530</v>
      </c>
      <c r="J92" s="3">
        <v>9100</v>
      </c>
      <c r="K92" s="3">
        <v>9320</v>
      </c>
      <c r="L92" s="3">
        <v>9320</v>
      </c>
      <c r="M92" s="3">
        <v>9390</v>
      </c>
      <c r="N92" s="3">
        <v>9900</v>
      </c>
      <c r="O92" s="3">
        <v>10490</v>
      </c>
      <c r="P92" s="3">
        <v>10980</v>
      </c>
      <c r="Q92" s="3">
        <v>11540</v>
      </c>
      <c r="R92" s="3">
        <v>12610</v>
      </c>
      <c r="S92" s="3">
        <v>13680</v>
      </c>
      <c r="T92" s="3">
        <v>14060</v>
      </c>
      <c r="U92" s="3">
        <v>12710</v>
      </c>
      <c r="V92" s="3">
        <v>14230</v>
      </c>
      <c r="W92" s="3">
        <v>15150</v>
      </c>
      <c r="X92" s="3">
        <v>16000</v>
      </c>
      <c r="Y92" s="3">
        <v>18940</v>
      </c>
      <c r="Z92" s="3">
        <v>19070</v>
      </c>
      <c r="AA92" s="3">
        <v>18930</v>
      </c>
      <c r="AB92" s="3">
        <v>19520</v>
      </c>
      <c r="AC92" s="3">
        <v>19520</v>
      </c>
      <c r="AD92" s="3">
        <v>20120</v>
      </c>
      <c r="AE92" s="3">
        <v>20600</v>
      </c>
      <c r="AF92" s="3">
        <v>21520</v>
      </c>
      <c r="AG92" s="3">
        <v>22080</v>
      </c>
      <c r="AH92" s="3">
        <v>22820</v>
      </c>
      <c r="AI92" s="3">
        <v>23550</v>
      </c>
      <c r="AJ92" s="3">
        <v>23990</v>
      </c>
      <c r="AK92" s="3">
        <v>25220</v>
      </c>
      <c r="AL92" s="3">
        <v>25700</v>
      </c>
      <c r="AM92" s="3">
        <v>27010</v>
      </c>
      <c r="AN92" s="3">
        <v>27630</v>
      </c>
      <c r="AO92" s="3">
        <v>27910</v>
      </c>
      <c r="AP92" s="3">
        <v>27420</v>
      </c>
      <c r="AQ92" s="3">
        <v>26550</v>
      </c>
      <c r="AR92" s="3">
        <v>26460</v>
      </c>
      <c r="AS92" s="3">
        <v>26990</v>
      </c>
      <c r="AT92" s="3">
        <v>27310</v>
      </c>
      <c r="AU92" s="3">
        <v>27850</v>
      </c>
      <c r="AV92" s="3">
        <v>27930</v>
      </c>
      <c r="AW92" s="3">
        <v>28990</v>
      </c>
      <c r="AX92" s="3">
        <v>28560</v>
      </c>
      <c r="AY92" s="3">
        <v>27710</v>
      </c>
      <c r="AZ92" s="3">
        <v>26830</v>
      </c>
      <c r="BA92" s="3">
        <v>25860</v>
      </c>
      <c r="BB92" s="3">
        <v>24770</v>
      </c>
      <c r="BC92" s="3">
        <v>24830</v>
      </c>
      <c r="BD92" s="3">
        <v>24660</v>
      </c>
    </row>
    <row r="93" spans="1:56" x14ac:dyDescent="0.2">
      <c r="A93" s="1">
        <v>83</v>
      </c>
      <c r="B93" s="3">
        <v>8030</v>
      </c>
      <c r="C93" s="3">
        <v>8270</v>
      </c>
      <c r="D93" s="3">
        <v>8570</v>
      </c>
      <c r="E93" s="3">
        <v>8440</v>
      </c>
      <c r="F93" s="3">
        <v>8400</v>
      </c>
      <c r="G93" s="3">
        <v>8590</v>
      </c>
      <c r="H93" s="3">
        <v>8550</v>
      </c>
      <c r="I93" s="3">
        <v>8820</v>
      </c>
      <c r="J93" s="3">
        <v>9080</v>
      </c>
      <c r="K93" s="3">
        <v>8690</v>
      </c>
      <c r="L93" s="3">
        <v>8910</v>
      </c>
      <c r="M93" s="3">
        <v>8900</v>
      </c>
      <c r="N93" s="3">
        <v>8980</v>
      </c>
      <c r="O93" s="3">
        <v>9470</v>
      </c>
      <c r="P93" s="3">
        <v>10050</v>
      </c>
      <c r="Q93" s="3">
        <v>10530</v>
      </c>
      <c r="R93" s="3">
        <v>11070</v>
      </c>
      <c r="S93" s="3">
        <v>12110</v>
      </c>
      <c r="T93" s="3">
        <v>13150</v>
      </c>
      <c r="U93" s="3">
        <v>13520</v>
      </c>
      <c r="V93" s="3">
        <v>12230</v>
      </c>
      <c r="W93" s="3">
        <v>13700</v>
      </c>
      <c r="X93" s="3">
        <v>14600</v>
      </c>
      <c r="Y93" s="3">
        <v>15440</v>
      </c>
      <c r="Z93" s="3">
        <v>18280</v>
      </c>
      <c r="AA93" s="3">
        <v>18420</v>
      </c>
      <c r="AB93" s="3">
        <v>18300</v>
      </c>
      <c r="AC93" s="3">
        <v>18880</v>
      </c>
      <c r="AD93" s="3">
        <v>18900</v>
      </c>
      <c r="AE93" s="3">
        <v>19490</v>
      </c>
      <c r="AF93" s="3">
        <v>19960</v>
      </c>
      <c r="AG93" s="3">
        <v>20860</v>
      </c>
      <c r="AH93" s="3">
        <v>21420</v>
      </c>
      <c r="AI93" s="3">
        <v>22160</v>
      </c>
      <c r="AJ93" s="3">
        <v>22880</v>
      </c>
      <c r="AK93" s="3">
        <v>23320</v>
      </c>
      <c r="AL93" s="3">
        <v>24520</v>
      </c>
      <c r="AM93" s="3">
        <v>25010</v>
      </c>
      <c r="AN93" s="3">
        <v>26300</v>
      </c>
      <c r="AO93" s="3">
        <v>26920</v>
      </c>
      <c r="AP93" s="3">
        <v>27200</v>
      </c>
      <c r="AQ93" s="3">
        <v>26740</v>
      </c>
      <c r="AR93" s="3">
        <v>25900</v>
      </c>
      <c r="AS93" s="3">
        <v>25820</v>
      </c>
      <c r="AT93" s="3">
        <v>26360</v>
      </c>
      <c r="AU93" s="3">
        <v>26680</v>
      </c>
      <c r="AV93" s="3">
        <v>27220</v>
      </c>
      <c r="AW93" s="3">
        <v>27310</v>
      </c>
      <c r="AX93" s="3">
        <v>28360</v>
      </c>
      <c r="AY93" s="3">
        <v>27950</v>
      </c>
      <c r="AZ93" s="3">
        <v>27130</v>
      </c>
      <c r="BA93" s="3">
        <v>26280</v>
      </c>
      <c r="BB93" s="3">
        <v>25350</v>
      </c>
      <c r="BC93" s="3">
        <v>24280</v>
      </c>
      <c r="BD93" s="3">
        <v>24350</v>
      </c>
    </row>
    <row r="94" spans="1:56" x14ac:dyDescent="0.2">
      <c r="A94" s="1">
        <v>84</v>
      </c>
      <c r="B94" s="3">
        <v>7700</v>
      </c>
      <c r="C94" s="3">
        <v>7490</v>
      </c>
      <c r="D94" s="3">
        <v>7730</v>
      </c>
      <c r="E94" s="3">
        <v>8040</v>
      </c>
      <c r="F94" s="3">
        <v>7890</v>
      </c>
      <c r="G94" s="3">
        <v>7870</v>
      </c>
      <c r="H94" s="3">
        <v>7980</v>
      </c>
      <c r="I94" s="3">
        <v>8060</v>
      </c>
      <c r="J94" s="3">
        <v>8360</v>
      </c>
      <c r="K94" s="3">
        <v>8610</v>
      </c>
      <c r="L94" s="3">
        <v>8240</v>
      </c>
      <c r="M94" s="3">
        <v>8450</v>
      </c>
      <c r="N94" s="3">
        <v>8450</v>
      </c>
      <c r="O94" s="3">
        <v>8540</v>
      </c>
      <c r="P94" s="3">
        <v>9010</v>
      </c>
      <c r="Q94" s="3">
        <v>9570</v>
      </c>
      <c r="R94" s="3">
        <v>10030</v>
      </c>
      <c r="S94" s="3">
        <v>10560</v>
      </c>
      <c r="T94" s="3">
        <v>11560</v>
      </c>
      <c r="U94" s="3">
        <v>12560</v>
      </c>
      <c r="V94" s="3">
        <v>12930</v>
      </c>
      <c r="W94" s="3">
        <v>11700</v>
      </c>
      <c r="X94" s="3">
        <v>13120</v>
      </c>
      <c r="Y94" s="3">
        <v>14000</v>
      </c>
      <c r="Z94" s="3">
        <v>14800</v>
      </c>
      <c r="AA94" s="3">
        <v>17550</v>
      </c>
      <c r="AB94" s="3">
        <v>17690</v>
      </c>
      <c r="AC94" s="3">
        <v>17590</v>
      </c>
      <c r="AD94" s="3">
        <v>18160</v>
      </c>
      <c r="AE94" s="3">
        <v>18190</v>
      </c>
      <c r="AF94" s="3">
        <v>18780</v>
      </c>
      <c r="AG94" s="3">
        <v>19240</v>
      </c>
      <c r="AH94" s="3">
        <v>20130</v>
      </c>
      <c r="AI94" s="3">
        <v>20680</v>
      </c>
      <c r="AJ94" s="3">
        <v>21400</v>
      </c>
      <c r="AK94" s="3">
        <v>22110</v>
      </c>
      <c r="AL94" s="3">
        <v>22550</v>
      </c>
      <c r="AM94" s="3">
        <v>23730</v>
      </c>
      <c r="AN94" s="3">
        <v>24210</v>
      </c>
      <c r="AO94" s="3">
        <v>25480</v>
      </c>
      <c r="AP94" s="3">
        <v>26090</v>
      </c>
      <c r="AQ94" s="3">
        <v>26380</v>
      </c>
      <c r="AR94" s="3">
        <v>25950</v>
      </c>
      <c r="AS94" s="3">
        <v>25150</v>
      </c>
      <c r="AT94" s="3">
        <v>25090</v>
      </c>
      <c r="AU94" s="3">
        <v>25620</v>
      </c>
      <c r="AV94" s="3">
        <v>25950</v>
      </c>
      <c r="AW94" s="3">
        <v>26490</v>
      </c>
      <c r="AX94" s="3">
        <v>26590</v>
      </c>
      <c r="AY94" s="3">
        <v>27630</v>
      </c>
      <c r="AZ94" s="3">
        <v>27230</v>
      </c>
      <c r="BA94" s="3">
        <v>26450</v>
      </c>
      <c r="BB94" s="3">
        <v>25640</v>
      </c>
      <c r="BC94" s="3">
        <v>24730</v>
      </c>
      <c r="BD94" s="3">
        <v>23710</v>
      </c>
    </row>
    <row r="95" spans="1:56" x14ac:dyDescent="0.2">
      <c r="A95" s="1">
        <v>85</v>
      </c>
      <c r="B95" s="3">
        <v>6940</v>
      </c>
      <c r="C95" s="3">
        <v>7130</v>
      </c>
      <c r="D95" s="3">
        <v>6960</v>
      </c>
      <c r="E95" s="3">
        <v>7160</v>
      </c>
      <c r="F95" s="3">
        <v>7480</v>
      </c>
      <c r="G95" s="3">
        <v>7290</v>
      </c>
      <c r="H95" s="3">
        <v>7350</v>
      </c>
      <c r="I95" s="3">
        <v>7380</v>
      </c>
      <c r="J95" s="3">
        <v>7530</v>
      </c>
      <c r="K95" s="3">
        <v>7850</v>
      </c>
      <c r="L95" s="3">
        <v>8090</v>
      </c>
      <c r="M95" s="3">
        <v>7750</v>
      </c>
      <c r="N95" s="3">
        <v>7950</v>
      </c>
      <c r="O95" s="3">
        <v>7960</v>
      </c>
      <c r="P95" s="3">
        <v>8050</v>
      </c>
      <c r="Q95" s="3">
        <v>8510</v>
      </c>
      <c r="R95" s="3">
        <v>9040</v>
      </c>
      <c r="S95" s="3">
        <v>9490</v>
      </c>
      <c r="T95" s="3">
        <v>10000</v>
      </c>
      <c r="U95" s="3">
        <v>10950</v>
      </c>
      <c r="V95" s="3">
        <v>11910</v>
      </c>
      <c r="W95" s="3">
        <v>12270</v>
      </c>
      <c r="X95" s="3">
        <v>11120</v>
      </c>
      <c r="Y95" s="3">
        <v>12480</v>
      </c>
      <c r="Z95" s="3">
        <v>13320</v>
      </c>
      <c r="AA95" s="3">
        <v>14100</v>
      </c>
      <c r="AB95" s="3">
        <v>16730</v>
      </c>
      <c r="AC95" s="3">
        <v>16880</v>
      </c>
      <c r="AD95" s="3">
        <v>16790</v>
      </c>
      <c r="AE95" s="3">
        <v>17350</v>
      </c>
      <c r="AF95" s="3">
        <v>17390</v>
      </c>
      <c r="AG95" s="3">
        <v>17970</v>
      </c>
      <c r="AH95" s="3">
        <v>18430</v>
      </c>
      <c r="AI95" s="3">
        <v>19290</v>
      </c>
      <c r="AJ95" s="3">
        <v>19830</v>
      </c>
      <c r="AK95" s="3">
        <v>20540</v>
      </c>
      <c r="AL95" s="3">
        <v>21230</v>
      </c>
      <c r="AM95" s="3">
        <v>21670</v>
      </c>
      <c r="AN95" s="3">
        <v>22820</v>
      </c>
      <c r="AO95" s="3">
        <v>23300</v>
      </c>
      <c r="AP95" s="3">
        <v>24530</v>
      </c>
      <c r="AQ95" s="3">
        <v>25140</v>
      </c>
      <c r="AR95" s="3">
        <v>25440</v>
      </c>
      <c r="AS95" s="3">
        <v>25030</v>
      </c>
      <c r="AT95" s="3">
        <v>24270</v>
      </c>
      <c r="AU95" s="3">
        <v>24230</v>
      </c>
      <c r="AV95" s="3">
        <v>24760</v>
      </c>
      <c r="AW95" s="3">
        <v>25090</v>
      </c>
      <c r="AX95" s="3">
        <v>25630</v>
      </c>
      <c r="AY95" s="3">
        <v>25740</v>
      </c>
      <c r="AZ95" s="3">
        <v>26760</v>
      </c>
      <c r="BA95" s="3">
        <v>26390</v>
      </c>
      <c r="BB95" s="3">
        <v>25650</v>
      </c>
      <c r="BC95" s="3">
        <v>24870</v>
      </c>
      <c r="BD95" s="3">
        <v>24010</v>
      </c>
    </row>
    <row r="96" spans="1:56" x14ac:dyDescent="0.2">
      <c r="A96" s="1">
        <v>86</v>
      </c>
      <c r="B96" s="3">
        <v>6240</v>
      </c>
      <c r="C96" s="3">
        <v>6390</v>
      </c>
      <c r="D96" s="3">
        <v>6540</v>
      </c>
      <c r="E96" s="3">
        <v>6380</v>
      </c>
      <c r="F96" s="3">
        <v>6560</v>
      </c>
      <c r="G96" s="3">
        <v>6900</v>
      </c>
      <c r="H96" s="3">
        <v>6650</v>
      </c>
      <c r="I96" s="3">
        <v>6750</v>
      </c>
      <c r="J96" s="3">
        <v>6850</v>
      </c>
      <c r="K96" s="3">
        <v>7000</v>
      </c>
      <c r="L96" s="3">
        <v>7310</v>
      </c>
      <c r="M96" s="3">
        <v>7530</v>
      </c>
      <c r="N96" s="3">
        <v>7220</v>
      </c>
      <c r="O96" s="3">
        <v>7420</v>
      </c>
      <c r="P96" s="3">
        <v>7440</v>
      </c>
      <c r="Q96" s="3">
        <v>7530</v>
      </c>
      <c r="R96" s="3">
        <v>7960</v>
      </c>
      <c r="S96" s="3">
        <v>8470</v>
      </c>
      <c r="T96" s="3">
        <v>8900</v>
      </c>
      <c r="U96" s="3">
        <v>9380</v>
      </c>
      <c r="V96" s="3">
        <v>10290</v>
      </c>
      <c r="W96" s="3">
        <v>11200</v>
      </c>
      <c r="X96" s="3">
        <v>11550</v>
      </c>
      <c r="Y96" s="3">
        <v>10480</v>
      </c>
      <c r="Z96" s="3">
        <v>11770</v>
      </c>
      <c r="AA96" s="3">
        <v>12570</v>
      </c>
      <c r="AB96" s="3">
        <v>13320</v>
      </c>
      <c r="AC96" s="3">
        <v>15820</v>
      </c>
      <c r="AD96" s="3">
        <v>15970</v>
      </c>
      <c r="AE96" s="3">
        <v>15910</v>
      </c>
      <c r="AF96" s="3">
        <v>16450</v>
      </c>
      <c r="AG96" s="3">
        <v>16500</v>
      </c>
      <c r="AH96" s="3">
        <v>17060</v>
      </c>
      <c r="AI96" s="3">
        <v>17510</v>
      </c>
      <c r="AJ96" s="3">
        <v>18340</v>
      </c>
      <c r="AK96" s="3">
        <v>18870</v>
      </c>
      <c r="AL96" s="3">
        <v>19560</v>
      </c>
      <c r="AM96" s="3">
        <v>20240</v>
      </c>
      <c r="AN96" s="3">
        <v>20670</v>
      </c>
      <c r="AO96" s="3">
        <v>21780</v>
      </c>
      <c r="AP96" s="3">
        <v>22260</v>
      </c>
      <c r="AQ96" s="3">
        <v>23450</v>
      </c>
      <c r="AR96" s="3">
        <v>24050</v>
      </c>
      <c r="AS96" s="3">
        <v>24350</v>
      </c>
      <c r="AT96" s="3">
        <v>23980</v>
      </c>
      <c r="AU96" s="3">
        <v>23270</v>
      </c>
      <c r="AV96" s="3">
        <v>23240</v>
      </c>
      <c r="AW96" s="3">
        <v>23760</v>
      </c>
      <c r="AX96" s="3">
        <v>24100</v>
      </c>
      <c r="AY96" s="3">
        <v>24630</v>
      </c>
      <c r="AZ96" s="3">
        <v>24750</v>
      </c>
      <c r="BA96" s="3">
        <v>25740</v>
      </c>
      <c r="BB96" s="3">
        <v>25410</v>
      </c>
      <c r="BC96" s="3">
        <v>24700</v>
      </c>
      <c r="BD96" s="3">
        <v>23970</v>
      </c>
    </row>
    <row r="97" spans="1:56" x14ac:dyDescent="0.2">
      <c r="A97" s="1">
        <v>87</v>
      </c>
      <c r="B97" s="3">
        <v>4700</v>
      </c>
      <c r="C97" s="3">
        <v>5630</v>
      </c>
      <c r="D97" s="3">
        <v>5730</v>
      </c>
      <c r="E97" s="3">
        <v>5900</v>
      </c>
      <c r="F97" s="3">
        <v>5790</v>
      </c>
      <c r="G97" s="3">
        <v>5930</v>
      </c>
      <c r="H97" s="3">
        <v>6250</v>
      </c>
      <c r="I97" s="3">
        <v>6040</v>
      </c>
      <c r="J97" s="3">
        <v>6220</v>
      </c>
      <c r="K97" s="3">
        <v>6290</v>
      </c>
      <c r="L97" s="3">
        <v>6440</v>
      </c>
      <c r="M97" s="3">
        <v>6730</v>
      </c>
      <c r="N97" s="3">
        <v>6940</v>
      </c>
      <c r="O97" s="3">
        <v>6660</v>
      </c>
      <c r="P97" s="3">
        <v>6850</v>
      </c>
      <c r="Q97" s="3">
        <v>6880</v>
      </c>
      <c r="R97" s="3">
        <v>6970</v>
      </c>
      <c r="S97" s="3">
        <v>7380</v>
      </c>
      <c r="T97" s="3">
        <v>7860</v>
      </c>
      <c r="U97" s="3">
        <v>8260</v>
      </c>
      <c r="V97" s="3">
        <v>8720</v>
      </c>
      <c r="W97" s="3">
        <v>9570</v>
      </c>
      <c r="X97" s="3">
        <v>10430</v>
      </c>
      <c r="Y97" s="3">
        <v>10770</v>
      </c>
      <c r="Z97" s="3">
        <v>9780</v>
      </c>
      <c r="AA97" s="3">
        <v>10990</v>
      </c>
      <c r="AB97" s="3">
        <v>11760</v>
      </c>
      <c r="AC97" s="3">
        <v>12470</v>
      </c>
      <c r="AD97" s="3">
        <v>14810</v>
      </c>
      <c r="AE97" s="3">
        <v>14980</v>
      </c>
      <c r="AF97" s="3">
        <v>14930</v>
      </c>
      <c r="AG97" s="3">
        <v>15450</v>
      </c>
      <c r="AH97" s="3">
        <v>15510</v>
      </c>
      <c r="AI97" s="3">
        <v>16050</v>
      </c>
      <c r="AJ97" s="3">
        <v>16490</v>
      </c>
      <c r="AK97" s="3">
        <v>17290</v>
      </c>
      <c r="AL97" s="3">
        <v>17800</v>
      </c>
      <c r="AM97" s="3">
        <v>18460</v>
      </c>
      <c r="AN97" s="3">
        <v>19120</v>
      </c>
      <c r="AO97" s="3">
        <v>19540</v>
      </c>
      <c r="AP97" s="3">
        <v>20610</v>
      </c>
      <c r="AQ97" s="3">
        <v>21070</v>
      </c>
      <c r="AR97" s="3">
        <v>22220</v>
      </c>
      <c r="AS97" s="3">
        <v>22810</v>
      </c>
      <c r="AT97" s="3">
        <v>23100</v>
      </c>
      <c r="AU97" s="3">
        <v>22770</v>
      </c>
      <c r="AV97" s="3">
        <v>22110</v>
      </c>
      <c r="AW97" s="3">
        <v>22100</v>
      </c>
      <c r="AX97" s="3">
        <v>22610</v>
      </c>
      <c r="AY97" s="3">
        <v>22950</v>
      </c>
      <c r="AZ97" s="3">
        <v>23470</v>
      </c>
      <c r="BA97" s="3">
        <v>23600</v>
      </c>
      <c r="BB97" s="3">
        <v>24560</v>
      </c>
      <c r="BC97" s="3">
        <v>24260</v>
      </c>
      <c r="BD97" s="3">
        <v>23600</v>
      </c>
    </row>
    <row r="98" spans="1:56" x14ac:dyDescent="0.2">
      <c r="A98" s="1">
        <v>88</v>
      </c>
      <c r="B98" s="3">
        <v>4260</v>
      </c>
      <c r="C98" s="3">
        <v>4210</v>
      </c>
      <c r="D98" s="3">
        <v>4990</v>
      </c>
      <c r="E98" s="3">
        <v>5140</v>
      </c>
      <c r="F98" s="3">
        <v>5280</v>
      </c>
      <c r="G98" s="3">
        <v>5170</v>
      </c>
      <c r="H98" s="3">
        <v>5280</v>
      </c>
      <c r="I98" s="3">
        <v>5610</v>
      </c>
      <c r="J98" s="3">
        <v>5470</v>
      </c>
      <c r="K98" s="3">
        <v>5650</v>
      </c>
      <c r="L98" s="3">
        <v>5720</v>
      </c>
      <c r="M98" s="3">
        <v>5850</v>
      </c>
      <c r="N98" s="3">
        <v>6120</v>
      </c>
      <c r="O98" s="3">
        <v>6320</v>
      </c>
      <c r="P98" s="3">
        <v>6080</v>
      </c>
      <c r="Q98" s="3">
        <v>6250</v>
      </c>
      <c r="R98" s="3">
        <v>6290</v>
      </c>
      <c r="S98" s="3">
        <v>6370</v>
      </c>
      <c r="T98" s="3">
        <v>6760</v>
      </c>
      <c r="U98" s="3">
        <v>7200</v>
      </c>
      <c r="V98" s="3">
        <v>7580</v>
      </c>
      <c r="W98" s="3">
        <v>8010</v>
      </c>
      <c r="X98" s="3">
        <v>8810</v>
      </c>
      <c r="Y98" s="3">
        <v>9610</v>
      </c>
      <c r="Z98" s="3">
        <v>9930</v>
      </c>
      <c r="AA98" s="3">
        <v>9020</v>
      </c>
      <c r="AB98" s="3">
        <v>10150</v>
      </c>
      <c r="AC98" s="3">
        <v>10870</v>
      </c>
      <c r="AD98" s="3">
        <v>11540</v>
      </c>
      <c r="AE98" s="3">
        <v>13720</v>
      </c>
      <c r="AF98" s="3">
        <v>13890</v>
      </c>
      <c r="AG98" s="3">
        <v>13850</v>
      </c>
      <c r="AH98" s="3">
        <v>14350</v>
      </c>
      <c r="AI98" s="3">
        <v>14420</v>
      </c>
      <c r="AJ98" s="3">
        <v>14940</v>
      </c>
      <c r="AK98" s="3">
        <v>15360</v>
      </c>
      <c r="AL98" s="3">
        <v>16110</v>
      </c>
      <c r="AM98" s="3">
        <v>16610</v>
      </c>
      <c r="AN98" s="3">
        <v>17240</v>
      </c>
      <c r="AO98" s="3">
        <v>17870</v>
      </c>
      <c r="AP98" s="3">
        <v>18280</v>
      </c>
      <c r="AQ98" s="3">
        <v>19290</v>
      </c>
      <c r="AR98" s="3">
        <v>19750</v>
      </c>
      <c r="AS98" s="3">
        <v>20840</v>
      </c>
      <c r="AT98" s="3">
        <v>21400</v>
      </c>
      <c r="AU98" s="3">
        <v>21700</v>
      </c>
      <c r="AV98" s="3">
        <v>21400</v>
      </c>
      <c r="AW98" s="3">
        <v>20800</v>
      </c>
      <c r="AX98" s="3">
        <v>20800</v>
      </c>
      <c r="AY98" s="3">
        <v>21300</v>
      </c>
      <c r="AZ98" s="3">
        <v>21630</v>
      </c>
      <c r="BA98" s="3">
        <v>22140</v>
      </c>
      <c r="BB98" s="3">
        <v>22280</v>
      </c>
      <c r="BC98" s="3">
        <v>23210</v>
      </c>
      <c r="BD98" s="3">
        <v>22940</v>
      </c>
    </row>
    <row r="99" spans="1:56" x14ac:dyDescent="0.2">
      <c r="A99" s="1">
        <v>89</v>
      </c>
      <c r="B99" s="3">
        <v>3770</v>
      </c>
      <c r="C99" s="3">
        <v>3750</v>
      </c>
      <c r="D99" s="3">
        <v>3720</v>
      </c>
      <c r="E99" s="3">
        <v>4400</v>
      </c>
      <c r="F99" s="3">
        <v>4520</v>
      </c>
      <c r="G99" s="3">
        <v>4660</v>
      </c>
      <c r="H99" s="3">
        <v>4540</v>
      </c>
      <c r="I99" s="3">
        <v>4660</v>
      </c>
      <c r="J99" s="3">
        <v>5000</v>
      </c>
      <c r="K99" s="3">
        <v>4900</v>
      </c>
      <c r="L99" s="3">
        <v>5060</v>
      </c>
      <c r="M99" s="3">
        <v>5120</v>
      </c>
      <c r="N99" s="3">
        <v>5250</v>
      </c>
      <c r="O99" s="3">
        <v>5490</v>
      </c>
      <c r="P99" s="3">
        <v>5680</v>
      </c>
      <c r="Q99" s="3">
        <v>5470</v>
      </c>
      <c r="R99" s="3">
        <v>5630</v>
      </c>
      <c r="S99" s="3">
        <v>5670</v>
      </c>
      <c r="T99" s="3">
        <v>5760</v>
      </c>
      <c r="U99" s="3">
        <v>6110</v>
      </c>
      <c r="V99" s="3">
        <v>6520</v>
      </c>
      <c r="W99" s="3">
        <v>6870</v>
      </c>
      <c r="X99" s="3">
        <v>7270</v>
      </c>
      <c r="Y99" s="3">
        <v>7990</v>
      </c>
      <c r="Z99" s="3">
        <v>8730</v>
      </c>
      <c r="AA99" s="3">
        <v>9030</v>
      </c>
      <c r="AB99" s="3">
        <v>8220</v>
      </c>
      <c r="AC99" s="3">
        <v>9260</v>
      </c>
      <c r="AD99" s="3">
        <v>9920</v>
      </c>
      <c r="AE99" s="3">
        <v>10540</v>
      </c>
      <c r="AF99" s="3">
        <v>12550</v>
      </c>
      <c r="AG99" s="3">
        <v>12710</v>
      </c>
      <c r="AH99" s="3">
        <v>12690</v>
      </c>
      <c r="AI99" s="3">
        <v>13160</v>
      </c>
      <c r="AJ99" s="3">
        <v>13240</v>
      </c>
      <c r="AK99" s="3">
        <v>13730</v>
      </c>
      <c r="AL99" s="3">
        <v>14130</v>
      </c>
      <c r="AM99" s="3">
        <v>14840</v>
      </c>
      <c r="AN99" s="3">
        <v>15300</v>
      </c>
      <c r="AO99" s="3">
        <v>15900</v>
      </c>
      <c r="AP99" s="3">
        <v>16500</v>
      </c>
      <c r="AQ99" s="3">
        <v>16890</v>
      </c>
      <c r="AR99" s="3">
        <v>17840</v>
      </c>
      <c r="AS99" s="3">
        <v>18280</v>
      </c>
      <c r="AT99" s="3">
        <v>19300</v>
      </c>
      <c r="AU99" s="3">
        <v>19840</v>
      </c>
      <c r="AV99" s="3">
        <v>20140</v>
      </c>
      <c r="AW99" s="3">
        <v>19880</v>
      </c>
      <c r="AX99" s="3">
        <v>19330</v>
      </c>
      <c r="AY99" s="3">
        <v>19350</v>
      </c>
      <c r="AZ99" s="3">
        <v>19830</v>
      </c>
      <c r="BA99" s="3">
        <v>20160</v>
      </c>
      <c r="BB99" s="3">
        <v>20640</v>
      </c>
      <c r="BC99" s="3">
        <v>20790</v>
      </c>
      <c r="BD99" s="3">
        <v>21670</v>
      </c>
    </row>
    <row r="100" spans="1:56" x14ac:dyDescent="0.2">
      <c r="A100" s="1" t="s">
        <v>3</v>
      </c>
      <c r="B100" s="3">
        <v>14040</v>
      </c>
      <c r="C100" s="3">
        <v>14320</v>
      </c>
      <c r="D100" s="3">
        <v>14710</v>
      </c>
      <c r="E100" s="3">
        <v>14850</v>
      </c>
      <c r="F100" s="3">
        <v>15750</v>
      </c>
      <c r="G100" s="3">
        <v>16430</v>
      </c>
      <c r="H100" s="3">
        <v>17040</v>
      </c>
      <c r="I100" s="3">
        <v>17440</v>
      </c>
      <c r="J100" s="3">
        <v>18200</v>
      </c>
      <c r="K100" s="3">
        <v>19190</v>
      </c>
      <c r="L100" s="1">
        <v>19920</v>
      </c>
      <c r="M100" s="1">
        <v>20740</v>
      </c>
      <c r="N100" s="1">
        <v>21380</v>
      </c>
      <c r="O100" s="1">
        <v>22100</v>
      </c>
      <c r="P100" s="1">
        <v>22840</v>
      </c>
      <c r="Q100" s="1">
        <v>23640</v>
      </c>
      <c r="R100" s="1">
        <v>24210</v>
      </c>
      <c r="S100" s="1">
        <v>24770</v>
      </c>
      <c r="T100" s="1">
        <v>25260</v>
      </c>
      <c r="U100" s="1">
        <v>25790</v>
      </c>
      <c r="V100" s="1">
        <v>26450</v>
      </c>
      <c r="W100" s="1">
        <v>27500</v>
      </c>
      <c r="X100" s="1">
        <v>28700</v>
      </c>
      <c r="Y100" s="1">
        <v>30120</v>
      </c>
      <c r="Z100" s="1">
        <v>31880</v>
      </c>
      <c r="AA100" s="1">
        <v>34150</v>
      </c>
      <c r="AB100" s="1">
        <v>36360</v>
      </c>
      <c r="AC100" s="1">
        <v>37550</v>
      </c>
      <c r="AD100" s="1">
        <v>39410</v>
      </c>
      <c r="AE100" s="1">
        <v>41590</v>
      </c>
      <c r="AF100" s="1">
        <v>43960</v>
      </c>
      <c r="AG100" s="1">
        <v>47820</v>
      </c>
      <c r="AH100" s="1">
        <v>51400</v>
      </c>
      <c r="AI100" s="1">
        <v>54300</v>
      </c>
      <c r="AJ100" s="1">
        <v>57250</v>
      </c>
      <c r="AK100" s="1">
        <v>59790</v>
      </c>
      <c r="AL100" s="1">
        <v>62320</v>
      </c>
      <c r="AM100" s="1">
        <v>64830</v>
      </c>
      <c r="AN100" s="1">
        <v>67570</v>
      </c>
      <c r="AO100" s="1">
        <v>70300</v>
      </c>
      <c r="AP100" s="1">
        <v>73160</v>
      </c>
      <c r="AQ100" s="1">
        <v>76100</v>
      </c>
      <c r="AR100" s="1">
        <v>79070</v>
      </c>
      <c r="AS100" s="1">
        <v>82450</v>
      </c>
      <c r="AT100" s="1">
        <v>85620</v>
      </c>
      <c r="AU100" s="1">
        <v>89430</v>
      </c>
      <c r="AV100" s="1">
        <v>93130</v>
      </c>
      <c r="AW100" s="1">
        <v>96650</v>
      </c>
      <c r="AX100" s="1">
        <v>99390</v>
      </c>
      <c r="AY100" s="1">
        <v>101240</v>
      </c>
      <c r="AZ100" s="1">
        <v>102670</v>
      </c>
      <c r="BA100" s="1">
        <v>104410</v>
      </c>
      <c r="BB100" s="1">
        <v>106090</v>
      </c>
      <c r="BC100" s="1">
        <v>107970</v>
      </c>
      <c r="BD100" s="1">
        <v>109750</v>
      </c>
    </row>
    <row r="101" spans="1:56" ht="15" x14ac:dyDescent="0.25">
      <c r="A101" s="2" t="s">
        <v>4</v>
      </c>
      <c r="B101" s="3">
        <f t="shared" ref="B101:AY101" si="5">SUM(B$10:B$100)</f>
        <v>2136250</v>
      </c>
      <c r="C101" s="3">
        <f t="shared" si="5"/>
        <v>2157370</v>
      </c>
      <c r="D101" s="3">
        <f t="shared" si="5"/>
        <v>2176330</v>
      </c>
      <c r="E101" s="3">
        <f t="shared" si="5"/>
        <v>2197940</v>
      </c>
      <c r="F101" s="3">
        <f t="shared" si="5"/>
        <v>2222920</v>
      </c>
      <c r="G101" s="3">
        <f t="shared" si="5"/>
        <v>2240410</v>
      </c>
      <c r="H101" s="3">
        <f t="shared" si="5"/>
        <v>2253000</v>
      </c>
      <c r="I101" s="3">
        <f t="shared" si="5"/>
        <v>2269940</v>
      </c>
      <c r="J101" s="3">
        <f t="shared" si="5"/>
        <v>2300200</v>
      </c>
      <c r="K101" s="3">
        <f t="shared" si="5"/>
        <v>2338350</v>
      </c>
      <c r="L101" s="3">
        <f t="shared" si="5"/>
        <v>2367720</v>
      </c>
      <c r="M101" s="3">
        <f t="shared" si="5"/>
        <v>2387810</v>
      </c>
      <c r="N101" s="3">
        <f t="shared" si="5"/>
        <v>2408000</v>
      </c>
      <c r="O101" s="3">
        <f t="shared" si="5"/>
        <v>2428350</v>
      </c>
      <c r="P101" s="3">
        <f t="shared" si="5"/>
        <v>2448670</v>
      </c>
      <c r="Q101" s="3">
        <f t="shared" si="5"/>
        <v>2469080</v>
      </c>
      <c r="R101" s="3">
        <f t="shared" si="5"/>
        <v>2489550</v>
      </c>
      <c r="S101" s="3">
        <f t="shared" si="5"/>
        <v>2509890</v>
      </c>
      <c r="T101" s="3">
        <f t="shared" si="5"/>
        <v>2530130</v>
      </c>
      <c r="U101" s="3">
        <f t="shared" si="5"/>
        <v>2550220</v>
      </c>
      <c r="V101" s="3">
        <f t="shared" si="5"/>
        <v>2570020</v>
      </c>
      <c r="W101" s="3">
        <f t="shared" si="5"/>
        <v>2589620</v>
      </c>
      <c r="X101" s="3">
        <f t="shared" si="5"/>
        <v>2608920</v>
      </c>
      <c r="Y101" s="3">
        <f t="shared" si="5"/>
        <v>2627920</v>
      </c>
      <c r="Z101" s="3">
        <f t="shared" si="5"/>
        <v>2646270</v>
      </c>
      <c r="AA101" s="3">
        <f t="shared" si="5"/>
        <v>2664260</v>
      </c>
      <c r="AB101" s="3">
        <f t="shared" si="5"/>
        <v>2681760</v>
      </c>
      <c r="AC101" s="3">
        <f t="shared" si="5"/>
        <v>2698710</v>
      </c>
      <c r="AD101" s="3">
        <f t="shared" si="5"/>
        <v>2715010</v>
      </c>
      <c r="AE101" s="3">
        <f t="shared" si="5"/>
        <v>2730860</v>
      </c>
      <c r="AF101" s="3">
        <f t="shared" si="5"/>
        <v>2746150</v>
      </c>
      <c r="AG101" s="3">
        <f t="shared" si="5"/>
        <v>2760970</v>
      </c>
      <c r="AH101" s="3">
        <f t="shared" si="5"/>
        <v>2775360</v>
      </c>
      <c r="AI101" s="3">
        <f t="shared" si="5"/>
        <v>2789100</v>
      </c>
      <c r="AJ101" s="3">
        <f t="shared" si="5"/>
        <v>2802490</v>
      </c>
      <c r="AK101" s="3">
        <f t="shared" si="5"/>
        <v>2815420</v>
      </c>
      <c r="AL101" s="3">
        <f t="shared" si="5"/>
        <v>2827820</v>
      </c>
      <c r="AM101" s="3">
        <f t="shared" si="5"/>
        <v>2839830</v>
      </c>
      <c r="AN101" s="3">
        <f t="shared" si="5"/>
        <v>2851430</v>
      </c>
      <c r="AO101" s="3">
        <f t="shared" si="5"/>
        <v>2862640</v>
      </c>
      <c r="AP101" s="3">
        <f t="shared" si="5"/>
        <v>2873300</v>
      </c>
      <c r="AQ101" s="3">
        <f t="shared" si="5"/>
        <v>2883510</v>
      </c>
      <c r="AR101" s="3">
        <f t="shared" si="5"/>
        <v>2893500</v>
      </c>
      <c r="AS101" s="3">
        <f t="shared" si="5"/>
        <v>2903060</v>
      </c>
      <c r="AT101" s="3">
        <f t="shared" si="5"/>
        <v>2912120</v>
      </c>
      <c r="AU101" s="3">
        <f t="shared" si="5"/>
        <v>2921020</v>
      </c>
      <c r="AV101" s="3">
        <f t="shared" si="5"/>
        <v>2929560</v>
      </c>
      <c r="AW101" s="3">
        <f t="shared" si="5"/>
        <v>2937890</v>
      </c>
      <c r="AX101" s="3">
        <f t="shared" si="5"/>
        <v>2946010</v>
      </c>
      <c r="AY101" s="3">
        <f t="shared" si="5"/>
        <v>2954000</v>
      </c>
      <c r="AZ101" s="3">
        <f t="shared" ref="AZ101:BD101" si="6">SUM(AZ$10:AZ$100)</f>
        <v>2961690</v>
      </c>
      <c r="BA101" s="3">
        <f t="shared" si="6"/>
        <v>2969480</v>
      </c>
      <c r="BB101" s="3">
        <f t="shared" si="6"/>
        <v>2977230</v>
      </c>
      <c r="BC101" s="3">
        <f t="shared" si="6"/>
        <v>2984750</v>
      </c>
      <c r="BD101" s="3">
        <f t="shared" si="6"/>
        <v>2992400</v>
      </c>
    </row>
    <row r="102" spans="1:56" ht="15" x14ac:dyDescent="0.25">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5" x14ac:dyDescent="0.25">
      <c r="G103" s="2" t="s">
        <v>72</v>
      </c>
      <c r="K103" s="10">
        <v>83.9</v>
      </c>
      <c r="L103" s="10">
        <v>84.1</v>
      </c>
      <c r="M103" s="10">
        <v>84.3</v>
      </c>
      <c r="N103" s="10">
        <v>84.5</v>
      </c>
      <c r="O103" s="10">
        <v>84.7</v>
      </c>
      <c r="P103" s="10">
        <v>84.9</v>
      </c>
      <c r="Q103" s="10">
        <v>85.1</v>
      </c>
      <c r="R103" s="10">
        <v>85.3</v>
      </c>
      <c r="S103" s="10">
        <v>85.5</v>
      </c>
      <c r="T103" s="10">
        <v>85.7</v>
      </c>
      <c r="U103" s="10">
        <v>85.9</v>
      </c>
      <c r="V103" s="10">
        <v>86</v>
      </c>
      <c r="W103" s="10">
        <v>86.2</v>
      </c>
      <c r="X103" s="10">
        <v>86.4</v>
      </c>
      <c r="Y103" s="10">
        <v>86.6</v>
      </c>
      <c r="Z103" s="10">
        <v>86.7</v>
      </c>
      <c r="AA103" s="10">
        <v>86.9</v>
      </c>
      <c r="AB103" s="10">
        <v>87</v>
      </c>
      <c r="AC103" s="10">
        <v>87.2</v>
      </c>
      <c r="AD103" s="10">
        <v>87.4</v>
      </c>
      <c r="AE103" s="10">
        <v>87.5</v>
      </c>
      <c r="AF103" s="10">
        <v>87.7</v>
      </c>
      <c r="AG103" s="10">
        <v>87.8</v>
      </c>
      <c r="AH103" s="10">
        <v>88</v>
      </c>
      <c r="AI103" s="10">
        <v>88.1</v>
      </c>
      <c r="AJ103" s="10">
        <v>88.3</v>
      </c>
      <c r="AK103" s="10">
        <v>88.4</v>
      </c>
      <c r="AL103" s="10">
        <v>88.5</v>
      </c>
      <c r="AM103" s="10">
        <v>88.7</v>
      </c>
      <c r="AN103" s="10">
        <v>88.8</v>
      </c>
      <c r="AO103" s="10">
        <v>88.9</v>
      </c>
      <c r="AP103" s="10">
        <v>89.1</v>
      </c>
      <c r="AQ103" s="10">
        <v>89.2</v>
      </c>
      <c r="AR103" s="10">
        <v>89.3</v>
      </c>
      <c r="AS103" s="10">
        <v>89.5</v>
      </c>
      <c r="AT103" s="10">
        <v>89.6</v>
      </c>
      <c r="AU103" s="10">
        <v>89.7</v>
      </c>
      <c r="AV103" s="10">
        <v>89.8</v>
      </c>
      <c r="AW103" s="10">
        <v>89.9</v>
      </c>
      <c r="AX103" s="10">
        <v>90.1</v>
      </c>
      <c r="AY103" s="10">
        <v>90.2</v>
      </c>
      <c r="AZ103" s="10">
        <v>90.3</v>
      </c>
      <c r="BA103" s="10">
        <v>90.4</v>
      </c>
      <c r="BB103" s="10">
        <v>90.5</v>
      </c>
      <c r="BC103" s="10">
        <v>90.6</v>
      </c>
      <c r="BD103" s="10">
        <v>90.7</v>
      </c>
    </row>
    <row r="104" spans="1:56" ht="15" x14ac:dyDescent="0.25">
      <c r="G104" s="2" t="s">
        <v>73</v>
      </c>
      <c r="K104" s="10">
        <v>21.9</v>
      </c>
      <c r="L104" s="10">
        <v>22.1</v>
      </c>
      <c r="M104" s="10">
        <v>22.2</v>
      </c>
      <c r="N104" s="10">
        <v>22.3</v>
      </c>
      <c r="O104" s="10">
        <v>22.5</v>
      </c>
      <c r="P104" s="10">
        <v>22.6</v>
      </c>
      <c r="Q104" s="10">
        <v>22.7</v>
      </c>
      <c r="R104" s="10">
        <v>22.9</v>
      </c>
      <c r="S104" s="10">
        <v>23</v>
      </c>
      <c r="T104" s="10">
        <v>23.1</v>
      </c>
      <c r="U104" s="10">
        <v>23.3</v>
      </c>
      <c r="V104" s="10">
        <v>23.4</v>
      </c>
      <c r="W104" s="10">
        <v>23.5</v>
      </c>
      <c r="X104" s="10">
        <v>23.6</v>
      </c>
      <c r="Y104" s="10">
        <v>23.7</v>
      </c>
      <c r="Z104" s="10">
        <v>23.9</v>
      </c>
      <c r="AA104" s="10">
        <v>24</v>
      </c>
      <c r="AB104" s="10">
        <v>24.1</v>
      </c>
      <c r="AC104" s="10">
        <v>24.2</v>
      </c>
      <c r="AD104" s="10">
        <v>24.3</v>
      </c>
      <c r="AE104" s="10">
        <v>24.4</v>
      </c>
      <c r="AF104" s="10">
        <v>24.5</v>
      </c>
      <c r="AG104" s="10">
        <v>24.6</v>
      </c>
      <c r="AH104" s="10">
        <v>24.7</v>
      </c>
      <c r="AI104" s="10">
        <v>24.8</v>
      </c>
      <c r="AJ104" s="10">
        <v>25</v>
      </c>
      <c r="AK104" s="10">
        <v>25.1</v>
      </c>
      <c r="AL104" s="10">
        <v>25.2</v>
      </c>
      <c r="AM104" s="10">
        <v>25.3</v>
      </c>
      <c r="AN104" s="10">
        <v>25.4</v>
      </c>
      <c r="AO104" s="10">
        <v>25.5</v>
      </c>
      <c r="AP104" s="10">
        <v>25.6</v>
      </c>
      <c r="AQ104" s="10">
        <v>25.6</v>
      </c>
      <c r="AR104" s="10">
        <v>25.7</v>
      </c>
      <c r="AS104" s="10">
        <v>25.8</v>
      </c>
      <c r="AT104" s="10">
        <v>25.9</v>
      </c>
      <c r="AU104" s="10">
        <v>26</v>
      </c>
      <c r="AV104" s="10">
        <v>26.1</v>
      </c>
      <c r="AW104" s="10">
        <v>26.2</v>
      </c>
      <c r="AX104" s="10">
        <v>26.3</v>
      </c>
      <c r="AY104" s="10">
        <v>26.4</v>
      </c>
      <c r="AZ104" s="10">
        <v>26.5</v>
      </c>
      <c r="BA104" s="10">
        <v>26.5</v>
      </c>
      <c r="BB104" s="10">
        <v>26.6</v>
      </c>
      <c r="BC104" s="10">
        <v>26.7</v>
      </c>
      <c r="BD104" s="10">
        <v>26.8</v>
      </c>
    </row>
    <row r="108" spans="1:56" ht="15" x14ac:dyDescent="0.25">
      <c r="A108" s="2" t="s">
        <v>11</v>
      </c>
    </row>
    <row r="109" spans="1:56" ht="15" x14ac:dyDescent="0.25">
      <c r="A109" s="2" t="s">
        <v>5</v>
      </c>
    </row>
    <row r="110" spans="1:56" x14ac:dyDescent="0.2">
      <c r="A110" s="1">
        <v>0</v>
      </c>
      <c r="B110" s="3">
        <v>30150</v>
      </c>
      <c r="C110" s="3">
        <v>31900</v>
      </c>
      <c r="D110" s="3">
        <v>33050</v>
      </c>
      <c r="E110" s="3">
        <v>33060</v>
      </c>
      <c r="F110" s="3">
        <v>33020</v>
      </c>
      <c r="G110" s="3">
        <v>32130</v>
      </c>
      <c r="H110" s="3">
        <v>31320</v>
      </c>
      <c r="I110" s="3">
        <v>30890</v>
      </c>
      <c r="J110" s="3">
        <v>30330</v>
      </c>
      <c r="K110" s="3">
        <v>30060</v>
      </c>
      <c r="L110" s="1">
        <v>30570</v>
      </c>
      <c r="M110" s="1">
        <v>30890</v>
      </c>
      <c r="N110" s="1">
        <v>31180</v>
      </c>
      <c r="O110" s="1">
        <v>31450</v>
      </c>
      <c r="P110" s="1">
        <v>31720</v>
      </c>
      <c r="Q110" s="1">
        <v>31960</v>
      </c>
      <c r="R110" s="1">
        <v>32160</v>
      </c>
      <c r="S110" s="1">
        <v>32340</v>
      </c>
      <c r="T110" s="1">
        <v>32480</v>
      </c>
      <c r="U110" s="1">
        <v>32580</v>
      </c>
      <c r="V110" s="1">
        <v>32650</v>
      </c>
      <c r="W110" s="1">
        <v>32690</v>
      </c>
      <c r="X110" s="1">
        <v>32700</v>
      </c>
      <c r="Y110" s="1">
        <v>32670</v>
      </c>
      <c r="Z110" s="1">
        <v>32610</v>
      </c>
      <c r="AA110" s="1">
        <v>32530</v>
      </c>
      <c r="AB110" s="1">
        <v>32450</v>
      </c>
      <c r="AC110" s="1">
        <v>32360</v>
      </c>
      <c r="AD110" s="1">
        <v>32280</v>
      </c>
      <c r="AE110" s="1">
        <v>32230</v>
      </c>
      <c r="AF110" s="1">
        <v>32200</v>
      </c>
      <c r="AG110" s="1">
        <v>32190</v>
      </c>
      <c r="AH110" s="1">
        <v>32210</v>
      </c>
      <c r="AI110" s="1">
        <v>32240</v>
      </c>
      <c r="AJ110" s="1">
        <v>32280</v>
      </c>
      <c r="AK110" s="1">
        <v>32330</v>
      </c>
      <c r="AL110" s="1">
        <v>32370</v>
      </c>
      <c r="AM110" s="1">
        <v>32410</v>
      </c>
      <c r="AN110" s="1">
        <v>32440</v>
      </c>
      <c r="AO110" s="1">
        <v>32460</v>
      </c>
      <c r="AP110" s="1">
        <v>32480</v>
      </c>
      <c r="AQ110" s="1">
        <v>32490</v>
      </c>
      <c r="AR110" s="1">
        <v>32500</v>
      </c>
      <c r="AS110" s="1">
        <v>32520</v>
      </c>
      <c r="AT110" s="1">
        <v>32550</v>
      </c>
      <c r="AU110" s="1">
        <v>32590</v>
      </c>
      <c r="AV110" s="1">
        <v>32640</v>
      </c>
      <c r="AW110" s="1">
        <v>32700</v>
      </c>
      <c r="AX110" s="1">
        <v>32770</v>
      </c>
      <c r="AY110" s="1">
        <v>32850</v>
      </c>
      <c r="AZ110" s="1">
        <v>32920</v>
      </c>
      <c r="BA110" s="1">
        <v>32990</v>
      </c>
      <c r="BB110" s="1">
        <v>33040</v>
      </c>
      <c r="BC110" s="1">
        <v>33090</v>
      </c>
      <c r="BD110" s="1">
        <v>33130</v>
      </c>
    </row>
    <row r="111" spans="1:56" x14ac:dyDescent="0.2">
      <c r="A111" s="1">
        <v>1</v>
      </c>
      <c r="B111" s="3">
        <v>29380</v>
      </c>
      <c r="C111" s="3">
        <v>30170</v>
      </c>
      <c r="D111" s="3">
        <v>31780</v>
      </c>
      <c r="E111" s="3">
        <v>32980</v>
      </c>
      <c r="F111" s="3">
        <v>33130</v>
      </c>
      <c r="G111" s="3">
        <v>33060</v>
      </c>
      <c r="H111" s="3">
        <v>32050</v>
      </c>
      <c r="I111" s="3">
        <v>31410</v>
      </c>
      <c r="J111" s="3">
        <v>31070</v>
      </c>
      <c r="K111" s="3">
        <v>30540</v>
      </c>
      <c r="L111" s="1">
        <v>30150</v>
      </c>
      <c r="M111" s="1">
        <v>30540</v>
      </c>
      <c r="N111" s="1">
        <v>30860</v>
      </c>
      <c r="O111" s="1">
        <v>31150</v>
      </c>
      <c r="P111" s="1">
        <v>31430</v>
      </c>
      <c r="Q111" s="1">
        <v>31700</v>
      </c>
      <c r="R111" s="1">
        <v>31930</v>
      </c>
      <c r="S111" s="1">
        <v>32140</v>
      </c>
      <c r="T111" s="1">
        <v>32320</v>
      </c>
      <c r="U111" s="1">
        <v>32460</v>
      </c>
      <c r="V111" s="1">
        <v>32560</v>
      </c>
      <c r="W111" s="1">
        <v>32630</v>
      </c>
      <c r="X111" s="1">
        <v>32670</v>
      </c>
      <c r="Y111" s="1">
        <v>32680</v>
      </c>
      <c r="Z111" s="1">
        <v>32650</v>
      </c>
      <c r="AA111" s="1">
        <v>32590</v>
      </c>
      <c r="AB111" s="1">
        <v>32520</v>
      </c>
      <c r="AC111" s="1">
        <v>32430</v>
      </c>
      <c r="AD111" s="1">
        <v>32340</v>
      </c>
      <c r="AE111" s="1">
        <v>32270</v>
      </c>
      <c r="AF111" s="1">
        <v>32210</v>
      </c>
      <c r="AG111" s="1">
        <v>32180</v>
      </c>
      <c r="AH111" s="1">
        <v>32180</v>
      </c>
      <c r="AI111" s="1">
        <v>32190</v>
      </c>
      <c r="AJ111" s="1">
        <v>32230</v>
      </c>
      <c r="AK111" s="1">
        <v>32270</v>
      </c>
      <c r="AL111" s="1">
        <v>32310</v>
      </c>
      <c r="AM111" s="1">
        <v>32360</v>
      </c>
      <c r="AN111" s="1">
        <v>32390</v>
      </c>
      <c r="AO111" s="1">
        <v>32430</v>
      </c>
      <c r="AP111" s="1">
        <v>32450</v>
      </c>
      <c r="AQ111" s="1">
        <v>32460</v>
      </c>
      <c r="AR111" s="1">
        <v>32470</v>
      </c>
      <c r="AS111" s="1">
        <v>32490</v>
      </c>
      <c r="AT111" s="1">
        <v>32510</v>
      </c>
      <c r="AU111" s="1">
        <v>32540</v>
      </c>
      <c r="AV111" s="1">
        <v>32580</v>
      </c>
      <c r="AW111" s="1">
        <v>32630</v>
      </c>
      <c r="AX111" s="1">
        <v>32690</v>
      </c>
      <c r="AY111" s="1">
        <v>32760</v>
      </c>
      <c r="AZ111" s="1">
        <v>32840</v>
      </c>
      <c r="BA111" s="1">
        <v>32910</v>
      </c>
      <c r="BB111" s="1">
        <v>32980</v>
      </c>
      <c r="BC111" s="1">
        <v>33030</v>
      </c>
      <c r="BD111" s="1">
        <v>33080</v>
      </c>
    </row>
    <row r="112" spans="1:56" x14ac:dyDescent="0.2">
      <c r="A112" s="1">
        <v>2</v>
      </c>
      <c r="B112" s="3">
        <v>29510</v>
      </c>
      <c r="C112" s="3">
        <v>29490</v>
      </c>
      <c r="D112" s="3">
        <v>30170</v>
      </c>
      <c r="E112" s="3">
        <v>31800</v>
      </c>
      <c r="F112" s="3">
        <v>33070</v>
      </c>
      <c r="G112" s="3">
        <v>33070</v>
      </c>
      <c r="H112" s="3">
        <v>32930</v>
      </c>
      <c r="I112" s="3">
        <v>31970</v>
      </c>
      <c r="J112" s="3">
        <v>31630</v>
      </c>
      <c r="K112" s="3">
        <v>31330</v>
      </c>
      <c r="L112" s="1">
        <v>30670</v>
      </c>
      <c r="M112" s="1">
        <v>30160</v>
      </c>
      <c r="N112" s="1">
        <v>30550</v>
      </c>
      <c r="O112" s="1">
        <v>30880</v>
      </c>
      <c r="P112" s="1">
        <v>31160</v>
      </c>
      <c r="Q112" s="1">
        <v>31440</v>
      </c>
      <c r="R112" s="1">
        <v>31710</v>
      </c>
      <c r="S112" s="1">
        <v>31950</v>
      </c>
      <c r="T112" s="1">
        <v>32160</v>
      </c>
      <c r="U112" s="1">
        <v>32330</v>
      </c>
      <c r="V112" s="1">
        <v>32470</v>
      </c>
      <c r="W112" s="1">
        <v>32580</v>
      </c>
      <c r="X112" s="1">
        <v>32650</v>
      </c>
      <c r="Y112" s="1">
        <v>32690</v>
      </c>
      <c r="Z112" s="1">
        <v>32690</v>
      </c>
      <c r="AA112" s="1">
        <v>32660</v>
      </c>
      <c r="AB112" s="1">
        <v>32610</v>
      </c>
      <c r="AC112" s="1">
        <v>32530</v>
      </c>
      <c r="AD112" s="1">
        <v>32450</v>
      </c>
      <c r="AE112" s="1">
        <v>32360</v>
      </c>
      <c r="AF112" s="1">
        <v>32280</v>
      </c>
      <c r="AG112" s="1">
        <v>32230</v>
      </c>
      <c r="AH112" s="1">
        <v>32200</v>
      </c>
      <c r="AI112" s="1">
        <v>32200</v>
      </c>
      <c r="AJ112" s="1">
        <v>32210</v>
      </c>
      <c r="AK112" s="1">
        <v>32250</v>
      </c>
      <c r="AL112" s="1">
        <v>32290</v>
      </c>
      <c r="AM112" s="1">
        <v>32330</v>
      </c>
      <c r="AN112" s="1">
        <v>32380</v>
      </c>
      <c r="AO112" s="1">
        <v>32410</v>
      </c>
      <c r="AP112" s="1">
        <v>32450</v>
      </c>
      <c r="AQ112" s="1">
        <v>32470</v>
      </c>
      <c r="AR112" s="1">
        <v>32480</v>
      </c>
      <c r="AS112" s="1">
        <v>32490</v>
      </c>
      <c r="AT112" s="1">
        <v>32510</v>
      </c>
      <c r="AU112" s="1">
        <v>32530</v>
      </c>
      <c r="AV112" s="1">
        <v>32560</v>
      </c>
      <c r="AW112" s="1">
        <v>32600</v>
      </c>
      <c r="AX112" s="1">
        <v>32650</v>
      </c>
      <c r="AY112" s="1">
        <v>32710</v>
      </c>
      <c r="AZ112" s="1">
        <v>32780</v>
      </c>
      <c r="BA112" s="1">
        <v>32860</v>
      </c>
      <c r="BB112" s="1">
        <v>32930</v>
      </c>
      <c r="BC112" s="1">
        <v>33000</v>
      </c>
      <c r="BD112" s="1">
        <v>33050</v>
      </c>
    </row>
    <row r="113" spans="1:56" x14ac:dyDescent="0.2">
      <c r="A113" s="1">
        <v>3</v>
      </c>
      <c r="B113" s="3">
        <v>28800</v>
      </c>
      <c r="C113" s="3">
        <v>29680</v>
      </c>
      <c r="D113" s="3">
        <v>29550</v>
      </c>
      <c r="E113" s="3">
        <v>30280</v>
      </c>
      <c r="F113" s="3">
        <v>31860</v>
      </c>
      <c r="G113" s="3">
        <v>32950</v>
      </c>
      <c r="H113" s="3">
        <v>32970</v>
      </c>
      <c r="I113" s="3">
        <v>32960</v>
      </c>
      <c r="J113" s="3">
        <v>32190</v>
      </c>
      <c r="K113" s="3">
        <v>31890</v>
      </c>
      <c r="L113" s="1">
        <v>31470</v>
      </c>
      <c r="M113" s="1">
        <v>30680</v>
      </c>
      <c r="N113" s="1">
        <v>30170</v>
      </c>
      <c r="O113" s="1">
        <v>30560</v>
      </c>
      <c r="P113" s="1">
        <v>30890</v>
      </c>
      <c r="Q113" s="1">
        <v>31170</v>
      </c>
      <c r="R113" s="1">
        <v>31450</v>
      </c>
      <c r="S113" s="1">
        <v>31720</v>
      </c>
      <c r="T113" s="1">
        <v>31960</v>
      </c>
      <c r="U113" s="1">
        <v>32170</v>
      </c>
      <c r="V113" s="1">
        <v>32340</v>
      </c>
      <c r="W113" s="1">
        <v>32480</v>
      </c>
      <c r="X113" s="1">
        <v>32590</v>
      </c>
      <c r="Y113" s="1">
        <v>32660</v>
      </c>
      <c r="Z113" s="1">
        <v>32700</v>
      </c>
      <c r="AA113" s="1">
        <v>32700</v>
      </c>
      <c r="AB113" s="1">
        <v>32680</v>
      </c>
      <c r="AC113" s="1">
        <v>32620</v>
      </c>
      <c r="AD113" s="1">
        <v>32540</v>
      </c>
      <c r="AE113" s="1">
        <v>32460</v>
      </c>
      <c r="AF113" s="1">
        <v>32370</v>
      </c>
      <c r="AG113" s="1">
        <v>32300</v>
      </c>
      <c r="AH113" s="1">
        <v>32240</v>
      </c>
      <c r="AI113" s="1">
        <v>32210</v>
      </c>
      <c r="AJ113" s="1">
        <v>32210</v>
      </c>
      <c r="AK113" s="1">
        <v>32220</v>
      </c>
      <c r="AL113" s="1">
        <v>32260</v>
      </c>
      <c r="AM113" s="1">
        <v>32300</v>
      </c>
      <c r="AN113" s="1">
        <v>32350</v>
      </c>
      <c r="AO113" s="1">
        <v>32390</v>
      </c>
      <c r="AP113" s="1">
        <v>32430</v>
      </c>
      <c r="AQ113" s="1">
        <v>32460</v>
      </c>
      <c r="AR113" s="1">
        <v>32480</v>
      </c>
      <c r="AS113" s="1">
        <v>32490</v>
      </c>
      <c r="AT113" s="1">
        <v>32510</v>
      </c>
      <c r="AU113" s="1">
        <v>32520</v>
      </c>
      <c r="AV113" s="1">
        <v>32540</v>
      </c>
      <c r="AW113" s="1">
        <v>32570</v>
      </c>
      <c r="AX113" s="1">
        <v>32610</v>
      </c>
      <c r="AY113" s="1">
        <v>32660</v>
      </c>
      <c r="AZ113" s="1">
        <v>32730</v>
      </c>
      <c r="BA113" s="1">
        <v>32800</v>
      </c>
      <c r="BB113" s="1">
        <v>32870</v>
      </c>
      <c r="BC113" s="1">
        <v>32940</v>
      </c>
      <c r="BD113" s="1">
        <v>33010</v>
      </c>
    </row>
    <row r="114" spans="1:56" x14ac:dyDescent="0.2">
      <c r="A114" s="1">
        <v>4</v>
      </c>
      <c r="B114" s="3">
        <v>28370</v>
      </c>
      <c r="C114" s="3">
        <v>28970</v>
      </c>
      <c r="D114" s="3">
        <v>29740</v>
      </c>
      <c r="E114" s="3">
        <v>29670</v>
      </c>
      <c r="F114" s="3">
        <v>30290</v>
      </c>
      <c r="G114" s="3">
        <v>31810</v>
      </c>
      <c r="H114" s="3">
        <v>32820</v>
      </c>
      <c r="I114" s="3">
        <v>32930</v>
      </c>
      <c r="J114" s="3">
        <v>33140</v>
      </c>
      <c r="K114" s="3">
        <v>32450</v>
      </c>
      <c r="L114" s="1">
        <v>32020</v>
      </c>
      <c r="M114" s="1">
        <v>31470</v>
      </c>
      <c r="N114" s="1">
        <v>30680</v>
      </c>
      <c r="O114" s="1">
        <v>30170</v>
      </c>
      <c r="P114" s="1">
        <v>30560</v>
      </c>
      <c r="Q114" s="1">
        <v>30890</v>
      </c>
      <c r="R114" s="1">
        <v>31170</v>
      </c>
      <c r="S114" s="1">
        <v>31450</v>
      </c>
      <c r="T114" s="1">
        <v>31720</v>
      </c>
      <c r="U114" s="1">
        <v>31960</v>
      </c>
      <c r="V114" s="1">
        <v>32170</v>
      </c>
      <c r="W114" s="1">
        <v>32340</v>
      </c>
      <c r="X114" s="1">
        <v>32490</v>
      </c>
      <c r="Y114" s="1">
        <v>32590</v>
      </c>
      <c r="Z114" s="1">
        <v>32660</v>
      </c>
      <c r="AA114" s="1">
        <v>32700</v>
      </c>
      <c r="AB114" s="1">
        <v>32710</v>
      </c>
      <c r="AC114" s="1">
        <v>32680</v>
      </c>
      <c r="AD114" s="1">
        <v>32620</v>
      </c>
      <c r="AE114" s="1">
        <v>32550</v>
      </c>
      <c r="AF114" s="1">
        <v>32460</v>
      </c>
      <c r="AG114" s="1">
        <v>32370</v>
      </c>
      <c r="AH114" s="1">
        <v>32300</v>
      </c>
      <c r="AI114" s="1">
        <v>32240</v>
      </c>
      <c r="AJ114" s="1">
        <v>32220</v>
      </c>
      <c r="AK114" s="1">
        <v>32210</v>
      </c>
      <c r="AL114" s="1">
        <v>32230</v>
      </c>
      <c r="AM114" s="1">
        <v>32260</v>
      </c>
      <c r="AN114" s="1">
        <v>32300</v>
      </c>
      <c r="AO114" s="1">
        <v>32350</v>
      </c>
      <c r="AP114" s="1">
        <v>32390</v>
      </c>
      <c r="AQ114" s="1">
        <v>32430</v>
      </c>
      <c r="AR114" s="1">
        <v>32460</v>
      </c>
      <c r="AS114" s="1">
        <v>32480</v>
      </c>
      <c r="AT114" s="1">
        <v>32500</v>
      </c>
      <c r="AU114" s="1">
        <v>32510</v>
      </c>
      <c r="AV114" s="1">
        <v>32520</v>
      </c>
      <c r="AW114" s="1">
        <v>32540</v>
      </c>
      <c r="AX114" s="1">
        <v>32570</v>
      </c>
      <c r="AY114" s="1">
        <v>32610</v>
      </c>
      <c r="AZ114" s="1">
        <v>32670</v>
      </c>
      <c r="BA114" s="1">
        <v>32730</v>
      </c>
      <c r="BB114" s="1">
        <v>32800</v>
      </c>
      <c r="BC114" s="1">
        <v>32870</v>
      </c>
      <c r="BD114" s="1">
        <v>32950</v>
      </c>
    </row>
    <row r="115" spans="1:56" x14ac:dyDescent="0.2">
      <c r="A115" s="1">
        <v>5</v>
      </c>
      <c r="B115" s="3">
        <v>29670</v>
      </c>
      <c r="C115" s="3">
        <v>28590</v>
      </c>
      <c r="D115" s="3">
        <v>29100</v>
      </c>
      <c r="E115" s="3">
        <v>29870</v>
      </c>
      <c r="F115" s="3">
        <v>29760</v>
      </c>
      <c r="G115" s="3">
        <v>30240</v>
      </c>
      <c r="H115" s="3">
        <v>31670</v>
      </c>
      <c r="I115" s="3">
        <v>32730</v>
      </c>
      <c r="J115" s="3">
        <v>33070</v>
      </c>
      <c r="K115" s="3">
        <v>33390</v>
      </c>
      <c r="L115" s="1">
        <v>32570</v>
      </c>
      <c r="M115" s="1">
        <v>32020</v>
      </c>
      <c r="N115" s="1">
        <v>31470</v>
      </c>
      <c r="O115" s="1">
        <v>30690</v>
      </c>
      <c r="P115" s="1">
        <v>30180</v>
      </c>
      <c r="Q115" s="1">
        <v>30560</v>
      </c>
      <c r="R115" s="1">
        <v>30890</v>
      </c>
      <c r="S115" s="1">
        <v>31180</v>
      </c>
      <c r="T115" s="1">
        <v>31460</v>
      </c>
      <c r="U115" s="1">
        <v>31720</v>
      </c>
      <c r="V115" s="1">
        <v>31960</v>
      </c>
      <c r="W115" s="1">
        <v>32170</v>
      </c>
      <c r="X115" s="1">
        <v>32350</v>
      </c>
      <c r="Y115" s="1">
        <v>32490</v>
      </c>
      <c r="Z115" s="1">
        <v>32590</v>
      </c>
      <c r="AA115" s="1">
        <v>32660</v>
      </c>
      <c r="AB115" s="1">
        <v>32700</v>
      </c>
      <c r="AC115" s="1">
        <v>32710</v>
      </c>
      <c r="AD115" s="1">
        <v>32680</v>
      </c>
      <c r="AE115" s="1">
        <v>32630</v>
      </c>
      <c r="AF115" s="1">
        <v>32550</v>
      </c>
      <c r="AG115" s="1">
        <v>32460</v>
      </c>
      <c r="AH115" s="1">
        <v>32380</v>
      </c>
      <c r="AI115" s="1">
        <v>32300</v>
      </c>
      <c r="AJ115" s="1">
        <v>32250</v>
      </c>
      <c r="AK115" s="1">
        <v>32220</v>
      </c>
      <c r="AL115" s="1">
        <v>32220</v>
      </c>
      <c r="AM115" s="1">
        <v>32230</v>
      </c>
      <c r="AN115" s="1">
        <v>32260</v>
      </c>
      <c r="AO115" s="1">
        <v>32310</v>
      </c>
      <c r="AP115" s="1">
        <v>32350</v>
      </c>
      <c r="AQ115" s="1">
        <v>32400</v>
      </c>
      <c r="AR115" s="1">
        <v>32430</v>
      </c>
      <c r="AS115" s="1">
        <v>32460</v>
      </c>
      <c r="AT115" s="1">
        <v>32490</v>
      </c>
      <c r="AU115" s="1">
        <v>32500</v>
      </c>
      <c r="AV115" s="1">
        <v>32510</v>
      </c>
      <c r="AW115" s="1">
        <v>32530</v>
      </c>
      <c r="AX115" s="1">
        <v>32550</v>
      </c>
      <c r="AY115" s="1">
        <v>32580</v>
      </c>
      <c r="AZ115" s="1">
        <v>32620</v>
      </c>
      <c r="BA115" s="1">
        <v>32670</v>
      </c>
      <c r="BB115" s="1">
        <v>32730</v>
      </c>
      <c r="BC115" s="1">
        <v>32800</v>
      </c>
      <c r="BD115" s="1">
        <v>32880</v>
      </c>
    </row>
    <row r="116" spans="1:56" x14ac:dyDescent="0.2">
      <c r="A116" s="1">
        <v>6</v>
      </c>
      <c r="B116" s="3">
        <v>30280</v>
      </c>
      <c r="C116" s="3">
        <v>29980</v>
      </c>
      <c r="D116" s="3">
        <v>28760</v>
      </c>
      <c r="E116" s="3">
        <v>29210</v>
      </c>
      <c r="F116" s="3">
        <v>29950</v>
      </c>
      <c r="G116" s="3">
        <v>29730</v>
      </c>
      <c r="H116" s="3">
        <v>30080</v>
      </c>
      <c r="I116" s="3">
        <v>31520</v>
      </c>
      <c r="J116" s="3">
        <v>32870</v>
      </c>
      <c r="K116" s="3">
        <v>33320</v>
      </c>
      <c r="L116" s="1">
        <v>33510</v>
      </c>
      <c r="M116" s="1">
        <v>32570</v>
      </c>
      <c r="N116" s="1">
        <v>32020</v>
      </c>
      <c r="O116" s="1">
        <v>31470</v>
      </c>
      <c r="P116" s="1">
        <v>30690</v>
      </c>
      <c r="Q116" s="1">
        <v>30180</v>
      </c>
      <c r="R116" s="1">
        <v>30570</v>
      </c>
      <c r="S116" s="1">
        <v>30890</v>
      </c>
      <c r="T116" s="1">
        <v>31180</v>
      </c>
      <c r="U116" s="1">
        <v>31460</v>
      </c>
      <c r="V116" s="1">
        <v>31730</v>
      </c>
      <c r="W116" s="1">
        <v>31970</v>
      </c>
      <c r="X116" s="1">
        <v>32170</v>
      </c>
      <c r="Y116" s="1">
        <v>32350</v>
      </c>
      <c r="Z116" s="1">
        <v>32490</v>
      </c>
      <c r="AA116" s="1">
        <v>32600</v>
      </c>
      <c r="AB116" s="1">
        <v>32670</v>
      </c>
      <c r="AC116" s="1">
        <v>32710</v>
      </c>
      <c r="AD116" s="1">
        <v>32710</v>
      </c>
      <c r="AE116" s="1">
        <v>32680</v>
      </c>
      <c r="AF116" s="1">
        <v>32630</v>
      </c>
      <c r="AG116" s="1">
        <v>32550</v>
      </c>
      <c r="AH116" s="1">
        <v>32470</v>
      </c>
      <c r="AI116" s="1">
        <v>32380</v>
      </c>
      <c r="AJ116" s="1">
        <v>32310</v>
      </c>
      <c r="AK116" s="1">
        <v>32250</v>
      </c>
      <c r="AL116" s="1">
        <v>32220</v>
      </c>
      <c r="AM116" s="1">
        <v>32220</v>
      </c>
      <c r="AN116" s="1">
        <v>32240</v>
      </c>
      <c r="AO116" s="1">
        <v>32270</v>
      </c>
      <c r="AP116" s="1">
        <v>32310</v>
      </c>
      <c r="AQ116" s="1">
        <v>32360</v>
      </c>
      <c r="AR116" s="1">
        <v>32400</v>
      </c>
      <c r="AS116" s="1">
        <v>32440</v>
      </c>
      <c r="AT116" s="1">
        <v>32470</v>
      </c>
      <c r="AU116" s="1">
        <v>32490</v>
      </c>
      <c r="AV116" s="1">
        <v>32510</v>
      </c>
      <c r="AW116" s="1">
        <v>32520</v>
      </c>
      <c r="AX116" s="1">
        <v>32530</v>
      </c>
      <c r="AY116" s="1">
        <v>32550</v>
      </c>
      <c r="AZ116" s="1">
        <v>32580</v>
      </c>
      <c r="BA116" s="1">
        <v>32620</v>
      </c>
      <c r="BB116" s="1">
        <v>32670</v>
      </c>
      <c r="BC116" s="1">
        <v>32740</v>
      </c>
      <c r="BD116" s="1">
        <v>32810</v>
      </c>
    </row>
    <row r="117" spans="1:56" x14ac:dyDescent="0.2">
      <c r="A117" s="1">
        <v>7</v>
      </c>
      <c r="B117" s="3">
        <v>29500</v>
      </c>
      <c r="C117" s="3">
        <v>30570</v>
      </c>
      <c r="D117" s="3">
        <v>30180</v>
      </c>
      <c r="E117" s="3">
        <v>28890</v>
      </c>
      <c r="F117" s="3">
        <v>29340</v>
      </c>
      <c r="G117" s="3">
        <v>29910</v>
      </c>
      <c r="H117" s="3">
        <v>29610</v>
      </c>
      <c r="I117" s="3">
        <v>29960</v>
      </c>
      <c r="J117" s="3">
        <v>31620</v>
      </c>
      <c r="K117" s="3">
        <v>33110</v>
      </c>
      <c r="L117" s="1">
        <v>33440</v>
      </c>
      <c r="M117" s="1">
        <v>33510</v>
      </c>
      <c r="N117" s="1">
        <v>32570</v>
      </c>
      <c r="O117" s="1">
        <v>32020</v>
      </c>
      <c r="P117" s="1">
        <v>31470</v>
      </c>
      <c r="Q117" s="1">
        <v>30690</v>
      </c>
      <c r="R117" s="1">
        <v>30180</v>
      </c>
      <c r="S117" s="1">
        <v>30570</v>
      </c>
      <c r="T117" s="1">
        <v>30900</v>
      </c>
      <c r="U117" s="1">
        <v>31180</v>
      </c>
      <c r="V117" s="1">
        <v>31460</v>
      </c>
      <c r="W117" s="1">
        <v>31730</v>
      </c>
      <c r="X117" s="1">
        <v>31970</v>
      </c>
      <c r="Y117" s="1">
        <v>32180</v>
      </c>
      <c r="Z117" s="1">
        <v>32350</v>
      </c>
      <c r="AA117" s="1">
        <v>32490</v>
      </c>
      <c r="AB117" s="1">
        <v>32600</v>
      </c>
      <c r="AC117" s="1">
        <v>32670</v>
      </c>
      <c r="AD117" s="1">
        <v>32710</v>
      </c>
      <c r="AE117" s="1">
        <v>32710</v>
      </c>
      <c r="AF117" s="1">
        <v>32690</v>
      </c>
      <c r="AG117" s="1">
        <v>32630</v>
      </c>
      <c r="AH117" s="1">
        <v>32560</v>
      </c>
      <c r="AI117" s="1">
        <v>32470</v>
      </c>
      <c r="AJ117" s="1">
        <v>32380</v>
      </c>
      <c r="AK117" s="1">
        <v>32310</v>
      </c>
      <c r="AL117" s="1">
        <v>32260</v>
      </c>
      <c r="AM117" s="1">
        <v>32230</v>
      </c>
      <c r="AN117" s="1">
        <v>32220</v>
      </c>
      <c r="AO117" s="1">
        <v>32240</v>
      </c>
      <c r="AP117" s="1">
        <v>32270</v>
      </c>
      <c r="AQ117" s="1">
        <v>32310</v>
      </c>
      <c r="AR117" s="1">
        <v>32360</v>
      </c>
      <c r="AS117" s="1">
        <v>32400</v>
      </c>
      <c r="AT117" s="1">
        <v>32440</v>
      </c>
      <c r="AU117" s="1">
        <v>32470</v>
      </c>
      <c r="AV117" s="1">
        <v>32490</v>
      </c>
      <c r="AW117" s="1">
        <v>32510</v>
      </c>
      <c r="AX117" s="1">
        <v>32520</v>
      </c>
      <c r="AY117" s="1">
        <v>32540</v>
      </c>
      <c r="AZ117" s="1">
        <v>32560</v>
      </c>
      <c r="BA117" s="1">
        <v>32580</v>
      </c>
      <c r="BB117" s="1">
        <v>32620</v>
      </c>
      <c r="BC117" s="1">
        <v>32680</v>
      </c>
      <c r="BD117" s="1">
        <v>32740</v>
      </c>
    </row>
    <row r="118" spans="1:56" x14ac:dyDescent="0.2">
      <c r="A118" s="1">
        <v>8</v>
      </c>
      <c r="B118" s="3">
        <v>29960</v>
      </c>
      <c r="C118" s="3">
        <v>29810</v>
      </c>
      <c r="D118" s="3">
        <v>30860</v>
      </c>
      <c r="E118" s="3">
        <v>30370</v>
      </c>
      <c r="F118" s="3">
        <v>29120</v>
      </c>
      <c r="G118" s="3">
        <v>29410</v>
      </c>
      <c r="H118" s="3">
        <v>29840</v>
      </c>
      <c r="I118" s="3">
        <v>29550</v>
      </c>
      <c r="J118" s="3">
        <v>30060</v>
      </c>
      <c r="K118" s="3">
        <v>31860</v>
      </c>
      <c r="L118" s="1">
        <v>33230</v>
      </c>
      <c r="M118" s="1">
        <v>33450</v>
      </c>
      <c r="N118" s="1">
        <v>33520</v>
      </c>
      <c r="O118" s="1">
        <v>32580</v>
      </c>
      <c r="P118" s="1">
        <v>32030</v>
      </c>
      <c r="Q118" s="1">
        <v>31480</v>
      </c>
      <c r="R118" s="1">
        <v>30700</v>
      </c>
      <c r="S118" s="1">
        <v>30190</v>
      </c>
      <c r="T118" s="1">
        <v>30580</v>
      </c>
      <c r="U118" s="1">
        <v>30910</v>
      </c>
      <c r="V118" s="1">
        <v>31190</v>
      </c>
      <c r="W118" s="1">
        <v>31470</v>
      </c>
      <c r="X118" s="1">
        <v>31740</v>
      </c>
      <c r="Y118" s="1">
        <v>31980</v>
      </c>
      <c r="Z118" s="1">
        <v>32180</v>
      </c>
      <c r="AA118" s="1">
        <v>32360</v>
      </c>
      <c r="AB118" s="1">
        <v>32500</v>
      </c>
      <c r="AC118" s="1">
        <v>32610</v>
      </c>
      <c r="AD118" s="1">
        <v>32680</v>
      </c>
      <c r="AE118" s="1">
        <v>32720</v>
      </c>
      <c r="AF118" s="1">
        <v>32720</v>
      </c>
      <c r="AG118" s="1">
        <v>32700</v>
      </c>
      <c r="AH118" s="1">
        <v>32640</v>
      </c>
      <c r="AI118" s="1">
        <v>32570</v>
      </c>
      <c r="AJ118" s="1">
        <v>32480</v>
      </c>
      <c r="AK118" s="1">
        <v>32390</v>
      </c>
      <c r="AL118" s="1">
        <v>32320</v>
      </c>
      <c r="AM118" s="1">
        <v>32270</v>
      </c>
      <c r="AN118" s="1">
        <v>32240</v>
      </c>
      <c r="AO118" s="1">
        <v>32230</v>
      </c>
      <c r="AP118" s="1">
        <v>32250</v>
      </c>
      <c r="AQ118" s="1">
        <v>32280</v>
      </c>
      <c r="AR118" s="1">
        <v>32320</v>
      </c>
      <c r="AS118" s="1">
        <v>32370</v>
      </c>
      <c r="AT118" s="1">
        <v>32410</v>
      </c>
      <c r="AU118" s="1">
        <v>32450</v>
      </c>
      <c r="AV118" s="1">
        <v>32480</v>
      </c>
      <c r="AW118" s="1">
        <v>32500</v>
      </c>
      <c r="AX118" s="1">
        <v>32520</v>
      </c>
      <c r="AY118" s="1">
        <v>32530</v>
      </c>
      <c r="AZ118" s="1">
        <v>32550</v>
      </c>
      <c r="BA118" s="1">
        <v>32570</v>
      </c>
      <c r="BB118" s="1">
        <v>32590</v>
      </c>
      <c r="BC118" s="1">
        <v>32640</v>
      </c>
      <c r="BD118" s="1">
        <v>32690</v>
      </c>
    </row>
    <row r="119" spans="1:56" x14ac:dyDescent="0.2">
      <c r="A119" s="1">
        <v>9</v>
      </c>
      <c r="B119" s="3">
        <v>29820</v>
      </c>
      <c r="C119" s="3">
        <v>30270</v>
      </c>
      <c r="D119" s="3">
        <v>30090</v>
      </c>
      <c r="E119" s="3">
        <v>31080</v>
      </c>
      <c r="F119" s="3">
        <v>30610</v>
      </c>
      <c r="G119" s="3">
        <v>29220</v>
      </c>
      <c r="H119" s="3">
        <v>29330</v>
      </c>
      <c r="I119" s="3">
        <v>29810</v>
      </c>
      <c r="J119" s="3">
        <v>29610</v>
      </c>
      <c r="K119" s="3">
        <v>30320</v>
      </c>
      <c r="L119" s="1">
        <v>32000</v>
      </c>
      <c r="M119" s="1">
        <v>33250</v>
      </c>
      <c r="N119" s="1">
        <v>33460</v>
      </c>
      <c r="O119" s="1">
        <v>33540</v>
      </c>
      <c r="P119" s="1">
        <v>32600</v>
      </c>
      <c r="Q119" s="1">
        <v>32050</v>
      </c>
      <c r="R119" s="1">
        <v>31500</v>
      </c>
      <c r="S119" s="1">
        <v>30710</v>
      </c>
      <c r="T119" s="1">
        <v>30210</v>
      </c>
      <c r="U119" s="1">
        <v>30590</v>
      </c>
      <c r="V119" s="1">
        <v>30920</v>
      </c>
      <c r="W119" s="1">
        <v>31210</v>
      </c>
      <c r="X119" s="1">
        <v>31490</v>
      </c>
      <c r="Y119" s="1">
        <v>31760</v>
      </c>
      <c r="Z119" s="1">
        <v>31990</v>
      </c>
      <c r="AA119" s="1">
        <v>32200</v>
      </c>
      <c r="AB119" s="1">
        <v>32380</v>
      </c>
      <c r="AC119" s="1">
        <v>32520</v>
      </c>
      <c r="AD119" s="1">
        <v>32620</v>
      </c>
      <c r="AE119" s="1">
        <v>32700</v>
      </c>
      <c r="AF119" s="1">
        <v>32740</v>
      </c>
      <c r="AG119" s="1">
        <v>32740</v>
      </c>
      <c r="AH119" s="1">
        <v>32710</v>
      </c>
      <c r="AI119" s="1">
        <v>32660</v>
      </c>
      <c r="AJ119" s="1">
        <v>32580</v>
      </c>
      <c r="AK119" s="1">
        <v>32500</v>
      </c>
      <c r="AL119" s="1">
        <v>32410</v>
      </c>
      <c r="AM119" s="1">
        <v>32340</v>
      </c>
      <c r="AN119" s="1">
        <v>32280</v>
      </c>
      <c r="AO119" s="1">
        <v>32250</v>
      </c>
      <c r="AP119" s="1">
        <v>32250</v>
      </c>
      <c r="AQ119" s="1">
        <v>32270</v>
      </c>
      <c r="AR119" s="1">
        <v>32300</v>
      </c>
      <c r="AS119" s="1">
        <v>32340</v>
      </c>
      <c r="AT119" s="1">
        <v>32390</v>
      </c>
      <c r="AU119" s="1">
        <v>32430</v>
      </c>
      <c r="AV119" s="1">
        <v>32470</v>
      </c>
      <c r="AW119" s="1">
        <v>32500</v>
      </c>
      <c r="AX119" s="1">
        <v>32520</v>
      </c>
      <c r="AY119" s="1">
        <v>32540</v>
      </c>
      <c r="AZ119" s="1">
        <v>32550</v>
      </c>
      <c r="BA119" s="1">
        <v>32560</v>
      </c>
      <c r="BB119" s="1">
        <v>32580</v>
      </c>
      <c r="BC119" s="1">
        <v>32610</v>
      </c>
      <c r="BD119" s="1">
        <v>32650</v>
      </c>
    </row>
    <row r="120" spans="1:56" x14ac:dyDescent="0.2">
      <c r="A120" s="1">
        <v>10</v>
      </c>
      <c r="B120" s="3">
        <v>31100</v>
      </c>
      <c r="C120" s="3">
        <v>30190</v>
      </c>
      <c r="D120" s="3">
        <v>30480</v>
      </c>
      <c r="E120" s="3">
        <v>30320</v>
      </c>
      <c r="F120" s="3">
        <v>31360</v>
      </c>
      <c r="G120" s="3">
        <v>30720</v>
      </c>
      <c r="H120" s="3">
        <v>29220</v>
      </c>
      <c r="I120" s="3">
        <v>29330</v>
      </c>
      <c r="J120" s="3">
        <v>29910</v>
      </c>
      <c r="K120" s="3">
        <v>29880</v>
      </c>
      <c r="L120" s="1">
        <v>30460</v>
      </c>
      <c r="M120" s="1">
        <v>32010</v>
      </c>
      <c r="N120" s="1">
        <v>33260</v>
      </c>
      <c r="O120" s="1">
        <v>33470</v>
      </c>
      <c r="P120" s="1">
        <v>33550</v>
      </c>
      <c r="Q120" s="1">
        <v>32610</v>
      </c>
      <c r="R120" s="1">
        <v>32060</v>
      </c>
      <c r="S120" s="1">
        <v>31510</v>
      </c>
      <c r="T120" s="1">
        <v>30730</v>
      </c>
      <c r="U120" s="1">
        <v>30220</v>
      </c>
      <c r="V120" s="1">
        <v>30610</v>
      </c>
      <c r="W120" s="1">
        <v>30940</v>
      </c>
      <c r="X120" s="1">
        <v>31220</v>
      </c>
      <c r="Y120" s="1">
        <v>31500</v>
      </c>
      <c r="Z120" s="1">
        <v>31770</v>
      </c>
      <c r="AA120" s="1">
        <v>32010</v>
      </c>
      <c r="AB120" s="1">
        <v>32220</v>
      </c>
      <c r="AC120" s="1">
        <v>32390</v>
      </c>
      <c r="AD120" s="1">
        <v>32530</v>
      </c>
      <c r="AE120" s="1">
        <v>32640</v>
      </c>
      <c r="AF120" s="1">
        <v>32710</v>
      </c>
      <c r="AG120" s="1">
        <v>32750</v>
      </c>
      <c r="AH120" s="1">
        <v>32760</v>
      </c>
      <c r="AI120" s="1">
        <v>32730</v>
      </c>
      <c r="AJ120" s="1">
        <v>32670</v>
      </c>
      <c r="AK120" s="1">
        <v>32600</v>
      </c>
      <c r="AL120" s="1">
        <v>32510</v>
      </c>
      <c r="AM120" s="1">
        <v>32430</v>
      </c>
      <c r="AN120" s="1">
        <v>32350</v>
      </c>
      <c r="AO120" s="1">
        <v>32300</v>
      </c>
      <c r="AP120" s="1">
        <v>32270</v>
      </c>
      <c r="AQ120" s="1">
        <v>32270</v>
      </c>
      <c r="AR120" s="1">
        <v>32280</v>
      </c>
      <c r="AS120" s="1">
        <v>32310</v>
      </c>
      <c r="AT120" s="1">
        <v>32360</v>
      </c>
      <c r="AU120" s="1">
        <v>32400</v>
      </c>
      <c r="AV120" s="1">
        <v>32450</v>
      </c>
      <c r="AW120" s="1">
        <v>32480</v>
      </c>
      <c r="AX120" s="1">
        <v>32520</v>
      </c>
      <c r="AY120" s="1">
        <v>32540</v>
      </c>
      <c r="AZ120" s="1">
        <v>32550</v>
      </c>
      <c r="BA120" s="1">
        <v>32570</v>
      </c>
      <c r="BB120" s="1">
        <v>32580</v>
      </c>
      <c r="BC120" s="1">
        <v>32600</v>
      </c>
      <c r="BD120" s="1">
        <v>32630</v>
      </c>
    </row>
    <row r="121" spans="1:56" x14ac:dyDescent="0.2">
      <c r="A121" s="1">
        <v>11</v>
      </c>
      <c r="B121" s="3">
        <v>31570</v>
      </c>
      <c r="C121" s="3">
        <v>31310</v>
      </c>
      <c r="D121" s="3">
        <v>30420</v>
      </c>
      <c r="E121" s="3">
        <v>30690</v>
      </c>
      <c r="F121" s="3">
        <v>30620</v>
      </c>
      <c r="G121" s="3">
        <v>31500</v>
      </c>
      <c r="H121" s="3">
        <v>30790</v>
      </c>
      <c r="I121" s="3">
        <v>29240</v>
      </c>
      <c r="J121" s="3">
        <v>29430</v>
      </c>
      <c r="K121" s="3">
        <v>30170</v>
      </c>
      <c r="L121" s="1">
        <v>30020</v>
      </c>
      <c r="M121" s="1">
        <v>30470</v>
      </c>
      <c r="N121" s="1">
        <v>32030</v>
      </c>
      <c r="O121" s="1">
        <v>33280</v>
      </c>
      <c r="P121" s="1">
        <v>33490</v>
      </c>
      <c r="Q121" s="1">
        <v>33560</v>
      </c>
      <c r="R121" s="1">
        <v>32630</v>
      </c>
      <c r="S121" s="1">
        <v>32080</v>
      </c>
      <c r="T121" s="1">
        <v>31530</v>
      </c>
      <c r="U121" s="1">
        <v>30740</v>
      </c>
      <c r="V121" s="1">
        <v>30240</v>
      </c>
      <c r="W121" s="1">
        <v>30620</v>
      </c>
      <c r="X121" s="1">
        <v>30950</v>
      </c>
      <c r="Y121" s="1">
        <v>31240</v>
      </c>
      <c r="Z121" s="1">
        <v>31520</v>
      </c>
      <c r="AA121" s="1">
        <v>31790</v>
      </c>
      <c r="AB121" s="1">
        <v>32020</v>
      </c>
      <c r="AC121" s="1">
        <v>32230</v>
      </c>
      <c r="AD121" s="1">
        <v>32410</v>
      </c>
      <c r="AE121" s="1">
        <v>32550</v>
      </c>
      <c r="AF121" s="1">
        <v>32660</v>
      </c>
      <c r="AG121" s="1">
        <v>32730</v>
      </c>
      <c r="AH121" s="1">
        <v>32770</v>
      </c>
      <c r="AI121" s="1">
        <v>32770</v>
      </c>
      <c r="AJ121" s="1">
        <v>32750</v>
      </c>
      <c r="AK121" s="1">
        <v>32690</v>
      </c>
      <c r="AL121" s="1">
        <v>32610</v>
      </c>
      <c r="AM121" s="1">
        <v>32530</v>
      </c>
      <c r="AN121" s="1">
        <v>32440</v>
      </c>
      <c r="AO121" s="1">
        <v>32370</v>
      </c>
      <c r="AP121" s="1">
        <v>32310</v>
      </c>
      <c r="AQ121" s="1">
        <v>32290</v>
      </c>
      <c r="AR121" s="1">
        <v>32280</v>
      </c>
      <c r="AS121" s="1">
        <v>32300</v>
      </c>
      <c r="AT121" s="1">
        <v>32330</v>
      </c>
      <c r="AU121" s="1">
        <v>32370</v>
      </c>
      <c r="AV121" s="1">
        <v>32420</v>
      </c>
      <c r="AW121" s="1">
        <v>32460</v>
      </c>
      <c r="AX121" s="1">
        <v>32500</v>
      </c>
      <c r="AY121" s="1">
        <v>32530</v>
      </c>
      <c r="AZ121" s="1">
        <v>32560</v>
      </c>
      <c r="BA121" s="1">
        <v>32570</v>
      </c>
      <c r="BB121" s="1">
        <v>32580</v>
      </c>
      <c r="BC121" s="1">
        <v>32600</v>
      </c>
      <c r="BD121" s="1">
        <v>32620</v>
      </c>
    </row>
    <row r="122" spans="1:56" x14ac:dyDescent="0.2">
      <c r="A122" s="1">
        <v>12</v>
      </c>
      <c r="B122" s="3">
        <v>31640</v>
      </c>
      <c r="C122" s="3">
        <v>31640</v>
      </c>
      <c r="D122" s="3">
        <v>31450</v>
      </c>
      <c r="E122" s="3">
        <v>30620</v>
      </c>
      <c r="F122" s="3">
        <v>30980</v>
      </c>
      <c r="G122" s="3">
        <v>30730</v>
      </c>
      <c r="H122" s="3">
        <v>31640</v>
      </c>
      <c r="I122" s="3">
        <v>30870</v>
      </c>
      <c r="J122" s="3">
        <v>29290</v>
      </c>
      <c r="K122" s="3">
        <v>29680</v>
      </c>
      <c r="L122" s="1">
        <v>30310</v>
      </c>
      <c r="M122" s="1">
        <v>30040</v>
      </c>
      <c r="N122" s="1">
        <v>30490</v>
      </c>
      <c r="O122" s="1">
        <v>32050</v>
      </c>
      <c r="P122" s="1">
        <v>33300</v>
      </c>
      <c r="Q122" s="1">
        <v>33510</v>
      </c>
      <c r="R122" s="1">
        <v>33580</v>
      </c>
      <c r="S122" s="1">
        <v>32640</v>
      </c>
      <c r="T122" s="1">
        <v>32090</v>
      </c>
      <c r="U122" s="1">
        <v>31540</v>
      </c>
      <c r="V122" s="1">
        <v>30760</v>
      </c>
      <c r="W122" s="1">
        <v>30250</v>
      </c>
      <c r="X122" s="1">
        <v>30640</v>
      </c>
      <c r="Y122" s="1">
        <v>30970</v>
      </c>
      <c r="Z122" s="1">
        <v>31260</v>
      </c>
      <c r="AA122" s="1">
        <v>31540</v>
      </c>
      <c r="AB122" s="1">
        <v>31810</v>
      </c>
      <c r="AC122" s="1">
        <v>32040</v>
      </c>
      <c r="AD122" s="1">
        <v>32250</v>
      </c>
      <c r="AE122" s="1">
        <v>32430</v>
      </c>
      <c r="AF122" s="1">
        <v>32570</v>
      </c>
      <c r="AG122" s="1">
        <v>32670</v>
      </c>
      <c r="AH122" s="1">
        <v>32750</v>
      </c>
      <c r="AI122" s="1">
        <v>32790</v>
      </c>
      <c r="AJ122" s="1">
        <v>32790</v>
      </c>
      <c r="AK122" s="1">
        <v>32770</v>
      </c>
      <c r="AL122" s="1">
        <v>32710</v>
      </c>
      <c r="AM122" s="1">
        <v>32640</v>
      </c>
      <c r="AN122" s="1">
        <v>32550</v>
      </c>
      <c r="AO122" s="1">
        <v>32460</v>
      </c>
      <c r="AP122" s="1">
        <v>32390</v>
      </c>
      <c r="AQ122" s="1">
        <v>32330</v>
      </c>
      <c r="AR122" s="1">
        <v>32310</v>
      </c>
      <c r="AS122" s="1">
        <v>32300</v>
      </c>
      <c r="AT122" s="1">
        <v>32320</v>
      </c>
      <c r="AU122" s="1">
        <v>32350</v>
      </c>
      <c r="AV122" s="1">
        <v>32400</v>
      </c>
      <c r="AW122" s="1">
        <v>32440</v>
      </c>
      <c r="AX122" s="1">
        <v>32480</v>
      </c>
      <c r="AY122" s="1">
        <v>32520</v>
      </c>
      <c r="AZ122" s="1">
        <v>32550</v>
      </c>
      <c r="BA122" s="1">
        <v>32580</v>
      </c>
      <c r="BB122" s="1">
        <v>32590</v>
      </c>
      <c r="BC122" s="1">
        <v>32600</v>
      </c>
      <c r="BD122" s="1">
        <v>32620</v>
      </c>
    </row>
    <row r="123" spans="1:56" x14ac:dyDescent="0.2">
      <c r="A123" s="1">
        <v>13</v>
      </c>
      <c r="B123" s="3">
        <v>32400</v>
      </c>
      <c r="C123" s="3">
        <v>31620</v>
      </c>
      <c r="D123" s="3">
        <v>31620</v>
      </c>
      <c r="E123" s="3">
        <v>31610</v>
      </c>
      <c r="F123" s="3">
        <v>30840</v>
      </c>
      <c r="G123" s="3">
        <v>31190</v>
      </c>
      <c r="H123" s="3">
        <v>30830</v>
      </c>
      <c r="I123" s="3">
        <v>31780</v>
      </c>
      <c r="J123" s="3">
        <v>30950</v>
      </c>
      <c r="K123" s="3">
        <v>29530</v>
      </c>
      <c r="L123" s="1">
        <v>29820</v>
      </c>
      <c r="M123" s="1">
        <v>30330</v>
      </c>
      <c r="N123" s="1">
        <v>30060</v>
      </c>
      <c r="O123" s="1">
        <v>30520</v>
      </c>
      <c r="P123" s="1">
        <v>32070</v>
      </c>
      <c r="Q123" s="1">
        <v>33320</v>
      </c>
      <c r="R123" s="1">
        <v>33530</v>
      </c>
      <c r="S123" s="1">
        <v>33610</v>
      </c>
      <c r="T123" s="1">
        <v>32670</v>
      </c>
      <c r="U123" s="1">
        <v>32120</v>
      </c>
      <c r="V123" s="1">
        <v>31570</v>
      </c>
      <c r="W123" s="1">
        <v>30790</v>
      </c>
      <c r="X123" s="1">
        <v>30280</v>
      </c>
      <c r="Y123" s="1">
        <v>30670</v>
      </c>
      <c r="Z123" s="1">
        <v>31000</v>
      </c>
      <c r="AA123" s="1">
        <v>31280</v>
      </c>
      <c r="AB123" s="1">
        <v>31560</v>
      </c>
      <c r="AC123" s="1">
        <v>31830</v>
      </c>
      <c r="AD123" s="1">
        <v>32070</v>
      </c>
      <c r="AE123" s="1">
        <v>32280</v>
      </c>
      <c r="AF123" s="1">
        <v>32460</v>
      </c>
      <c r="AG123" s="1">
        <v>32600</v>
      </c>
      <c r="AH123" s="1">
        <v>32700</v>
      </c>
      <c r="AI123" s="1">
        <v>32780</v>
      </c>
      <c r="AJ123" s="1">
        <v>32820</v>
      </c>
      <c r="AK123" s="1">
        <v>32820</v>
      </c>
      <c r="AL123" s="1">
        <v>32790</v>
      </c>
      <c r="AM123" s="1">
        <v>32740</v>
      </c>
      <c r="AN123" s="1">
        <v>32660</v>
      </c>
      <c r="AO123" s="1">
        <v>32580</v>
      </c>
      <c r="AP123" s="1">
        <v>32490</v>
      </c>
      <c r="AQ123" s="1">
        <v>32420</v>
      </c>
      <c r="AR123" s="1">
        <v>32360</v>
      </c>
      <c r="AS123" s="1">
        <v>32340</v>
      </c>
      <c r="AT123" s="1">
        <v>32330</v>
      </c>
      <c r="AU123" s="1">
        <v>32350</v>
      </c>
      <c r="AV123" s="1">
        <v>32380</v>
      </c>
      <c r="AW123" s="1">
        <v>32430</v>
      </c>
      <c r="AX123" s="1">
        <v>32470</v>
      </c>
      <c r="AY123" s="1">
        <v>32510</v>
      </c>
      <c r="AZ123" s="1">
        <v>32550</v>
      </c>
      <c r="BA123" s="1">
        <v>32580</v>
      </c>
      <c r="BB123" s="1">
        <v>32610</v>
      </c>
      <c r="BC123" s="1">
        <v>32620</v>
      </c>
      <c r="BD123" s="1">
        <v>32640</v>
      </c>
    </row>
    <row r="124" spans="1:56" x14ac:dyDescent="0.2">
      <c r="A124" s="1">
        <v>14</v>
      </c>
      <c r="B124" s="3">
        <v>32800</v>
      </c>
      <c r="C124" s="3">
        <v>32260</v>
      </c>
      <c r="D124" s="3">
        <v>31550</v>
      </c>
      <c r="E124" s="3">
        <v>31640</v>
      </c>
      <c r="F124" s="3">
        <v>31810</v>
      </c>
      <c r="G124" s="3">
        <v>31060</v>
      </c>
      <c r="H124" s="3">
        <v>31400</v>
      </c>
      <c r="I124" s="3">
        <v>30980</v>
      </c>
      <c r="J124" s="3">
        <v>31870</v>
      </c>
      <c r="K124" s="3">
        <v>31180</v>
      </c>
      <c r="L124" s="1">
        <v>29660</v>
      </c>
      <c r="M124" s="1">
        <v>29860</v>
      </c>
      <c r="N124" s="1">
        <v>30380</v>
      </c>
      <c r="O124" s="1">
        <v>30110</v>
      </c>
      <c r="P124" s="1">
        <v>30560</v>
      </c>
      <c r="Q124" s="1">
        <v>32120</v>
      </c>
      <c r="R124" s="1">
        <v>33370</v>
      </c>
      <c r="S124" s="1">
        <v>33580</v>
      </c>
      <c r="T124" s="1">
        <v>33650</v>
      </c>
      <c r="U124" s="1">
        <v>32720</v>
      </c>
      <c r="V124" s="1">
        <v>32170</v>
      </c>
      <c r="W124" s="1">
        <v>31620</v>
      </c>
      <c r="X124" s="1">
        <v>30840</v>
      </c>
      <c r="Y124" s="1">
        <v>30330</v>
      </c>
      <c r="Z124" s="1">
        <v>30720</v>
      </c>
      <c r="AA124" s="1">
        <v>31050</v>
      </c>
      <c r="AB124" s="1">
        <v>31330</v>
      </c>
      <c r="AC124" s="1">
        <v>31610</v>
      </c>
      <c r="AD124" s="1">
        <v>31880</v>
      </c>
      <c r="AE124" s="1">
        <v>32120</v>
      </c>
      <c r="AF124" s="1">
        <v>32330</v>
      </c>
      <c r="AG124" s="1">
        <v>32500</v>
      </c>
      <c r="AH124" s="1">
        <v>32640</v>
      </c>
      <c r="AI124" s="1">
        <v>32750</v>
      </c>
      <c r="AJ124" s="1">
        <v>32820</v>
      </c>
      <c r="AK124" s="1">
        <v>32860</v>
      </c>
      <c r="AL124" s="1">
        <v>32870</v>
      </c>
      <c r="AM124" s="1">
        <v>32840</v>
      </c>
      <c r="AN124" s="1">
        <v>32790</v>
      </c>
      <c r="AO124" s="1">
        <v>32710</v>
      </c>
      <c r="AP124" s="1">
        <v>32630</v>
      </c>
      <c r="AQ124" s="1">
        <v>32540</v>
      </c>
      <c r="AR124" s="1">
        <v>32470</v>
      </c>
      <c r="AS124" s="1">
        <v>32410</v>
      </c>
      <c r="AT124" s="1">
        <v>32380</v>
      </c>
      <c r="AU124" s="1">
        <v>32380</v>
      </c>
      <c r="AV124" s="1">
        <v>32400</v>
      </c>
      <c r="AW124" s="1">
        <v>32430</v>
      </c>
      <c r="AX124" s="1">
        <v>32470</v>
      </c>
      <c r="AY124" s="1">
        <v>32520</v>
      </c>
      <c r="AZ124" s="1">
        <v>32560</v>
      </c>
      <c r="BA124" s="1">
        <v>32600</v>
      </c>
      <c r="BB124" s="1">
        <v>32630</v>
      </c>
      <c r="BC124" s="1">
        <v>32650</v>
      </c>
      <c r="BD124" s="1">
        <v>32670</v>
      </c>
    </row>
    <row r="125" spans="1:56" x14ac:dyDescent="0.2">
      <c r="A125" s="1">
        <v>15</v>
      </c>
      <c r="B125" s="3">
        <v>33590</v>
      </c>
      <c r="C125" s="3">
        <v>32590</v>
      </c>
      <c r="D125" s="3">
        <v>32100</v>
      </c>
      <c r="E125" s="3">
        <v>31480</v>
      </c>
      <c r="F125" s="3">
        <v>31790</v>
      </c>
      <c r="G125" s="3">
        <v>31950</v>
      </c>
      <c r="H125" s="3">
        <v>31310</v>
      </c>
      <c r="I125" s="3">
        <v>31620</v>
      </c>
      <c r="J125" s="3">
        <v>31180</v>
      </c>
      <c r="K125" s="3">
        <v>32150</v>
      </c>
      <c r="L125" s="1">
        <v>31370</v>
      </c>
      <c r="M125" s="1">
        <v>29770</v>
      </c>
      <c r="N125" s="1">
        <v>29970</v>
      </c>
      <c r="O125" s="1">
        <v>30490</v>
      </c>
      <c r="P125" s="1">
        <v>30220</v>
      </c>
      <c r="Q125" s="1">
        <v>30680</v>
      </c>
      <c r="R125" s="1">
        <v>32230</v>
      </c>
      <c r="S125" s="1">
        <v>33480</v>
      </c>
      <c r="T125" s="1">
        <v>33690</v>
      </c>
      <c r="U125" s="1">
        <v>33760</v>
      </c>
      <c r="V125" s="1">
        <v>32830</v>
      </c>
      <c r="W125" s="1">
        <v>32280</v>
      </c>
      <c r="X125" s="1">
        <v>31730</v>
      </c>
      <c r="Y125" s="1">
        <v>30950</v>
      </c>
      <c r="Z125" s="1">
        <v>30440</v>
      </c>
      <c r="AA125" s="1">
        <v>30830</v>
      </c>
      <c r="AB125" s="1">
        <v>31160</v>
      </c>
      <c r="AC125" s="1">
        <v>31440</v>
      </c>
      <c r="AD125" s="1">
        <v>31720</v>
      </c>
      <c r="AE125" s="1">
        <v>31990</v>
      </c>
      <c r="AF125" s="1">
        <v>32230</v>
      </c>
      <c r="AG125" s="1">
        <v>32440</v>
      </c>
      <c r="AH125" s="1">
        <v>32620</v>
      </c>
      <c r="AI125" s="1">
        <v>32760</v>
      </c>
      <c r="AJ125" s="1">
        <v>32860</v>
      </c>
      <c r="AK125" s="1">
        <v>32940</v>
      </c>
      <c r="AL125" s="1">
        <v>32980</v>
      </c>
      <c r="AM125" s="1">
        <v>32980</v>
      </c>
      <c r="AN125" s="1">
        <v>32960</v>
      </c>
      <c r="AO125" s="1">
        <v>32900</v>
      </c>
      <c r="AP125" s="1">
        <v>32830</v>
      </c>
      <c r="AQ125" s="1">
        <v>32740</v>
      </c>
      <c r="AR125" s="1">
        <v>32650</v>
      </c>
      <c r="AS125" s="1">
        <v>32580</v>
      </c>
      <c r="AT125" s="1">
        <v>32530</v>
      </c>
      <c r="AU125" s="1">
        <v>32500</v>
      </c>
      <c r="AV125" s="1">
        <v>32500</v>
      </c>
      <c r="AW125" s="1">
        <v>32510</v>
      </c>
      <c r="AX125" s="1">
        <v>32550</v>
      </c>
      <c r="AY125" s="1">
        <v>32590</v>
      </c>
      <c r="AZ125" s="1">
        <v>32630</v>
      </c>
      <c r="BA125" s="1">
        <v>32680</v>
      </c>
      <c r="BB125" s="1">
        <v>32720</v>
      </c>
      <c r="BC125" s="1">
        <v>32750</v>
      </c>
      <c r="BD125" s="1">
        <v>32770</v>
      </c>
    </row>
    <row r="126" spans="1:56" x14ac:dyDescent="0.2">
      <c r="A126" s="1">
        <v>16</v>
      </c>
      <c r="B126" s="3">
        <v>32610</v>
      </c>
      <c r="C126" s="3">
        <v>33310</v>
      </c>
      <c r="D126" s="3">
        <v>32300</v>
      </c>
      <c r="E126" s="3">
        <v>32050</v>
      </c>
      <c r="F126" s="3">
        <v>31680</v>
      </c>
      <c r="G126" s="3">
        <v>31980</v>
      </c>
      <c r="H126" s="3">
        <v>32180</v>
      </c>
      <c r="I126" s="3">
        <v>31650</v>
      </c>
      <c r="J126" s="3">
        <v>31910</v>
      </c>
      <c r="K126" s="3">
        <v>31570</v>
      </c>
      <c r="L126" s="1">
        <v>32450</v>
      </c>
      <c r="M126" s="1">
        <v>31580</v>
      </c>
      <c r="N126" s="1">
        <v>29990</v>
      </c>
      <c r="O126" s="1">
        <v>30190</v>
      </c>
      <c r="P126" s="1">
        <v>30700</v>
      </c>
      <c r="Q126" s="1">
        <v>30430</v>
      </c>
      <c r="R126" s="1">
        <v>30890</v>
      </c>
      <c r="S126" s="1">
        <v>32440</v>
      </c>
      <c r="T126" s="1">
        <v>33690</v>
      </c>
      <c r="U126" s="1">
        <v>33900</v>
      </c>
      <c r="V126" s="1">
        <v>33980</v>
      </c>
      <c r="W126" s="1">
        <v>33040</v>
      </c>
      <c r="X126" s="1">
        <v>32490</v>
      </c>
      <c r="Y126" s="1">
        <v>31950</v>
      </c>
      <c r="Z126" s="1">
        <v>31170</v>
      </c>
      <c r="AA126" s="1">
        <v>30660</v>
      </c>
      <c r="AB126" s="1">
        <v>31050</v>
      </c>
      <c r="AC126" s="1">
        <v>31380</v>
      </c>
      <c r="AD126" s="1">
        <v>31660</v>
      </c>
      <c r="AE126" s="1">
        <v>31940</v>
      </c>
      <c r="AF126" s="1">
        <v>32210</v>
      </c>
      <c r="AG126" s="1">
        <v>32450</v>
      </c>
      <c r="AH126" s="1">
        <v>32660</v>
      </c>
      <c r="AI126" s="1">
        <v>32840</v>
      </c>
      <c r="AJ126" s="1">
        <v>32980</v>
      </c>
      <c r="AK126" s="1">
        <v>33080</v>
      </c>
      <c r="AL126" s="1">
        <v>33160</v>
      </c>
      <c r="AM126" s="1">
        <v>33200</v>
      </c>
      <c r="AN126" s="1">
        <v>33200</v>
      </c>
      <c r="AO126" s="1">
        <v>33180</v>
      </c>
      <c r="AP126" s="1">
        <v>33120</v>
      </c>
      <c r="AQ126" s="1">
        <v>33050</v>
      </c>
      <c r="AR126" s="1">
        <v>32960</v>
      </c>
      <c r="AS126" s="1">
        <v>32880</v>
      </c>
      <c r="AT126" s="1">
        <v>32800</v>
      </c>
      <c r="AU126" s="1">
        <v>32750</v>
      </c>
      <c r="AV126" s="1">
        <v>32720</v>
      </c>
      <c r="AW126" s="1">
        <v>32720</v>
      </c>
      <c r="AX126" s="1">
        <v>32730</v>
      </c>
      <c r="AY126" s="1">
        <v>32770</v>
      </c>
      <c r="AZ126" s="1">
        <v>32810</v>
      </c>
      <c r="BA126" s="1">
        <v>32860</v>
      </c>
      <c r="BB126" s="1">
        <v>32900</v>
      </c>
      <c r="BC126" s="1">
        <v>32940</v>
      </c>
      <c r="BD126" s="1">
        <v>32970</v>
      </c>
    </row>
    <row r="127" spans="1:56" x14ac:dyDescent="0.2">
      <c r="A127" s="1">
        <v>17</v>
      </c>
      <c r="B127" s="3">
        <v>31820</v>
      </c>
      <c r="C127" s="3">
        <v>32260</v>
      </c>
      <c r="D127" s="3">
        <v>33160</v>
      </c>
      <c r="E127" s="3">
        <v>32180</v>
      </c>
      <c r="F127" s="3">
        <v>32210</v>
      </c>
      <c r="G127" s="3">
        <v>31800</v>
      </c>
      <c r="H127" s="3">
        <v>32120</v>
      </c>
      <c r="I127" s="3">
        <v>32430</v>
      </c>
      <c r="J127" s="3">
        <v>32040</v>
      </c>
      <c r="K127" s="3">
        <v>32330</v>
      </c>
      <c r="L127" s="1">
        <v>31890</v>
      </c>
      <c r="M127" s="1">
        <v>32650</v>
      </c>
      <c r="N127" s="1">
        <v>31790</v>
      </c>
      <c r="O127" s="1">
        <v>30190</v>
      </c>
      <c r="P127" s="1">
        <v>30390</v>
      </c>
      <c r="Q127" s="1">
        <v>30910</v>
      </c>
      <c r="R127" s="1">
        <v>30640</v>
      </c>
      <c r="S127" s="1">
        <v>31100</v>
      </c>
      <c r="T127" s="1">
        <v>32650</v>
      </c>
      <c r="U127" s="1">
        <v>33890</v>
      </c>
      <c r="V127" s="1">
        <v>34110</v>
      </c>
      <c r="W127" s="1">
        <v>34180</v>
      </c>
      <c r="X127" s="1">
        <v>33250</v>
      </c>
      <c r="Y127" s="1">
        <v>32700</v>
      </c>
      <c r="Z127" s="1">
        <v>32150</v>
      </c>
      <c r="AA127" s="1">
        <v>31370</v>
      </c>
      <c r="AB127" s="1">
        <v>30870</v>
      </c>
      <c r="AC127" s="1">
        <v>31250</v>
      </c>
      <c r="AD127" s="1">
        <v>31580</v>
      </c>
      <c r="AE127" s="1">
        <v>31870</v>
      </c>
      <c r="AF127" s="1">
        <v>32150</v>
      </c>
      <c r="AG127" s="1">
        <v>32420</v>
      </c>
      <c r="AH127" s="1">
        <v>32660</v>
      </c>
      <c r="AI127" s="1">
        <v>32870</v>
      </c>
      <c r="AJ127" s="1">
        <v>33040</v>
      </c>
      <c r="AK127" s="1">
        <v>33180</v>
      </c>
      <c r="AL127" s="1">
        <v>33290</v>
      </c>
      <c r="AM127" s="1">
        <v>33360</v>
      </c>
      <c r="AN127" s="1">
        <v>33400</v>
      </c>
      <c r="AO127" s="1">
        <v>33410</v>
      </c>
      <c r="AP127" s="1">
        <v>33380</v>
      </c>
      <c r="AQ127" s="1">
        <v>33330</v>
      </c>
      <c r="AR127" s="1">
        <v>33260</v>
      </c>
      <c r="AS127" s="1">
        <v>33170</v>
      </c>
      <c r="AT127" s="1">
        <v>33090</v>
      </c>
      <c r="AU127" s="1">
        <v>33010</v>
      </c>
      <c r="AV127" s="1">
        <v>32960</v>
      </c>
      <c r="AW127" s="1">
        <v>32930</v>
      </c>
      <c r="AX127" s="1">
        <v>32930</v>
      </c>
      <c r="AY127" s="1">
        <v>32940</v>
      </c>
      <c r="AZ127" s="1">
        <v>32980</v>
      </c>
      <c r="BA127" s="1">
        <v>33020</v>
      </c>
      <c r="BB127" s="1">
        <v>33070</v>
      </c>
      <c r="BC127" s="1">
        <v>33110</v>
      </c>
      <c r="BD127" s="1">
        <v>33150</v>
      </c>
    </row>
    <row r="128" spans="1:56" x14ac:dyDescent="0.2">
      <c r="A128" s="1">
        <v>18</v>
      </c>
      <c r="B128" s="3">
        <v>31140</v>
      </c>
      <c r="C128" s="3">
        <v>31370</v>
      </c>
      <c r="D128" s="3">
        <v>31770</v>
      </c>
      <c r="E128" s="3">
        <v>32780</v>
      </c>
      <c r="F128" s="3">
        <v>32130</v>
      </c>
      <c r="G128" s="3">
        <v>32140</v>
      </c>
      <c r="H128" s="3">
        <v>31760</v>
      </c>
      <c r="I128" s="3">
        <v>32160</v>
      </c>
      <c r="J128" s="3">
        <v>32930</v>
      </c>
      <c r="K128" s="3">
        <v>32850</v>
      </c>
      <c r="L128" s="1">
        <v>32860</v>
      </c>
      <c r="M128" s="1">
        <v>32140</v>
      </c>
      <c r="N128" s="1">
        <v>32910</v>
      </c>
      <c r="O128" s="1">
        <v>32040</v>
      </c>
      <c r="P128" s="1">
        <v>30450</v>
      </c>
      <c r="Q128" s="1">
        <v>30650</v>
      </c>
      <c r="R128" s="1">
        <v>31160</v>
      </c>
      <c r="S128" s="1">
        <v>30900</v>
      </c>
      <c r="T128" s="1">
        <v>31350</v>
      </c>
      <c r="U128" s="1">
        <v>32910</v>
      </c>
      <c r="V128" s="1">
        <v>34150</v>
      </c>
      <c r="W128" s="1">
        <v>34370</v>
      </c>
      <c r="X128" s="1">
        <v>34440</v>
      </c>
      <c r="Y128" s="1">
        <v>33510</v>
      </c>
      <c r="Z128" s="1">
        <v>32960</v>
      </c>
      <c r="AA128" s="1">
        <v>32410</v>
      </c>
      <c r="AB128" s="1">
        <v>31630</v>
      </c>
      <c r="AC128" s="1">
        <v>31130</v>
      </c>
      <c r="AD128" s="1">
        <v>31520</v>
      </c>
      <c r="AE128" s="1">
        <v>31850</v>
      </c>
      <c r="AF128" s="1">
        <v>32130</v>
      </c>
      <c r="AG128" s="1">
        <v>32410</v>
      </c>
      <c r="AH128" s="1">
        <v>32680</v>
      </c>
      <c r="AI128" s="1">
        <v>32920</v>
      </c>
      <c r="AJ128" s="1">
        <v>33130</v>
      </c>
      <c r="AK128" s="1">
        <v>33310</v>
      </c>
      <c r="AL128" s="1">
        <v>33450</v>
      </c>
      <c r="AM128" s="1">
        <v>33550</v>
      </c>
      <c r="AN128" s="1">
        <v>33630</v>
      </c>
      <c r="AO128" s="1">
        <v>33670</v>
      </c>
      <c r="AP128" s="1">
        <v>33670</v>
      </c>
      <c r="AQ128" s="1">
        <v>33650</v>
      </c>
      <c r="AR128" s="1">
        <v>33590</v>
      </c>
      <c r="AS128" s="1">
        <v>33520</v>
      </c>
      <c r="AT128" s="1">
        <v>33440</v>
      </c>
      <c r="AU128" s="1">
        <v>33350</v>
      </c>
      <c r="AV128" s="1">
        <v>33280</v>
      </c>
      <c r="AW128" s="1">
        <v>33220</v>
      </c>
      <c r="AX128" s="1">
        <v>33200</v>
      </c>
      <c r="AY128" s="1">
        <v>33190</v>
      </c>
      <c r="AZ128" s="1">
        <v>33210</v>
      </c>
      <c r="BA128" s="1">
        <v>33240</v>
      </c>
      <c r="BB128" s="1">
        <v>33290</v>
      </c>
      <c r="BC128" s="1">
        <v>33330</v>
      </c>
      <c r="BD128" s="1">
        <v>33380</v>
      </c>
    </row>
    <row r="129" spans="1:56" x14ac:dyDescent="0.2">
      <c r="A129" s="1">
        <v>19</v>
      </c>
      <c r="B129" s="3">
        <v>30250</v>
      </c>
      <c r="C129" s="3">
        <v>30770</v>
      </c>
      <c r="D129" s="3">
        <v>31170</v>
      </c>
      <c r="E129" s="3">
        <v>31800</v>
      </c>
      <c r="F129" s="3">
        <v>33050</v>
      </c>
      <c r="G129" s="3">
        <v>32460</v>
      </c>
      <c r="H129" s="3">
        <v>32470</v>
      </c>
      <c r="I129" s="3">
        <v>32290</v>
      </c>
      <c r="J129" s="3">
        <v>33370</v>
      </c>
      <c r="K129" s="3">
        <v>34250</v>
      </c>
      <c r="L129" s="1">
        <v>33720</v>
      </c>
      <c r="M129" s="1">
        <v>33290</v>
      </c>
      <c r="N129" s="1">
        <v>32570</v>
      </c>
      <c r="O129" s="1">
        <v>33340</v>
      </c>
      <c r="P129" s="1">
        <v>32470</v>
      </c>
      <c r="Q129" s="1">
        <v>30880</v>
      </c>
      <c r="R129" s="1">
        <v>31080</v>
      </c>
      <c r="S129" s="1">
        <v>31600</v>
      </c>
      <c r="T129" s="1">
        <v>31330</v>
      </c>
      <c r="U129" s="1">
        <v>31790</v>
      </c>
      <c r="V129" s="1">
        <v>33340</v>
      </c>
      <c r="W129" s="1">
        <v>34590</v>
      </c>
      <c r="X129" s="1">
        <v>34800</v>
      </c>
      <c r="Y129" s="1">
        <v>34880</v>
      </c>
      <c r="Z129" s="1">
        <v>33940</v>
      </c>
      <c r="AA129" s="1">
        <v>33390</v>
      </c>
      <c r="AB129" s="1">
        <v>32850</v>
      </c>
      <c r="AC129" s="1">
        <v>32070</v>
      </c>
      <c r="AD129" s="1">
        <v>31560</v>
      </c>
      <c r="AE129" s="1">
        <v>31950</v>
      </c>
      <c r="AF129" s="1">
        <v>32280</v>
      </c>
      <c r="AG129" s="1">
        <v>32570</v>
      </c>
      <c r="AH129" s="1">
        <v>32850</v>
      </c>
      <c r="AI129" s="1">
        <v>33120</v>
      </c>
      <c r="AJ129" s="1">
        <v>33360</v>
      </c>
      <c r="AK129" s="1">
        <v>33570</v>
      </c>
      <c r="AL129" s="1">
        <v>33740</v>
      </c>
      <c r="AM129" s="1">
        <v>33890</v>
      </c>
      <c r="AN129" s="1">
        <v>33990</v>
      </c>
      <c r="AO129" s="1">
        <v>34070</v>
      </c>
      <c r="AP129" s="1">
        <v>34110</v>
      </c>
      <c r="AQ129" s="1">
        <v>34110</v>
      </c>
      <c r="AR129" s="1">
        <v>34090</v>
      </c>
      <c r="AS129" s="1">
        <v>34030</v>
      </c>
      <c r="AT129" s="1">
        <v>33960</v>
      </c>
      <c r="AU129" s="1">
        <v>33880</v>
      </c>
      <c r="AV129" s="1">
        <v>33790</v>
      </c>
      <c r="AW129" s="1">
        <v>33720</v>
      </c>
      <c r="AX129" s="1">
        <v>33670</v>
      </c>
      <c r="AY129" s="1">
        <v>33640</v>
      </c>
      <c r="AZ129" s="1">
        <v>33640</v>
      </c>
      <c r="BA129" s="1">
        <v>33650</v>
      </c>
      <c r="BB129" s="1">
        <v>33690</v>
      </c>
      <c r="BC129" s="1">
        <v>33730</v>
      </c>
      <c r="BD129" s="1">
        <v>33780</v>
      </c>
    </row>
    <row r="130" spans="1:56" x14ac:dyDescent="0.2">
      <c r="A130" s="1">
        <v>20</v>
      </c>
      <c r="B130" s="3">
        <v>29830</v>
      </c>
      <c r="C130" s="3">
        <v>29900</v>
      </c>
      <c r="D130" s="3">
        <v>30470</v>
      </c>
      <c r="E130" s="3">
        <v>31180</v>
      </c>
      <c r="F130" s="3">
        <v>32100</v>
      </c>
      <c r="G130" s="3">
        <v>33380</v>
      </c>
      <c r="H130" s="3">
        <v>32580</v>
      </c>
      <c r="I130" s="3">
        <v>32810</v>
      </c>
      <c r="J130" s="3">
        <v>33420</v>
      </c>
      <c r="K130" s="3">
        <v>34650</v>
      </c>
      <c r="L130" s="1">
        <v>35090</v>
      </c>
      <c r="M130" s="1">
        <v>34130</v>
      </c>
      <c r="N130" s="1">
        <v>33700</v>
      </c>
      <c r="O130" s="1">
        <v>32980</v>
      </c>
      <c r="P130" s="1">
        <v>33750</v>
      </c>
      <c r="Q130" s="1">
        <v>32890</v>
      </c>
      <c r="R130" s="1">
        <v>31300</v>
      </c>
      <c r="S130" s="1">
        <v>31490</v>
      </c>
      <c r="T130" s="1">
        <v>32010</v>
      </c>
      <c r="U130" s="1">
        <v>31740</v>
      </c>
      <c r="V130" s="1">
        <v>32200</v>
      </c>
      <c r="W130" s="1">
        <v>33750</v>
      </c>
      <c r="X130" s="1">
        <v>35000</v>
      </c>
      <c r="Y130" s="1">
        <v>35210</v>
      </c>
      <c r="Z130" s="1">
        <v>35290</v>
      </c>
      <c r="AA130" s="1">
        <v>34360</v>
      </c>
      <c r="AB130" s="1">
        <v>33810</v>
      </c>
      <c r="AC130" s="1">
        <v>33260</v>
      </c>
      <c r="AD130" s="1">
        <v>32490</v>
      </c>
      <c r="AE130" s="1">
        <v>31980</v>
      </c>
      <c r="AF130" s="1">
        <v>32370</v>
      </c>
      <c r="AG130" s="1">
        <v>32700</v>
      </c>
      <c r="AH130" s="1">
        <v>32990</v>
      </c>
      <c r="AI130" s="1">
        <v>33270</v>
      </c>
      <c r="AJ130" s="1">
        <v>33540</v>
      </c>
      <c r="AK130" s="1">
        <v>33780</v>
      </c>
      <c r="AL130" s="1">
        <v>33990</v>
      </c>
      <c r="AM130" s="1">
        <v>34160</v>
      </c>
      <c r="AN130" s="1">
        <v>34310</v>
      </c>
      <c r="AO130" s="1">
        <v>34410</v>
      </c>
      <c r="AP130" s="1">
        <v>34490</v>
      </c>
      <c r="AQ130" s="1">
        <v>34530</v>
      </c>
      <c r="AR130" s="1">
        <v>34540</v>
      </c>
      <c r="AS130" s="1">
        <v>34510</v>
      </c>
      <c r="AT130" s="1">
        <v>34460</v>
      </c>
      <c r="AU130" s="1">
        <v>34380</v>
      </c>
      <c r="AV130" s="1">
        <v>34300</v>
      </c>
      <c r="AW130" s="1">
        <v>34220</v>
      </c>
      <c r="AX130" s="1">
        <v>34140</v>
      </c>
      <c r="AY130" s="1">
        <v>34090</v>
      </c>
      <c r="AZ130" s="1">
        <v>34060</v>
      </c>
      <c r="BA130" s="1">
        <v>34060</v>
      </c>
      <c r="BB130" s="1">
        <v>34080</v>
      </c>
      <c r="BC130" s="1">
        <v>34110</v>
      </c>
      <c r="BD130" s="1">
        <v>34160</v>
      </c>
    </row>
    <row r="131" spans="1:56" x14ac:dyDescent="0.2">
      <c r="A131" s="1">
        <v>21</v>
      </c>
      <c r="B131" s="3">
        <v>29560</v>
      </c>
      <c r="C131" s="3">
        <v>29170</v>
      </c>
      <c r="D131" s="3">
        <v>29450</v>
      </c>
      <c r="E131" s="3">
        <v>30280</v>
      </c>
      <c r="F131" s="3">
        <v>31170</v>
      </c>
      <c r="G131" s="3">
        <v>32090</v>
      </c>
      <c r="H131" s="3">
        <v>33060</v>
      </c>
      <c r="I131" s="3">
        <v>32490</v>
      </c>
      <c r="J131" s="3">
        <v>33640</v>
      </c>
      <c r="K131" s="3">
        <v>34520</v>
      </c>
      <c r="L131" s="1">
        <v>35300</v>
      </c>
      <c r="M131" s="1">
        <v>35280</v>
      </c>
      <c r="N131" s="1">
        <v>34320</v>
      </c>
      <c r="O131" s="1">
        <v>33890</v>
      </c>
      <c r="P131" s="1">
        <v>33180</v>
      </c>
      <c r="Q131" s="1">
        <v>33940</v>
      </c>
      <c r="R131" s="1">
        <v>33080</v>
      </c>
      <c r="S131" s="1">
        <v>31490</v>
      </c>
      <c r="T131" s="1">
        <v>31690</v>
      </c>
      <c r="U131" s="1">
        <v>32210</v>
      </c>
      <c r="V131" s="1">
        <v>31940</v>
      </c>
      <c r="W131" s="1">
        <v>32400</v>
      </c>
      <c r="X131" s="1">
        <v>33950</v>
      </c>
      <c r="Y131" s="1">
        <v>35190</v>
      </c>
      <c r="Z131" s="1">
        <v>35410</v>
      </c>
      <c r="AA131" s="1">
        <v>35490</v>
      </c>
      <c r="AB131" s="1">
        <v>34550</v>
      </c>
      <c r="AC131" s="1">
        <v>34010</v>
      </c>
      <c r="AD131" s="1">
        <v>33460</v>
      </c>
      <c r="AE131" s="1">
        <v>32690</v>
      </c>
      <c r="AF131" s="1">
        <v>32180</v>
      </c>
      <c r="AG131" s="1">
        <v>32570</v>
      </c>
      <c r="AH131" s="1">
        <v>32900</v>
      </c>
      <c r="AI131" s="1">
        <v>33190</v>
      </c>
      <c r="AJ131" s="1">
        <v>33470</v>
      </c>
      <c r="AK131" s="1">
        <v>33740</v>
      </c>
      <c r="AL131" s="1">
        <v>33980</v>
      </c>
      <c r="AM131" s="1">
        <v>34190</v>
      </c>
      <c r="AN131" s="1">
        <v>34370</v>
      </c>
      <c r="AO131" s="1">
        <v>34510</v>
      </c>
      <c r="AP131" s="1">
        <v>34620</v>
      </c>
      <c r="AQ131" s="1">
        <v>34690</v>
      </c>
      <c r="AR131" s="1">
        <v>34730</v>
      </c>
      <c r="AS131" s="1">
        <v>34740</v>
      </c>
      <c r="AT131" s="1">
        <v>34710</v>
      </c>
      <c r="AU131" s="1">
        <v>34660</v>
      </c>
      <c r="AV131" s="1">
        <v>34590</v>
      </c>
      <c r="AW131" s="1">
        <v>34500</v>
      </c>
      <c r="AX131" s="1">
        <v>34420</v>
      </c>
      <c r="AY131" s="1">
        <v>34350</v>
      </c>
      <c r="AZ131" s="1">
        <v>34290</v>
      </c>
      <c r="BA131" s="1">
        <v>34270</v>
      </c>
      <c r="BB131" s="1">
        <v>34270</v>
      </c>
      <c r="BC131" s="1">
        <v>34280</v>
      </c>
      <c r="BD131" s="1">
        <v>34320</v>
      </c>
    </row>
    <row r="132" spans="1:56" x14ac:dyDescent="0.2">
      <c r="A132" s="1">
        <v>22</v>
      </c>
      <c r="B132" s="3">
        <v>29400</v>
      </c>
      <c r="C132" s="3">
        <v>28750</v>
      </c>
      <c r="D132" s="3">
        <v>28560</v>
      </c>
      <c r="E132" s="3">
        <v>29170</v>
      </c>
      <c r="F132" s="3">
        <v>30130</v>
      </c>
      <c r="G132" s="3">
        <v>30860</v>
      </c>
      <c r="H132" s="3">
        <v>31510</v>
      </c>
      <c r="I132" s="3">
        <v>32760</v>
      </c>
      <c r="J132" s="3">
        <v>33320</v>
      </c>
      <c r="K132" s="3">
        <v>34730</v>
      </c>
      <c r="L132" s="1">
        <v>35090</v>
      </c>
      <c r="M132" s="1">
        <v>35330</v>
      </c>
      <c r="N132" s="1">
        <v>35320</v>
      </c>
      <c r="O132" s="1">
        <v>34360</v>
      </c>
      <c r="P132" s="1">
        <v>33930</v>
      </c>
      <c r="Q132" s="1">
        <v>33210</v>
      </c>
      <c r="R132" s="1">
        <v>33980</v>
      </c>
      <c r="S132" s="1">
        <v>33120</v>
      </c>
      <c r="T132" s="1">
        <v>31530</v>
      </c>
      <c r="U132" s="1">
        <v>31730</v>
      </c>
      <c r="V132" s="1">
        <v>32250</v>
      </c>
      <c r="W132" s="1">
        <v>31980</v>
      </c>
      <c r="X132" s="1">
        <v>32440</v>
      </c>
      <c r="Y132" s="1">
        <v>33990</v>
      </c>
      <c r="Z132" s="1">
        <v>35240</v>
      </c>
      <c r="AA132" s="1">
        <v>35450</v>
      </c>
      <c r="AB132" s="1">
        <v>35530</v>
      </c>
      <c r="AC132" s="1">
        <v>34600</v>
      </c>
      <c r="AD132" s="1">
        <v>34050</v>
      </c>
      <c r="AE132" s="1">
        <v>33510</v>
      </c>
      <c r="AF132" s="1">
        <v>32730</v>
      </c>
      <c r="AG132" s="1">
        <v>32230</v>
      </c>
      <c r="AH132" s="1">
        <v>32620</v>
      </c>
      <c r="AI132" s="1">
        <v>32950</v>
      </c>
      <c r="AJ132" s="1">
        <v>33230</v>
      </c>
      <c r="AK132" s="1">
        <v>33510</v>
      </c>
      <c r="AL132" s="1">
        <v>33780</v>
      </c>
      <c r="AM132" s="1">
        <v>34020</v>
      </c>
      <c r="AN132" s="1">
        <v>34230</v>
      </c>
      <c r="AO132" s="1">
        <v>34410</v>
      </c>
      <c r="AP132" s="1">
        <v>34560</v>
      </c>
      <c r="AQ132" s="1">
        <v>34660</v>
      </c>
      <c r="AR132" s="1">
        <v>34740</v>
      </c>
      <c r="AS132" s="1">
        <v>34780</v>
      </c>
      <c r="AT132" s="1">
        <v>34790</v>
      </c>
      <c r="AU132" s="1">
        <v>34760</v>
      </c>
      <c r="AV132" s="1">
        <v>34710</v>
      </c>
      <c r="AW132" s="1">
        <v>34640</v>
      </c>
      <c r="AX132" s="1">
        <v>34550</v>
      </c>
      <c r="AY132" s="1">
        <v>34470</v>
      </c>
      <c r="AZ132" s="1">
        <v>34400</v>
      </c>
      <c r="BA132" s="1">
        <v>34340</v>
      </c>
      <c r="BB132" s="1">
        <v>34320</v>
      </c>
      <c r="BC132" s="1">
        <v>34320</v>
      </c>
      <c r="BD132" s="1">
        <v>34330</v>
      </c>
    </row>
    <row r="133" spans="1:56" x14ac:dyDescent="0.2">
      <c r="A133" s="1">
        <v>23</v>
      </c>
      <c r="B133" s="3">
        <v>29090</v>
      </c>
      <c r="C133" s="3">
        <v>28510</v>
      </c>
      <c r="D133" s="3">
        <v>28050</v>
      </c>
      <c r="E133" s="3">
        <v>28280</v>
      </c>
      <c r="F133" s="3">
        <v>28950</v>
      </c>
      <c r="G133" s="3">
        <v>29690</v>
      </c>
      <c r="H133" s="3">
        <v>30250</v>
      </c>
      <c r="I133" s="3">
        <v>31220</v>
      </c>
      <c r="J133" s="3">
        <v>33660</v>
      </c>
      <c r="K133" s="3">
        <v>34540</v>
      </c>
      <c r="L133" s="1">
        <v>35370</v>
      </c>
      <c r="M133" s="1">
        <v>35150</v>
      </c>
      <c r="N133" s="1">
        <v>35390</v>
      </c>
      <c r="O133" s="1">
        <v>35380</v>
      </c>
      <c r="P133" s="1">
        <v>34420</v>
      </c>
      <c r="Q133" s="1">
        <v>33990</v>
      </c>
      <c r="R133" s="1">
        <v>33280</v>
      </c>
      <c r="S133" s="1">
        <v>34040</v>
      </c>
      <c r="T133" s="1">
        <v>33180</v>
      </c>
      <c r="U133" s="1">
        <v>31600</v>
      </c>
      <c r="V133" s="1">
        <v>31800</v>
      </c>
      <c r="W133" s="1">
        <v>32310</v>
      </c>
      <c r="X133" s="1">
        <v>32050</v>
      </c>
      <c r="Y133" s="1">
        <v>32510</v>
      </c>
      <c r="Z133" s="1">
        <v>34060</v>
      </c>
      <c r="AA133" s="1">
        <v>35300</v>
      </c>
      <c r="AB133" s="1">
        <v>35520</v>
      </c>
      <c r="AC133" s="1">
        <v>35590</v>
      </c>
      <c r="AD133" s="1">
        <v>34660</v>
      </c>
      <c r="AE133" s="1">
        <v>34120</v>
      </c>
      <c r="AF133" s="1">
        <v>33580</v>
      </c>
      <c r="AG133" s="1">
        <v>32800</v>
      </c>
      <c r="AH133" s="1">
        <v>32300</v>
      </c>
      <c r="AI133" s="1">
        <v>32690</v>
      </c>
      <c r="AJ133" s="1">
        <v>33020</v>
      </c>
      <c r="AK133" s="1">
        <v>33300</v>
      </c>
      <c r="AL133" s="1">
        <v>33580</v>
      </c>
      <c r="AM133" s="1">
        <v>33860</v>
      </c>
      <c r="AN133" s="1">
        <v>34100</v>
      </c>
      <c r="AO133" s="1">
        <v>34310</v>
      </c>
      <c r="AP133" s="1">
        <v>34480</v>
      </c>
      <c r="AQ133" s="1">
        <v>34630</v>
      </c>
      <c r="AR133" s="1">
        <v>34730</v>
      </c>
      <c r="AS133" s="1">
        <v>34810</v>
      </c>
      <c r="AT133" s="1">
        <v>34850</v>
      </c>
      <c r="AU133" s="1">
        <v>34860</v>
      </c>
      <c r="AV133" s="1">
        <v>34840</v>
      </c>
      <c r="AW133" s="1">
        <v>34780</v>
      </c>
      <c r="AX133" s="1">
        <v>34710</v>
      </c>
      <c r="AY133" s="1">
        <v>34630</v>
      </c>
      <c r="AZ133" s="1">
        <v>34540</v>
      </c>
      <c r="BA133" s="1">
        <v>34470</v>
      </c>
      <c r="BB133" s="1">
        <v>34420</v>
      </c>
      <c r="BC133" s="1">
        <v>34390</v>
      </c>
      <c r="BD133" s="1">
        <v>34390</v>
      </c>
    </row>
    <row r="134" spans="1:56" x14ac:dyDescent="0.2">
      <c r="A134" s="1">
        <v>24</v>
      </c>
      <c r="B134" s="3">
        <v>27970</v>
      </c>
      <c r="C134" s="3">
        <v>28320</v>
      </c>
      <c r="D134" s="3">
        <v>27860</v>
      </c>
      <c r="E134" s="3">
        <v>27710</v>
      </c>
      <c r="F134" s="3">
        <v>28100</v>
      </c>
      <c r="G134" s="3">
        <v>28460</v>
      </c>
      <c r="H134" s="3">
        <v>28950</v>
      </c>
      <c r="I134" s="3">
        <v>29910</v>
      </c>
      <c r="J134" s="3">
        <v>32280</v>
      </c>
      <c r="K134" s="3">
        <v>34930</v>
      </c>
      <c r="L134" s="1">
        <v>35230</v>
      </c>
      <c r="M134" s="1">
        <v>35470</v>
      </c>
      <c r="N134" s="1">
        <v>35250</v>
      </c>
      <c r="O134" s="1">
        <v>35500</v>
      </c>
      <c r="P134" s="1">
        <v>35480</v>
      </c>
      <c r="Q134" s="1">
        <v>34530</v>
      </c>
      <c r="R134" s="1">
        <v>34100</v>
      </c>
      <c r="S134" s="1">
        <v>33380</v>
      </c>
      <c r="T134" s="1">
        <v>34150</v>
      </c>
      <c r="U134" s="1">
        <v>33290</v>
      </c>
      <c r="V134" s="1">
        <v>31700</v>
      </c>
      <c r="W134" s="1">
        <v>31900</v>
      </c>
      <c r="X134" s="1">
        <v>32420</v>
      </c>
      <c r="Y134" s="1">
        <v>32160</v>
      </c>
      <c r="Z134" s="1">
        <v>32620</v>
      </c>
      <c r="AA134" s="1">
        <v>34160</v>
      </c>
      <c r="AB134" s="1">
        <v>35410</v>
      </c>
      <c r="AC134" s="1">
        <v>35620</v>
      </c>
      <c r="AD134" s="1">
        <v>35700</v>
      </c>
      <c r="AE134" s="1">
        <v>34770</v>
      </c>
      <c r="AF134" s="1">
        <v>34230</v>
      </c>
      <c r="AG134" s="1">
        <v>33690</v>
      </c>
      <c r="AH134" s="1">
        <v>32910</v>
      </c>
      <c r="AI134" s="1">
        <v>32410</v>
      </c>
      <c r="AJ134" s="1">
        <v>32800</v>
      </c>
      <c r="AK134" s="1">
        <v>33130</v>
      </c>
      <c r="AL134" s="1">
        <v>33410</v>
      </c>
      <c r="AM134" s="1">
        <v>33700</v>
      </c>
      <c r="AN134" s="1">
        <v>33970</v>
      </c>
      <c r="AO134" s="1">
        <v>34210</v>
      </c>
      <c r="AP134" s="1">
        <v>34420</v>
      </c>
      <c r="AQ134" s="1">
        <v>34600</v>
      </c>
      <c r="AR134" s="1">
        <v>34740</v>
      </c>
      <c r="AS134" s="1">
        <v>34850</v>
      </c>
      <c r="AT134" s="1">
        <v>34920</v>
      </c>
      <c r="AU134" s="1">
        <v>34970</v>
      </c>
      <c r="AV134" s="1">
        <v>34970</v>
      </c>
      <c r="AW134" s="1">
        <v>34950</v>
      </c>
      <c r="AX134" s="1">
        <v>34900</v>
      </c>
      <c r="AY134" s="1">
        <v>34830</v>
      </c>
      <c r="AZ134" s="1">
        <v>34740</v>
      </c>
      <c r="BA134" s="1">
        <v>34660</v>
      </c>
      <c r="BB134" s="1">
        <v>34590</v>
      </c>
      <c r="BC134" s="1">
        <v>34540</v>
      </c>
      <c r="BD134" s="1">
        <v>34510</v>
      </c>
    </row>
    <row r="135" spans="1:56" x14ac:dyDescent="0.2">
      <c r="A135" s="1">
        <v>25</v>
      </c>
      <c r="B135" s="3">
        <v>26850</v>
      </c>
      <c r="C135" s="3">
        <v>27330</v>
      </c>
      <c r="D135" s="3">
        <v>27690</v>
      </c>
      <c r="E135" s="3">
        <v>27550</v>
      </c>
      <c r="F135" s="3">
        <v>27400</v>
      </c>
      <c r="G135" s="3">
        <v>27490</v>
      </c>
      <c r="H135" s="3">
        <v>27780</v>
      </c>
      <c r="I135" s="3">
        <v>28550</v>
      </c>
      <c r="J135" s="3">
        <v>30920</v>
      </c>
      <c r="K135" s="3">
        <v>33510</v>
      </c>
      <c r="L135" s="1">
        <v>35620</v>
      </c>
      <c r="M135" s="1">
        <v>35360</v>
      </c>
      <c r="N135" s="1">
        <v>35600</v>
      </c>
      <c r="O135" s="1">
        <v>35380</v>
      </c>
      <c r="P135" s="1">
        <v>35630</v>
      </c>
      <c r="Q135" s="1">
        <v>35610</v>
      </c>
      <c r="R135" s="1">
        <v>34660</v>
      </c>
      <c r="S135" s="1">
        <v>34230</v>
      </c>
      <c r="T135" s="1">
        <v>33520</v>
      </c>
      <c r="U135" s="1">
        <v>34280</v>
      </c>
      <c r="V135" s="1">
        <v>33430</v>
      </c>
      <c r="W135" s="1">
        <v>31850</v>
      </c>
      <c r="X135" s="1">
        <v>32050</v>
      </c>
      <c r="Y135" s="1">
        <v>32560</v>
      </c>
      <c r="Z135" s="1">
        <v>32300</v>
      </c>
      <c r="AA135" s="1">
        <v>32760</v>
      </c>
      <c r="AB135" s="1">
        <v>34310</v>
      </c>
      <c r="AC135" s="1">
        <v>35550</v>
      </c>
      <c r="AD135" s="1">
        <v>35760</v>
      </c>
      <c r="AE135" s="1">
        <v>35840</v>
      </c>
      <c r="AF135" s="1">
        <v>34920</v>
      </c>
      <c r="AG135" s="1">
        <v>34370</v>
      </c>
      <c r="AH135" s="1">
        <v>33830</v>
      </c>
      <c r="AI135" s="1">
        <v>33060</v>
      </c>
      <c r="AJ135" s="1">
        <v>32550</v>
      </c>
      <c r="AK135" s="1">
        <v>32940</v>
      </c>
      <c r="AL135" s="1">
        <v>33270</v>
      </c>
      <c r="AM135" s="1">
        <v>33560</v>
      </c>
      <c r="AN135" s="1">
        <v>33840</v>
      </c>
      <c r="AO135" s="1">
        <v>34110</v>
      </c>
      <c r="AP135" s="1">
        <v>34350</v>
      </c>
      <c r="AQ135" s="1">
        <v>34560</v>
      </c>
      <c r="AR135" s="1">
        <v>34740</v>
      </c>
      <c r="AS135" s="1">
        <v>34890</v>
      </c>
      <c r="AT135" s="1">
        <v>35000</v>
      </c>
      <c r="AU135" s="1">
        <v>35070</v>
      </c>
      <c r="AV135" s="1">
        <v>35110</v>
      </c>
      <c r="AW135" s="1">
        <v>35120</v>
      </c>
      <c r="AX135" s="1">
        <v>35100</v>
      </c>
      <c r="AY135" s="1">
        <v>35050</v>
      </c>
      <c r="AZ135" s="1">
        <v>34970</v>
      </c>
      <c r="BA135" s="1">
        <v>34890</v>
      </c>
      <c r="BB135" s="1">
        <v>34810</v>
      </c>
      <c r="BC135" s="1">
        <v>34740</v>
      </c>
      <c r="BD135" s="1">
        <v>34690</v>
      </c>
    </row>
    <row r="136" spans="1:56" x14ac:dyDescent="0.2">
      <c r="A136" s="1">
        <v>26</v>
      </c>
      <c r="B136" s="3">
        <v>25810</v>
      </c>
      <c r="C136" s="3">
        <v>26520</v>
      </c>
      <c r="D136" s="3">
        <v>26680</v>
      </c>
      <c r="E136" s="3">
        <v>27300</v>
      </c>
      <c r="F136" s="3">
        <v>27360</v>
      </c>
      <c r="G136" s="3">
        <v>26870</v>
      </c>
      <c r="H136" s="3">
        <v>26900</v>
      </c>
      <c r="I136" s="3">
        <v>27500</v>
      </c>
      <c r="J136" s="3">
        <v>29460</v>
      </c>
      <c r="K136" s="3">
        <v>32090</v>
      </c>
      <c r="L136" s="1">
        <v>34190</v>
      </c>
      <c r="M136" s="1">
        <v>35820</v>
      </c>
      <c r="N136" s="1">
        <v>35560</v>
      </c>
      <c r="O136" s="1">
        <v>35800</v>
      </c>
      <c r="P136" s="1">
        <v>35590</v>
      </c>
      <c r="Q136" s="1">
        <v>35830</v>
      </c>
      <c r="R136" s="1">
        <v>35820</v>
      </c>
      <c r="S136" s="1">
        <v>34870</v>
      </c>
      <c r="T136" s="1">
        <v>34440</v>
      </c>
      <c r="U136" s="1">
        <v>33730</v>
      </c>
      <c r="V136" s="1">
        <v>34490</v>
      </c>
      <c r="W136" s="1">
        <v>33630</v>
      </c>
      <c r="X136" s="1">
        <v>32050</v>
      </c>
      <c r="Y136" s="1">
        <v>32250</v>
      </c>
      <c r="Z136" s="1">
        <v>32770</v>
      </c>
      <c r="AA136" s="1">
        <v>32510</v>
      </c>
      <c r="AB136" s="1">
        <v>32970</v>
      </c>
      <c r="AC136" s="1">
        <v>34510</v>
      </c>
      <c r="AD136" s="1">
        <v>35760</v>
      </c>
      <c r="AE136" s="1">
        <v>35970</v>
      </c>
      <c r="AF136" s="1">
        <v>36050</v>
      </c>
      <c r="AG136" s="1">
        <v>35130</v>
      </c>
      <c r="AH136" s="1">
        <v>34580</v>
      </c>
      <c r="AI136" s="1">
        <v>34040</v>
      </c>
      <c r="AJ136" s="1">
        <v>33270</v>
      </c>
      <c r="AK136" s="1">
        <v>32770</v>
      </c>
      <c r="AL136" s="1">
        <v>33160</v>
      </c>
      <c r="AM136" s="1">
        <v>33490</v>
      </c>
      <c r="AN136" s="1">
        <v>33770</v>
      </c>
      <c r="AO136" s="1">
        <v>34060</v>
      </c>
      <c r="AP136" s="1">
        <v>34330</v>
      </c>
      <c r="AQ136" s="1">
        <v>34570</v>
      </c>
      <c r="AR136" s="1">
        <v>34780</v>
      </c>
      <c r="AS136" s="1">
        <v>34960</v>
      </c>
      <c r="AT136" s="1">
        <v>35100</v>
      </c>
      <c r="AU136" s="1">
        <v>35210</v>
      </c>
      <c r="AV136" s="1">
        <v>35290</v>
      </c>
      <c r="AW136" s="1">
        <v>35330</v>
      </c>
      <c r="AX136" s="1">
        <v>35340</v>
      </c>
      <c r="AY136" s="1">
        <v>35310</v>
      </c>
      <c r="AZ136" s="1">
        <v>35260</v>
      </c>
      <c r="BA136" s="1">
        <v>35190</v>
      </c>
      <c r="BB136" s="1">
        <v>35110</v>
      </c>
      <c r="BC136" s="1">
        <v>35020</v>
      </c>
      <c r="BD136" s="1">
        <v>34950</v>
      </c>
    </row>
    <row r="137" spans="1:56" x14ac:dyDescent="0.2">
      <c r="A137" s="1">
        <v>27</v>
      </c>
      <c r="B137" s="3">
        <v>24950</v>
      </c>
      <c r="C137" s="3">
        <v>25500</v>
      </c>
      <c r="D137" s="3">
        <v>26180</v>
      </c>
      <c r="E137" s="3">
        <v>26500</v>
      </c>
      <c r="F137" s="3">
        <v>27160</v>
      </c>
      <c r="G137" s="3">
        <v>26830</v>
      </c>
      <c r="H137" s="3">
        <v>26330</v>
      </c>
      <c r="I137" s="3">
        <v>26710</v>
      </c>
      <c r="J137" s="3">
        <v>28340</v>
      </c>
      <c r="K137" s="3">
        <v>30500</v>
      </c>
      <c r="L137" s="1">
        <v>32710</v>
      </c>
      <c r="M137" s="1">
        <v>34410</v>
      </c>
      <c r="N137" s="1">
        <v>36030</v>
      </c>
      <c r="O137" s="1">
        <v>35770</v>
      </c>
      <c r="P137" s="1">
        <v>36020</v>
      </c>
      <c r="Q137" s="1">
        <v>35800</v>
      </c>
      <c r="R137" s="1">
        <v>36050</v>
      </c>
      <c r="S137" s="1">
        <v>36030</v>
      </c>
      <c r="T137" s="1">
        <v>35080</v>
      </c>
      <c r="U137" s="1">
        <v>34650</v>
      </c>
      <c r="V137" s="1">
        <v>33940</v>
      </c>
      <c r="W137" s="1">
        <v>34710</v>
      </c>
      <c r="X137" s="1">
        <v>33850</v>
      </c>
      <c r="Y137" s="1">
        <v>32270</v>
      </c>
      <c r="Z137" s="1">
        <v>32470</v>
      </c>
      <c r="AA137" s="1">
        <v>32990</v>
      </c>
      <c r="AB137" s="1">
        <v>32730</v>
      </c>
      <c r="AC137" s="1">
        <v>33180</v>
      </c>
      <c r="AD137" s="1">
        <v>34730</v>
      </c>
      <c r="AE137" s="1">
        <v>35980</v>
      </c>
      <c r="AF137" s="1">
        <v>36190</v>
      </c>
      <c r="AG137" s="1">
        <v>36270</v>
      </c>
      <c r="AH137" s="1">
        <v>35340</v>
      </c>
      <c r="AI137" s="1">
        <v>34800</v>
      </c>
      <c r="AJ137" s="1">
        <v>34260</v>
      </c>
      <c r="AK137" s="1">
        <v>33490</v>
      </c>
      <c r="AL137" s="1">
        <v>32990</v>
      </c>
      <c r="AM137" s="1">
        <v>33380</v>
      </c>
      <c r="AN137" s="1">
        <v>33710</v>
      </c>
      <c r="AO137" s="1">
        <v>33990</v>
      </c>
      <c r="AP137" s="1">
        <v>34280</v>
      </c>
      <c r="AQ137" s="1">
        <v>34550</v>
      </c>
      <c r="AR137" s="1">
        <v>34790</v>
      </c>
      <c r="AS137" s="1">
        <v>35000</v>
      </c>
      <c r="AT137" s="1">
        <v>35180</v>
      </c>
      <c r="AU137" s="1">
        <v>35320</v>
      </c>
      <c r="AV137" s="1">
        <v>35430</v>
      </c>
      <c r="AW137" s="1">
        <v>35510</v>
      </c>
      <c r="AX137" s="1">
        <v>35550</v>
      </c>
      <c r="AY137" s="1">
        <v>35560</v>
      </c>
      <c r="AZ137" s="1">
        <v>35540</v>
      </c>
      <c r="BA137" s="1">
        <v>35490</v>
      </c>
      <c r="BB137" s="1">
        <v>35410</v>
      </c>
      <c r="BC137" s="1">
        <v>35330</v>
      </c>
      <c r="BD137" s="1">
        <v>35250</v>
      </c>
    </row>
    <row r="138" spans="1:56" x14ac:dyDescent="0.2">
      <c r="A138" s="1">
        <v>28</v>
      </c>
      <c r="B138" s="3">
        <v>24310</v>
      </c>
      <c r="C138" s="3">
        <v>25050</v>
      </c>
      <c r="D138" s="3">
        <v>25420</v>
      </c>
      <c r="E138" s="3">
        <v>26210</v>
      </c>
      <c r="F138" s="3">
        <v>26400</v>
      </c>
      <c r="G138" s="3">
        <v>26740</v>
      </c>
      <c r="H138" s="3">
        <v>26420</v>
      </c>
      <c r="I138" s="3">
        <v>26240</v>
      </c>
      <c r="J138" s="3">
        <v>27610</v>
      </c>
      <c r="K138" s="3">
        <v>29330</v>
      </c>
      <c r="L138" s="1">
        <v>31130</v>
      </c>
      <c r="M138" s="1">
        <v>32980</v>
      </c>
      <c r="N138" s="1">
        <v>34670</v>
      </c>
      <c r="O138" s="1">
        <v>36290</v>
      </c>
      <c r="P138" s="1">
        <v>36040</v>
      </c>
      <c r="Q138" s="1">
        <v>36280</v>
      </c>
      <c r="R138" s="1">
        <v>36060</v>
      </c>
      <c r="S138" s="1">
        <v>36310</v>
      </c>
      <c r="T138" s="1">
        <v>36300</v>
      </c>
      <c r="U138" s="1">
        <v>35350</v>
      </c>
      <c r="V138" s="1">
        <v>34920</v>
      </c>
      <c r="W138" s="1">
        <v>34210</v>
      </c>
      <c r="X138" s="1">
        <v>34970</v>
      </c>
      <c r="Y138" s="1">
        <v>34120</v>
      </c>
      <c r="Z138" s="1">
        <v>32540</v>
      </c>
      <c r="AA138" s="1">
        <v>32740</v>
      </c>
      <c r="AB138" s="1">
        <v>33260</v>
      </c>
      <c r="AC138" s="1">
        <v>33000</v>
      </c>
      <c r="AD138" s="1">
        <v>33460</v>
      </c>
      <c r="AE138" s="1">
        <v>35000</v>
      </c>
      <c r="AF138" s="1">
        <v>36250</v>
      </c>
      <c r="AG138" s="1">
        <v>36460</v>
      </c>
      <c r="AH138" s="1">
        <v>36540</v>
      </c>
      <c r="AI138" s="1">
        <v>35620</v>
      </c>
      <c r="AJ138" s="1">
        <v>35070</v>
      </c>
      <c r="AK138" s="1">
        <v>34530</v>
      </c>
      <c r="AL138" s="1">
        <v>33760</v>
      </c>
      <c r="AM138" s="1">
        <v>33260</v>
      </c>
      <c r="AN138" s="1">
        <v>33650</v>
      </c>
      <c r="AO138" s="1">
        <v>33980</v>
      </c>
      <c r="AP138" s="1">
        <v>34270</v>
      </c>
      <c r="AQ138" s="1">
        <v>34550</v>
      </c>
      <c r="AR138" s="1">
        <v>34820</v>
      </c>
      <c r="AS138" s="1">
        <v>35070</v>
      </c>
      <c r="AT138" s="1">
        <v>35280</v>
      </c>
      <c r="AU138" s="1">
        <v>35460</v>
      </c>
      <c r="AV138" s="1">
        <v>35600</v>
      </c>
      <c r="AW138" s="1">
        <v>35710</v>
      </c>
      <c r="AX138" s="1">
        <v>35790</v>
      </c>
      <c r="AY138" s="1">
        <v>35830</v>
      </c>
      <c r="AZ138" s="1">
        <v>35840</v>
      </c>
      <c r="BA138" s="1">
        <v>35810</v>
      </c>
      <c r="BB138" s="1">
        <v>35760</v>
      </c>
      <c r="BC138" s="1">
        <v>35690</v>
      </c>
      <c r="BD138" s="1">
        <v>35610</v>
      </c>
    </row>
    <row r="139" spans="1:56" x14ac:dyDescent="0.2">
      <c r="A139" s="1">
        <v>29</v>
      </c>
      <c r="B139" s="3">
        <v>24860</v>
      </c>
      <c r="C139" s="3">
        <v>24580</v>
      </c>
      <c r="D139" s="3">
        <v>25170</v>
      </c>
      <c r="E139" s="3">
        <v>25650</v>
      </c>
      <c r="F139" s="3">
        <v>26170</v>
      </c>
      <c r="G139" s="3">
        <v>26150</v>
      </c>
      <c r="H139" s="3">
        <v>26520</v>
      </c>
      <c r="I139" s="3">
        <v>26330</v>
      </c>
      <c r="J139" s="3">
        <v>27060</v>
      </c>
      <c r="K139" s="3">
        <v>28600</v>
      </c>
      <c r="L139" s="1">
        <v>30020</v>
      </c>
      <c r="M139" s="1">
        <v>31500</v>
      </c>
      <c r="N139" s="1">
        <v>33350</v>
      </c>
      <c r="O139" s="1">
        <v>35040</v>
      </c>
      <c r="P139" s="1">
        <v>36660</v>
      </c>
      <c r="Q139" s="1">
        <v>36410</v>
      </c>
      <c r="R139" s="1">
        <v>36650</v>
      </c>
      <c r="S139" s="1">
        <v>36430</v>
      </c>
      <c r="T139" s="1">
        <v>36680</v>
      </c>
      <c r="U139" s="1">
        <v>36670</v>
      </c>
      <c r="V139" s="1">
        <v>35720</v>
      </c>
      <c r="W139" s="1">
        <v>35290</v>
      </c>
      <c r="X139" s="1">
        <v>34580</v>
      </c>
      <c r="Y139" s="1">
        <v>35350</v>
      </c>
      <c r="Z139" s="1">
        <v>34490</v>
      </c>
      <c r="AA139" s="1">
        <v>32920</v>
      </c>
      <c r="AB139" s="1">
        <v>33120</v>
      </c>
      <c r="AC139" s="1">
        <v>33640</v>
      </c>
      <c r="AD139" s="1">
        <v>33370</v>
      </c>
      <c r="AE139" s="1">
        <v>33830</v>
      </c>
      <c r="AF139" s="1">
        <v>35380</v>
      </c>
      <c r="AG139" s="1">
        <v>36620</v>
      </c>
      <c r="AH139" s="1">
        <v>36840</v>
      </c>
      <c r="AI139" s="1">
        <v>36920</v>
      </c>
      <c r="AJ139" s="1">
        <v>35990</v>
      </c>
      <c r="AK139" s="1">
        <v>35450</v>
      </c>
      <c r="AL139" s="1">
        <v>34910</v>
      </c>
      <c r="AM139" s="1">
        <v>34140</v>
      </c>
      <c r="AN139" s="1">
        <v>33640</v>
      </c>
      <c r="AO139" s="1">
        <v>34030</v>
      </c>
      <c r="AP139" s="1">
        <v>34360</v>
      </c>
      <c r="AQ139" s="1">
        <v>34650</v>
      </c>
      <c r="AR139" s="1">
        <v>34930</v>
      </c>
      <c r="AS139" s="1">
        <v>35200</v>
      </c>
      <c r="AT139" s="1">
        <v>35450</v>
      </c>
      <c r="AU139" s="1">
        <v>35660</v>
      </c>
      <c r="AV139" s="1">
        <v>35840</v>
      </c>
      <c r="AW139" s="1">
        <v>35980</v>
      </c>
      <c r="AX139" s="1">
        <v>36090</v>
      </c>
      <c r="AY139" s="1">
        <v>36170</v>
      </c>
      <c r="AZ139" s="1">
        <v>36210</v>
      </c>
      <c r="BA139" s="1">
        <v>36220</v>
      </c>
      <c r="BB139" s="1">
        <v>36200</v>
      </c>
      <c r="BC139" s="1">
        <v>36140</v>
      </c>
      <c r="BD139" s="1">
        <v>36070</v>
      </c>
    </row>
    <row r="140" spans="1:56" x14ac:dyDescent="0.2">
      <c r="A140" s="1">
        <v>30</v>
      </c>
      <c r="B140" s="3">
        <v>25180</v>
      </c>
      <c r="C140" s="3">
        <v>25160</v>
      </c>
      <c r="D140" s="3">
        <v>24780</v>
      </c>
      <c r="E140" s="3">
        <v>25430</v>
      </c>
      <c r="F140" s="3">
        <v>25770</v>
      </c>
      <c r="G140" s="3">
        <v>26150</v>
      </c>
      <c r="H140" s="3">
        <v>26000</v>
      </c>
      <c r="I140" s="3">
        <v>26530</v>
      </c>
      <c r="J140" s="3">
        <v>27170</v>
      </c>
      <c r="K140" s="3">
        <v>28050</v>
      </c>
      <c r="L140" s="1">
        <v>29310</v>
      </c>
      <c r="M140" s="1">
        <v>30460</v>
      </c>
      <c r="N140" s="1">
        <v>31940</v>
      </c>
      <c r="O140" s="1">
        <v>33790</v>
      </c>
      <c r="P140" s="1">
        <v>35480</v>
      </c>
      <c r="Q140" s="1">
        <v>37100</v>
      </c>
      <c r="R140" s="1">
        <v>36850</v>
      </c>
      <c r="S140" s="1">
        <v>37090</v>
      </c>
      <c r="T140" s="1">
        <v>36870</v>
      </c>
      <c r="U140" s="1">
        <v>37120</v>
      </c>
      <c r="V140" s="1">
        <v>37110</v>
      </c>
      <c r="W140" s="1">
        <v>36160</v>
      </c>
      <c r="X140" s="1">
        <v>35730</v>
      </c>
      <c r="Y140" s="1">
        <v>35020</v>
      </c>
      <c r="Z140" s="1">
        <v>35790</v>
      </c>
      <c r="AA140" s="1">
        <v>34930</v>
      </c>
      <c r="AB140" s="1">
        <v>33360</v>
      </c>
      <c r="AC140" s="1">
        <v>33560</v>
      </c>
      <c r="AD140" s="1">
        <v>34080</v>
      </c>
      <c r="AE140" s="1">
        <v>33820</v>
      </c>
      <c r="AF140" s="1">
        <v>34280</v>
      </c>
      <c r="AG140" s="1">
        <v>35820</v>
      </c>
      <c r="AH140" s="1">
        <v>37060</v>
      </c>
      <c r="AI140" s="1">
        <v>37280</v>
      </c>
      <c r="AJ140" s="1">
        <v>37360</v>
      </c>
      <c r="AK140" s="1">
        <v>36440</v>
      </c>
      <c r="AL140" s="1">
        <v>35900</v>
      </c>
      <c r="AM140" s="1">
        <v>35360</v>
      </c>
      <c r="AN140" s="1">
        <v>34590</v>
      </c>
      <c r="AO140" s="1">
        <v>34090</v>
      </c>
      <c r="AP140" s="1">
        <v>34480</v>
      </c>
      <c r="AQ140" s="1">
        <v>34810</v>
      </c>
      <c r="AR140" s="1">
        <v>35090</v>
      </c>
      <c r="AS140" s="1">
        <v>35380</v>
      </c>
      <c r="AT140" s="1">
        <v>35650</v>
      </c>
      <c r="AU140" s="1">
        <v>35890</v>
      </c>
      <c r="AV140" s="1">
        <v>36100</v>
      </c>
      <c r="AW140" s="1">
        <v>36280</v>
      </c>
      <c r="AX140" s="1">
        <v>36430</v>
      </c>
      <c r="AY140" s="1">
        <v>36540</v>
      </c>
      <c r="AZ140" s="1">
        <v>36610</v>
      </c>
      <c r="BA140" s="1">
        <v>36660</v>
      </c>
      <c r="BB140" s="1">
        <v>36670</v>
      </c>
      <c r="BC140" s="1">
        <v>36640</v>
      </c>
      <c r="BD140" s="1">
        <v>36590</v>
      </c>
    </row>
    <row r="141" spans="1:56" x14ac:dyDescent="0.2">
      <c r="A141" s="1">
        <v>31</v>
      </c>
      <c r="B141" s="3">
        <v>26120</v>
      </c>
      <c r="C141" s="3">
        <v>25420</v>
      </c>
      <c r="D141" s="3">
        <v>25480</v>
      </c>
      <c r="E141" s="3">
        <v>25060</v>
      </c>
      <c r="F141" s="3">
        <v>25520</v>
      </c>
      <c r="G141" s="3">
        <v>25770</v>
      </c>
      <c r="H141" s="3">
        <v>26110</v>
      </c>
      <c r="I141" s="3">
        <v>26060</v>
      </c>
      <c r="J141" s="3">
        <v>27310</v>
      </c>
      <c r="K141" s="3">
        <v>28040</v>
      </c>
      <c r="L141" s="1">
        <v>28680</v>
      </c>
      <c r="M141" s="1">
        <v>29700</v>
      </c>
      <c r="N141" s="1">
        <v>30850</v>
      </c>
      <c r="O141" s="1">
        <v>32330</v>
      </c>
      <c r="P141" s="1">
        <v>34180</v>
      </c>
      <c r="Q141" s="1">
        <v>35870</v>
      </c>
      <c r="R141" s="1">
        <v>37490</v>
      </c>
      <c r="S141" s="1">
        <v>37230</v>
      </c>
      <c r="T141" s="1">
        <v>37480</v>
      </c>
      <c r="U141" s="1">
        <v>37260</v>
      </c>
      <c r="V141" s="1">
        <v>37510</v>
      </c>
      <c r="W141" s="1">
        <v>37500</v>
      </c>
      <c r="X141" s="1">
        <v>36550</v>
      </c>
      <c r="Y141" s="1">
        <v>36130</v>
      </c>
      <c r="Z141" s="1">
        <v>35420</v>
      </c>
      <c r="AA141" s="1">
        <v>36180</v>
      </c>
      <c r="AB141" s="1">
        <v>35330</v>
      </c>
      <c r="AC141" s="1">
        <v>33750</v>
      </c>
      <c r="AD141" s="1">
        <v>33960</v>
      </c>
      <c r="AE141" s="1">
        <v>34470</v>
      </c>
      <c r="AF141" s="1">
        <v>34210</v>
      </c>
      <c r="AG141" s="1">
        <v>34670</v>
      </c>
      <c r="AH141" s="1">
        <v>36220</v>
      </c>
      <c r="AI141" s="1">
        <v>37460</v>
      </c>
      <c r="AJ141" s="1">
        <v>37670</v>
      </c>
      <c r="AK141" s="1">
        <v>37760</v>
      </c>
      <c r="AL141" s="1">
        <v>36830</v>
      </c>
      <c r="AM141" s="1">
        <v>36290</v>
      </c>
      <c r="AN141" s="1">
        <v>35750</v>
      </c>
      <c r="AO141" s="1">
        <v>34980</v>
      </c>
      <c r="AP141" s="1">
        <v>34480</v>
      </c>
      <c r="AQ141" s="1">
        <v>34870</v>
      </c>
      <c r="AR141" s="1">
        <v>35210</v>
      </c>
      <c r="AS141" s="1">
        <v>35490</v>
      </c>
      <c r="AT141" s="1">
        <v>35780</v>
      </c>
      <c r="AU141" s="1">
        <v>36050</v>
      </c>
      <c r="AV141" s="1">
        <v>36290</v>
      </c>
      <c r="AW141" s="1">
        <v>36500</v>
      </c>
      <c r="AX141" s="1">
        <v>36680</v>
      </c>
      <c r="AY141" s="1">
        <v>36830</v>
      </c>
      <c r="AZ141" s="1">
        <v>36940</v>
      </c>
      <c r="BA141" s="1">
        <v>37010</v>
      </c>
      <c r="BB141" s="1">
        <v>37060</v>
      </c>
      <c r="BC141" s="1">
        <v>37070</v>
      </c>
      <c r="BD141" s="1">
        <v>37040</v>
      </c>
    </row>
    <row r="142" spans="1:56" x14ac:dyDescent="0.2">
      <c r="A142" s="1">
        <v>32</v>
      </c>
      <c r="B142" s="3">
        <v>27080</v>
      </c>
      <c r="C142" s="3">
        <v>26350</v>
      </c>
      <c r="D142" s="3">
        <v>25550</v>
      </c>
      <c r="E142" s="3">
        <v>25630</v>
      </c>
      <c r="F142" s="3">
        <v>25140</v>
      </c>
      <c r="G142" s="3">
        <v>25470</v>
      </c>
      <c r="H142" s="3">
        <v>25610</v>
      </c>
      <c r="I142" s="3">
        <v>26030</v>
      </c>
      <c r="J142" s="3">
        <v>26580</v>
      </c>
      <c r="K142" s="3">
        <v>27910</v>
      </c>
      <c r="L142" s="1">
        <v>28450</v>
      </c>
      <c r="M142" s="1">
        <v>28890</v>
      </c>
      <c r="N142" s="1">
        <v>29920</v>
      </c>
      <c r="O142" s="1">
        <v>31060</v>
      </c>
      <c r="P142" s="1">
        <v>32540</v>
      </c>
      <c r="Q142" s="1">
        <v>34390</v>
      </c>
      <c r="R142" s="1">
        <v>36080</v>
      </c>
      <c r="S142" s="1">
        <v>37690</v>
      </c>
      <c r="T142" s="1">
        <v>37440</v>
      </c>
      <c r="U142" s="1">
        <v>37690</v>
      </c>
      <c r="V142" s="1">
        <v>37470</v>
      </c>
      <c r="W142" s="1">
        <v>37720</v>
      </c>
      <c r="X142" s="1">
        <v>37710</v>
      </c>
      <c r="Y142" s="1">
        <v>36760</v>
      </c>
      <c r="Z142" s="1">
        <v>36340</v>
      </c>
      <c r="AA142" s="1">
        <v>35630</v>
      </c>
      <c r="AB142" s="1">
        <v>36390</v>
      </c>
      <c r="AC142" s="1">
        <v>35540</v>
      </c>
      <c r="AD142" s="1">
        <v>33970</v>
      </c>
      <c r="AE142" s="1">
        <v>34170</v>
      </c>
      <c r="AF142" s="1">
        <v>34690</v>
      </c>
      <c r="AG142" s="1">
        <v>34430</v>
      </c>
      <c r="AH142" s="1">
        <v>34890</v>
      </c>
      <c r="AI142" s="1">
        <v>36430</v>
      </c>
      <c r="AJ142" s="1">
        <v>37670</v>
      </c>
      <c r="AK142" s="1">
        <v>37890</v>
      </c>
      <c r="AL142" s="1">
        <v>37970</v>
      </c>
      <c r="AM142" s="1">
        <v>37050</v>
      </c>
      <c r="AN142" s="1">
        <v>36510</v>
      </c>
      <c r="AO142" s="1">
        <v>35970</v>
      </c>
      <c r="AP142" s="1">
        <v>35200</v>
      </c>
      <c r="AQ142" s="1">
        <v>34700</v>
      </c>
      <c r="AR142" s="1">
        <v>35090</v>
      </c>
      <c r="AS142" s="1">
        <v>35420</v>
      </c>
      <c r="AT142" s="1">
        <v>35710</v>
      </c>
      <c r="AU142" s="1">
        <v>35990</v>
      </c>
      <c r="AV142" s="1">
        <v>36270</v>
      </c>
      <c r="AW142" s="1">
        <v>36510</v>
      </c>
      <c r="AX142" s="1">
        <v>36720</v>
      </c>
      <c r="AY142" s="1">
        <v>36900</v>
      </c>
      <c r="AZ142" s="1">
        <v>37050</v>
      </c>
      <c r="BA142" s="1">
        <v>37160</v>
      </c>
      <c r="BB142" s="1">
        <v>37230</v>
      </c>
      <c r="BC142" s="1">
        <v>37280</v>
      </c>
      <c r="BD142" s="1">
        <v>37290</v>
      </c>
    </row>
    <row r="143" spans="1:56" x14ac:dyDescent="0.2">
      <c r="A143" s="1">
        <v>33</v>
      </c>
      <c r="B143" s="3">
        <v>28270</v>
      </c>
      <c r="C143" s="3">
        <v>27360</v>
      </c>
      <c r="D143" s="3">
        <v>26460</v>
      </c>
      <c r="E143" s="3">
        <v>25700</v>
      </c>
      <c r="F143" s="3">
        <v>25670</v>
      </c>
      <c r="G143" s="3">
        <v>25030</v>
      </c>
      <c r="H143" s="3">
        <v>25340</v>
      </c>
      <c r="I143" s="3">
        <v>25570</v>
      </c>
      <c r="J143" s="3">
        <v>26460</v>
      </c>
      <c r="K143" s="3">
        <v>27070</v>
      </c>
      <c r="L143" s="1">
        <v>28210</v>
      </c>
      <c r="M143" s="1">
        <v>28570</v>
      </c>
      <c r="N143" s="1">
        <v>29010</v>
      </c>
      <c r="O143" s="1">
        <v>30040</v>
      </c>
      <c r="P143" s="1">
        <v>31180</v>
      </c>
      <c r="Q143" s="1">
        <v>32660</v>
      </c>
      <c r="R143" s="1">
        <v>34500</v>
      </c>
      <c r="S143" s="1">
        <v>36190</v>
      </c>
      <c r="T143" s="1">
        <v>37810</v>
      </c>
      <c r="U143" s="1">
        <v>37560</v>
      </c>
      <c r="V143" s="1">
        <v>37800</v>
      </c>
      <c r="W143" s="1">
        <v>37590</v>
      </c>
      <c r="X143" s="1">
        <v>37840</v>
      </c>
      <c r="Y143" s="1">
        <v>37820</v>
      </c>
      <c r="Z143" s="1">
        <v>36880</v>
      </c>
      <c r="AA143" s="1">
        <v>36460</v>
      </c>
      <c r="AB143" s="1">
        <v>35750</v>
      </c>
      <c r="AC143" s="1">
        <v>36510</v>
      </c>
      <c r="AD143" s="1">
        <v>35660</v>
      </c>
      <c r="AE143" s="1">
        <v>34090</v>
      </c>
      <c r="AF143" s="1">
        <v>34290</v>
      </c>
      <c r="AG143" s="1">
        <v>34810</v>
      </c>
      <c r="AH143" s="1">
        <v>34550</v>
      </c>
      <c r="AI143" s="1">
        <v>35010</v>
      </c>
      <c r="AJ143" s="1">
        <v>36550</v>
      </c>
      <c r="AK143" s="1">
        <v>37790</v>
      </c>
      <c r="AL143" s="1">
        <v>38010</v>
      </c>
      <c r="AM143" s="1">
        <v>38090</v>
      </c>
      <c r="AN143" s="1">
        <v>37170</v>
      </c>
      <c r="AO143" s="1">
        <v>36630</v>
      </c>
      <c r="AP143" s="1">
        <v>36090</v>
      </c>
      <c r="AQ143" s="1">
        <v>35330</v>
      </c>
      <c r="AR143" s="1">
        <v>34830</v>
      </c>
      <c r="AS143" s="1">
        <v>35220</v>
      </c>
      <c r="AT143" s="1">
        <v>35550</v>
      </c>
      <c r="AU143" s="1">
        <v>35840</v>
      </c>
      <c r="AV143" s="1">
        <v>36120</v>
      </c>
      <c r="AW143" s="1">
        <v>36390</v>
      </c>
      <c r="AX143" s="1">
        <v>36640</v>
      </c>
      <c r="AY143" s="1">
        <v>36850</v>
      </c>
      <c r="AZ143" s="1">
        <v>37030</v>
      </c>
      <c r="BA143" s="1">
        <v>37170</v>
      </c>
      <c r="BB143" s="1">
        <v>37280</v>
      </c>
      <c r="BC143" s="1">
        <v>37360</v>
      </c>
      <c r="BD143" s="1">
        <v>37400</v>
      </c>
    </row>
    <row r="144" spans="1:56" x14ac:dyDescent="0.2">
      <c r="A144" s="1">
        <v>34</v>
      </c>
      <c r="B144" s="3">
        <v>29670</v>
      </c>
      <c r="C144" s="3">
        <v>28570</v>
      </c>
      <c r="D144" s="3">
        <v>27580</v>
      </c>
      <c r="E144" s="3">
        <v>26650</v>
      </c>
      <c r="F144" s="3">
        <v>25770</v>
      </c>
      <c r="G144" s="3">
        <v>25700</v>
      </c>
      <c r="H144" s="3">
        <v>24980</v>
      </c>
      <c r="I144" s="3">
        <v>25320</v>
      </c>
      <c r="J144" s="3">
        <v>25940</v>
      </c>
      <c r="K144" s="3">
        <v>26940</v>
      </c>
      <c r="L144" s="1">
        <v>27370</v>
      </c>
      <c r="M144" s="1">
        <v>28330</v>
      </c>
      <c r="N144" s="1">
        <v>28680</v>
      </c>
      <c r="O144" s="1">
        <v>29130</v>
      </c>
      <c r="P144" s="1">
        <v>30150</v>
      </c>
      <c r="Q144" s="1">
        <v>31290</v>
      </c>
      <c r="R144" s="1">
        <v>32770</v>
      </c>
      <c r="S144" s="1">
        <v>34620</v>
      </c>
      <c r="T144" s="1">
        <v>36300</v>
      </c>
      <c r="U144" s="1">
        <v>37920</v>
      </c>
      <c r="V144" s="1">
        <v>37670</v>
      </c>
      <c r="W144" s="1">
        <v>37910</v>
      </c>
      <c r="X144" s="1">
        <v>37700</v>
      </c>
      <c r="Y144" s="1">
        <v>37950</v>
      </c>
      <c r="Z144" s="1">
        <v>37940</v>
      </c>
      <c r="AA144" s="1">
        <v>37000</v>
      </c>
      <c r="AB144" s="1">
        <v>36570</v>
      </c>
      <c r="AC144" s="1">
        <v>35870</v>
      </c>
      <c r="AD144" s="1">
        <v>36630</v>
      </c>
      <c r="AE144" s="1">
        <v>35780</v>
      </c>
      <c r="AF144" s="1">
        <v>34210</v>
      </c>
      <c r="AG144" s="1">
        <v>34410</v>
      </c>
      <c r="AH144" s="1">
        <v>34930</v>
      </c>
      <c r="AI144" s="1">
        <v>34670</v>
      </c>
      <c r="AJ144" s="1">
        <v>35130</v>
      </c>
      <c r="AK144" s="1">
        <v>36670</v>
      </c>
      <c r="AL144" s="1">
        <v>37910</v>
      </c>
      <c r="AM144" s="1">
        <v>38130</v>
      </c>
      <c r="AN144" s="1">
        <v>38210</v>
      </c>
      <c r="AO144" s="1">
        <v>37290</v>
      </c>
      <c r="AP144" s="1">
        <v>36750</v>
      </c>
      <c r="AQ144" s="1">
        <v>36210</v>
      </c>
      <c r="AR144" s="1">
        <v>35450</v>
      </c>
      <c r="AS144" s="1">
        <v>34950</v>
      </c>
      <c r="AT144" s="1">
        <v>35340</v>
      </c>
      <c r="AU144" s="1">
        <v>35670</v>
      </c>
      <c r="AV144" s="1">
        <v>35960</v>
      </c>
      <c r="AW144" s="1">
        <v>36240</v>
      </c>
      <c r="AX144" s="1">
        <v>36520</v>
      </c>
      <c r="AY144" s="1">
        <v>36760</v>
      </c>
      <c r="AZ144" s="1">
        <v>36970</v>
      </c>
      <c r="BA144" s="1">
        <v>37150</v>
      </c>
      <c r="BB144" s="1">
        <v>37300</v>
      </c>
      <c r="BC144" s="1">
        <v>37410</v>
      </c>
      <c r="BD144" s="1">
        <v>37480</v>
      </c>
    </row>
    <row r="145" spans="1:56" x14ac:dyDescent="0.2">
      <c r="A145" s="1">
        <v>35</v>
      </c>
      <c r="B145" s="3">
        <v>30140</v>
      </c>
      <c r="C145" s="3">
        <v>29910</v>
      </c>
      <c r="D145" s="3">
        <v>28640</v>
      </c>
      <c r="E145" s="3">
        <v>27750</v>
      </c>
      <c r="F145" s="3">
        <v>26780</v>
      </c>
      <c r="G145" s="3">
        <v>25730</v>
      </c>
      <c r="H145" s="3">
        <v>25670</v>
      </c>
      <c r="I145" s="3">
        <v>24970</v>
      </c>
      <c r="J145" s="3">
        <v>25650</v>
      </c>
      <c r="K145" s="3">
        <v>26390</v>
      </c>
      <c r="L145" s="1">
        <v>27220</v>
      </c>
      <c r="M145" s="1">
        <v>27480</v>
      </c>
      <c r="N145" s="1">
        <v>28440</v>
      </c>
      <c r="O145" s="1">
        <v>28800</v>
      </c>
      <c r="P145" s="1">
        <v>29240</v>
      </c>
      <c r="Q145" s="1">
        <v>30260</v>
      </c>
      <c r="R145" s="1">
        <v>31400</v>
      </c>
      <c r="S145" s="1">
        <v>32880</v>
      </c>
      <c r="T145" s="1">
        <v>34720</v>
      </c>
      <c r="U145" s="1">
        <v>36410</v>
      </c>
      <c r="V145" s="1">
        <v>38030</v>
      </c>
      <c r="W145" s="1">
        <v>37780</v>
      </c>
      <c r="X145" s="1">
        <v>38020</v>
      </c>
      <c r="Y145" s="1">
        <v>37810</v>
      </c>
      <c r="Z145" s="1">
        <v>38060</v>
      </c>
      <c r="AA145" s="1">
        <v>38050</v>
      </c>
      <c r="AB145" s="1">
        <v>37100</v>
      </c>
      <c r="AC145" s="1">
        <v>36680</v>
      </c>
      <c r="AD145" s="1">
        <v>35980</v>
      </c>
      <c r="AE145" s="1">
        <v>36740</v>
      </c>
      <c r="AF145" s="1">
        <v>35890</v>
      </c>
      <c r="AG145" s="1">
        <v>34320</v>
      </c>
      <c r="AH145" s="1">
        <v>34520</v>
      </c>
      <c r="AI145" s="1">
        <v>35040</v>
      </c>
      <c r="AJ145" s="1">
        <v>34780</v>
      </c>
      <c r="AK145" s="1">
        <v>35240</v>
      </c>
      <c r="AL145" s="1">
        <v>36780</v>
      </c>
      <c r="AM145" s="1">
        <v>38020</v>
      </c>
      <c r="AN145" s="1">
        <v>38240</v>
      </c>
      <c r="AO145" s="1">
        <v>38320</v>
      </c>
      <c r="AP145" s="1">
        <v>37400</v>
      </c>
      <c r="AQ145" s="1">
        <v>36870</v>
      </c>
      <c r="AR145" s="1">
        <v>36330</v>
      </c>
      <c r="AS145" s="1">
        <v>35560</v>
      </c>
      <c r="AT145" s="1">
        <v>35070</v>
      </c>
      <c r="AU145" s="1">
        <v>35460</v>
      </c>
      <c r="AV145" s="1">
        <v>35790</v>
      </c>
      <c r="AW145" s="1">
        <v>36080</v>
      </c>
      <c r="AX145" s="1">
        <v>36360</v>
      </c>
      <c r="AY145" s="1">
        <v>36630</v>
      </c>
      <c r="AZ145" s="1">
        <v>36870</v>
      </c>
      <c r="BA145" s="1">
        <v>37090</v>
      </c>
      <c r="BB145" s="1">
        <v>37270</v>
      </c>
      <c r="BC145" s="1">
        <v>37410</v>
      </c>
      <c r="BD145" s="1">
        <v>37520</v>
      </c>
    </row>
    <row r="146" spans="1:56" x14ac:dyDescent="0.2">
      <c r="A146" s="1">
        <v>36</v>
      </c>
      <c r="B146" s="3">
        <v>29680</v>
      </c>
      <c r="C146" s="3">
        <v>30320</v>
      </c>
      <c r="D146" s="3">
        <v>30070</v>
      </c>
      <c r="E146" s="3">
        <v>28790</v>
      </c>
      <c r="F146" s="3">
        <v>27890</v>
      </c>
      <c r="G146" s="3">
        <v>26800</v>
      </c>
      <c r="H146" s="3">
        <v>25710</v>
      </c>
      <c r="I146" s="3">
        <v>25740</v>
      </c>
      <c r="J146" s="3">
        <v>25230</v>
      </c>
      <c r="K146" s="3">
        <v>26080</v>
      </c>
      <c r="L146" s="1">
        <v>26660</v>
      </c>
      <c r="M146" s="1">
        <v>27320</v>
      </c>
      <c r="N146" s="1">
        <v>27580</v>
      </c>
      <c r="O146" s="1">
        <v>28540</v>
      </c>
      <c r="P146" s="1">
        <v>28900</v>
      </c>
      <c r="Q146" s="1">
        <v>29340</v>
      </c>
      <c r="R146" s="1">
        <v>30360</v>
      </c>
      <c r="S146" s="1">
        <v>31500</v>
      </c>
      <c r="T146" s="1">
        <v>32980</v>
      </c>
      <c r="U146" s="1">
        <v>34820</v>
      </c>
      <c r="V146" s="1">
        <v>36510</v>
      </c>
      <c r="W146" s="1">
        <v>38120</v>
      </c>
      <c r="X146" s="1">
        <v>37880</v>
      </c>
      <c r="Y146" s="1">
        <v>38120</v>
      </c>
      <c r="Z146" s="1">
        <v>37910</v>
      </c>
      <c r="AA146" s="1">
        <v>38160</v>
      </c>
      <c r="AB146" s="1">
        <v>38140</v>
      </c>
      <c r="AC146" s="1">
        <v>37200</v>
      </c>
      <c r="AD146" s="1">
        <v>36780</v>
      </c>
      <c r="AE146" s="1">
        <v>36080</v>
      </c>
      <c r="AF146" s="1">
        <v>36840</v>
      </c>
      <c r="AG146" s="1">
        <v>35990</v>
      </c>
      <c r="AH146" s="1">
        <v>34430</v>
      </c>
      <c r="AI146" s="1">
        <v>34630</v>
      </c>
      <c r="AJ146" s="1">
        <v>35140</v>
      </c>
      <c r="AK146" s="1">
        <v>34890</v>
      </c>
      <c r="AL146" s="1">
        <v>35350</v>
      </c>
      <c r="AM146" s="1">
        <v>36890</v>
      </c>
      <c r="AN146" s="1">
        <v>38130</v>
      </c>
      <c r="AO146" s="1">
        <v>38350</v>
      </c>
      <c r="AP146" s="1">
        <v>38430</v>
      </c>
      <c r="AQ146" s="1">
        <v>37510</v>
      </c>
      <c r="AR146" s="1">
        <v>36970</v>
      </c>
      <c r="AS146" s="1">
        <v>36440</v>
      </c>
      <c r="AT146" s="1">
        <v>35670</v>
      </c>
      <c r="AU146" s="1">
        <v>35170</v>
      </c>
      <c r="AV146" s="1">
        <v>35560</v>
      </c>
      <c r="AW146" s="1">
        <v>35900</v>
      </c>
      <c r="AX146" s="1">
        <v>36180</v>
      </c>
      <c r="AY146" s="1">
        <v>36470</v>
      </c>
      <c r="AZ146" s="1">
        <v>36740</v>
      </c>
      <c r="BA146" s="1">
        <v>36980</v>
      </c>
      <c r="BB146" s="1">
        <v>37190</v>
      </c>
      <c r="BC146" s="1">
        <v>37380</v>
      </c>
      <c r="BD146" s="1">
        <v>37520</v>
      </c>
    </row>
    <row r="147" spans="1:56" x14ac:dyDescent="0.2">
      <c r="A147" s="1">
        <v>37</v>
      </c>
      <c r="B147" s="3">
        <v>30040</v>
      </c>
      <c r="C147" s="3">
        <v>29860</v>
      </c>
      <c r="D147" s="3">
        <v>30480</v>
      </c>
      <c r="E147" s="3">
        <v>30200</v>
      </c>
      <c r="F147" s="3">
        <v>28920</v>
      </c>
      <c r="G147" s="3">
        <v>27960</v>
      </c>
      <c r="H147" s="3">
        <v>26770</v>
      </c>
      <c r="I147" s="3">
        <v>25830</v>
      </c>
      <c r="J147" s="3">
        <v>25980</v>
      </c>
      <c r="K147" s="3">
        <v>25640</v>
      </c>
      <c r="L147" s="1">
        <v>26330</v>
      </c>
      <c r="M147" s="1">
        <v>26750</v>
      </c>
      <c r="N147" s="1">
        <v>27410</v>
      </c>
      <c r="O147" s="1">
        <v>27670</v>
      </c>
      <c r="P147" s="1">
        <v>28630</v>
      </c>
      <c r="Q147" s="1">
        <v>28990</v>
      </c>
      <c r="R147" s="1">
        <v>29430</v>
      </c>
      <c r="S147" s="1">
        <v>30450</v>
      </c>
      <c r="T147" s="1">
        <v>31590</v>
      </c>
      <c r="U147" s="1">
        <v>33070</v>
      </c>
      <c r="V147" s="1">
        <v>34910</v>
      </c>
      <c r="W147" s="1">
        <v>36590</v>
      </c>
      <c r="X147" s="1">
        <v>38210</v>
      </c>
      <c r="Y147" s="1">
        <v>37960</v>
      </c>
      <c r="Z147" s="1">
        <v>38200</v>
      </c>
      <c r="AA147" s="1">
        <v>37990</v>
      </c>
      <c r="AB147" s="1">
        <v>38240</v>
      </c>
      <c r="AC147" s="1">
        <v>38230</v>
      </c>
      <c r="AD147" s="1">
        <v>37290</v>
      </c>
      <c r="AE147" s="1">
        <v>36870</v>
      </c>
      <c r="AF147" s="1">
        <v>36170</v>
      </c>
      <c r="AG147" s="1">
        <v>36930</v>
      </c>
      <c r="AH147" s="1">
        <v>36080</v>
      </c>
      <c r="AI147" s="1">
        <v>34520</v>
      </c>
      <c r="AJ147" s="1">
        <v>34720</v>
      </c>
      <c r="AK147" s="1">
        <v>35240</v>
      </c>
      <c r="AL147" s="1">
        <v>34980</v>
      </c>
      <c r="AM147" s="1">
        <v>35440</v>
      </c>
      <c r="AN147" s="1">
        <v>36980</v>
      </c>
      <c r="AO147" s="1">
        <v>38220</v>
      </c>
      <c r="AP147" s="1">
        <v>38440</v>
      </c>
      <c r="AQ147" s="1">
        <v>38520</v>
      </c>
      <c r="AR147" s="1">
        <v>37600</v>
      </c>
      <c r="AS147" s="1">
        <v>37070</v>
      </c>
      <c r="AT147" s="1">
        <v>36530</v>
      </c>
      <c r="AU147" s="1">
        <v>35770</v>
      </c>
      <c r="AV147" s="1">
        <v>35270</v>
      </c>
      <c r="AW147" s="1">
        <v>35660</v>
      </c>
      <c r="AX147" s="1">
        <v>35990</v>
      </c>
      <c r="AY147" s="1">
        <v>36280</v>
      </c>
      <c r="AZ147" s="1">
        <v>36560</v>
      </c>
      <c r="BA147" s="1">
        <v>36840</v>
      </c>
      <c r="BB147" s="1">
        <v>37080</v>
      </c>
      <c r="BC147" s="1">
        <v>37290</v>
      </c>
      <c r="BD147" s="1">
        <v>37470</v>
      </c>
    </row>
    <row r="148" spans="1:56" x14ac:dyDescent="0.2">
      <c r="A148" s="1">
        <v>38</v>
      </c>
      <c r="B148" s="3">
        <v>29710</v>
      </c>
      <c r="C148" s="3">
        <v>30220</v>
      </c>
      <c r="D148" s="3">
        <v>29910</v>
      </c>
      <c r="E148" s="3">
        <v>30610</v>
      </c>
      <c r="F148" s="3">
        <v>30300</v>
      </c>
      <c r="G148" s="3">
        <v>28910</v>
      </c>
      <c r="H148" s="3">
        <v>27940</v>
      </c>
      <c r="I148" s="3">
        <v>26840</v>
      </c>
      <c r="J148" s="3">
        <v>26070</v>
      </c>
      <c r="K148" s="3">
        <v>26370</v>
      </c>
      <c r="L148" s="1">
        <v>25870</v>
      </c>
      <c r="M148" s="1">
        <v>26410</v>
      </c>
      <c r="N148" s="1">
        <v>26830</v>
      </c>
      <c r="O148" s="1">
        <v>27490</v>
      </c>
      <c r="P148" s="1">
        <v>27750</v>
      </c>
      <c r="Q148" s="1">
        <v>28710</v>
      </c>
      <c r="R148" s="1">
        <v>29060</v>
      </c>
      <c r="S148" s="1">
        <v>29510</v>
      </c>
      <c r="T148" s="1">
        <v>30530</v>
      </c>
      <c r="U148" s="1">
        <v>31670</v>
      </c>
      <c r="V148" s="1">
        <v>33150</v>
      </c>
      <c r="W148" s="1">
        <v>34980</v>
      </c>
      <c r="X148" s="1">
        <v>36670</v>
      </c>
      <c r="Y148" s="1">
        <v>38280</v>
      </c>
      <c r="Z148" s="1">
        <v>38040</v>
      </c>
      <c r="AA148" s="1">
        <v>38280</v>
      </c>
      <c r="AB148" s="1">
        <v>38070</v>
      </c>
      <c r="AC148" s="1">
        <v>38320</v>
      </c>
      <c r="AD148" s="1">
        <v>38310</v>
      </c>
      <c r="AE148" s="1">
        <v>37370</v>
      </c>
      <c r="AF148" s="1">
        <v>36950</v>
      </c>
      <c r="AG148" s="1">
        <v>36250</v>
      </c>
      <c r="AH148" s="1">
        <v>37010</v>
      </c>
      <c r="AI148" s="1">
        <v>36160</v>
      </c>
      <c r="AJ148" s="1">
        <v>34600</v>
      </c>
      <c r="AK148" s="1">
        <v>34800</v>
      </c>
      <c r="AL148" s="1">
        <v>35320</v>
      </c>
      <c r="AM148" s="1">
        <v>35060</v>
      </c>
      <c r="AN148" s="1">
        <v>35520</v>
      </c>
      <c r="AO148" s="1">
        <v>37060</v>
      </c>
      <c r="AP148" s="1">
        <v>38300</v>
      </c>
      <c r="AQ148" s="1">
        <v>38520</v>
      </c>
      <c r="AR148" s="1">
        <v>38600</v>
      </c>
      <c r="AS148" s="1">
        <v>37690</v>
      </c>
      <c r="AT148" s="1">
        <v>37150</v>
      </c>
      <c r="AU148" s="1">
        <v>36610</v>
      </c>
      <c r="AV148" s="1">
        <v>35850</v>
      </c>
      <c r="AW148" s="1">
        <v>35360</v>
      </c>
      <c r="AX148" s="1">
        <v>35750</v>
      </c>
      <c r="AY148" s="1">
        <v>36080</v>
      </c>
      <c r="AZ148" s="1">
        <v>36370</v>
      </c>
      <c r="BA148" s="1">
        <v>36650</v>
      </c>
      <c r="BB148" s="1">
        <v>36920</v>
      </c>
      <c r="BC148" s="1">
        <v>37170</v>
      </c>
      <c r="BD148" s="1">
        <v>37380</v>
      </c>
    </row>
    <row r="149" spans="1:56" x14ac:dyDescent="0.2">
      <c r="A149" s="1">
        <v>39</v>
      </c>
      <c r="B149" s="3">
        <v>29570</v>
      </c>
      <c r="C149" s="3">
        <v>29890</v>
      </c>
      <c r="D149" s="3">
        <v>30260</v>
      </c>
      <c r="E149" s="3">
        <v>30030</v>
      </c>
      <c r="F149" s="3">
        <v>30640</v>
      </c>
      <c r="G149" s="3">
        <v>30250</v>
      </c>
      <c r="H149" s="3">
        <v>28910</v>
      </c>
      <c r="I149" s="3">
        <v>28120</v>
      </c>
      <c r="J149" s="3">
        <v>27050</v>
      </c>
      <c r="K149" s="3">
        <v>26420</v>
      </c>
      <c r="L149" s="1">
        <v>26570</v>
      </c>
      <c r="M149" s="1">
        <v>25940</v>
      </c>
      <c r="N149" s="1">
        <v>26470</v>
      </c>
      <c r="O149" s="1">
        <v>26890</v>
      </c>
      <c r="P149" s="1">
        <v>27550</v>
      </c>
      <c r="Q149" s="1">
        <v>27810</v>
      </c>
      <c r="R149" s="1">
        <v>28770</v>
      </c>
      <c r="S149" s="1">
        <v>29130</v>
      </c>
      <c r="T149" s="1">
        <v>29570</v>
      </c>
      <c r="U149" s="1">
        <v>30590</v>
      </c>
      <c r="V149" s="1">
        <v>31730</v>
      </c>
      <c r="W149" s="1">
        <v>33210</v>
      </c>
      <c r="X149" s="1">
        <v>35040</v>
      </c>
      <c r="Y149" s="1">
        <v>36730</v>
      </c>
      <c r="Z149" s="1">
        <v>38340</v>
      </c>
      <c r="AA149" s="1">
        <v>38090</v>
      </c>
      <c r="AB149" s="1">
        <v>38340</v>
      </c>
      <c r="AC149" s="1">
        <v>38130</v>
      </c>
      <c r="AD149" s="1">
        <v>38380</v>
      </c>
      <c r="AE149" s="1">
        <v>38370</v>
      </c>
      <c r="AF149" s="1">
        <v>37430</v>
      </c>
      <c r="AG149" s="1">
        <v>37010</v>
      </c>
      <c r="AH149" s="1">
        <v>36310</v>
      </c>
      <c r="AI149" s="1">
        <v>37070</v>
      </c>
      <c r="AJ149" s="1">
        <v>36230</v>
      </c>
      <c r="AK149" s="1">
        <v>34670</v>
      </c>
      <c r="AL149" s="1">
        <v>34870</v>
      </c>
      <c r="AM149" s="1">
        <v>35390</v>
      </c>
      <c r="AN149" s="1">
        <v>35130</v>
      </c>
      <c r="AO149" s="1">
        <v>35590</v>
      </c>
      <c r="AP149" s="1">
        <v>37130</v>
      </c>
      <c r="AQ149" s="1">
        <v>38370</v>
      </c>
      <c r="AR149" s="1">
        <v>38590</v>
      </c>
      <c r="AS149" s="1">
        <v>38670</v>
      </c>
      <c r="AT149" s="1">
        <v>37750</v>
      </c>
      <c r="AU149" s="1">
        <v>37220</v>
      </c>
      <c r="AV149" s="1">
        <v>36680</v>
      </c>
      <c r="AW149" s="1">
        <v>35920</v>
      </c>
      <c r="AX149" s="1">
        <v>35430</v>
      </c>
      <c r="AY149" s="1">
        <v>35820</v>
      </c>
      <c r="AZ149" s="1">
        <v>36150</v>
      </c>
      <c r="BA149" s="1">
        <v>36440</v>
      </c>
      <c r="BB149" s="1">
        <v>36720</v>
      </c>
      <c r="BC149" s="1">
        <v>36990</v>
      </c>
      <c r="BD149" s="1">
        <v>37240</v>
      </c>
    </row>
    <row r="150" spans="1:56" x14ac:dyDescent="0.2">
      <c r="A150" s="1">
        <v>40</v>
      </c>
      <c r="B150" s="3">
        <v>29920</v>
      </c>
      <c r="C150" s="3">
        <v>29750</v>
      </c>
      <c r="D150" s="3">
        <v>29950</v>
      </c>
      <c r="E150" s="3">
        <v>30360</v>
      </c>
      <c r="F150" s="3">
        <v>30050</v>
      </c>
      <c r="G150" s="3">
        <v>30610</v>
      </c>
      <c r="H150" s="3">
        <v>30210</v>
      </c>
      <c r="I150" s="3">
        <v>29000</v>
      </c>
      <c r="J150" s="3">
        <v>28310</v>
      </c>
      <c r="K150" s="3">
        <v>27380</v>
      </c>
      <c r="L150" s="1">
        <v>26600</v>
      </c>
      <c r="M150" s="1">
        <v>26620</v>
      </c>
      <c r="N150" s="1">
        <v>25980</v>
      </c>
      <c r="O150" s="1">
        <v>26510</v>
      </c>
      <c r="P150" s="1">
        <v>26940</v>
      </c>
      <c r="Q150" s="1">
        <v>27600</v>
      </c>
      <c r="R150" s="1">
        <v>27850</v>
      </c>
      <c r="S150" s="1">
        <v>28820</v>
      </c>
      <c r="T150" s="1">
        <v>29170</v>
      </c>
      <c r="U150" s="1">
        <v>29610</v>
      </c>
      <c r="V150" s="1">
        <v>30630</v>
      </c>
      <c r="W150" s="1">
        <v>31770</v>
      </c>
      <c r="X150" s="1">
        <v>33250</v>
      </c>
      <c r="Y150" s="1">
        <v>35080</v>
      </c>
      <c r="Z150" s="1">
        <v>36760</v>
      </c>
      <c r="AA150" s="1">
        <v>38380</v>
      </c>
      <c r="AB150" s="1">
        <v>38130</v>
      </c>
      <c r="AC150" s="1">
        <v>38380</v>
      </c>
      <c r="AD150" s="1">
        <v>38170</v>
      </c>
      <c r="AE150" s="1">
        <v>38420</v>
      </c>
      <c r="AF150" s="1">
        <v>38410</v>
      </c>
      <c r="AG150" s="1">
        <v>37470</v>
      </c>
      <c r="AH150" s="1">
        <v>37050</v>
      </c>
      <c r="AI150" s="1">
        <v>36350</v>
      </c>
      <c r="AJ150" s="1">
        <v>37120</v>
      </c>
      <c r="AK150" s="1">
        <v>36270</v>
      </c>
      <c r="AL150" s="1">
        <v>34710</v>
      </c>
      <c r="AM150" s="1">
        <v>34920</v>
      </c>
      <c r="AN150" s="1">
        <v>35430</v>
      </c>
      <c r="AO150" s="1">
        <v>35180</v>
      </c>
      <c r="AP150" s="1">
        <v>35640</v>
      </c>
      <c r="AQ150" s="1">
        <v>37180</v>
      </c>
      <c r="AR150" s="1">
        <v>38410</v>
      </c>
      <c r="AS150" s="1">
        <v>38630</v>
      </c>
      <c r="AT150" s="1">
        <v>38720</v>
      </c>
      <c r="AU150" s="1">
        <v>37800</v>
      </c>
      <c r="AV150" s="1">
        <v>37270</v>
      </c>
      <c r="AW150" s="1">
        <v>36730</v>
      </c>
      <c r="AX150" s="1">
        <v>35970</v>
      </c>
      <c r="AY150" s="1">
        <v>35480</v>
      </c>
      <c r="AZ150" s="1">
        <v>35870</v>
      </c>
      <c r="BA150" s="1">
        <v>36200</v>
      </c>
      <c r="BB150" s="1">
        <v>36490</v>
      </c>
      <c r="BC150" s="1">
        <v>36770</v>
      </c>
      <c r="BD150" s="1">
        <v>37050</v>
      </c>
    </row>
    <row r="151" spans="1:56" x14ac:dyDescent="0.2">
      <c r="A151" s="1">
        <v>41</v>
      </c>
      <c r="B151" s="3">
        <v>30380</v>
      </c>
      <c r="C151" s="3">
        <v>30040</v>
      </c>
      <c r="D151" s="3">
        <v>29780</v>
      </c>
      <c r="E151" s="3">
        <v>30010</v>
      </c>
      <c r="F151" s="3">
        <v>30420</v>
      </c>
      <c r="G151" s="3">
        <v>30010</v>
      </c>
      <c r="H151" s="3">
        <v>30580</v>
      </c>
      <c r="I151" s="3">
        <v>30270</v>
      </c>
      <c r="J151" s="3">
        <v>29250</v>
      </c>
      <c r="K151" s="3">
        <v>28600</v>
      </c>
      <c r="L151" s="1">
        <v>27540</v>
      </c>
      <c r="M151" s="1">
        <v>26630</v>
      </c>
      <c r="N151" s="1">
        <v>26650</v>
      </c>
      <c r="O151" s="1">
        <v>26010</v>
      </c>
      <c r="P151" s="1">
        <v>26540</v>
      </c>
      <c r="Q151" s="1">
        <v>26970</v>
      </c>
      <c r="R151" s="1">
        <v>27630</v>
      </c>
      <c r="S151" s="1">
        <v>27890</v>
      </c>
      <c r="T151" s="1">
        <v>28850</v>
      </c>
      <c r="U151" s="1">
        <v>29200</v>
      </c>
      <c r="V151" s="1">
        <v>29640</v>
      </c>
      <c r="W151" s="1">
        <v>30660</v>
      </c>
      <c r="X151" s="1">
        <v>31800</v>
      </c>
      <c r="Y151" s="1">
        <v>33280</v>
      </c>
      <c r="Z151" s="1">
        <v>35110</v>
      </c>
      <c r="AA151" s="1">
        <v>36790</v>
      </c>
      <c r="AB151" s="1">
        <v>38400</v>
      </c>
      <c r="AC151" s="1">
        <v>38160</v>
      </c>
      <c r="AD151" s="1">
        <v>38400</v>
      </c>
      <c r="AE151" s="1">
        <v>38190</v>
      </c>
      <c r="AF151" s="1">
        <v>38450</v>
      </c>
      <c r="AG151" s="1">
        <v>38440</v>
      </c>
      <c r="AH151" s="1">
        <v>37500</v>
      </c>
      <c r="AI151" s="1">
        <v>37090</v>
      </c>
      <c r="AJ151" s="1">
        <v>36390</v>
      </c>
      <c r="AK151" s="1">
        <v>37150</v>
      </c>
      <c r="AL151" s="1">
        <v>36310</v>
      </c>
      <c r="AM151" s="1">
        <v>34750</v>
      </c>
      <c r="AN151" s="1">
        <v>34950</v>
      </c>
      <c r="AO151" s="1">
        <v>35470</v>
      </c>
      <c r="AP151" s="1">
        <v>35210</v>
      </c>
      <c r="AQ151" s="1">
        <v>35670</v>
      </c>
      <c r="AR151" s="1">
        <v>37210</v>
      </c>
      <c r="AS151" s="1">
        <v>38450</v>
      </c>
      <c r="AT151" s="1">
        <v>38670</v>
      </c>
      <c r="AU151" s="1">
        <v>38750</v>
      </c>
      <c r="AV151" s="1">
        <v>37840</v>
      </c>
      <c r="AW151" s="1">
        <v>37300</v>
      </c>
      <c r="AX151" s="1">
        <v>36770</v>
      </c>
      <c r="AY151" s="1">
        <v>36010</v>
      </c>
      <c r="AZ151" s="1">
        <v>35520</v>
      </c>
      <c r="BA151" s="1">
        <v>35910</v>
      </c>
      <c r="BB151" s="1">
        <v>36240</v>
      </c>
      <c r="BC151" s="1">
        <v>36530</v>
      </c>
      <c r="BD151" s="1">
        <v>36810</v>
      </c>
    </row>
    <row r="152" spans="1:56" x14ac:dyDescent="0.2">
      <c r="A152" s="1">
        <v>42</v>
      </c>
      <c r="B152" s="3">
        <v>31600</v>
      </c>
      <c r="C152" s="3">
        <v>30480</v>
      </c>
      <c r="D152" s="3">
        <v>30040</v>
      </c>
      <c r="E152" s="3">
        <v>29810</v>
      </c>
      <c r="F152" s="3">
        <v>30060</v>
      </c>
      <c r="G152" s="3">
        <v>30400</v>
      </c>
      <c r="H152" s="3">
        <v>29940</v>
      </c>
      <c r="I152" s="3">
        <v>30650</v>
      </c>
      <c r="J152" s="3">
        <v>30370</v>
      </c>
      <c r="K152" s="3">
        <v>29510</v>
      </c>
      <c r="L152" s="1">
        <v>28740</v>
      </c>
      <c r="M152" s="1">
        <v>27550</v>
      </c>
      <c r="N152" s="1">
        <v>26650</v>
      </c>
      <c r="O152" s="1">
        <v>26660</v>
      </c>
      <c r="P152" s="1">
        <v>26030</v>
      </c>
      <c r="Q152" s="1">
        <v>26560</v>
      </c>
      <c r="R152" s="1">
        <v>26990</v>
      </c>
      <c r="S152" s="1">
        <v>27650</v>
      </c>
      <c r="T152" s="1">
        <v>27910</v>
      </c>
      <c r="U152" s="1">
        <v>28870</v>
      </c>
      <c r="V152" s="1">
        <v>29220</v>
      </c>
      <c r="W152" s="1">
        <v>29660</v>
      </c>
      <c r="X152" s="1">
        <v>30680</v>
      </c>
      <c r="Y152" s="1">
        <v>31820</v>
      </c>
      <c r="Z152" s="1">
        <v>33290</v>
      </c>
      <c r="AA152" s="1">
        <v>35130</v>
      </c>
      <c r="AB152" s="1">
        <v>36810</v>
      </c>
      <c r="AC152" s="1">
        <v>38420</v>
      </c>
      <c r="AD152" s="1">
        <v>38170</v>
      </c>
      <c r="AE152" s="1">
        <v>38420</v>
      </c>
      <c r="AF152" s="1">
        <v>38210</v>
      </c>
      <c r="AG152" s="1">
        <v>38460</v>
      </c>
      <c r="AH152" s="1">
        <v>38460</v>
      </c>
      <c r="AI152" s="1">
        <v>37520</v>
      </c>
      <c r="AJ152" s="1">
        <v>37110</v>
      </c>
      <c r="AK152" s="1">
        <v>36410</v>
      </c>
      <c r="AL152" s="1">
        <v>37170</v>
      </c>
      <c r="AM152" s="1">
        <v>36330</v>
      </c>
      <c r="AN152" s="1">
        <v>34770</v>
      </c>
      <c r="AO152" s="1">
        <v>34980</v>
      </c>
      <c r="AP152" s="1">
        <v>35490</v>
      </c>
      <c r="AQ152" s="1">
        <v>35240</v>
      </c>
      <c r="AR152" s="1">
        <v>35700</v>
      </c>
      <c r="AS152" s="1">
        <v>37240</v>
      </c>
      <c r="AT152" s="1">
        <v>38470</v>
      </c>
      <c r="AU152" s="1">
        <v>38690</v>
      </c>
      <c r="AV152" s="1">
        <v>38780</v>
      </c>
      <c r="AW152" s="1">
        <v>37870</v>
      </c>
      <c r="AX152" s="1">
        <v>37330</v>
      </c>
      <c r="AY152" s="1">
        <v>36800</v>
      </c>
      <c r="AZ152" s="1">
        <v>36040</v>
      </c>
      <c r="BA152" s="1">
        <v>35550</v>
      </c>
      <c r="BB152" s="1">
        <v>35940</v>
      </c>
      <c r="BC152" s="1">
        <v>36270</v>
      </c>
      <c r="BD152" s="1">
        <v>36560</v>
      </c>
    </row>
    <row r="153" spans="1:56" x14ac:dyDescent="0.2">
      <c r="A153" s="1">
        <v>43</v>
      </c>
      <c r="B153" s="3">
        <v>31940</v>
      </c>
      <c r="C153" s="3">
        <v>31630</v>
      </c>
      <c r="D153" s="3">
        <v>30470</v>
      </c>
      <c r="E153" s="3">
        <v>30040</v>
      </c>
      <c r="F153" s="3">
        <v>29760</v>
      </c>
      <c r="G153" s="3">
        <v>30010</v>
      </c>
      <c r="H153" s="3">
        <v>30300</v>
      </c>
      <c r="I153" s="3">
        <v>29990</v>
      </c>
      <c r="J153" s="3">
        <v>30780</v>
      </c>
      <c r="K153" s="3">
        <v>30610</v>
      </c>
      <c r="L153" s="1">
        <v>29620</v>
      </c>
      <c r="M153" s="1">
        <v>28740</v>
      </c>
      <c r="N153" s="1">
        <v>27550</v>
      </c>
      <c r="O153" s="1">
        <v>26650</v>
      </c>
      <c r="P153" s="1">
        <v>26660</v>
      </c>
      <c r="Q153" s="1">
        <v>26030</v>
      </c>
      <c r="R153" s="1">
        <v>26570</v>
      </c>
      <c r="S153" s="1">
        <v>26990</v>
      </c>
      <c r="T153" s="1">
        <v>27650</v>
      </c>
      <c r="U153" s="1">
        <v>27910</v>
      </c>
      <c r="V153" s="1">
        <v>28870</v>
      </c>
      <c r="W153" s="1">
        <v>29220</v>
      </c>
      <c r="X153" s="1">
        <v>29670</v>
      </c>
      <c r="Y153" s="1">
        <v>30690</v>
      </c>
      <c r="Z153" s="1">
        <v>31820</v>
      </c>
      <c r="AA153" s="1">
        <v>33290</v>
      </c>
      <c r="AB153" s="1">
        <v>35130</v>
      </c>
      <c r="AC153" s="1">
        <v>36810</v>
      </c>
      <c r="AD153" s="1">
        <v>38420</v>
      </c>
      <c r="AE153" s="1">
        <v>38170</v>
      </c>
      <c r="AF153" s="1">
        <v>38420</v>
      </c>
      <c r="AG153" s="1">
        <v>38210</v>
      </c>
      <c r="AH153" s="1">
        <v>38470</v>
      </c>
      <c r="AI153" s="1">
        <v>38460</v>
      </c>
      <c r="AJ153" s="1">
        <v>37530</v>
      </c>
      <c r="AK153" s="1">
        <v>37110</v>
      </c>
      <c r="AL153" s="1">
        <v>36410</v>
      </c>
      <c r="AM153" s="1">
        <v>37180</v>
      </c>
      <c r="AN153" s="1">
        <v>36340</v>
      </c>
      <c r="AO153" s="1">
        <v>34780</v>
      </c>
      <c r="AP153" s="1">
        <v>34990</v>
      </c>
      <c r="AQ153" s="1">
        <v>35500</v>
      </c>
      <c r="AR153" s="1">
        <v>35250</v>
      </c>
      <c r="AS153" s="1">
        <v>35710</v>
      </c>
      <c r="AT153" s="1">
        <v>37250</v>
      </c>
      <c r="AU153" s="1">
        <v>38480</v>
      </c>
      <c r="AV153" s="1">
        <v>38700</v>
      </c>
      <c r="AW153" s="1">
        <v>38790</v>
      </c>
      <c r="AX153" s="1">
        <v>37880</v>
      </c>
      <c r="AY153" s="1">
        <v>37340</v>
      </c>
      <c r="AZ153" s="1">
        <v>36810</v>
      </c>
      <c r="BA153" s="1">
        <v>36050</v>
      </c>
      <c r="BB153" s="1">
        <v>35560</v>
      </c>
      <c r="BC153" s="1">
        <v>35950</v>
      </c>
      <c r="BD153" s="1">
        <v>36290</v>
      </c>
    </row>
    <row r="154" spans="1:56" x14ac:dyDescent="0.2">
      <c r="A154" s="1">
        <v>44</v>
      </c>
      <c r="B154" s="3">
        <v>32110</v>
      </c>
      <c r="C154" s="3">
        <v>31970</v>
      </c>
      <c r="D154" s="3">
        <v>31540</v>
      </c>
      <c r="E154" s="3">
        <v>30420</v>
      </c>
      <c r="F154" s="3">
        <v>30060</v>
      </c>
      <c r="G154" s="3">
        <v>29670</v>
      </c>
      <c r="H154" s="3">
        <v>29920</v>
      </c>
      <c r="I154" s="3">
        <v>30260</v>
      </c>
      <c r="J154" s="3">
        <v>30120</v>
      </c>
      <c r="K154" s="3">
        <v>30990</v>
      </c>
      <c r="L154" s="1">
        <v>30690</v>
      </c>
      <c r="M154" s="1">
        <v>29600</v>
      </c>
      <c r="N154" s="1">
        <v>28720</v>
      </c>
      <c r="O154" s="1">
        <v>27530</v>
      </c>
      <c r="P154" s="1">
        <v>26630</v>
      </c>
      <c r="Q154" s="1">
        <v>26650</v>
      </c>
      <c r="R154" s="1">
        <v>26020</v>
      </c>
      <c r="S154" s="1">
        <v>26550</v>
      </c>
      <c r="T154" s="1">
        <v>26980</v>
      </c>
      <c r="U154" s="1">
        <v>27640</v>
      </c>
      <c r="V154" s="1">
        <v>27900</v>
      </c>
      <c r="W154" s="1">
        <v>28860</v>
      </c>
      <c r="X154" s="1">
        <v>29210</v>
      </c>
      <c r="Y154" s="1">
        <v>29650</v>
      </c>
      <c r="Z154" s="1">
        <v>30670</v>
      </c>
      <c r="AA154" s="1">
        <v>31810</v>
      </c>
      <c r="AB154" s="1">
        <v>33280</v>
      </c>
      <c r="AC154" s="1">
        <v>35110</v>
      </c>
      <c r="AD154" s="1">
        <v>36790</v>
      </c>
      <c r="AE154" s="1">
        <v>38400</v>
      </c>
      <c r="AF154" s="1">
        <v>38160</v>
      </c>
      <c r="AG154" s="1">
        <v>38400</v>
      </c>
      <c r="AH154" s="1">
        <v>38200</v>
      </c>
      <c r="AI154" s="1">
        <v>38450</v>
      </c>
      <c r="AJ154" s="1">
        <v>38440</v>
      </c>
      <c r="AK154" s="1">
        <v>37510</v>
      </c>
      <c r="AL154" s="1">
        <v>37100</v>
      </c>
      <c r="AM154" s="1">
        <v>36400</v>
      </c>
      <c r="AN154" s="1">
        <v>37170</v>
      </c>
      <c r="AO154" s="1">
        <v>36330</v>
      </c>
      <c r="AP154" s="1">
        <v>34780</v>
      </c>
      <c r="AQ154" s="1">
        <v>34980</v>
      </c>
      <c r="AR154" s="1">
        <v>35500</v>
      </c>
      <c r="AS154" s="1">
        <v>35240</v>
      </c>
      <c r="AT154" s="1">
        <v>35700</v>
      </c>
      <c r="AU154" s="1">
        <v>37240</v>
      </c>
      <c r="AV154" s="1">
        <v>38480</v>
      </c>
      <c r="AW154" s="1">
        <v>38700</v>
      </c>
      <c r="AX154" s="1">
        <v>38780</v>
      </c>
      <c r="AY154" s="1">
        <v>37870</v>
      </c>
      <c r="AZ154" s="1">
        <v>37340</v>
      </c>
      <c r="BA154" s="1">
        <v>36810</v>
      </c>
      <c r="BB154" s="1">
        <v>36050</v>
      </c>
      <c r="BC154" s="1">
        <v>35560</v>
      </c>
      <c r="BD154" s="1">
        <v>35950</v>
      </c>
    </row>
    <row r="155" spans="1:56" x14ac:dyDescent="0.2">
      <c r="A155" s="1">
        <v>45</v>
      </c>
      <c r="B155" s="3">
        <v>31490</v>
      </c>
      <c r="C155" s="3">
        <v>32140</v>
      </c>
      <c r="D155" s="3">
        <v>31920</v>
      </c>
      <c r="E155" s="3">
        <v>31530</v>
      </c>
      <c r="F155" s="3">
        <v>30400</v>
      </c>
      <c r="G155" s="3">
        <v>29970</v>
      </c>
      <c r="H155" s="3">
        <v>29530</v>
      </c>
      <c r="I155" s="3">
        <v>29930</v>
      </c>
      <c r="J155" s="3">
        <v>30380</v>
      </c>
      <c r="K155" s="3">
        <v>30290</v>
      </c>
      <c r="L155" s="1">
        <v>31050</v>
      </c>
      <c r="M155" s="1">
        <v>30650</v>
      </c>
      <c r="N155" s="1">
        <v>29560</v>
      </c>
      <c r="O155" s="1">
        <v>28680</v>
      </c>
      <c r="P155" s="1">
        <v>27500</v>
      </c>
      <c r="Q155" s="1">
        <v>26600</v>
      </c>
      <c r="R155" s="1">
        <v>26620</v>
      </c>
      <c r="S155" s="1">
        <v>25990</v>
      </c>
      <c r="T155" s="1">
        <v>26530</v>
      </c>
      <c r="U155" s="1">
        <v>26950</v>
      </c>
      <c r="V155" s="1">
        <v>27610</v>
      </c>
      <c r="W155" s="1">
        <v>27870</v>
      </c>
      <c r="X155" s="1">
        <v>28830</v>
      </c>
      <c r="Y155" s="1">
        <v>29190</v>
      </c>
      <c r="Z155" s="1">
        <v>29630</v>
      </c>
      <c r="AA155" s="1">
        <v>30650</v>
      </c>
      <c r="AB155" s="1">
        <v>31780</v>
      </c>
      <c r="AC155" s="1">
        <v>33250</v>
      </c>
      <c r="AD155" s="1">
        <v>35080</v>
      </c>
      <c r="AE155" s="1">
        <v>36760</v>
      </c>
      <c r="AF155" s="1">
        <v>38370</v>
      </c>
      <c r="AG155" s="1">
        <v>38130</v>
      </c>
      <c r="AH155" s="1">
        <v>38380</v>
      </c>
      <c r="AI155" s="1">
        <v>38170</v>
      </c>
      <c r="AJ155" s="1">
        <v>38420</v>
      </c>
      <c r="AK155" s="1">
        <v>38420</v>
      </c>
      <c r="AL155" s="1">
        <v>37490</v>
      </c>
      <c r="AM155" s="1">
        <v>37080</v>
      </c>
      <c r="AN155" s="1">
        <v>36380</v>
      </c>
      <c r="AO155" s="1">
        <v>37140</v>
      </c>
      <c r="AP155" s="1">
        <v>36310</v>
      </c>
      <c r="AQ155" s="1">
        <v>34760</v>
      </c>
      <c r="AR155" s="1">
        <v>34960</v>
      </c>
      <c r="AS155" s="1">
        <v>35480</v>
      </c>
      <c r="AT155" s="1">
        <v>35230</v>
      </c>
      <c r="AU155" s="1">
        <v>35690</v>
      </c>
      <c r="AV155" s="1">
        <v>37220</v>
      </c>
      <c r="AW155" s="1">
        <v>38460</v>
      </c>
      <c r="AX155" s="1">
        <v>38680</v>
      </c>
      <c r="AY155" s="1">
        <v>38770</v>
      </c>
      <c r="AZ155" s="1">
        <v>37860</v>
      </c>
      <c r="BA155" s="1">
        <v>37330</v>
      </c>
      <c r="BB155" s="1">
        <v>36800</v>
      </c>
      <c r="BC155" s="1">
        <v>36040</v>
      </c>
      <c r="BD155" s="1">
        <v>35550</v>
      </c>
    </row>
    <row r="156" spans="1:56" x14ac:dyDescent="0.2">
      <c r="A156" s="1">
        <v>46</v>
      </c>
      <c r="B156" s="3">
        <v>30540</v>
      </c>
      <c r="C156" s="3">
        <v>31420</v>
      </c>
      <c r="D156" s="3">
        <v>32070</v>
      </c>
      <c r="E156" s="3">
        <v>31870</v>
      </c>
      <c r="F156" s="3">
        <v>31460</v>
      </c>
      <c r="G156" s="3">
        <v>30290</v>
      </c>
      <c r="H156" s="3">
        <v>29820</v>
      </c>
      <c r="I156" s="3">
        <v>29520</v>
      </c>
      <c r="J156" s="3">
        <v>29960</v>
      </c>
      <c r="K156" s="3">
        <v>30520</v>
      </c>
      <c r="L156" s="1">
        <v>30330</v>
      </c>
      <c r="M156" s="1">
        <v>30990</v>
      </c>
      <c r="N156" s="1">
        <v>30600</v>
      </c>
      <c r="O156" s="1">
        <v>29510</v>
      </c>
      <c r="P156" s="1">
        <v>28630</v>
      </c>
      <c r="Q156" s="1">
        <v>27450</v>
      </c>
      <c r="R156" s="1">
        <v>26560</v>
      </c>
      <c r="S156" s="1">
        <v>26580</v>
      </c>
      <c r="T156" s="1">
        <v>25950</v>
      </c>
      <c r="U156" s="1">
        <v>26490</v>
      </c>
      <c r="V156" s="1">
        <v>26910</v>
      </c>
      <c r="W156" s="1">
        <v>27570</v>
      </c>
      <c r="X156" s="1">
        <v>27830</v>
      </c>
      <c r="Y156" s="1">
        <v>28790</v>
      </c>
      <c r="Z156" s="1">
        <v>29140</v>
      </c>
      <c r="AA156" s="1">
        <v>29590</v>
      </c>
      <c r="AB156" s="1">
        <v>30610</v>
      </c>
      <c r="AC156" s="1">
        <v>31740</v>
      </c>
      <c r="AD156" s="1">
        <v>33210</v>
      </c>
      <c r="AE156" s="1">
        <v>35040</v>
      </c>
      <c r="AF156" s="1">
        <v>36720</v>
      </c>
      <c r="AG156" s="1">
        <v>38320</v>
      </c>
      <c r="AH156" s="1">
        <v>38080</v>
      </c>
      <c r="AI156" s="1">
        <v>38330</v>
      </c>
      <c r="AJ156" s="1">
        <v>38130</v>
      </c>
      <c r="AK156" s="1">
        <v>38380</v>
      </c>
      <c r="AL156" s="1">
        <v>38380</v>
      </c>
      <c r="AM156" s="1">
        <v>37450</v>
      </c>
      <c r="AN156" s="1">
        <v>37040</v>
      </c>
      <c r="AO156" s="1">
        <v>36350</v>
      </c>
      <c r="AP156" s="1">
        <v>37110</v>
      </c>
      <c r="AQ156" s="1">
        <v>36270</v>
      </c>
      <c r="AR156" s="1">
        <v>34720</v>
      </c>
      <c r="AS156" s="1">
        <v>34930</v>
      </c>
      <c r="AT156" s="1">
        <v>35450</v>
      </c>
      <c r="AU156" s="1">
        <v>35200</v>
      </c>
      <c r="AV156" s="1">
        <v>35660</v>
      </c>
      <c r="AW156" s="1">
        <v>37190</v>
      </c>
      <c r="AX156" s="1">
        <v>38430</v>
      </c>
      <c r="AY156" s="1">
        <v>38650</v>
      </c>
      <c r="AZ156" s="1">
        <v>38740</v>
      </c>
      <c r="BA156" s="1">
        <v>37830</v>
      </c>
      <c r="BB156" s="1">
        <v>37300</v>
      </c>
      <c r="BC156" s="1">
        <v>36770</v>
      </c>
      <c r="BD156" s="1">
        <v>36010</v>
      </c>
    </row>
    <row r="157" spans="1:56" x14ac:dyDescent="0.2">
      <c r="A157" s="1">
        <v>47</v>
      </c>
      <c r="B157" s="3">
        <v>30080</v>
      </c>
      <c r="C157" s="3">
        <v>30470</v>
      </c>
      <c r="D157" s="3">
        <v>31270</v>
      </c>
      <c r="E157" s="3">
        <v>31960</v>
      </c>
      <c r="F157" s="3">
        <v>31720</v>
      </c>
      <c r="G157" s="3">
        <v>31300</v>
      </c>
      <c r="H157" s="3">
        <v>30150</v>
      </c>
      <c r="I157" s="3">
        <v>29680</v>
      </c>
      <c r="J157" s="3">
        <v>29530</v>
      </c>
      <c r="K157" s="3">
        <v>30060</v>
      </c>
      <c r="L157" s="1">
        <v>30530</v>
      </c>
      <c r="M157" s="1">
        <v>30260</v>
      </c>
      <c r="N157" s="1">
        <v>30920</v>
      </c>
      <c r="O157" s="1">
        <v>30520</v>
      </c>
      <c r="P157" s="1">
        <v>29440</v>
      </c>
      <c r="Q157" s="1">
        <v>28560</v>
      </c>
      <c r="R157" s="1">
        <v>27390</v>
      </c>
      <c r="S157" s="1">
        <v>26500</v>
      </c>
      <c r="T157" s="1">
        <v>26510</v>
      </c>
      <c r="U157" s="1">
        <v>25890</v>
      </c>
      <c r="V157" s="1">
        <v>26430</v>
      </c>
      <c r="W157" s="1">
        <v>26850</v>
      </c>
      <c r="X157" s="1">
        <v>27510</v>
      </c>
      <c r="Y157" s="1">
        <v>27770</v>
      </c>
      <c r="Z157" s="1">
        <v>28730</v>
      </c>
      <c r="AA157" s="1">
        <v>29080</v>
      </c>
      <c r="AB157" s="1">
        <v>29530</v>
      </c>
      <c r="AC157" s="1">
        <v>30550</v>
      </c>
      <c r="AD157" s="1">
        <v>31680</v>
      </c>
      <c r="AE157" s="1">
        <v>33150</v>
      </c>
      <c r="AF157" s="1">
        <v>34980</v>
      </c>
      <c r="AG157" s="1">
        <v>36650</v>
      </c>
      <c r="AH157" s="1">
        <v>38260</v>
      </c>
      <c r="AI157" s="1">
        <v>38020</v>
      </c>
      <c r="AJ157" s="1">
        <v>38270</v>
      </c>
      <c r="AK157" s="1">
        <v>38070</v>
      </c>
      <c r="AL157" s="1">
        <v>38320</v>
      </c>
      <c r="AM157" s="1">
        <v>38320</v>
      </c>
      <c r="AN157" s="1">
        <v>37390</v>
      </c>
      <c r="AO157" s="1">
        <v>36980</v>
      </c>
      <c r="AP157" s="1">
        <v>36290</v>
      </c>
      <c r="AQ157" s="1">
        <v>37050</v>
      </c>
      <c r="AR157" s="1">
        <v>36220</v>
      </c>
      <c r="AS157" s="1">
        <v>34670</v>
      </c>
      <c r="AT157" s="1">
        <v>34880</v>
      </c>
      <c r="AU157" s="1">
        <v>35400</v>
      </c>
      <c r="AV157" s="1">
        <v>35150</v>
      </c>
      <c r="AW157" s="1">
        <v>35610</v>
      </c>
      <c r="AX157" s="1">
        <v>37140</v>
      </c>
      <c r="AY157" s="1">
        <v>38380</v>
      </c>
      <c r="AZ157" s="1">
        <v>38600</v>
      </c>
      <c r="BA157" s="1">
        <v>38690</v>
      </c>
      <c r="BB157" s="1">
        <v>37780</v>
      </c>
      <c r="BC157" s="1">
        <v>37250</v>
      </c>
      <c r="BD157" s="1">
        <v>36720</v>
      </c>
    </row>
    <row r="158" spans="1:56" x14ac:dyDescent="0.2">
      <c r="A158" s="1">
        <v>48</v>
      </c>
      <c r="B158" s="3">
        <v>28610</v>
      </c>
      <c r="C158" s="3">
        <v>30010</v>
      </c>
      <c r="D158" s="3">
        <v>30340</v>
      </c>
      <c r="E158" s="3">
        <v>31240</v>
      </c>
      <c r="F158" s="3">
        <v>31890</v>
      </c>
      <c r="G158" s="3">
        <v>31530</v>
      </c>
      <c r="H158" s="3">
        <v>31110</v>
      </c>
      <c r="I158" s="3">
        <v>30000</v>
      </c>
      <c r="J158" s="3">
        <v>29660</v>
      </c>
      <c r="K158" s="3">
        <v>29610</v>
      </c>
      <c r="L158" s="1">
        <v>30050</v>
      </c>
      <c r="M158" s="1">
        <v>30440</v>
      </c>
      <c r="N158" s="1">
        <v>30170</v>
      </c>
      <c r="O158" s="1">
        <v>30820</v>
      </c>
      <c r="P158" s="1">
        <v>30430</v>
      </c>
      <c r="Q158" s="1">
        <v>29350</v>
      </c>
      <c r="R158" s="1">
        <v>28480</v>
      </c>
      <c r="S158" s="1">
        <v>27310</v>
      </c>
      <c r="T158" s="1">
        <v>26420</v>
      </c>
      <c r="U158" s="1">
        <v>26440</v>
      </c>
      <c r="V158" s="1">
        <v>25820</v>
      </c>
      <c r="W158" s="1">
        <v>26350</v>
      </c>
      <c r="X158" s="1">
        <v>26780</v>
      </c>
      <c r="Y158" s="1">
        <v>27430</v>
      </c>
      <c r="Z158" s="1">
        <v>27700</v>
      </c>
      <c r="AA158" s="1">
        <v>28660</v>
      </c>
      <c r="AB158" s="1">
        <v>29010</v>
      </c>
      <c r="AC158" s="1">
        <v>29460</v>
      </c>
      <c r="AD158" s="1">
        <v>30470</v>
      </c>
      <c r="AE158" s="1">
        <v>31610</v>
      </c>
      <c r="AF158" s="1">
        <v>33080</v>
      </c>
      <c r="AG158" s="1">
        <v>34900</v>
      </c>
      <c r="AH158" s="1">
        <v>36580</v>
      </c>
      <c r="AI158" s="1">
        <v>38180</v>
      </c>
      <c r="AJ158" s="1">
        <v>37950</v>
      </c>
      <c r="AK158" s="1">
        <v>38200</v>
      </c>
      <c r="AL158" s="1">
        <v>37990</v>
      </c>
      <c r="AM158" s="1">
        <v>38250</v>
      </c>
      <c r="AN158" s="1">
        <v>38250</v>
      </c>
      <c r="AO158" s="1">
        <v>37320</v>
      </c>
      <c r="AP158" s="1">
        <v>36910</v>
      </c>
      <c r="AQ158" s="1">
        <v>36220</v>
      </c>
      <c r="AR158" s="1">
        <v>36990</v>
      </c>
      <c r="AS158" s="1">
        <v>36150</v>
      </c>
      <c r="AT158" s="1">
        <v>34610</v>
      </c>
      <c r="AU158" s="1">
        <v>34820</v>
      </c>
      <c r="AV158" s="1">
        <v>35330</v>
      </c>
      <c r="AW158" s="1">
        <v>35080</v>
      </c>
      <c r="AX158" s="1">
        <v>35550</v>
      </c>
      <c r="AY158" s="1">
        <v>37080</v>
      </c>
      <c r="AZ158" s="1">
        <v>38320</v>
      </c>
      <c r="BA158" s="1">
        <v>38540</v>
      </c>
      <c r="BB158" s="1">
        <v>38630</v>
      </c>
      <c r="BC158" s="1">
        <v>37720</v>
      </c>
      <c r="BD158" s="1">
        <v>37190</v>
      </c>
    </row>
    <row r="159" spans="1:56" x14ac:dyDescent="0.2">
      <c r="A159" s="1">
        <v>49</v>
      </c>
      <c r="B159" s="3">
        <v>28400</v>
      </c>
      <c r="C159" s="3">
        <v>28490</v>
      </c>
      <c r="D159" s="3">
        <v>29860</v>
      </c>
      <c r="E159" s="3">
        <v>30220</v>
      </c>
      <c r="F159" s="3">
        <v>31130</v>
      </c>
      <c r="G159" s="3">
        <v>31760</v>
      </c>
      <c r="H159" s="3">
        <v>31330</v>
      </c>
      <c r="I159" s="3">
        <v>30960</v>
      </c>
      <c r="J159" s="3">
        <v>29980</v>
      </c>
      <c r="K159" s="3">
        <v>29720</v>
      </c>
      <c r="L159" s="1">
        <v>29580</v>
      </c>
      <c r="M159" s="1">
        <v>29950</v>
      </c>
      <c r="N159" s="1">
        <v>30330</v>
      </c>
      <c r="O159" s="1">
        <v>30060</v>
      </c>
      <c r="P159" s="1">
        <v>30720</v>
      </c>
      <c r="Q159" s="1">
        <v>30340</v>
      </c>
      <c r="R159" s="1">
        <v>29260</v>
      </c>
      <c r="S159" s="1">
        <v>28390</v>
      </c>
      <c r="T159" s="1">
        <v>27220</v>
      </c>
      <c r="U159" s="1">
        <v>26330</v>
      </c>
      <c r="V159" s="1">
        <v>26350</v>
      </c>
      <c r="W159" s="1">
        <v>25730</v>
      </c>
      <c r="X159" s="1">
        <v>26270</v>
      </c>
      <c r="Y159" s="1">
        <v>26690</v>
      </c>
      <c r="Z159" s="1">
        <v>27350</v>
      </c>
      <c r="AA159" s="1">
        <v>27620</v>
      </c>
      <c r="AB159" s="1">
        <v>28570</v>
      </c>
      <c r="AC159" s="1">
        <v>28930</v>
      </c>
      <c r="AD159" s="1">
        <v>29380</v>
      </c>
      <c r="AE159" s="1">
        <v>30390</v>
      </c>
      <c r="AF159" s="1">
        <v>31530</v>
      </c>
      <c r="AG159" s="1">
        <v>32990</v>
      </c>
      <c r="AH159" s="1">
        <v>34820</v>
      </c>
      <c r="AI159" s="1">
        <v>36490</v>
      </c>
      <c r="AJ159" s="1">
        <v>38100</v>
      </c>
      <c r="AK159" s="1">
        <v>37860</v>
      </c>
      <c r="AL159" s="1">
        <v>38110</v>
      </c>
      <c r="AM159" s="1">
        <v>37910</v>
      </c>
      <c r="AN159" s="1">
        <v>38170</v>
      </c>
      <c r="AO159" s="1">
        <v>38170</v>
      </c>
      <c r="AP159" s="1">
        <v>37240</v>
      </c>
      <c r="AQ159" s="1">
        <v>36840</v>
      </c>
      <c r="AR159" s="1">
        <v>36150</v>
      </c>
      <c r="AS159" s="1">
        <v>36910</v>
      </c>
      <c r="AT159" s="1">
        <v>36080</v>
      </c>
      <c r="AU159" s="1">
        <v>34540</v>
      </c>
      <c r="AV159" s="1">
        <v>34740</v>
      </c>
      <c r="AW159" s="1">
        <v>35260</v>
      </c>
      <c r="AX159" s="1">
        <v>35010</v>
      </c>
      <c r="AY159" s="1">
        <v>35480</v>
      </c>
      <c r="AZ159" s="1">
        <v>37010</v>
      </c>
      <c r="BA159" s="1">
        <v>38250</v>
      </c>
      <c r="BB159" s="1">
        <v>38470</v>
      </c>
      <c r="BC159" s="1">
        <v>38560</v>
      </c>
      <c r="BD159" s="1">
        <v>37650</v>
      </c>
    </row>
    <row r="160" spans="1:56" x14ac:dyDescent="0.2">
      <c r="A160" s="1">
        <v>50</v>
      </c>
      <c r="B160" s="3">
        <v>27750</v>
      </c>
      <c r="C160" s="3">
        <v>28300</v>
      </c>
      <c r="D160" s="3">
        <v>28330</v>
      </c>
      <c r="E160" s="3">
        <v>29730</v>
      </c>
      <c r="F160" s="3">
        <v>30080</v>
      </c>
      <c r="G160" s="3">
        <v>30940</v>
      </c>
      <c r="H160" s="3">
        <v>31520</v>
      </c>
      <c r="I160" s="3">
        <v>31200</v>
      </c>
      <c r="J160" s="3">
        <v>30950</v>
      </c>
      <c r="K160" s="3">
        <v>30010</v>
      </c>
      <c r="L160" s="1">
        <v>29670</v>
      </c>
      <c r="M160" s="1">
        <v>29460</v>
      </c>
      <c r="N160" s="1">
        <v>29840</v>
      </c>
      <c r="O160" s="1">
        <v>30220</v>
      </c>
      <c r="P160" s="1">
        <v>29950</v>
      </c>
      <c r="Q160" s="1">
        <v>30610</v>
      </c>
      <c r="R160" s="1">
        <v>30230</v>
      </c>
      <c r="S160" s="1">
        <v>29150</v>
      </c>
      <c r="T160" s="1">
        <v>28290</v>
      </c>
      <c r="U160" s="1">
        <v>27120</v>
      </c>
      <c r="V160" s="1">
        <v>26240</v>
      </c>
      <c r="W160" s="1">
        <v>26260</v>
      </c>
      <c r="X160" s="1">
        <v>25640</v>
      </c>
      <c r="Y160" s="1">
        <v>26180</v>
      </c>
      <c r="Z160" s="1">
        <v>26600</v>
      </c>
      <c r="AA160" s="1">
        <v>27260</v>
      </c>
      <c r="AB160" s="1">
        <v>27530</v>
      </c>
      <c r="AC160" s="1">
        <v>28480</v>
      </c>
      <c r="AD160" s="1">
        <v>28840</v>
      </c>
      <c r="AE160" s="1">
        <v>29290</v>
      </c>
      <c r="AF160" s="1">
        <v>30300</v>
      </c>
      <c r="AG160" s="1">
        <v>31440</v>
      </c>
      <c r="AH160" s="1">
        <v>32900</v>
      </c>
      <c r="AI160" s="1">
        <v>34730</v>
      </c>
      <c r="AJ160" s="1">
        <v>36400</v>
      </c>
      <c r="AK160" s="1">
        <v>38000</v>
      </c>
      <c r="AL160" s="1">
        <v>37770</v>
      </c>
      <c r="AM160" s="1">
        <v>38020</v>
      </c>
      <c r="AN160" s="1">
        <v>37820</v>
      </c>
      <c r="AO160" s="1">
        <v>38080</v>
      </c>
      <c r="AP160" s="1">
        <v>38080</v>
      </c>
      <c r="AQ160" s="1">
        <v>37160</v>
      </c>
      <c r="AR160" s="1">
        <v>36750</v>
      </c>
      <c r="AS160" s="1">
        <v>36060</v>
      </c>
      <c r="AT160" s="1">
        <v>36830</v>
      </c>
      <c r="AU160" s="1">
        <v>36000</v>
      </c>
      <c r="AV160" s="1">
        <v>34460</v>
      </c>
      <c r="AW160" s="1">
        <v>34670</v>
      </c>
      <c r="AX160" s="1">
        <v>35190</v>
      </c>
      <c r="AY160" s="1">
        <v>34940</v>
      </c>
      <c r="AZ160" s="1">
        <v>35400</v>
      </c>
      <c r="BA160" s="1">
        <v>36930</v>
      </c>
      <c r="BB160" s="1">
        <v>38170</v>
      </c>
      <c r="BC160" s="1">
        <v>38390</v>
      </c>
      <c r="BD160" s="1">
        <v>38480</v>
      </c>
    </row>
    <row r="161" spans="1:56" x14ac:dyDescent="0.2">
      <c r="A161" s="1">
        <v>51</v>
      </c>
      <c r="B161" s="3">
        <v>26550</v>
      </c>
      <c r="C161" s="3">
        <v>27630</v>
      </c>
      <c r="D161" s="3">
        <v>28160</v>
      </c>
      <c r="E161" s="3">
        <v>28190</v>
      </c>
      <c r="F161" s="3">
        <v>29630</v>
      </c>
      <c r="G161" s="3">
        <v>29880</v>
      </c>
      <c r="H161" s="3">
        <v>30740</v>
      </c>
      <c r="I161" s="3">
        <v>31370</v>
      </c>
      <c r="J161" s="3">
        <v>31170</v>
      </c>
      <c r="K161" s="3">
        <v>30970</v>
      </c>
      <c r="L161" s="1">
        <v>29960</v>
      </c>
      <c r="M161" s="1">
        <v>29550</v>
      </c>
      <c r="N161" s="1">
        <v>29350</v>
      </c>
      <c r="O161" s="1">
        <v>29720</v>
      </c>
      <c r="P161" s="1">
        <v>30100</v>
      </c>
      <c r="Q161" s="1">
        <v>29840</v>
      </c>
      <c r="R161" s="1">
        <v>30500</v>
      </c>
      <c r="S161" s="1">
        <v>30120</v>
      </c>
      <c r="T161" s="1">
        <v>29040</v>
      </c>
      <c r="U161" s="1">
        <v>28180</v>
      </c>
      <c r="V161" s="1">
        <v>27020</v>
      </c>
      <c r="W161" s="1">
        <v>26140</v>
      </c>
      <c r="X161" s="1">
        <v>26160</v>
      </c>
      <c r="Y161" s="1">
        <v>25550</v>
      </c>
      <c r="Z161" s="1">
        <v>26080</v>
      </c>
      <c r="AA161" s="1">
        <v>26510</v>
      </c>
      <c r="AB161" s="1">
        <v>27170</v>
      </c>
      <c r="AC161" s="1">
        <v>27430</v>
      </c>
      <c r="AD161" s="1">
        <v>28390</v>
      </c>
      <c r="AE161" s="1">
        <v>28750</v>
      </c>
      <c r="AF161" s="1">
        <v>29190</v>
      </c>
      <c r="AG161" s="1">
        <v>30210</v>
      </c>
      <c r="AH161" s="1">
        <v>31340</v>
      </c>
      <c r="AI161" s="1">
        <v>32810</v>
      </c>
      <c r="AJ161" s="1">
        <v>34630</v>
      </c>
      <c r="AK161" s="1">
        <v>36300</v>
      </c>
      <c r="AL161" s="1">
        <v>37900</v>
      </c>
      <c r="AM161" s="1">
        <v>37670</v>
      </c>
      <c r="AN161" s="1">
        <v>37920</v>
      </c>
      <c r="AO161" s="1">
        <v>37730</v>
      </c>
      <c r="AP161" s="1">
        <v>37980</v>
      </c>
      <c r="AQ161" s="1">
        <v>37980</v>
      </c>
      <c r="AR161" s="1">
        <v>37070</v>
      </c>
      <c r="AS161" s="1">
        <v>36660</v>
      </c>
      <c r="AT161" s="1">
        <v>35980</v>
      </c>
      <c r="AU161" s="1">
        <v>36740</v>
      </c>
      <c r="AV161" s="1">
        <v>35910</v>
      </c>
      <c r="AW161" s="1">
        <v>34380</v>
      </c>
      <c r="AX161" s="1">
        <v>34580</v>
      </c>
      <c r="AY161" s="1">
        <v>35100</v>
      </c>
      <c r="AZ161" s="1">
        <v>34860</v>
      </c>
      <c r="BA161" s="1">
        <v>35320</v>
      </c>
      <c r="BB161" s="1">
        <v>36850</v>
      </c>
      <c r="BC161" s="1">
        <v>38090</v>
      </c>
      <c r="BD161" s="1">
        <v>38310</v>
      </c>
    </row>
    <row r="162" spans="1:56" x14ac:dyDescent="0.2">
      <c r="A162" s="1">
        <v>52</v>
      </c>
      <c r="B162" s="3">
        <v>25810</v>
      </c>
      <c r="C162" s="3">
        <v>26450</v>
      </c>
      <c r="D162" s="3">
        <v>27420</v>
      </c>
      <c r="E162" s="3">
        <v>27980</v>
      </c>
      <c r="F162" s="3">
        <v>28050</v>
      </c>
      <c r="G162" s="3">
        <v>29430</v>
      </c>
      <c r="H162" s="3">
        <v>29630</v>
      </c>
      <c r="I162" s="3">
        <v>30570</v>
      </c>
      <c r="J162" s="3">
        <v>31330</v>
      </c>
      <c r="K162" s="3">
        <v>31170</v>
      </c>
      <c r="L162" s="1">
        <v>30900</v>
      </c>
      <c r="M162" s="1">
        <v>29830</v>
      </c>
      <c r="N162" s="1">
        <v>29430</v>
      </c>
      <c r="O162" s="1">
        <v>29220</v>
      </c>
      <c r="P162" s="1">
        <v>29600</v>
      </c>
      <c r="Q162" s="1">
        <v>29980</v>
      </c>
      <c r="R162" s="1">
        <v>29720</v>
      </c>
      <c r="S162" s="1">
        <v>30380</v>
      </c>
      <c r="T162" s="1">
        <v>30000</v>
      </c>
      <c r="U162" s="1">
        <v>28930</v>
      </c>
      <c r="V162" s="1">
        <v>28070</v>
      </c>
      <c r="W162" s="1">
        <v>26920</v>
      </c>
      <c r="X162" s="1">
        <v>26040</v>
      </c>
      <c r="Y162" s="1">
        <v>26060</v>
      </c>
      <c r="Z162" s="1">
        <v>25450</v>
      </c>
      <c r="AA162" s="1">
        <v>25990</v>
      </c>
      <c r="AB162" s="1">
        <v>26410</v>
      </c>
      <c r="AC162" s="1">
        <v>27070</v>
      </c>
      <c r="AD162" s="1">
        <v>27340</v>
      </c>
      <c r="AE162" s="1">
        <v>28290</v>
      </c>
      <c r="AF162" s="1">
        <v>28650</v>
      </c>
      <c r="AG162" s="1">
        <v>29100</v>
      </c>
      <c r="AH162" s="1">
        <v>30110</v>
      </c>
      <c r="AI162" s="1">
        <v>31250</v>
      </c>
      <c r="AJ162" s="1">
        <v>32710</v>
      </c>
      <c r="AK162" s="1">
        <v>34530</v>
      </c>
      <c r="AL162" s="1">
        <v>36200</v>
      </c>
      <c r="AM162" s="1">
        <v>37800</v>
      </c>
      <c r="AN162" s="1">
        <v>37570</v>
      </c>
      <c r="AO162" s="1">
        <v>37830</v>
      </c>
      <c r="AP162" s="1">
        <v>37630</v>
      </c>
      <c r="AQ162" s="1">
        <v>37890</v>
      </c>
      <c r="AR162" s="1">
        <v>37890</v>
      </c>
      <c r="AS162" s="1">
        <v>36980</v>
      </c>
      <c r="AT162" s="1">
        <v>36570</v>
      </c>
      <c r="AU162" s="1">
        <v>35890</v>
      </c>
      <c r="AV162" s="1">
        <v>36650</v>
      </c>
      <c r="AW162" s="1">
        <v>35830</v>
      </c>
      <c r="AX162" s="1">
        <v>34290</v>
      </c>
      <c r="AY162" s="1">
        <v>34500</v>
      </c>
      <c r="AZ162" s="1">
        <v>35020</v>
      </c>
      <c r="BA162" s="1">
        <v>34780</v>
      </c>
      <c r="BB162" s="1">
        <v>35240</v>
      </c>
      <c r="BC162" s="1">
        <v>36770</v>
      </c>
      <c r="BD162" s="1">
        <v>38010</v>
      </c>
    </row>
    <row r="163" spans="1:56" x14ac:dyDescent="0.2">
      <c r="A163" s="1">
        <v>53</v>
      </c>
      <c r="B163" s="3">
        <v>25070</v>
      </c>
      <c r="C163" s="3">
        <v>25680</v>
      </c>
      <c r="D163" s="3">
        <v>26270</v>
      </c>
      <c r="E163" s="3">
        <v>27290</v>
      </c>
      <c r="F163" s="3">
        <v>27870</v>
      </c>
      <c r="G163" s="3">
        <v>27840</v>
      </c>
      <c r="H163" s="3">
        <v>29190</v>
      </c>
      <c r="I163" s="3">
        <v>29500</v>
      </c>
      <c r="J163" s="3">
        <v>30530</v>
      </c>
      <c r="K163" s="3">
        <v>31310</v>
      </c>
      <c r="L163" s="1">
        <v>31090</v>
      </c>
      <c r="M163" s="1">
        <v>30770</v>
      </c>
      <c r="N163" s="1">
        <v>29700</v>
      </c>
      <c r="O163" s="1">
        <v>29300</v>
      </c>
      <c r="P163" s="1">
        <v>29100</v>
      </c>
      <c r="Q163" s="1">
        <v>29470</v>
      </c>
      <c r="R163" s="1">
        <v>29860</v>
      </c>
      <c r="S163" s="1">
        <v>29600</v>
      </c>
      <c r="T163" s="1">
        <v>30260</v>
      </c>
      <c r="U163" s="1">
        <v>29880</v>
      </c>
      <c r="V163" s="1">
        <v>28820</v>
      </c>
      <c r="W163" s="1">
        <v>27960</v>
      </c>
      <c r="X163" s="1">
        <v>26810</v>
      </c>
      <c r="Y163" s="1">
        <v>25940</v>
      </c>
      <c r="Z163" s="1">
        <v>25970</v>
      </c>
      <c r="AA163" s="1">
        <v>25360</v>
      </c>
      <c r="AB163" s="1">
        <v>25890</v>
      </c>
      <c r="AC163" s="1">
        <v>26320</v>
      </c>
      <c r="AD163" s="1">
        <v>26980</v>
      </c>
      <c r="AE163" s="1">
        <v>27240</v>
      </c>
      <c r="AF163" s="1">
        <v>28200</v>
      </c>
      <c r="AG163" s="1">
        <v>28560</v>
      </c>
      <c r="AH163" s="1">
        <v>29000</v>
      </c>
      <c r="AI163" s="1">
        <v>30020</v>
      </c>
      <c r="AJ163" s="1">
        <v>31150</v>
      </c>
      <c r="AK163" s="1">
        <v>32610</v>
      </c>
      <c r="AL163" s="1">
        <v>34430</v>
      </c>
      <c r="AM163" s="1">
        <v>36100</v>
      </c>
      <c r="AN163" s="1">
        <v>37700</v>
      </c>
      <c r="AO163" s="1">
        <v>37470</v>
      </c>
      <c r="AP163" s="1">
        <v>37730</v>
      </c>
      <c r="AQ163" s="1">
        <v>37530</v>
      </c>
      <c r="AR163" s="1">
        <v>37790</v>
      </c>
      <c r="AS163" s="1">
        <v>37800</v>
      </c>
      <c r="AT163" s="1">
        <v>36890</v>
      </c>
      <c r="AU163" s="1">
        <v>36480</v>
      </c>
      <c r="AV163" s="1">
        <v>35800</v>
      </c>
      <c r="AW163" s="1">
        <v>36560</v>
      </c>
      <c r="AX163" s="1">
        <v>35740</v>
      </c>
      <c r="AY163" s="1">
        <v>34210</v>
      </c>
      <c r="AZ163" s="1">
        <v>34420</v>
      </c>
      <c r="BA163" s="1">
        <v>34940</v>
      </c>
      <c r="BB163" s="1">
        <v>34700</v>
      </c>
      <c r="BC163" s="1">
        <v>35160</v>
      </c>
      <c r="BD163" s="1">
        <v>36690</v>
      </c>
    </row>
    <row r="164" spans="1:56" x14ac:dyDescent="0.2">
      <c r="A164" s="1">
        <v>54</v>
      </c>
      <c r="B164" s="3">
        <v>24750</v>
      </c>
      <c r="C164" s="3">
        <v>24910</v>
      </c>
      <c r="D164" s="3">
        <v>25610</v>
      </c>
      <c r="E164" s="3">
        <v>26170</v>
      </c>
      <c r="F164" s="3">
        <v>27170</v>
      </c>
      <c r="G164" s="3">
        <v>27700</v>
      </c>
      <c r="H164" s="3">
        <v>27670</v>
      </c>
      <c r="I164" s="3">
        <v>29030</v>
      </c>
      <c r="J164" s="3">
        <v>29390</v>
      </c>
      <c r="K164" s="3">
        <v>30500</v>
      </c>
      <c r="L164" s="1">
        <v>31220</v>
      </c>
      <c r="M164" s="1">
        <v>30950</v>
      </c>
      <c r="N164" s="1">
        <v>30640</v>
      </c>
      <c r="O164" s="1">
        <v>29570</v>
      </c>
      <c r="P164" s="1">
        <v>29170</v>
      </c>
      <c r="Q164" s="1">
        <v>28980</v>
      </c>
      <c r="R164" s="1">
        <v>29350</v>
      </c>
      <c r="S164" s="1">
        <v>29740</v>
      </c>
      <c r="T164" s="1">
        <v>29480</v>
      </c>
      <c r="U164" s="1">
        <v>30140</v>
      </c>
      <c r="V164" s="1">
        <v>29770</v>
      </c>
      <c r="W164" s="1">
        <v>28710</v>
      </c>
      <c r="X164" s="1">
        <v>27860</v>
      </c>
      <c r="Y164" s="1">
        <v>26710</v>
      </c>
      <c r="Z164" s="1">
        <v>25840</v>
      </c>
      <c r="AA164" s="1">
        <v>25870</v>
      </c>
      <c r="AB164" s="1">
        <v>25260</v>
      </c>
      <c r="AC164" s="1">
        <v>25800</v>
      </c>
      <c r="AD164" s="1">
        <v>26230</v>
      </c>
      <c r="AE164" s="1">
        <v>26880</v>
      </c>
      <c r="AF164" s="1">
        <v>27150</v>
      </c>
      <c r="AG164" s="1">
        <v>28110</v>
      </c>
      <c r="AH164" s="1">
        <v>28470</v>
      </c>
      <c r="AI164" s="1">
        <v>28910</v>
      </c>
      <c r="AJ164" s="1">
        <v>29930</v>
      </c>
      <c r="AK164" s="1">
        <v>31060</v>
      </c>
      <c r="AL164" s="1">
        <v>32520</v>
      </c>
      <c r="AM164" s="1">
        <v>34340</v>
      </c>
      <c r="AN164" s="1">
        <v>36010</v>
      </c>
      <c r="AO164" s="1">
        <v>37610</v>
      </c>
      <c r="AP164" s="1">
        <v>37380</v>
      </c>
      <c r="AQ164" s="1">
        <v>37640</v>
      </c>
      <c r="AR164" s="1">
        <v>37440</v>
      </c>
      <c r="AS164" s="1">
        <v>37700</v>
      </c>
      <c r="AT164" s="1">
        <v>37710</v>
      </c>
      <c r="AU164" s="1">
        <v>36800</v>
      </c>
      <c r="AV164" s="1">
        <v>36400</v>
      </c>
      <c r="AW164" s="1">
        <v>35720</v>
      </c>
      <c r="AX164" s="1">
        <v>36480</v>
      </c>
      <c r="AY164" s="1">
        <v>35660</v>
      </c>
      <c r="AZ164" s="1">
        <v>34130</v>
      </c>
      <c r="BA164" s="1">
        <v>34340</v>
      </c>
      <c r="BB164" s="1">
        <v>34860</v>
      </c>
      <c r="BC164" s="1">
        <v>34620</v>
      </c>
      <c r="BD164" s="1">
        <v>35090</v>
      </c>
    </row>
    <row r="165" spans="1:56" x14ac:dyDescent="0.2">
      <c r="A165" s="1">
        <v>55</v>
      </c>
      <c r="B165" s="3">
        <v>24160</v>
      </c>
      <c r="C165" s="3">
        <v>24590</v>
      </c>
      <c r="D165" s="3">
        <v>24710</v>
      </c>
      <c r="E165" s="3">
        <v>25530</v>
      </c>
      <c r="F165" s="3">
        <v>26030</v>
      </c>
      <c r="G165" s="3">
        <v>26960</v>
      </c>
      <c r="H165" s="3">
        <v>27520</v>
      </c>
      <c r="I165" s="3">
        <v>27530</v>
      </c>
      <c r="J165" s="3">
        <v>28930</v>
      </c>
      <c r="K165" s="3">
        <v>29360</v>
      </c>
      <c r="L165" s="1">
        <v>30410</v>
      </c>
      <c r="M165" s="1">
        <v>31080</v>
      </c>
      <c r="N165" s="1">
        <v>30820</v>
      </c>
      <c r="O165" s="1">
        <v>30500</v>
      </c>
      <c r="P165" s="1">
        <v>29450</v>
      </c>
      <c r="Q165" s="1">
        <v>29050</v>
      </c>
      <c r="R165" s="1">
        <v>28860</v>
      </c>
      <c r="S165" s="1">
        <v>29230</v>
      </c>
      <c r="T165" s="1">
        <v>29620</v>
      </c>
      <c r="U165" s="1">
        <v>29370</v>
      </c>
      <c r="V165" s="1">
        <v>30030</v>
      </c>
      <c r="W165" s="1">
        <v>29660</v>
      </c>
      <c r="X165" s="1">
        <v>28610</v>
      </c>
      <c r="Y165" s="1">
        <v>27760</v>
      </c>
      <c r="Z165" s="1">
        <v>26620</v>
      </c>
      <c r="AA165" s="1">
        <v>25750</v>
      </c>
      <c r="AB165" s="1">
        <v>25780</v>
      </c>
      <c r="AC165" s="1">
        <v>25180</v>
      </c>
      <c r="AD165" s="1">
        <v>25710</v>
      </c>
      <c r="AE165" s="1">
        <v>26140</v>
      </c>
      <c r="AF165" s="1">
        <v>26800</v>
      </c>
      <c r="AG165" s="1">
        <v>27070</v>
      </c>
      <c r="AH165" s="1">
        <v>28020</v>
      </c>
      <c r="AI165" s="1">
        <v>28380</v>
      </c>
      <c r="AJ165" s="1">
        <v>28830</v>
      </c>
      <c r="AK165" s="1">
        <v>29850</v>
      </c>
      <c r="AL165" s="1">
        <v>30980</v>
      </c>
      <c r="AM165" s="1">
        <v>32440</v>
      </c>
      <c r="AN165" s="1">
        <v>34250</v>
      </c>
      <c r="AO165" s="1">
        <v>35920</v>
      </c>
      <c r="AP165" s="1">
        <v>37520</v>
      </c>
      <c r="AQ165" s="1">
        <v>37290</v>
      </c>
      <c r="AR165" s="1">
        <v>37550</v>
      </c>
      <c r="AS165" s="1">
        <v>37360</v>
      </c>
      <c r="AT165" s="1">
        <v>37620</v>
      </c>
      <c r="AU165" s="1">
        <v>37630</v>
      </c>
      <c r="AV165" s="1">
        <v>36720</v>
      </c>
      <c r="AW165" s="1">
        <v>36320</v>
      </c>
      <c r="AX165" s="1">
        <v>35640</v>
      </c>
      <c r="AY165" s="1">
        <v>36410</v>
      </c>
      <c r="AZ165" s="1">
        <v>35590</v>
      </c>
      <c r="BA165" s="1">
        <v>34060</v>
      </c>
      <c r="BB165" s="1">
        <v>34270</v>
      </c>
      <c r="BC165" s="1">
        <v>34800</v>
      </c>
      <c r="BD165" s="1">
        <v>34550</v>
      </c>
    </row>
    <row r="166" spans="1:56" x14ac:dyDescent="0.2">
      <c r="A166" s="1">
        <v>56</v>
      </c>
      <c r="B166" s="3">
        <v>24180</v>
      </c>
      <c r="C166" s="3">
        <v>24100</v>
      </c>
      <c r="D166" s="3">
        <v>24450</v>
      </c>
      <c r="E166" s="3">
        <v>24570</v>
      </c>
      <c r="F166" s="3">
        <v>25410</v>
      </c>
      <c r="G166" s="3">
        <v>25870</v>
      </c>
      <c r="H166" s="3">
        <v>26760</v>
      </c>
      <c r="I166" s="3">
        <v>27380</v>
      </c>
      <c r="J166" s="3">
        <v>27440</v>
      </c>
      <c r="K166" s="3">
        <v>28900</v>
      </c>
      <c r="L166" s="1">
        <v>29270</v>
      </c>
      <c r="M166" s="1">
        <v>30280</v>
      </c>
      <c r="N166" s="1">
        <v>30950</v>
      </c>
      <c r="O166" s="1">
        <v>30690</v>
      </c>
      <c r="P166" s="1">
        <v>30380</v>
      </c>
      <c r="Q166" s="1">
        <v>29320</v>
      </c>
      <c r="R166" s="1">
        <v>28940</v>
      </c>
      <c r="S166" s="1">
        <v>28740</v>
      </c>
      <c r="T166" s="1">
        <v>29120</v>
      </c>
      <c r="U166" s="1">
        <v>29510</v>
      </c>
      <c r="V166" s="1">
        <v>29260</v>
      </c>
      <c r="W166" s="1">
        <v>29920</v>
      </c>
      <c r="X166" s="1">
        <v>29560</v>
      </c>
      <c r="Y166" s="1">
        <v>28510</v>
      </c>
      <c r="Z166" s="1">
        <v>27660</v>
      </c>
      <c r="AA166" s="1">
        <v>26530</v>
      </c>
      <c r="AB166" s="1">
        <v>25670</v>
      </c>
      <c r="AC166" s="1">
        <v>25700</v>
      </c>
      <c r="AD166" s="1">
        <v>25100</v>
      </c>
      <c r="AE166" s="1">
        <v>25630</v>
      </c>
      <c r="AF166" s="1">
        <v>26060</v>
      </c>
      <c r="AG166" s="1">
        <v>26720</v>
      </c>
      <c r="AH166" s="1">
        <v>26990</v>
      </c>
      <c r="AI166" s="1">
        <v>27940</v>
      </c>
      <c r="AJ166" s="1">
        <v>28300</v>
      </c>
      <c r="AK166" s="1">
        <v>28750</v>
      </c>
      <c r="AL166" s="1">
        <v>29770</v>
      </c>
      <c r="AM166" s="1">
        <v>30900</v>
      </c>
      <c r="AN166" s="1">
        <v>32360</v>
      </c>
      <c r="AO166" s="1">
        <v>34170</v>
      </c>
      <c r="AP166" s="1">
        <v>35840</v>
      </c>
      <c r="AQ166" s="1">
        <v>37430</v>
      </c>
      <c r="AR166" s="1">
        <v>37210</v>
      </c>
      <c r="AS166" s="1">
        <v>37470</v>
      </c>
      <c r="AT166" s="1">
        <v>37280</v>
      </c>
      <c r="AU166" s="1">
        <v>37540</v>
      </c>
      <c r="AV166" s="1">
        <v>37550</v>
      </c>
      <c r="AW166" s="1">
        <v>36650</v>
      </c>
      <c r="AX166" s="1">
        <v>36250</v>
      </c>
      <c r="AY166" s="1">
        <v>35580</v>
      </c>
      <c r="AZ166" s="1">
        <v>36340</v>
      </c>
      <c r="BA166" s="1">
        <v>35520</v>
      </c>
      <c r="BB166" s="1">
        <v>34000</v>
      </c>
      <c r="BC166" s="1">
        <v>34210</v>
      </c>
      <c r="BD166" s="1">
        <v>34730</v>
      </c>
    </row>
    <row r="167" spans="1:56" x14ac:dyDescent="0.2">
      <c r="A167" s="1">
        <v>57</v>
      </c>
      <c r="B167" s="3">
        <v>23830</v>
      </c>
      <c r="C167" s="3">
        <v>24030</v>
      </c>
      <c r="D167" s="3">
        <v>23970</v>
      </c>
      <c r="E167" s="3">
        <v>24310</v>
      </c>
      <c r="F167" s="3">
        <v>24480</v>
      </c>
      <c r="G167" s="3">
        <v>25290</v>
      </c>
      <c r="H167" s="3">
        <v>25730</v>
      </c>
      <c r="I167" s="3">
        <v>26620</v>
      </c>
      <c r="J167" s="3">
        <v>27360</v>
      </c>
      <c r="K167" s="3">
        <v>27410</v>
      </c>
      <c r="L167" s="1">
        <v>28810</v>
      </c>
      <c r="M167" s="1">
        <v>29140</v>
      </c>
      <c r="N167" s="1">
        <v>30150</v>
      </c>
      <c r="O167" s="1">
        <v>30820</v>
      </c>
      <c r="P167" s="1">
        <v>30560</v>
      </c>
      <c r="Q167" s="1">
        <v>30260</v>
      </c>
      <c r="R167" s="1">
        <v>29210</v>
      </c>
      <c r="S167" s="1">
        <v>28830</v>
      </c>
      <c r="T167" s="1">
        <v>28640</v>
      </c>
      <c r="U167" s="1">
        <v>29020</v>
      </c>
      <c r="V167" s="1">
        <v>29410</v>
      </c>
      <c r="W167" s="1">
        <v>29160</v>
      </c>
      <c r="X167" s="1">
        <v>29820</v>
      </c>
      <c r="Y167" s="1">
        <v>29460</v>
      </c>
      <c r="Z167" s="1">
        <v>28420</v>
      </c>
      <c r="AA167" s="1">
        <v>27580</v>
      </c>
      <c r="AB167" s="1">
        <v>26450</v>
      </c>
      <c r="AC167" s="1">
        <v>25590</v>
      </c>
      <c r="AD167" s="1">
        <v>25620</v>
      </c>
      <c r="AE167" s="1">
        <v>25020</v>
      </c>
      <c r="AF167" s="1">
        <v>25560</v>
      </c>
      <c r="AG167" s="1">
        <v>25990</v>
      </c>
      <c r="AH167" s="1">
        <v>26650</v>
      </c>
      <c r="AI167" s="1">
        <v>26920</v>
      </c>
      <c r="AJ167" s="1">
        <v>27870</v>
      </c>
      <c r="AK167" s="1">
        <v>28240</v>
      </c>
      <c r="AL167" s="1">
        <v>28680</v>
      </c>
      <c r="AM167" s="1">
        <v>29700</v>
      </c>
      <c r="AN167" s="1">
        <v>30830</v>
      </c>
      <c r="AO167" s="1">
        <v>32290</v>
      </c>
      <c r="AP167" s="1">
        <v>34100</v>
      </c>
      <c r="AQ167" s="1">
        <v>35760</v>
      </c>
      <c r="AR167" s="1">
        <v>37360</v>
      </c>
      <c r="AS167" s="1">
        <v>37140</v>
      </c>
      <c r="AT167" s="1">
        <v>37400</v>
      </c>
      <c r="AU167" s="1">
        <v>37210</v>
      </c>
      <c r="AV167" s="1">
        <v>37480</v>
      </c>
      <c r="AW167" s="1">
        <v>37480</v>
      </c>
      <c r="AX167" s="1">
        <v>36580</v>
      </c>
      <c r="AY167" s="1">
        <v>36190</v>
      </c>
      <c r="AZ167" s="1">
        <v>35520</v>
      </c>
      <c r="BA167" s="1">
        <v>36280</v>
      </c>
      <c r="BB167" s="1">
        <v>35470</v>
      </c>
      <c r="BC167" s="1">
        <v>33950</v>
      </c>
      <c r="BD167" s="1">
        <v>34160</v>
      </c>
    </row>
    <row r="168" spans="1:56" x14ac:dyDescent="0.2">
      <c r="A168" s="1">
        <v>58</v>
      </c>
      <c r="B168" s="3">
        <v>23890</v>
      </c>
      <c r="C168" s="3">
        <v>23710</v>
      </c>
      <c r="D168" s="3">
        <v>23900</v>
      </c>
      <c r="E168" s="3">
        <v>23870</v>
      </c>
      <c r="F168" s="3">
        <v>24240</v>
      </c>
      <c r="G168" s="3">
        <v>24350</v>
      </c>
      <c r="H168" s="3">
        <v>25160</v>
      </c>
      <c r="I168" s="3">
        <v>25610</v>
      </c>
      <c r="J168" s="3">
        <v>26570</v>
      </c>
      <c r="K168" s="3">
        <v>27340</v>
      </c>
      <c r="L168" s="1">
        <v>27340</v>
      </c>
      <c r="M168" s="1">
        <v>28690</v>
      </c>
      <c r="N168" s="1">
        <v>29020</v>
      </c>
      <c r="O168" s="1">
        <v>30020</v>
      </c>
      <c r="P168" s="1">
        <v>30700</v>
      </c>
      <c r="Q168" s="1">
        <v>30450</v>
      </c>
      <c r="R168" s="1">
        <v>30140</v>
      </c>
      <c r="S168" s="1">
        <v>29110</v>
      </c>
      <c r="T168" s="1">
        <v>28730</v>
      </c>
      <c r="U168" s="1">
        <v>28540</v>
      </c>
      <c r="V168" s="1">
        <v>28920</v>
      </c>
      <c r="W168" s="1">
        <v>29310</v>
      </c>
      <c r="X168" s="1">
        <v>29070</v>
      </c>
      <c r="Y168" s="1">
        <v>29730</v>
      </c>
      <c r="Z168" s="1">
        <v>29370</v>
      </c>
      <c r="AA168" s="1">
        <v>28340</v>
      </c>
      <c r="AB168" s="1">
        <v>27500</v>
      </c>
      <c r="AC168" s="1">
        <v>26380</v>
      </c>
      <c r="AD168" s="1">
        <v>25520</v>
      </c>
      <c r="AE168" s="1">
        <v>25560</v>
      </c>
      <c r="AF168" s="1">
        <v>24960</v>
      </c>
      <c r="AG168" s="1">
        <v>25500</v>
      </c>
      <c r="AH168" s="1">
        <v>25930</v>
      </c>
      <c r="AI168" s="1">
        <v>26590</v>
      </c>
      <c r="AJ168" s="1">
        <v>26860</v>
      </c>
      <c r="AK168" s="1">
        <v>27820</v>
      </c>
      <c r="AL168" s="1">
        <v>28180</v>
      </c>
      <c r="AM168" s="1">
        <v>28630</v>
      </c>
      <c r="AN168" s="1">
        <v>29640</v>
      </c>
      <c r="AO168" s="1">
        <v>30770</v>
      </c>
      <c r="AP168" s="1">
        <v>32230</v>
      </c>
      <c r="AQ168" s="1">
        <v>34040</v>
      </c>
      <c r="AR168" s="1">
        <v>35700</v>
      </c>
      <c r="AS168" s="1">
        <v>37300</v>
      </c>
      <c r="AT168" s="1">
        <v>37080</v>
      </c>
      <c r="AU168" s="1">
        <v>37340</v>
      </c>
      <c r="AV168" s="1">
        <v>37150</v>
      </c>
      <c r="AW168" s="1">
        <v>37420</v>
      </c>
      <c r="AX168" s="1">
        <v>37430</v>
      </c>
      <c r="AY168" s="1">
        <v>36530</v>
      </c>
      <c r="AZ168" s="1">
        <v>36140</v>
      </c>
      <c r="BA168" s="1">
        <v>35470</v>
      </c>
      <c r="BB168" s="1">
        <v>36240</v>
      </c>
      <c r="BC168" s="1">
        <v>35430</v>
      </c>
      <c r="BD168" s="1">
        <v>33910</v>
      </c>
    </row>
    <row r="169" spans="1:56" x14ac:dyDescent="0.2">
      <c r="A169" s="1">
        <v>59</v>
      </c>
      <c r="B169" s="3">
        <v>24020</v>
      </c>
      <c r="C169" s="3">
        <v>23810</v>
      </c>
      <c r="D169" s="3">
        <v>23610</v>
      </c>
      <c r="E169" s="3">
        <v>23740</v>
      </c>
      <c r="F169" s="3">
        <v>23780</v>
      </c>
      <c r="G169" s="3">
        <v>24060</v>
      </c>
      <c r="H169" s="3">
        <v>24210</v>
      </c>
      <c r="I169" s="3">
        <v>25030</v>
      </c>
      <c r="J169" s="3">
        <v>25550</v>
      </c>
      <c r="K169" s="3">
        <v>26570</v>
      </c>
      <c r="L169" s="1">
        <v>27280</v>
      </c>
      <c r="M169" s="1">
        <v>27230</v>
      </c>
      <c r="N169" s="1">
        <v>28570</v>
      </c>
      <c r="O169" s="1">
        <v>28910</v>
      </c>
      <c r="P169" s="1">
        <v>29910</v>
      </c>
      <c r="Q169" s="1">
        <v>30580</v>
      </c>
      <c r="R169" s="1">
        <v>30330</v>
      </c>
      <c r="S169" s="1">
        <v>30040</v>
      </c>
      <c r="T169" s="1">
        <v>29010</v>
      </c>
      <c r="U169" s="1">
        <v>28630</v>
      </c>
      <c r="V169" s="1">
        <v>28450</v>
      </c>
      <c r="W169" s="1">
        <v>28830</v>
      </c>
      <c r="X169" s="1">
        <v>29230</v>
      </c>
      <c r="Y169" s="1">
        <v>28990</v>
      </c>
      <c r="Z169" s="1">
        <v>29650</v>
      </c>
      <c r="AA169" s="1">
        <v>29300</v>
      </c>
      <c r="AB169" s="1">
        <v>28260</v>
      </c>
      <c r="AC169" s="1">
        <v>27440</v>
      </c>
      <c r="AD169" s="1">
        <v>26310</v>
      </c>
      <c r="AE169" s="1">
        <v>25470</v>
      </c>
      <c r="AF169" s="1">
        <v>25500</v>
      </c>
      <c r="AG169" s="1">
        <v>24910</v>
      </c>
      <c r="AH169" s="1">
        <v>25450</v>
      </c>
      <c r="AI169" s="1">
        <v>25880</v>
      </c>
      <c r="AJ169" s="1">
        <v>26540</v>
      </c>
      <c r="AK169" s="1">
        <v>26810</v>
      </c>
      <c r="AL169" s="1">
        <v>27770</v>
      </c>
      <c r="AM169" s="1">
        <v>28130</v>
      </c>
      <c r="AN169" s="1">
        <v>28580</v>
      </c>
      <c r="AO169" s="1">
        <v>29600</v>
      </c>
      <c r="AP169" s="1">
        <v>30720</v>
      </c>
      <c r="AQ169" s="1">
        <v>32180</v>
      </c>
      <c r="AR169" s="1">
        <v>33990</v>
      </c>
      <c r="AS169" s="1">
        <v>35650</v>
      </c>
      <c r="AT169" s="1">
        <v>37240</v>
      </c>
      <c r="AU169" s="1">
        <v>37030</v>
      </c>
      <c r="AV169" s="1">
        <v>37290</v>
      </c>
      <c r="AW169" s="1">
        <v>37110</v>
      </c>
      <c r="AX169" s="1">
        <v>37380</v>
      </c>
      <c r="AY169" s="1">
        <v>37390</v>
      </c>
      <c r="AZ169" s="1">
        <v>36490</v>
      </c>
      <c r="BA169" s="1">
        <v>36100</v>
      </c>
      <c r="BB169" s="1">
        <v>35440</v>
      </c>
      <c r="BC169" s="1">
        <v>36200</v>
      </c>
      <c r="BD169" s="1">
        <v>35390</v>
      </c>
    </row>
    <row r="170" spans="1:56" x14ac:dyDescent="0.2">
      <c r="A170" s="1">
        <v>60</v>
      </c>
      <c r="B170" s="3">
        <v>20160</v>
      </c>
      <c r="C170" s="3">
        <v>23860</v>
      </c>
      <c r="D170" s="3">
        <v>23690</v>
      </c>
      <c r="E170" s="3">
        <v>23510</v>
      </c>
      <c r="F170" s="3">
        <v>23680</v>
      </c>
      <c r="G170" s="3">
        <v>23700</v>
      </c>
      <c r="H170" s="3">
        <v>23950</v>
      </c>
      <c r="I170" s="3">
        <v>24120</v>
      </c>
      <c r="J170" s="3">
        <v>24970</v>
      </c>
      <c r="K170" s="3">
        <v>25550</v>
      </c>
      <c r="L170" s="1">
        <v>26510</v>
      </c>
      <c r="M170" s="1">
        <v>27160</v>
      </c>
      <c r="N170" s="1">
        <v>27120</v>
      </c>
      <c r="O170" s="1">
        <v>28460</v>
      </c>
      <c r="P170" s="1">
        <v>28790</v>
      </c>
      <c r="Q170" s="1">
        <v>29790</v>
      </c>
      <c r="R170" s="1">
        <v>30470</v>
      </c>
      <c r="S170" s="1">
        <v>30220</v>
      </c>
      <c r="T170" s="1">
        <v>29930</v>
      </c>
      <c r="U170" s="1">
        <v>28910</v>
      </c>
      <c r="V170" s="1">
        <v>28540</v>
      </c>
      <c r="W170" s="1">
        <v>28360</v>
      </c>
      <c r="X170" s="1">
        <v>28750</v>
      </c>
      <c r="Y170" s="1">
        <v>29140</v>
      </c>
      <c r="Z170" s="1">
        <v>28910</v>
      </c>
      <c r="AA170" s="1">
        <v>29570</v>
      </c>
      <c r="AB170" s="1">
        <v>29220</v>
      </c>
      <c r="AC170" s="1">
        <v>28200</v>
      </c>
      <c r="AD170" s="1">
        <v>27370</v>
      </c>
      <c r="AE170" s="1">
        <v>26260</v>
      </c>
      <c r="AF170" s="1">
        <v>25420</v>
      </c>
      <c r="AG170" s="1">
        <v>25450</v>
      </c>
      <c r="AH170" s="1">
        <v>24870</v>
      </c>
      <c r="AI170" s="1">
        <v>25410</v>
      </c>
      <c r="AJ170" s="1">
        <v>25840</v>
      </c>
      <c r="AK170" s="1">
        <v>26500</v>
      </c>
      <c r="AL170" s="1">
        <v>26770</v>
      </c>
      <c r="AM170" s="1">
        <v>27720</v>
      </c>
      <c r="AN170" s="1">
        <v>28090</v>
      </c>
      <c r="AO170" s="1">
        <v>28540</v>
      </c>
      <c r="AP170" s="1">
        <v>29550</v>
      </c>
      <c r="AQ170" s="1">
        <v>30680</v>
      </c>
      <c r="AR170" s="1">
        <v>32140</v>
      </c>
      <c r="AS170" s="1">
        <v>33940</v>
      </c>
      <c r="AT170" s="1">
        <v>35600</v>
      </c>
      <c r="AU170" s="1">
        <v>37200</v>
      </c>
      <c r="AV170" s="1">
        <v>36980</v>
      </c>
      <c r="AW170" s="1">
        <v>37250</v>
      </c>
      <c r="AX170" s="1">
        <v>37070</v>
      </c>
      <c r="AY170" s="1">
        <v>37340</v>
      </c>
      <c r="AZ170" s="1">
        <v>37350</v>
      </c>
      <c r="BA170" s="1">
        <v>36460</v>
      </c>
      <c r="BB170" s="1">
        <v>36070</v>
      </c>
      <c r="BC170" s="1">
        <v>35410</v>
      </c>
      <c r="BD170" s="1">
        <v>36170</v>
      </c>
    </row>
    <row r="171" spans="1:56" x14ac:dyDescent="0.2">
      <c r="A171" s="1">
        <v>61</v>
      </c>
      <c r="B171" s="3">
        <v>19140</v>
      </c>
      <c r="C171" s="3">
        <v>20030</v>
      </c>
      <c r="D171" s="3">
        <v>23700</v>
      </c>
      <c r="E171" s="3">
        <v>23550</v>
      </c>
      <c r="F171" s="3">
        <v>23420</v>
      </c>
      <c r="G171" s="3">
        <v>23540</v>
      </c>
      <c r="H171" s="3">
        <v>23580</v>
      </c>
      <c r="I171" s="3">
        <v>23850</v>
      </c>
      <c r="J171" s="3">
        <v>24090</v>
      </c>
      <c r="K171" s="3">
        <v>24970</v>
      </c>
      <c r="L171" s="1">
        <v>25490</v>
      </c>
      <c r="M171" s="1">
        <v>26390</v>
      </c>
      <c r="N171" s="1">
        <v>27040</v>
      </c>
      <c r="O171" s="1">
        <v>27000</v>
      </c>
      <c r="P171" s="1">
        <v>28340</v>
      </c>
      <c r="Q171" s="1">
        <v>28680</v>
      </c>
      <c r="R171" s="1">
        <v>29680</v>
      </c>
      <c r="S171" s="1">
        <v>30350</v>
      </c>
      <c r="T171" s="1">
        <v>30110</v>
      </c>
      <c r="U171" s="1">
        <v>29830</v>
      </c>
      <c r="V171" s="1">
        <v>28820</v>
      </c>
      <c r="W171" s="1">
        <v>28450</v>
      </c>
      <c r="X171" s="1">
        <v>28280</v>
      </c>
      <c r="Y171" s="1">
        <v>28660</v>
      </c>
      <c r="Z171" s="1">
        <v>29060</v>
      </c>
      <c r="AA171" s="1">
        <v>28830</v>
      </c>
      <c r="AB171" s="1">
        <v>29490</v>
      </c>
      <c r="AC171" s="1">
        <v>29150</v>
      </c>
      <c r="AD171" s="1">
        <v>28130</v>
      </c>
      <c r="AE171" s="1">
        <v>27310</v>
      </c>
      <c r="AF171" s="1">
        <v>26200</v>
      </c>
      <c r="AG171" s="1">
        <v>25370</v>
      </c>
      <c r="AH171" s="1">
        <v>25410</v>
      </c>
      <c r="AI171" s="1">
        <v>24830</v>
      </c>
      <c r="AJ171" s="1">
        <v>25370</v>
      </c>
      <c r="AK171" s="1">
        <v>25800</v>
      </c>
      <c r="AL171" s="1">
        <v>26460</v>
      </c>
      <c r="AM171" s="1">
        <v>26730</v>
      </c>
      <c r="AN171" s="1">
        <v>27680</v>
      </c>
      <c r="AO171" s="1">
        <v>28050</v>
      </c>
      <c r="AP171" s="1">
        <v>28500</v>
      </c>
      <c r="AQ171" s="1">
        <v>29520</v>
      </c>
      <c r="AR171" s="1">
        <v>30640</v>
      </c>
      <c r="AS171" s="1">
        <v>32100</v>
      </c>
      <c r="AT171" s="1">
        <v>33900</v>
      </c>
      <c r="AU171" s="1">
        <v>35560</v>
      </c>
      <c r="AV171" s="1">
        <v>37150</v>
      </c>
      <c r="AW171" s="1">
        <v>36940</v>
      </c>
      <c r="AX171" s="1">
        <v>37210</v>
      </c>
      <c r="AY171" s="1">
        <v>37030</v>
      </c>
      <c r="AZ171" s="1">
        <v>37300</v>
      </c>
      <c r="BA171" s="1">
        <v>37320</v>
      </c>
      <c r="BB171" s="1">
        <v>36430</v>
      </c>
      <c r="BC171" s="1">
        <v>36040</v>
      </c>
      <c r="BD171" s="1">
        <v>35380</v>
      </c>
    </row>
    <row r="172" spans="1:56" x14ac:dyDescent="0.2">
      <c r="A172" s="1">
        <v>62</v>
      </c>
      <c r="B172" s="3">
        <v>18400</v>
      </c>
      <c r="C172" s="3">
        <v>19020</v>
      </c>
      <c r="D172" s="3">
        <v>19890</v>
      </c>
      <c r="E172" s="3">
        <v>23560</v>
      </c>
      <c r="F172" s="3">
        <v>23450</v>
      </c>
      <c r="G172" s="3">
        <v>23330</v>
      </c>
      <c r="H172" s="3">
        <v>23410</v>
      </c>
      <c r="I172" s="3">
        <v>23520</v>
      </c>
      <c r="J172" s="3">
        <v>23790</v>
      </c>
      <c r="K172" s="3">
        <v>24090</v>
      </c>
      <c r="L172" s="1">
        <v>24910</v>
      </c>
      <c r="M172" s="1">
        <v>25370</v>
      </c>
      <c r="N172" s="1">
        <v>26270</v>
      </c>
      <c r="O172" s="1">
        <v>26930</v>
      </c>
      <c r="P172" s="1">
        <v>26890</v>
      </c>
      <c r="Q172" s="1">
        <v>28220</v>
      </c>
      <c r="R172" s="1">
        <v>28560</v>
      </c>
      <c r="S172" s="1">
        <v>29560</v>
      </c>
      <c r="T172" s="1">
        <v>30240</v>
      </c>
      <c r="U172" s="1">
        <v>30010</v>
      </c>
      <c r="V172" s="1">
        <v>29730</v>
      </c>
      <c r="W172" s="1">
        <v>28720</v>
      </c>
      <c r="X172" s="1">
        <v>28360</v>
      </c>
      <c r="Y172" s="1">
        <v>28200</v>
      </c>
      <c r="Z172" s="1">
        <v>28580</v>
      </c>
      <c r="AA172" s="1">
        <v>28980</v>
      </c>
      <c r="AB172" s="1">
        <v>28760</v>
      </c>
      <c r="AC172" s="1">
        <v>29420</v>
      </c>
      <c r="AD172" s="1">
        <v>29080</v>
      </c>
      <c r="AE172" s="1">
        <v>28070</v>
      </c>
      <c r="AF172" s="1">
        <v>27260</v>
      </c>
      <c r="AG172" s="1">
        <v>26160</v>
      </c>
      <c r="AH172" s="1">
        <v>25330</v>
      </c>
      <c r="AI172" s="1">
        <v>25370</v>
      </c>
      <c r="AJ172" s="1">
        <v>24790</v>
      </c>
      <c r="AK172" s="1">
        <v>25330</v>
      </c>
      <c r="AL172" s="1">
        <v>25760</v>
      </c>
      <c r="AM172" s="1">
        <v>26420</v>
      </c>
      <c r="AN172" s="1">
        <v>26700</v>
      </c>
      <c r="AO172" s="1">
        <v>27650</v>
      </c>
      <c r="AP172" s="1">
        <v>28020</v>
      </c>
      <c r="AQ172" s="1">
        <v>28480</v>
      </c>
      <c r="AR172" s="1">
        <v>29490</v>
      </c>
      <c r="AS172" s="1">
        <v>30610</v>
      </c>
      <c r="AT172" s="1">
        <v>32060</v>
      </c>
      <c r="AU172" s="1">
        <v>33870</v>
      </c>
      <c r="AV172" s="1">
        <v>35520</v>
      </c>
      <c r="AW172" s="1">
        <v>37110</v>
      </c>
      <c r="AX172" s="1">
        <v>36910</v>
      </c>
      <c r="AY172" s="1">
        <v>37170</v>
      </c>
      <c r="AZ172" s="1">
        <v>37000</v>
      </c>
      <c r="BA172" s="1">
        <v>37270</v>
      </c>
      <c r="BB172" s="1">
        <v>37290</v>
      </c>
      <c r="BC172" s="1">
        <v>36410</v>
      </c>
      <c r="BD172" s="1">
        <v>36030</v>
      </c>
    </row>
    <row r="173" spans="1:56" x14ac:dyDescent="0.2">
      <c r="A173" s="1">
        <v>63</v>
      </c>
      <c r="B173" s="3">
        <v>16270</v>
      </c>
      <c r="C173" s="3">
        <v>18230</v>
      </c>
      <c r="D173" s="3">
        <v>18890</v>
      </c>
      <c r="E173" s="3">
        <v>19760</v>
      </c>
      <c r="F173" s="3">
        <v>23410</v>
      </c>
      <c r="G173" s="3">
        <v>23320</v>
      </c>
      <c r="H173" s="3">
        <v>23240</v>
      </c>
      <c r="I173" s="3">
        <v>23270</v>
      </c>
      <c r="J173" s="3">
        <v>23450</v>
      </c>
      <c r="K173" s="3">
        <v>23770</v>
      </c>
      <c r="L173" s="1">
        <v>24020</v>
      </c>
      <c r="M173" s="1">
        <v>24790</v>
      </c>
      <c r="N173" s="1">
        <v>25260</v>
      </c>
      <c r="O173" s="1">
        <v>26150</v>
      </c>
      <c r="P173" s="1">
        <v>26810</v>
      </c>
      <c r="Q173" s="1">
        <v>26780</v>
      </c>
      <c r="R173" s="1">
        <v>28110</v>
      </c>
      <c r="S173" s="1">
        <v>28450</v>
      </c>
      <c r="T173" s="1">
        <v>29450</v>
      </c>
      <c r="U173" s="1">
        <v>30120</v>
      </c>
      <c r="V173" s="1">
        <v>29900</v>
      </c>
      <c r="W173" s="1">
        <v>29630</v>
      </c>
      <c r="X173" s="1">
        <v>28630</v>
      </c>
      <c r="Y173" s="1">
        <v>28280</v>
      </c>
      <c r="Z173" s="1">
        <v>28110</v>
      </c>
      <c r="AA173" s="1">
        <v>28510</v>
      </c>
      <c r="AB173" s="1">
        <v>28910</v>
      </c>
      <c r="AC173" s="1">
        <v>28680</v>
      </c>
      <c r="AD173" s="1">
        <v>29350</v>
      </c>
      <c r="AE173" s="1">
        <v>29010</v>
      </c>
      <c r="AF173" s="1">
        <v>28010</v>
      </c>
      <c r="AG173" s="1">
        <v>27210</v>
      </c>
      <c r="AH173" s="1">
        <v>26110</v>
      </c>
      <c r="AI173" s="1">
        <v>25290</v>
      </c>
      <c r="AJ173" s="1">
        <v>25330</v>
      </c>
      <c r="AK173" s="1">
        <v>24760</v>
      </c>
      <c r="AL173" s="1">
        <v>25300</v>
      </c>
      <c r="AM173" s="1">
        <v>25740</v>
      </c>
      <c r="AN173" s="1">
        <v>26400</v>
      </c>
      <c r="AO173" s="1">
        <v>26670</v>
      </c>
      <c r="AP173" s="1">
        <v>27630</v>
      </c>
      <c r="AQ173" s="1">
        <v>28000</v>
      </c>
      <c r="AR173" s="1">
        <v>28450</v>
      </c>
      <c r="AS173" s="1">
        <v>29460</v>
      </c>
      <c r="AT173" s="1">
        <v>30590</v>
      </c>
      <c r="AU173" s="1">
        <v>32040</v>
      </c>
      <c r="AV173" s="1">
        <v>33840</v>
      </c>
      <c r="AW173" s="1">
        <v>35490</v>
      </c>
      <c r="AX173" s="1">
        <v>37080</v>
      </c>
      <c r="AY173" s="1">
        <v>36880</v>
      </c>
      <c r="AZ173" s="1">
        <v>37150</v>
      </c>
      <c r="BA173" s="1">
        <v>36970</v>
      </c>
      <c r="BB173" s="1">
        <v>37250</v>
      </c>
      <c r="BC173" s="1">
        <v>37270</v>
      </c>
      <c r="BD173" s="1">
        <v>36390</v>
      </c>
    </row>
    <row r="174" spans="1:56" x14ac:dyDescent="0.2">
      <c r="A174" s="1">
        <v>64</v>
      </c>
      <c r="B174" s="3">
        <v>17930</v>
      </c>
      <c r="C174" s="3">
        <v>16110</v>
      </c>
      <c r="D174" s="3">
        <v>18080</v>
      </c>
      <c r="E174" s="3">
        <v>18740</v>
      </c>
      <c r="F174" s="3">
        <v>19670</v>
      </c>
      <c r="G174" s="3">
        <v>23280</v>
      </c>
      <c r="H174" s="3">
        <v>23190</v>
      </c>
      <c r="I174" s="3">
        <v>23140</v>
      </c>
      <c r="J174" s="3">
        <v>23190</v>
      </c>
      <c r="K174" s="3">
        <v>23410</v>
      </c>
      <c r="L174" s="1">
        <v>23690</v>
      </c>
      <c r="M174" s="1">
        <v>23900</v>
      </c>
      <c r="N174" s="1">
        <v>24660</v>
      </c>
      <c r="O174" s="1">
        <v>25130</v>
      </c>
      <c r="P174" s="1">
        <v>26020</v>
      </c>
      <c r="Q174" s="1">
        <v>26680</v>
      </c>
      <c r="R174" s="1">
        <v>26650</v>
      </c>
      <c r="S174" s="1">
        <v>27980</v>
      </c>
      <c r="T174" s="1">
        <v>28330</v>
      </c>
      <c r="U174" s="1">
        <v>29320</v>
      </c>
      <c r="V174" s="1">
        <v>30000</v>
      </c>
      <c r="W174" s="1">
        <v>29780</v>
      </c>
      <c r="X174" s="1">
        <v>29510</v>
      </c>
      <c r="Y174" s="1">
        <v>28530</v>
      </c>
      <c r="Z174" s="1">
        <v>28180</v>
      </c>
      <c r="AA174" s="1">
        <v>28030</v>
      </c>
      <c r="AB174" s="1">
        <v>28420</v>
      </c>
      <c r="AC174" s="1">
        <v>28820</v>
      </c>
      <c r="AD174" s="1">
        <v>28610</v>
      </c>
      <c r="AE174" s="1">
        <v>29270</v>
      </c>
      <c r="AF174" s="1">
        <v>28940</v>
      </c>
      <c r="AG174" s="1">
        <v>27950</v>
      </c>
      <c r="AH174" s="1">
        <v>27150</v>
      </c>
      <c r="AI174" s="1">
        <v>26060</v>
      </c>
      <c r="AJ174" s="1">
        <v>25250</v>
      </c>
      <c r="AK174" s="1">
        <v>25290</v>
      </c>
      <c r="AL174" s="1">
        <v>24730</v>
      </c>
      <c r="AM174" s="1">
        <v>25270</v>
      </c>
      <c r="AN174" s="1">
        <v>25700</v>
      </c>
      <c r="AO174" s="1">
        <v>26360</v>
      </c>
      <c r="AP174" s="1">
        <v>26640</v>
      </c>
      <c r="AQ174" s="1">
        <v>27590</v>
      </c>
      <c r="AR174" s="1">
        <v>27970</v>
      </c>
      <c r="AS174" s="1">
        <v>28420</v>
      </c>
      <c r="AT174" s="1">
        <v>29430</v>
      </c>
      <c r="AU174" s="1">
        <v>30560</v>
      </c>
      <c r="AV174" s="1">
        <v>32010</v>
      </c>
      <c r="AW174" s="1">
        <v>33800</v>
      </c>
      <c r="AX174" s="1">
        <v>35460</v>
      </c>
      <c r="AY174" s="1">
        <v>37040</v>
      </c>
      <c r="AZ174" s="1">
        <v>36840</v>
      </c>
      <c r="BA174" s="1">
        <v>37110</v>
      </c>
      <c r="BB174" s="1">
        <v>36950</v>
      </c>
      <c r="BC174" s="1">
        <v>37220</v>
      </c>
      <c r="BD174" s="1">
        <v>37240</v>
      </c>
    </row>
    <row r="175" spans="1:56" x14ac:dyDescent="0.2">
      <c r="A175" s="1">
        <v>65</v>
      </c>
      <c r="B175" s="3">
        <v>17660</v>
      </c>
      <c r="C175" s="3">
        <v>17780</v>
      </c>
      <c r="D175" s="3">
        <v>15980</v>
      </c>
      <c r="E175" s="3">
        <v>17930</v>
      </c>
      <c r="F175" s="3">
        <v>18590</v>
      </c>
      <c r="G175" s="3">
        <v>19590</v>
      </c>
      <c r="H175" s="3">
        <v>23200</v>
      </c>
      <c r="I175" s="3">
        <v>23070</v>
      </c>
      <c r="J175" s="3">
        <v>23070</v>
      </c>
      <c r="K175" s="3">
        <v>23130</v>
      </c>
      <c r="L175" s="1">
        <v>23310</v>
      </c>
      <c r="M175" s="1">
        <v>23550</v>
      </c>
      <c r="N175" s="1">
        <v>23750</v>
      </c>
      <c r="O175" s="1">
        <v>24520</v>
      </c>
      <c r="P175" s="1">
        <v>24990</v>
      </c>
      <c r="Q175" s="1">
        <v>25880</v>
      </c>
      <c r="R175" s="1">
        <v>26540</v>
      </c>
      <c r="S175" s="1">
        <v>26520</v>
      </c>
      <c r="T175" s="1">
        <v>27840</v>
      </c>
      <c r="U175" s="1">
        <v>28190</v>
      </c>
      <c r="V175" s="1">
        <v>29180</v>
      </c>
      <c r="W175" s="1">
        <v>29860</v>
      </c>
      <c r="X175" s="1">
        <v>29650</v>
      </c>
      <c r="Y175" s="1">
        <v>29390</v>
      </c>
      <c r="Z175" s="1">
        <v>28420</v>
      </c>
      <c r="AA175" s="1">
        <v>28080</v>
      </c>
      <c r="AB175" s="1">
        <v>27930</v>
      </c>
      <c r="AC175" s="1">
        <v>28320</v>
      </c>
      <c r="AD175" s="1">
        <v>28730</v>
      </c>
      <c r="AE175" s="1">
        <v>28520</v>
      </c>
      <c r="AF175" s="1">
        <v>29180</v>
      </c>
      <c r="AG175" s="1">
        <v>28860</v>
      </c>
      <c r="AH175" s="1">
        <v>27870</v>
      </c>
      <c r="AI175" s="1">
        <v>27080</v>
      </c>
      <c r="AJ175" s="1">
        <v>26010</v>
      </c>
      <c r="AK175" s="1">
        <v>25200</v>
      </c>
      <c r="AL175" s="1">
        <v>25250</v>
      </c>
      <c r="AM175" s="1">
        <v>24690</v>
      </c>
      <c r="AN175" s="1">
        <v>25230</v>
      </c>
      <c r="AO175" s="1">
        <v>25660</v>
      </c>
      <c r="AP175" s="1">
        <v>26330</v>
      </c>
      <c r="AQ175" s="1">
        <v>26610</v>
      </c>
      <c r="AR175" s="1">
        <v>27560</v>
      </c>
      <c r="AS175" s="1">
        <v>27930</v>
      </c>
      <c r="AT175" s="1">
        <v>28390</v>
      </c>
      <c r="AU175" s="1">
        <v>29400</v>
      </c>
      <c r="AV175" s="1">
        <v>30520</v>
      </c>
      <c r="AW175" s="1">
        <v>31970</v>
      </c>
      <c r="AX175" s="1">
        <v>33760</v>
      </c>
      <c r="AY175" s="1">
        <v>35410</v>
      </c>
      <c r="AZ175" s="1">
        <v>37000</v>
      </c>
      <c r="BA175" s="1">
        <v>36800</v>
      </c>
      <c r="BB175" s="1">
        <v>37080</v>
      </c>
      <c r="BC175" s="1">
        <v>36910</v>
      </c>
      <c r="BD175" s="1">
        <v>37190</v>
      </c>
    </row>
    <row r="176" spans="1:56" x14ac:dyDescent="0.2">
      <c r="A176" s="1">
        <v>66</v>
      </c>
      <c r="B176" s="3">
        <v>16280</v>
      </c>
      <c r="C176" s="3">
        <v>17430</v>
      </c>
      <c r="D176" s="3">
        <v>17580</v>
      </c>
      <c r="E176" s="3">
        <v>15830</v>
      </c>
      <c r="F176" s="3">
        <v>17790</v>
      </c>
      <c r="G176" s="3">
        <v>18420</v>
      </c>
      <c r="H176" s="3">
        <v>19390</v>
      </c>
      <c r="I176" s="3">
        <v>23050</v>
      </c>
      <c r="J176" s="3">
        <v>22910</v>
      </c>
      <c r="K176" s="3">
        <v>22980</v>
      </c>
      <c r="L176" s="1">
        <v>22990</v>
      </c>
      <c r="M176" s="1">
        <v>23140</v>
      </c>
      <c r="N176" s="1">
        <v>23380</v>
      </c>
      <c r="O176" s="1">
        <v>23600</v>
      </c>
      <c r="P176" s="1">
        <v>24360</v>
      </c>
      <c r="Q176" s="1">
        <v>24830</v>
      </c>
      <c r="R176" s="1">
        <v>25720</v>
      </c>
      <c r="S176" s="1">
        <v>26380</v>
      </c>
      <c r="T176" s="1">
        <v>26370</v>
      </c>
      <c r="U176" s="1">
        <v>27680</v>
      </c>
      <c r="V176" s="1">
        <v>28040</v>
      </c>
      <c r="W176" s="1">
        <v>29030</v>
      </c>
      <c r="X176" s="1">
        <v>29710</v>
      </c>
      <c r="Y176" s="1">
        <v>29510</v>
      </c>
      <c r="Z176" s="1">
        <v>29250</v>
      </c>
      <c r="AA176" s="1">
        <v>28290</v>
      </c>
      <c r="AB176" s="1">
        <v>27960</v>
      </c>
      <c r="AC176" s="1">
        <v>27810</v>
      </c>
      <c r="AD176" s="1">
        <v>28210</v>
      </c>
      <c r="AE176" s="1">
        <v>28620</v>
      </c>
      <c r="AF176" s="1">
        <v>28410</v>
      </c>
      <c r="AG176" s="1">
        <v>29080</v>
      </c>
      <c r="AH176" s="1">
        <v>28760</v>
      </c>
      <c r="AI176" s="1">
        <v>27790</v>
      </c>
      <c r="AJ176" s="1">
        <v>27010</v>
      </c>
      <c r="AK176" s="1">
        <v>25940</v>
      </c>
      <c r="AL176" s="1">
        <v>25140</v>
      </c>
      <c r="AM176" s="1">
        <v>25190</v>
      </c>
      <c r="AN176" s="1">
        <v>24640</v>
      </c>
      <c r="AO176" s="1">
        <v>25180</v>
      </c>
      <c r="AP176" s="1">
        <v>25620</v>
      </c>
      <c r="AQ176" s="1">
        <v>26280</v>
      </c>
      <c r="AR176" s="1">
        <v>26560</v>
      </c>
      <c r="AS176" s="1">
        <v>27510</v>
      </c>
      <c r="AT176" s="1">
        <v>27880</v>
      </c>
      <c r="AU176" s="1">
        <v>28340</v>
      </c>
      <c r="AV176" s="1">
        <v>29350</v>
      </c>
      <c r="AW176" s="1">
        <v>30480</v>
      </c>
      <c r="AX176" s="1">
        <v>31920</v>
      </c>
      <c r="AY176" s="1">
        <v>33710</v>
      </c>
      <c r="AZ176" s="1">
        <v>35360</v>
      </c>
      <c r="BA176" s="1">
        <v>36940</v>
      </c>
      <c r="BB176" s="1">
        <v>36750</v>
      </c>
      <c r="BC176" s="1">
        <v>37030</v>
      </c>
      <c r="BD176" s="1">
        <v>36870</v>
      </c>
    </row>
    <row r="177" spans="1:56" x14ac:dyDescent="0.2">
      <c r="A177" s="1">
        <v>67</v>
      </c>
      <c r="B177" s="3">
        <v>14490</v>
      </c>
      <c r="C177" s="3">
        <v>16080</v>
      </c>
      <c r="D177" s="3">
        <v>17200</v>
      </c>
      <c r="E177" s="3">
        <v>17370</v>
      </c>
      <c r="F177" s="3">
        <v>15630</v>
      </c>
      <c r="G177" s="3">
        <v>17630</v>
      </c>
      <c r="H177" s="3">
        <v>18190</v>
      </c>
      <c r="I177" s="3">
        <v>19250</v>
      </c>
      <c r="J177" s="3">
        <v>22850</v>
      </c>
      <c r="K177" s="3">
        <v>22770</v>
      </c>
      <c r="L177" s="1">
        <v>22810</v>
      </c>
      <c r="M177" s="1">
        <v>22800</v>
      </c>
      <c r="N177" s="1">
        <v>22950</v>
      </c>
      <c r="O177" s="1">
        <v>23200</v>
      </c>
      <c r="P177" s="1">
        <v>23410</v>
      </c>
      <c r="Q177" s="1">
        <v>24180</v>
      </c>
      <c r="R177" s="1">
        <v>24650</v>
      </c>
      <c r="S177" s="1">
        <v>25540</v>
      </c>
      <c r="T177" s="1">
        <v>26200</v>
      </c>
      <c r="U177" s="1">
        <v>26190</v>
      </c>
      <c r="V177" s="1">
        <v>27500</v>
      </c>
      <c r="W177" s="1">
        <v>27860</v>
      </c>
      <c r="X177" s="1">
        <v>28850</v>
      </c>
      <c r="Y177" s="1">
        <v>29530</v>
      </c>
      <c r="Z177" s="1">
        <v>29330</v>
      </c>
      <c r="AA177" s="1">
        <v>29090</v>
      </c>
      <c r="AB177" s="1">
        <v>28140</v>
      </c>
      <c r="AC177" s="1">
        <v>27820</v>
      </c>
      <c r="AD177" s="1">
        <v>27680</v>
      </c>
      <c r="AE177" s="1">
        <v>28080</v>
      </c>
      <c r="AF177" s="1">
        <v>28490</v>
      </c>
      <c r="AG177" s="1">
        <v>28290</v>
      </c>
      <c r="AH177" s="1">
        <v>28960</v>
      </c>
      <c r="AI177" s="1">
        <v>28650</v>
      </c>
      <c r="AJ177" s="1">
        <v>27680</v>
      </c>
      <c r="AK177" s="1">
        <v>26910</v>
      </c>
      <c r="AL177" s="1">
        <v>25850</v>
      </c>
      <c r="AM177" s="1">
        <v>25060</v>
      </c>
      <c r="AN177" s="1">
        <v>25120</v>
      </c>
      <c r="AO177" s="1">
        <v>24570</v>
      </c>
      <c r="AP177" s="1">
        <v>25110</v>
      </c>
      <c r="AQ177" s="1">
        <v>25550</v>
      </c>
      <c r="AR177" s="1">
        <v>26210</v>
      </c>
      <c r="AS177" s="1">
        <v>26500</v>
      </c>
      <c r="AT177" s="1">
        <v>27440</v>
      </c>
      <c r="AU177" s="1">
        <v>27820</v>
      </c>
      <c r="AV177" s="1">
        <v>28280</v>
      </c>
      <c r="AW177" s="1">
        <v>29290</v>
      </c>
      <c r="AX177" s="1">
        <v>30410</v>
      </c>
      <c r="AY177" s="1">
        <v>31850</v>
      </c>
      <c r="AZ177" s="1">
        <v>33640</v>
      </c>
      <c r="BA177" s="1">
        <v>35290</v>
      </c>
      <c r="BB177" s="1">
        <v>36870</v>
      </c>
      <c r="BC177" s="1">
        <v>36680</v>
      </c>
      <c r="BD177" s="1">
        <v>36960</v>
      </c>
    </row>
    <row r="178" spans="1:56" x14ac:dyDescent="0.2">
      <c r="A178" s="1">
        <v>68</v>
      </c>
      <c r="B178" s="3">
        <v>13990</v>
      </c>
      <c r="C178" s="3">
        <v>14260</v>
      </c>
      <c r="D178" s="3">
        <v>15840</v>
      </c>
      <c r="E178" s="3">
        <v>16980</v>
      </c>
      <c r="F178" s="3">
        <v>17180</v>
      </c>
      <c r="G178" s="3">
        <v>15460</v>
      </c>
      <c r="H178" s="3">
        <v>17420</v>
      </c>
      <c r="I178" s="3">
        <v>18010</v>
      </c>
      <c r="J178" s="3">
        <v>19070</v>
      </c>
      <c r="K178" s="3">
        <v>22660</v>
      </c>
      <c r="L178" s="1">
        <v>22560</v>
      </c>
      <c r="M178" s="1">
        <v>22570</v>
      </c>
      <c r="N178" s="1">
        <v>22570</v>
      </c>
      <c r="O178" s="1">
        <v>22730</v>
      </c>
      <c r="P178" s="1">
        <v>22980</v>
      </c>
      <c r="Q178" s="1">
        <v>23200</v>
      </c>
      <c r="R178" s="1">
        <v>23960</v>
      </c>
      <c r="S178" s="1">
        <v>24440</v>
      </c>
      <c r="T178" s="1">
        <v>25320</v>
      </c>
      <c r="U178" s="1">
        <v>25980</v>
      </c>
      <c r="V178" s="1">
        <v>25980</v>
      </c>
      <c r="W178" s="1">
        <v>27290</v>
      </c>
      <c r="X178" s="1">
        <v>27650</v>
      </c>
      <c r="Y178" s="1">
        <v>28640</v>
      </c>
      <c r="Z178" s="1">
        <v>29320</v>
      </c>
      <c r="AA178" s="1">
        <v>29130</v>
      </c>
      <c r="AB178" s="1">
        <v>28890</v>
      </c>
      <c r="AC178" s="1">
        <v>27960</v>
      </c>
      <c r="AD178" s="1">
        <v>27650</v>
      </c>
      <c r="AE178" s="1">
        <v>27510</v>
      </c>
      <c r="AF178" s="1">
        <v>27920</v>
      </c>
      <c r="AG178" s="1">
        <v>28330</v>
      </c>
      <c r="AH178" s="1">
        <v>28140</v>
      </c>
      <c r="AI178" s="1">
        <v>28810</v>
      </c>
      <c r="AJ178" s="1">
        <v>28500</v>
      </c>
      <c r="AK178" s="1">
        <v>27550</v>
      </c>
      <c r="AL178" s="1">
        <v>26790</v>
      </c>
      <c r="AM178" s="1">
        <v>25740</v>
      </c>
      <c r="AN178" s="1">
        <v>24950</v>
      </c>
      <c r="AO178" s="1">
        <v>25020</v>
      </c>
      <c r="AP178" s="1">
        <v>24480</v>
      </c>
      <c r="AQ178" s="1">
        <v>25020</v>
      </c>
      <c r="AR178" s="1">
        <v>25460</v>
      </c>
      <c r="AS178" s="1">
        <v>26120</v>
      </c>
      <c r="AT178" s="1">
        <v>26410</v>
      </c>
      <c r="AU178" s="1">
        <v>27360</v>
      </c>
      <c r="AV178" s="1">
        <v>27740</v>
      </c>
      <c r="AW178" s="1">
        <v>28200</v>
      </c>
      <c r="AX178" s="1">
        <v>29200</v>
      </c>
      <c r="AY178" s="1">
        <v>30320</v>
      </c>
      <c r="AZ178" s="1">
        <v>31760</v>
      </c>
      <c r="BA178" s="1">
        <v>33550</v>
      </c>
      <c r="BB178" s="1">
        <v>35190</v>
      </c>
      <c r="BC178" s="1">
        <v>36770</v>
      </c>
      <c r="BD178" s="1">
        <v>36590</v>
      </c>
    </row>
    <row r="179" spans="1:56" x14ac:dyDescent="0.2">
      <c r="A179" s="1">
        <v>69</v>
      </c>
      <c r="B179" s="3">
        <v>13200</v>
      </c>
      <c r="C179" s="3">
        <v>13760</v>
      </c>
      <c r="D179" s="3">
        <v>14020</v>
      </c>
      <c r="E179" s="3">
        <v>15590</v>
      </c>
      <c r="F179" s="3">
        <v>16690</v>
      </c>
      <c r="G179" s="3">
        <v>16960</v>
      </c>
      <c r="H179" s="3">
        <v>15240</v>
      </c>
      <c r="I179" s="3">
        <v>17190</v>
      </c>
      <c r="J179" s="3">
        <v>17780</v>
      </c>
      <c r="K179" s="3">
        <v>18880</v>
      </c>
      <c r="L179" s="1">
        <v>22400</v>
      </c>
      <c r="M179" s="1">
        <v>22290</v>
      </c>
      <c r="N179" s="1">
        <v>22310</v>
      </c>
      <c r="O179" s="1">
        <v>22320</v>
      </c>
      <c r="P179" s="1">
        <v>22480</v>
      </c>
      <c r="Q179" s="1">
        <v>22730</v>
      </c>
      <c r="R179" s="1">
        <v>22960</v>
      </c>
      <c r="S179" s="1">
        <v>23720</v>
      </c>
      <c r="T179" s="1">
        <v>24200</v>
      </c>
      <c r="U179" s="1">
        <v>25080</v>
      </c>
      <c r="V179" s="1">
        <v>25740</v>
      </c>
      <c r="W179" s="1">
        <v>25750</v>
      </c>
      <c r="X179" s="1">
        <v>27050</v>
      </c>
      <c r="Y179" s="1">
        <v>27410</v>
      </c>
      <c r="Z179" s="1">
        <v>28400</v>
      </c>
      <c r="AA179" s="1">
        <v>29080</v>
      </c>
      <c r="AB179" s="1">
        <v>28900</v>
      </c>
      <c r="AC179" s="1">
        <v>28680</v>
      </c>
      <c r="AD179" s="1">
        <v>27760</v>
      </c>
      <c r="AE179" s="1">
        <v>27450</v>
      </c>
      <c r="AF179" s="1">
        <v>27330</v>
      </c>
      <c r="AG179" s="1">
        <v>27730</v>
      </c>
      <c r="AH179" s="1">
        <v>28150</v>
      </c>
      <c r="AI179" s="1">
        <v>27960</v>
      </c>
      <c r="AJ179" s="1">
        <v>28630</v>
      </c>
      <c r="AK179" s="1">
        <v>28340</v>
      </c>
      <c r="AL179" s="1">
        <v>27400</v>
      </c>
      <c r="AM179" s="1">
        <v>26640</v>
      </c>
      <c r="AN179" s="1">
        <v>25610</v>
      </c>
      <c r="AO179" s="1">
        <v>24830</v>
      </c>
      <c r="AP179" s="1">
        <v>24900</v>
      </c>
      <c r="AQ179" s="1">
        <v>24370</v>
      </c>
      <c r="AR179" s="1">
        <v>24910</v>
      </c>
      <c r="AS179" s="1">
        <v>25350</v>
      </c>
      <c r="AT179" s="1">
        <v>26010</v>
      </c>
      <c r="AU179" s="1">
        <v>26310</v>
      </c>
      <c r="AV179" s="1">
        <v>27250</v>
      </c>
      <c r="AW179" s="1">
        <v>27630</v>
      </c>
      <c r="AX179" s="1">
        <v>28090</v>
      </c>
      <c r="AY179" s="1">
        <v>29100</v>
      </c>
      <c r="AZ179" s="1">
        <v>30220</v>
      </c>
      <c r="BA179" s="1">
        <v>31660</v>
      </c>
      <c r="BB179" s="1">
        <v>33440</v>
      </c>
      <c r="BC179" s="1">
        <v>35080</v>
      </c>
      <c r="BD179" s="1">
        <v>36650</v>
      </c>
    </row>
    <row r="180" spans="1:56" x14ac:dyDescent="0.2">
      <c r="A180" s="1">
        <v>70</v>
      </c>
      <c r="B180" s="3">
        <v>12400</v>
      </c>
      <c r="C180" s="3">
        <v>12920</v>
      </c>
      <c r="D180" s="3">
        <v>13480</v>
      </c>
      <c r="E180" s="3">
        <v>13750</v>
      </c>
      <c r="F180" s="3">
        <v>15340</v>
      </c>
      <c r="G180" s="3">
        <v>16390</v>
      </c>
      <c r="H180" s="3">
        <v>16680</v>
      </c>
      <c r="I180" s="3">
        <v>14990</v>
      </c>
      <c r="J180" s="3">
        <v>16970</v>
      </c>
      <c r="K180" s="3">
        <v>17570</v>
      </c>
      <c r="L180" s="1">
        <v>18640</v>
      </c>
      <c r="M180" s="1">
        <v>22090</v>
      </c>
      <c r="N180" s="1">
        <v>21990</v>
      </c>
      <c r="O180" s="1">
        <v>22020</v>
      </c>
      <c r="P180" s="1">
        <v>22030</v>
      </c>
      <c r="Q180" s="1">
        <v>22210</v>
      </c>
      <c r="R180" s="1">
        <v>22460</v>
      </c>
      <c r="S180" s="1">
        <v>22700</v>
      </c>
      <c r="T180" s="1">
        <v>23450</v>
      </c>
      <c r="U180" s="1">
        <v>23930</v>
      </c>
      <c r="V180" s="1">
        <v>24810</v>
      </c>
      <c r="W180" s="1">
        <v>25470</v>
      </c>
      <c r="X180" s="1">
        <v>25490</v>
      </c>
      <c r="Y180" s="1">
        <v>26780</v>
      </c>
      <c r="Z180" s="1">
        <v>27150</v>
      </c>
      <c r="AA180" s="1">
        <v>28130</v>
      </c>
      <c r="AB180" s="1">
        <v>28820</v>
      </c>
      <c r="AC180" s="1">
        <v>28650</v>
      </c>
      <c r="AD180" s="1">
        <v>28430</v>
      </c>
      <c r="AE180" s="1">
        <v>27530</v>
      </c>
      <c r="AF180" s="1">
        <v>27230</v>
      </c>
      <c r="AG180" s="1">
        <v>27110</v>
      </c>
      <c r="AH180" s="1">
        <v>27520</v>
      </c>
      <c r="AI180" s="1">
        <v>27940</v>
      </c>
      <c r="AJ180" s="1">
        <v>27770</v>
      </c>
      <c r="AK180" s="1">
        <v>28440</v>
      </c>
      <c r="AL180" s="1">
        <v>28150</v>
      </c>
      <c r="AM180" s="1">
        <v>27220</v>
      </c>
      <c r="AN180" s="1">
        <v>26480</v>
      </c>
      <c r="AO180" s="1">
        <v>25460</v>
      </c>
      <c r="AP180" s="1">
        <v>24690</v>
      </c>
      <c r="AQ180" s="1">
        <v>24760</v>
      </c>
      <c r="AR180" s="1">
        <v>24240</v>
      </c>
      <c r="AS180" s="1">
        <v>24780</v>
      </c>
      <c r="AT180" s="1">
        <v>25230</v>
      </c>
      <c r="AU180" s="1">
        <v>25890</v>
      </c>
      <c r="AV180" s="1">
        <v>26180</v>
      </c>
      <c r="AW180" s="1">
        <v>27130</v>
      </c>
      <c r="AX180" s="1">
        <v>27510</v>
      </c>
      <c r="AY180" s="1">
        <v>27970</v>
      </c>
      <c r="AZ180" s="1">
        <v>28980</v>
      </c>
      <c r="BA180" s="1">
        <v>30100</v>
      </c>
      <c r="BB180" s="1">
        <v>31530</v>
      </c>
      <c r="BC180" s="1">
        <v>33310</v>
      </c>
      <c r="BD180" s="1">
        <v>34940</v>
      </c>
    </row>
    <row r="181" spans="1:56" x14ac:dyDescent="0.2">
      <c r="A181" s="1">
        <v>71</v>
      </c>
      <c r="B181" s="3">
        <v>11940</v>
      </c>
      <c r="C181" s="3">
        <v>12080</v>
      </c>
      <c r="D181" s="3">
        <v>12600</v>
      </c>
      <c r="E181" s="3">
        <v>13170</v>
      </c>
      <c r="F181" s="3">
        <v>13490</v>
      </c>
      <c r="G181" s="3">
        <v>15030</v>
      </c>
      <c r="H181" s="3">
        <v>16060</v>
      </c>
      <c r="I181" s="3">
        <v>16410</v>
      </c>
      <c r="J181" s="3">
        <v>14750</v>
      </c>
      <c r="K181" s="3">
        <v>16740</v>
      </c>
      <c r="L181" s="1">
        <v>17310</v>
      </c>
      <c r="M181" s="1">
        <v>18350</v>
      </c>
      <c r="N181" s="1">
        <v>21760</v>
      </c>
      <c r="O181" s="1">
        <v>21660</v>
      </c>
      <c r="P181" s="1">
        <v>21700</v>
      </c>
      <c r="Q181" s="1">
        <v>21730</v>
      </c>
      <c r="R181" s="1">
        <v>21900</v>
      </c>
      <c r="S181" s="1">
        <v>22170</v>
      </c>
      <c r="T181" s="1">
        <v>22400</v>
      </c>
      <c r="U181" s="1">
        <v>23160</v>
      </c>
      <c r="V181" s="1">
        <v>23640</v>
      </c>
      <c r="W181" s="1">
        <v>24520</v>
      </c>
      <c r="X181" s="1">
        <v>25180</v>
      </c>
      <c r="Y181" s="1">
        <v>25200</v>
      </c>
      <c r="Z181" s="1">
        <v>26490</v>
      </c>
      <c r="AA181" s="1">
        <v>26860</v>
      </c>
      <c r="AB181" s="1">
        <v>27840</v>
      </c>
      <c r="AC181" s="1">
        <v>28530</v>
      </c>
      <c r="AD181" s="1">
        <v>28370</v>
      </c>
      <c r="AE181" s="1">
        <v>28160</v>
      </c>
      <c r="AF181" s="1">
        <v>27280</v>
      </c>
      <c r="AG181" s="1">
        <v>26990</v>
      </c>
      <c r="AH181" s="1">
        <v>26880</v>
      </c>
      <c r="AI181" s="1">
        <v>27290</v>
      </c>
      <c r="AJ181" s="1">
        <v>27720</v>
      </c>
      <c r="AK181" s="1">
        <v>27550</v>
      </c>
      <c r="AL181" s="1">
        <v>28220</v>
      </c>
      <c r="AM181" s="1">
        <v>27940</v>
      </c>
      <c r="AN181" s="1">
        <v>27030</v>
      </c>
      <c r="AO181" s="1">
        <v>26300</v>
      </c>
      <c r="AP181" s="1">
        <v>25290</v>
      </c>
      <c r="AQ181" s="1">
        <v>24540</v>
      </c>
      <c r="AR181" s="1">
        <v>24610</v>
      </c>
      <c r="AS181" s="1">
        <v>24090</v>
      </c>
      <c r="AT181" s="1">
        <v>24640</v>
      </c>
      <c r="AU181" s="1">
        <v>25080</v>
      </c>
      <c r="AV181" s="1">
        <v>25750</v>
      </c>
      <c r="AW181" s="1">
        <v>26040</v>
      </c>
      <c r="AX181" s="1">
        <v>26990</v>
      </c>
      <c r="AY181" s="1">
        <v>27370</v>
      </c>
      <c r="AZ181" s="1">
        <v>27840</v>
      </c>
      <c r="BA181" s="1">
        <v>28840</v>
      </c>
      <c r="BB181" s="1">
        <v>29960</v>
      </c>
      <c r="BC181" s="1">
        <v>31390</v>
      </c>
      <c r="BD181" s="1">
        <v>33160</v>
      </c>
    </row>
    <row r="182" spans="1:56" x14ac:dyDescent="0.2">
      <c r="A182" s="1">
        <v>72</v>
      </c>
      <c r="B182" s="3">
        <v>11370</v>
      </c>
      <c r="C182" s="3">
        <v>11660</v>
      </c>
      <c r="D182" s="3">
        <v>11800</v>
      </c>
      <c r="E182" s="3">
        <v>12290</v>
      </c>
      <c r="F182" s="3">
        <v>12880</v>
      </c>
      <c r="G182" s="3">
        <v>13170</v>
      </c>
      <c r="H182" s="3">
        <v>14710</v>
      </c>
      <c r="I182" s="3">
        <v>15750</v>
      </c>
      <c r="J182" s="3">
        <v>16110</v>
      </c>
      <c r="K182" s="3">
        <v>14520</v>
      </c>
      <c r="L182" s="1">
        <v>16460</v>
      </c>
      <c r="M182" s="1">
        <v>17010</v>
      </c>
      <c r="N182" s="1">
        <v>18040</v>
      </c>
      <c r="O182" s="1">
        <v>21390</v>
      </c>
      <c r="P182" s="1">
        <v>21310</v>
      </c>
      <c r="Q182" s="1">
        <v>21360</v>
      </c>
      <c r="R182" s="1">
        <v>21390</v>
      </c>
      <c r="S182" s="1">
        <v>21580</v>
      </c>
      <c r="T182" s="1">
        <v>21850</v>
      </c>
      <c r="U182" s="1">
        <v>22090</v>
      </c>
      <c r="V182" s="1">
        <v>22840</v>
      </c>
      <c r="W182" s="1">
        <v>23330</v>
      </c>
      <c r="X182" s="1">
        <v>24200</v>
      </c>
      <c r="Y182" s="1">
        <v>24860</v>
      </c>
      <c r="Z182" s="1">
        <v>24890</v>
      </c>
      <c r="AA182" s="1">
        <v>26170</v>
      </c>
      <c r="AB182" s="1">
        <v>26550</v>
      </c>
      <c r="AC182" s="1">
        <v>27530</v>
      </c>
      <c r="AD182" s="1">
        <v>28210</v>
      </c>
      <c r="AE182" s="1">
        <v>28060</v>
      </c>
      <c r="AF182" s="1">
        <v>27870</v>
      </c>
      <c r="AG182" s="1">
        <v>27000</v>
      </c>
      <c r="AH182" s="1">
        <v>26730</v>
      </c>
      <c r="AI182" s="1">
        <v>26630</v>
      </c>
      <c r="AJ182" s="1">
        <v>27040</v>
      </c>
      <c r="AK182" s="1">
        <v>27470</v>
      </c>
      <c r="AL182" s="1">
        <v>27310</v>
      </c>
      <c r="AM182" s="1">
        <v>27980</v>
      </c>
      <c r="AN182" s="1">
        <v>27710</v>
      </c>
      <c r="AO182" s="1">
        <v>26810</v>
      </c>
      <c r="AP182" s="1">
        <v>26100</v>
      </c>
      <c r="AQ182" s="1">
        <v>25100</v>
      </c>
      <c r="AR182" s="1">
        <v>24360</v>
      </c>
      <c r="AS182" s="1">
        <v>24440</v>
      </c>
      <c r="AT182" s="1">
        <v>23930</v>
      </c>
      <c r="AU182" s="1">
        <v>24480</v>
      </c>
      <c r="AV182" s="1">
        <v>24930</v>
      </c>
      <c r="AW182" s="1">
        <v>25590</v>
      </c>
      <c r="AX182" s="1">
        <v>25890</v>
      </c>
      <c r="AY182" s="1">
        <v>26830</v>
      </c>
      <c r="AZ182" s="1">
        <v>27220</v>
      </c>
      <c r="BA182" s="1">
        <v>27690</v>
      </c>
      <c r="BB182" s="1">
        <v>28690</v>
      </c>
      <c r="BC182" s="1">
        <v>29800</v>
      </c>
      <c r="BD182" s="1">
        <v>31230</v>
      </c>
    </row>
    <row r="183" spans="1:56" x14ac:dyDescent="0.2">
      <c r="A183" s="1">
        <v>73</v>
      </c>
      <c r="B183" s="3">
        <v>10890</v>
      </c>
      <c r="C183" s="3">
        <v>11030</v>
      </c>
      <c r="D183" s="3">
        <v>11360</v>
      </c>
      <c r="E183" s="3">
        <v>11460</v>
      </c>
      <c r="F183" s="3">
        <v>11980</v>
      </c>
      <c r="G183" s="3">
        <v>12540</v>
      </c>
      <c r="H183" s="3">
        <v>12830</v>
      </c>
      <c r="I183" s="3">
        <v>14360</v>
      </c>
      <c r="J183" s="3">
        <v>15390</v>
      </c>
      <c r="K183" s="3">
        <v>15810</v>
      </c>
      <c r="L183" s="1">
        <v>14250</v>
      </c>
      <c r="M183" s="1">
        <v>16140</v>
      </c>
      <c r="N183" s="1">
        <v>16690</v>
      </c>
      <c r="O183" s="1">
        <v>17710</v>
      </c>
      <c r="P183" s="1">
        <v>21000</v>
      </c>
      <c r="Q183" s="1">
        <v>20930</v>
      </c>
      <c r="R183" s="1">
        <v>20990</v>
      </c>
      <c r="S183" s="1">
        <v>21040</v>
      </c>
      <c r="T183" s="1">
        <v>21230</v>
      </c>
      <c r="U183" s="1">
        <v>21500</v>
      </c>
      <c r="V183" s="1">
        <v>21750</v>
      </c>
      <c r="W183" s="1">
        <v>22500</v>
      </c>
      <c r="X183" s="1">
        <v>22980</v>
      </c>
      <c r="Y183" s="1">
        <v>23850</v>
      </c>
      <c r="Z183" s="1">
        <v>24520</v>
      </c>
      <c r="AA183" s="1">
        <v>24560</v>
      </c>
      <c r="AB183" s="1">
        <v>25830</v>
      </c>
      <c r="AC183" s="1">
        <v>26210</v>
      </c>
      <c r="AD183" s="1">
        <v>27180</v>
      </c>
      <c r="AE183" s="1">
        <v>27870</v>
      </c>
      <c r="AF183" s="1">
        <v>27730</v>
      </c>
      <c r="AG183" s="1">
        <v>27550</v>
      </c>
      <c r="AH183" s="1">
        <v>26700</v>
      </c>
      <c r="AI183" s="1">
        <v>26440</v>
      </c>
      <c r="AJ183" s="1">
        <v>26350</v>
      </c>
      <c r="AK183" s="1">
        <v>26770</v>
      </c>
      <c r="AL183" s="1">
        <v>27190</v>
      </c>
      <c r="AM183" s="1">
        <v>27040</v>
      </c>
      <c r="AN183" s="1">
        <v>27720</v>
      </c>
      <c r="AO183" s="1">
        <v>27460</v>
      </c>
      <c r="AP183" s="1">
        <v>26580</v>
      </c>
      <c r="AQ183" s="1">
        <v>25870</v>
      </c>
      <c r="AR183" s="1">
        <v>24900</v>
      </c>
      <c r="AS183" s="1">
        <v>24170</v>
      </c>
      <c r="AT183" s="1">
        <v>24250</v>
      </c>
      <c r="AU183" s="1">
        <v>23750</v>
      </c>
      <c r="AV183" s="1">
        <v>24300</v>
      </c>
      <c r="AW183" s="1">
        <v>24750</v>
      </c>
      <c r="AX183" s="1">
        <v>25410</v>
      </c>
      <c r="AY183" s="1">
        <v>25720</v>
      </c>
      <c r="AZ183" s="1">
        <v>26660</v>
      </c>
      <c r="BA183" s="1">
        <v>27050</v>
      </c>
      <c r="BB183" s="1">
        <v>27520</v>
      </c>
      <c r="BC183" s="1">
        <v>28520</v>
      </c>
      <c r="BD183" s="1">
        <v>29630</v>
      </c>
    </row>
    <row r="184" spans="1:56" x14ac:dyDescent="0.2">
      <c r="A184" s="1">
        <v>74</v>
      </c>
      <c r="B184" s="3">
        <v>10790</v>
      </c>
      <c r="C184" s="3">
        <v>10530</v>
      </c>
      <c r="D184" s="3">
        <v>10700</v>
      </c>
      <c r="E184" s="3">
        <v>11010</v>
      </c>
      <c r="F184" s="3">
        <v>11130</v>
      </c>
      <c r="G184" s="3">
        <v>11670</v>
      </c>
      <c r="H184" s="3">
        <v>12190</v>
      </c>
      <c r="I184" s="3">
        <v>12520</v>
      </c>
      <c r="J184" s="3">
        <v>14020</v>
      </c>
      <c r="K184" s="3">
        <v>15070</v>
      </c>
      <c r="L184" s="1">
        <v>15470</v>
      </c>
      <c r="M184" s="1">
        <v>13940</v>
      </c>
      <c r="N184" s="1">
        <v>15790</v>
      </c>
      <c r="O184" s="1">
        <v>16340</v>
      </c>
      <c r="P184" s="1">
        <v>17350</v>
      </c>
      <c r="Q184" s="1">
        <v>20580</v>
      </c>
      <c r="R184" s="1">
        <v>20530</v>
      </c>
      <c r="S184" s="1">
        <v>20600</v>
      </c>
      <c r="T184" s="1">
        <v>20650</v>
      </c>
      <c r="U184" s="1">
        <v>20850</v>
      </c>
      <c r="V184" s="1">
        <v>21120</v>
      </c>
      <c r="W184" s="1">
        <v>21380</v>
      </c>
      <c r="X184" s="1">
        <v>22130</v>
      </c>
      <c r="Y184" s="1">
        <v>22610</v>
      </c>
      <c r="Z184" s="1">
        <v>23480</v>
      </c>
      <c r="AA184" s="1">
        <v>24140</v>
      </c>
      <c r="AB184" s="1">
        <v>24190</v>
      </c>
      <c r="AC184" s="1">
        <v>25450</v>
      </c>
      <c r="AD184" s="1">
        <v>25840</v>
      </c>
      <c r="AE184" s="1">
        <v>26810</v>
      </c>
      <c r="AF184" s="1">
        <v>27490</v>
      </c>
      <c r="AG184" s="1">
        <v>27370</v>
      </c>
      <c r="AH184" s="1">
        <v>27200</v>
      </c>
      <c r="AI184" s="1">
        <v>26370</v>
      </c>
      <c r="AJ184" s="1">
        <v>26120</v>
      </c>
      <c r="AK184" s="1">
        <v>26040</v>
      </c>
      <c r="AL184" s="1">
        <v>26460</v>
      </c>
      <c r="AM184" s="1">
        <v>26900</v>
      </c>
      <c r="AN184" s="1">
        <v>26760</v>
      </c>
      <c r="AO184" s="1">
        <v>27430</v>
      </c>
      <c r="AP184" s="1">
        <v>27180</v>
      </c>
      <c r="AQ184" s="1">
        <v>26320</v>
      </c>
      <c r="AR184" s="1">
        <v>25630</v>
      </c>
      <c r="AS184" s="1">
        <v>24670</v>
      </c>
      <c r="AT184" s="1">
        <v>23950</v>
      </c>
      <c r="AU184" s="1">
        <v>24040</v>
      </c>
      <c r="AV184" s="1">
        <v>23560</v>
      </c>
      <c r="AW184" s="1">
        <v>24100</v>
      </c>
      <c r="AX184" s="1">
        <v>24560</v>
      </c>
      <c r="AY184" s="1">
        <v>25220</v>
      </c>
      <c r="AZ184" s="1">
        <v>25520</v>
      </c>
      <c r="BA184" s="1">
        <v>26460</v>
      </c>
      <c r="BB184" s="1">
        <v>26850</v>
      </c>
      <c r="BC184" s="1">
        <v>27330</v>
      </c>
      <c r="BD184" s="1">
        <v>28330</v>
      </c>
    </row>
    <row r="185" spans="1:56" x14ac:dyDescent="0.2">
      <c r="A185" s="1">
        <v>75</v>
      </c>
      <c r="B185" s="3">
        <v>10770</v>
      </c>
      <c r="C185" s="3">
        <v>10450</v>
      </c>
      <c r="D185" s="3">
        <v>10190</v>
      </c>
      <c r="E185" s="3">
        <v>10350</v>
      </c>
      <c r="F185" s="3">
        <v>10640</v>
      </c>
      <c r="G185" s="3">
        <v>10790</v>
      </c>
      <c r="H185" s="3">
        <v>11310</v>
      </c>
      <c r="I185" s="3">
        <v>11820</v>
      </c>
      <c r="J185" s="3">
        <v>12210</v>
      </c>
      <c r="K185" s="3">
        <v>13690</v>
      </c>
      <c r="L185" s="1">
        <v>14700</v>
      </c>
      <c r="M185" s="1">
        <v>15080</v>
      </c>
      <c r="N185" s="1">
        <v>13610</v>
      </c>
      <c r="O185" s="1">
        <v>15420</v>
      </c>
      <c r="P185" s="1">
        <v>15970</v>
      </c>
      <c r="Q185" s="1">
        <v>16960</v>
      </c>
      <c r="R185" s="1">
        <v>20130</v>
      </c>
      <c r="S185" s="1">
        <v>20090</v>
      </c>
      <c r="T185" s="1">
        <v>20170</v>
      </c>
      <c r="U185" s="1">
        <v>20230</v>
      </c>
      <c r="V185" s="1">
        <v>20440</v>
      </c>
      <c r="W185" s="1">
        <v>20720</v>
      </c>
      <c r="X185" s="1">
        <v>20980</v>
      </c>
      <c r="Y185" s="1">
        <v>21720</v>
      </c>
      <c r="Z185" s="1">
        <v>22210</v>
      </c>
      <c r="AA185" s="1">
        <v>23080</v>
      </c>
      <c r="AB185" s="1">
        <v>23740</v>
      </c>
      <c r="AC185" s="1">
        <v>23800</v>
      </c>
      <c r="AD185" s="1">
        <v>25050</v>
      </c>
      <c r="AE185" s="1">
        <v>25440</v>
      </c>
      <c r="AF185" s="1">
        <v>26400</v>
      </c>
      <c r="AG185" s="1">
        <v>27090</v>
      </c>
      <c r="AH185" s="1">
        <v>26980</v>
      </c>
      <c r="AI185" s="1">
        <v>26820</v>
      </c>
      <c r="AJ185" s="1">
        <v>26020</v>
      </c>
      <c r="AK185" s="1">
        <v>25780</v>
      </c>
      <c r="AL185" s="1">
        <v>25710</v>
      </c>
      <c r="AM185" s="1">
        <v>26140</v>
      </c>
      <c r="AN185" s="1">
        <v>26570</v>
      </c>
      <c r="AO185" s="1">
        <v>26440</v>
      </c>
      <c r="AP185" s="1">
        <v>27120</v>
      </c>
      <c r="AQ185" s="1">
        <v>26880</v>
      </c>
      <c r="AR185" s="1">
        <v>26030</v>
      </c>
      <c r="AS185" s="1">
        <v>25360</v>
      </c>
      <c r="AT185" s="1">
        <v>24420</v>
      </c>
      <c r="AU185" s="1">
        <v>23720</v>
      </c>
      <c r="AV185" s="1">
        <v>23810</v>
      </c>
      <c r="AW185" s="1">
        <v>23340</v>
      </c>
      <c r="AX185" s="1">
        <v>23890</v>
      </c>
      <c r="AY185" s="1">
        <v>24340</v>
      </c>
      <c r="AZ185" s="1">
        <v>25000</v>
      </c>
      <c r="BA185" s="1">
        <v>25310</v>
      </c>
      <c r="BB185" s="1">
        <v>26250</v>
      </c>
      <c r="BC185" s="1">
        <v>26640</v>
      </c>
      <c r="BD185" s="1">
        <v>27120</v>
      </c>
    </row>
    <row r="186" spans="1:56" x14ac:dyDescent="0.2">
      <c r="A186" s="1">
        <v>76</v>
      </c>
      <c r="B186" s="3">
        <v>10040</v>
      </c>
      <c r="C186" s="3">
        <v>10380</v>
      </c>
      <c r="D186" s="3">
        <v>10070</v>
      </c>
      <c r="E186" s="3">
        <v>9830</v>
      </c>
      <c r="F186" s="3">
        <v>9980</v>
      </c>
      <c r="G186" s="3">
        <v>10290</v>
      </c>
      <c r="H186" s="3">
        <v>10410</v>
      </c>
      <c r="I186" s="3">
        <v>10910</v>
      </c>
      <c r="J186" s="3">
        <v>11480</v>
      </c>
      <c r="K186" s="3">
        <v>11890</v>
      </c>
      <c r="L186" s="1">
        <v>13310</v>
      </c>
      <c r="M186" s="1">
        <v>14290</v>
      </c>
      <c r="N186" s="1">
        <v>14670</v>
      </c>
      <c r="O186" s="1">
        <v>13250</v>
      </c>
      <c r="P186" s="1">
        <v>15020</v>
      </c>
      <c r="Q186" s="1">
        <v>15570</v>
      </c>
      <c r="R186" s="1">
        <v>16540</v>
      </c>
      <c r="S186" s="1">
        <v>19650</v>
      </c>
      <c r="T186" s="1">
        <v>19620</v>
      </c>
      <c r="U186" s="1">
        <v>19710</v>
      </c>
      <c r="V186" s="1">
        <v>19780</v>
      </c>
      <c r="W186" s="1">
        <v>19990</v>
      </c>
      <c r="X186" s="1">
        <v>20280</v>
      </c>
      <c r="Y186" s="1">
        <v>20550</v>
      </c>
      <c r="Z186" s="1">
        <v>21290</v>
      </c>
      <c r="AA186" s="1">
        <v>21780</v>
      </c>
      <c r="AB186" s="1">
        <v>22640</v>
      </c>
      <c r="AC186" s="1">
        <v>23290</v>
      </c>
      <c r="AD186" s="1">
        <v>23370</v>
      </c>
      <c r="AE186" s="1">
        <v>24600</v>
      </c>
      <c r="AF186" s="1">
        <v>25000</v>
      </c>
      <c r="AG186" s="1">
        <v>25960</v>
      </c>
      <c r="AH186" s="1">
        <v>26650</v>
      </c>
      <c r="AI186" s="1">
        <v>26550</v>
      </c>
      <c r="AJ186" s="1">
        <v>26410</v>
      </c>
      <c r="AK186" s="1">
        <v>25630</v>
      </c>
      <c r="AL186" s="1">
        <v>25400</v>
      </c>
      <c r="AM186" s="1">
        <v>25340</v>
      </c>
      <c r="AN186" s="1">
        <v>25770</v>
      </c>
      <c r="AO186" s="1">
        <v>26210</v>
      </c>
      <c r="AP186" s="1">
        <v>26100</v>
      </c>
      <c r="AQ186" s="1">
        <v>26770</v>
      </c>
      <c r="AR186" s="1">
        <v>26550</v>
      </c>
      <c r="AS186" s="1">
        <v>25720</v>
      </c>
      <c r="AT186" s="1">
        <v>25060</v>
      </c>
      <c r="AU186" s="1">
        <v>24140</v>
      </c>
      <c r="AV186" s="1">
        <v>23450</v>
      </c>
      <c r="AW186" s="1">
        <v>23560</v>
      </c>
      <c r="AX186" s="1">
        <v>23090</v>
      </c>
      <c r="AY186" s="1">
        <v>23640</v>
      </c>
      <c r="AZ186" s="1">
        <v>24100</v>
      </c>
      <c r="BA186" s="1">
        <v>24760</v>
      </c>
      <c r="BB186" s="1">
        <v>25070</v>
      </c>
      <c r="BC186" s="1">
        <v>26010</v>
      </c>
      <c r="BD186" s="1">
        <v>26410</v>
      </c>
    </row>
    <row r="187" spans="1:56" x14ac:dyDescent="0.2">
      <c r="A187" s="1">
        <v>77</v>
      </c>
      <c r="B187" s="3">
        <v>9480</v>
      </c>
      <c r="C187" s="3">
        <v>9590</v>
      </c>
      <c r="D187" s="3">
        <v>9950</v>
      </c>
      <c r="E187" s="3">
        <v>9670</v>
      </c>
      <c r="F187" s="3">
        <v>9460</v>
      </c>
      <c r="G187" s="3">
        <v>9610</v>
      </c>
      <c r="H187" s="3">
        <v>9880</v>
      </c>
      <c r="I187" s="3">
        <v>10020</v>
      </c>
      <c r="J187" s="3">
        <v>10580</v>
      </c>
      <c r="K187" s="3">
        <v>11130</v>
      </c>
      <c r="L187" s="1">
        <v>11520</v>
      </c>
      <c r="M187" s="1">
        <v>12890</v>
      </c>
      <c r="N187" s="1">
        <v>13850</v>
      </c>
      <c r="O187" s="1">
        <v>14240</v>
      </c>
      <c r="P187" s="1">
        <v>12860</v>
      </c>
      <c r="Q187" s="1">
        <v>14600</v>
      </c>
      <c r="R187" s="1">
        <v>15130</v>
      </c>
      <c r="S187" s="1">
        <v>16090</v>
      </c>
      <c r="T187" s="1">
        <v>19130</v>
      </c>
      <c r="U187" s="1">
        <v>19110</v>
      </c>
      <c r="V187" s="1">
        <v>19210</v>
      </c>
      <c r="W187" s="1">
        <v>19290</v>
      </c>
      <c r="X187" s="1">
        <v>19510</v>
      </c>
      <c r="Y187" s="1">
        <v>19810</v>
      </c>
      <c r="Z187" s="1">
        <v>20080</v>
      </c>
      <c r="AA187" s="1">
        <v>20820</v>
      </c>
      <c r="AB187" s="1">
        <v>21310</v>
      </c>
      <c r="AC187" s="1">
        <v>22160</v>
      </c>
      <c r="AD187" s="1">
        <v>22810</v>
      </c>
      <c r="AE187" s="1">
        <v>22900</v>
      </c>
      <c r="AF187" s="1">
        <v>24120</v>
      </c>
      <c r="AG187" s="1">
        <v>24520</v>
      </c>
      <c r="AH187" s="1">
        <v>25480</v>
      </c>
      <c r="AI187" s="1">
        <v>26160</v>
      </c>
      <c r="AJ187" s="1">
        <v>26080</v>
      </c>
      <c r="AK187" s="1">
        <v>25950</v>
      </c>
      <c r="AL187" s="1">
        <v>25200</v>
      </c>
      <c r="AM187" s="1">
        <v>24990</v>
      </c>
      <c r="AN187" s="1">
        <v>24940</v>
      </c>
      <c r="AO187" s="1">
        <v>25370</v>
      </c>
      <c r="AP187" s="1">
        <v>25820</v>
      </c>
      <c r="AQ187" s="1">
        <v>25710</v>
      </c>
      <c r="AR187" s="1">
        <v>26390</v>
      </c>
      <c r="AS187" s="1">
        <v>26180</v>
      </c>
      <c r="AT187" s="1">
        <v>25370</v>
      </c>
      <c r="AU187" s="1">
        <v>24730</v>
      </c>
      <c r="AV187" s="1">
        <v>23830</v>
      </c>
      <c r="AW187" s="1">
        <v>23160</v>
      </c>
      <c r="AX187" s="1">
        <v>23270</v>
      </c>
      <c r="AY187" s="1">
        <v>22820</v>
      </c>
      <c r="AZ187" s="1">
        <v>23370</v>
      </c>
      <c r="BA187" s="1">
        <v>23830</v>
      </c>
      <c r="BB187" s="1">
        <v>24490</v>
      </c>
      <c r="BC187" s="1">
        <v>24810</v>
      </c>
      <c r="BD187" s="1">
        <v>25740</v>
      </c>
    </row>
    <row r="188" spans="1:56" x14ac:dyDescent="0.2">
      <c r="A188" s="1">
        <v>78</v>
      </c>
      <c r="B188" s="3">
        <v>9060</v>
      </c>
      <c r="C188" s="3">
        <v>9040</v>
      </c>
      <c r="D188" s="3">
        <v>9120</v>
      </c>
      <c r="E188" s="3">
        <v>9480</v>
      </c>
      <c r="F188" s="3">
        <v>9290</v>
      </c>
      <c r="G188" s="3">
        <v>8990</v>
      </c>
      <c r="H188" s="3">
        <v>9200</v>
      </c>
      <c r="I188" s="3">
        <v>9480</v>
      </c>
      <c r="J188" s="3">
        <v>9640</v>
      </c>
      <c r="K188" s="3">
        <v>10210</v>
      </c>
      <c r="L188" s="1">
        <v>10740</v>
      </c>
      <c r="M188" s="1">
        <v>11110</v>
      </c>
      <c r="N188" s="1">
        <v>12440</v>
      </c>
      <c r="O188" s="1">
        <v>13380</v>
      </c>
      <c r="P188" s="1">
        <v>13760</v>
      </c>
      <c r="Q188" s="1">
        <v>12450</v>
      </c>
      <c r="R188" s="1">
        <v>14140</v>
      </c>
      <c r="S188" s="1">
        <v>14670</v>
      </c>
      <c r="T188" s="1">
        <v>15610</v>
      </c>
      <c r="U188" s="1">
        <v>18560</v>
      </c>
      <c r="V188" s="1">
        <v>18560</v>
      </c>
      <c r="W188" s="1">
        <v>18670</v>
      </c>
      <c r="X188" s="1">
        <v>18770</v>
      </c>
      <c r="Y188" s="1">
        <v>18990</v>
      </c>
      <c r="Z188" s="1">
        <v>19290</v>
      </c>
      <c r="AA188" s="1">
        <v>19570</v>
      </c>
      <c r="AB188" s="1">
        <v>20300</v>
      </c>
      <c r="AC188" s="1">
        <v>20790</v>
      </c>
      <c r="AD188" s="1">
        <v>21630</v>
      </c>
      <c r="AE188" s="1">
        <v>22290</v>
      </c>
      <c r="AF188" s="1">
        <v>22380</v>
      </c>
      <c r="AG188" s="1">
        <v>23590</v>
      </c>
      <c r="AH188" s="1">
        <v>24000</v>
      </c>
      <c r="AI188" s="1">
        <v>24950</v>
      </c>
      <c r="AJ188" s="1">
        <v>25630</v>
      </c>
      <c r="AK188" s="1">
        <v>25560</v>
      </c>
      <c r="AL188" s="1">
        <v>25450</v>
      </c>
      <c r="AM188" s="1">
        <v>24720</v>
      </c>
      <c r="AN188" s="1">
        <v>24530</v>
      </c>
      <c r="AO188" s="1">
        <v>24490</v>
      </c>
      <c r="AP188" s="1">
        <v>24930</v>
      </c>
      <c r="AQ188" s="1">
        <v>25380</v>
      </c>
      <c r="AR188" s="1">
        <v>25280</v>
      </c>
      <c r="AS188" s="1">
        <v>25960</v>
      </c>
      <c r="AT188" s="1">
        <v>25760</v>
      </c>
      <c r="AU188" s="1">
        <v>24980</v>
      </c>
      <c r="AV188" s="1">
        <v>24360</v>
      </c>
      <c r="AW188" s="1">
        <v>23480</v>
      </c>
      <c r="AX188" s="1">
        <v>22830</v>
      </c>
      <c r="AY188" s="1">
        <v>22950</v>
      </c>
      <c r="AZ188" s="1">
        <v>22510</v>
      </c>
      <c r="BA188" s="1">
        <v>23060</v>
      </c>
      <c r="BB188" s="1">
        <v>23520</v>
      </c>
      <c r="BC188" s="1">
        <v>24180</v>
      </c>
      <c r="BD188" s="1">
        <v>24500</v>
      </c>
    </row>
    <row r="189" spans="1:56" x14ac:dyDescent="0.2">
      <c r="A189" s="1">
        <v>79</v>
      </c>
      <c r="B189" s="3">
        <v>8220</v>
      </c>
      <c r="C189" s="3">
        <v>8550</v>
      </c>
      <c r="D189" s="3">
        <v>8580</v>
      </c>
      <c r="E189" s="3">
        <v>8610</v>
      </c>
      <c r="F189" s="3">
        <v>9030</v>
      </c>
      <c r="G189" s="3">
        <v>8850</v>
      </c>
      <c r="H189" s="3">
        <v>8550</v>
      </c>
      <c r="I189" s="3">
        <v>8780</v>
      </c>
      <c r="J189" s="3">
        <v>9060</v>
      </c>
      <c r="K189" s="3">
        <v>9260</v>
      </c>
      <c r="L189" s="1">
        <v>9800</v>
      </c>
      <c r="M189" s="1">
        <v>10310</v>
      </c>
      <c r="N189" s="1">
        <v>10670</v>
      </c>
      <c r="O189" s="1">
        <v>11970</v>
      </c>
      <c r="P189" s="1">
        <v>12880</v>
      </c>
      <c r="Q189" s="1">
        <v>13260</v>
      </c>
      <c r="R189" s="1">
        <v>12000</v>
      </c>
      <c r="S189" s="1">
        <v>13640</v>
      </c>
      <c r="T189" s="1">
        <v>14170</v>
      </c>
      <c r="U189" s="1">
        <v>15090</v>
      </c>
      <c r="V189" s="1">
        <v>17960</v>
      </c>
      <c r="W189" s="1">
        <v>17970</v>
      </c>
      <c r="X189" s="1">
        <v>18090</v>
      </c>
      <c r="Y189" s="1">
        <v>18200</v>
      </c>
      <c r="Z189" s="1">
        <v>18430</v>
      </c>
      <c r="AA189" s="1">
        <v>18730</v>
      </c>
      <c r="AB189" s="1">
        <v>19020</v>
      </c>
      <c r="AC189" s="1">
        <v>19740</v>
      </c>
      <c r="AD189" s="1">
        <v>20230</v>
      </c>
      <c r="AE189" s="1">
        <v>21060</v>
      </c>
      <c r="AF189" s="1">
        <v>21710</v>
      </c>
      <c r="AG189" s="1">
        <v>21820</v>
      </c>
      <c r="AH189" s="1">
        <v>23010</v>
      </c>
      <c r="AI189" s="1">
        <v>23420</v>
      </c>
      <c r="AJ189" s="1">
        <v>24360</v>
      </c>
      <c r="AK189" s="1">
        <v>25040</v>
      </c>
      <c r="AL189" s="1">
        <v>24990</v>
      </c>
      <c r="AM189" s="1">
        <v>24890</v>
      </c>
      <c r="AN189" s="1">
        <v>24190</v>
      </c>
      <c r="AO189" s="1">
        <v>24020</v>
      </c>
      <c r="AP189" s="1">
        <v>24000</v>
      </c>
      <c r="AQ189" s="1">
        <v>24440</v>
      </c>
      <c r="AR189" s="1">
        <v>24890</v>
      </c>
      <c r="AS189" s="1">
        <v>24810</v>
      </c>
      <c r="AT189" s="1">
        <v>25480</v>
      </c>
      <c r="AU189" s="1">
        <v>25300</v>
      </c>
      <c r="AV189" s="1">
        <v>24540</v>
      </c>
      <c r="AW189" s="1">
        <v>23940</v>
      </c>
      <c r="AX189" s="1">
        <v>23090</v>
      </c>
      <c r="AY189" s="1">
        <v>22460</v>
      </c>
      <c r="AZ189" s="1">
        <v>22580</v>
      </c>
      <c r="BA189" s="1">
        <v>22160</v>
      </c>
      <c r="BB189" s="1">
        <v>22710</v>
      </c>
      <c r="BC189" s="1">
        <v>23170</v>
      </c>
      <c r="BD189" s="1">
        <v>23830</v>
      </c>
    </row>
    <row r="190" spans="1:56" x14ac:dyDescent="0.2">
      <c r="A190" s="1">
        <v>80</v>
      </c>
      <c r="B190" s="3">
        <v>7520</v>
      </c>
      <c r="C190" s="3">
        <v>7750</v>
      </c>
      <c r="D190" s="3">
        <v>8010</v>
      </c>
      <c r="E190" s="3">
        <v>8070</v>
      </c>
      <c r="F190" s="3">
        <v>8120</v>
      </c>
      <c r="G190" s="3">
        <v>8560</v>
      </c>
      <c r="H190" s="3">
        <v>8390</v>
      </c>
      <c r="I190" s="3">
        <v>8100</v>
      </c>
      <c r="J190" s="3">
        <v>8380</v>
      </c>
      <c r="K190" s="3">
        <v>8650</v>
      </c>
      <c r="L190" s="1">
        <v>8840</v>
      </c>
      <c r="M190" s="1">
        <v>9360</v>
      </c>
      <c r="N190" s="1">
        <v>9850</v>
      </c>
      <c r="O190" s="1">
        <v>10210</v>
      </c>
      <c r="P190" s="1">
        <v>11460</v>
      </c>
      <c r="Q190" s="1">
        <v>12350</v>
      </c>
      <c r="R190" s="1">
        <v>12720</v>
      </c>
      <c r="S190" s="1">
        <v>11530</v>
      </c>
      <c r="T190" s="1">
        <v>13110</v>
      </c>
      <c r="U190" s="1">
        <v>13630</v>
      </c>
      <c r="V190" s="1">
        <v>14530</v>
      </c>
      <c r="W190" s="1">
        <v>17300</v>
      </c>
      <c r="X190" s="1">
        <v>17330</v>
      </c>
      <c r="Y190" s="1">
        <v>17460</v>
      </c>
      <c r="Z190" s="1">
        <v>17580</v>
      </c>
      <c r="AA190" s="1">
        <v>17820</v>
      </c>
      <c r="AB190" s="1">
        <v>18120</v>
      </c>
      <c r="AC190" s="1">
        <v>18410</v>
      </c>
      <c r="AD190" s="1">
        <v>19130</v>
      </c>
      <c r="AE190" s="1">
        <v>19620</v>
      </c>
      <c r="AF190" s="1">
        <v>20440</v>
      </c>
      <c r="AG190" s="1">
        <v>21080</v>
      </c>
      <c r="AH190" s="1">
        <v>21200</v>
      </c>
      <c r="AI190" s="1">
        <v>22380</v>
      </c>
      <c r="AJ190" s="1">
        <v>22790</v>
      </c>
      <c r="AK190" s="1">
        <v>23710</v>
      </c>
      <c r="AL190" s="1">
        <v>24400</v>
      </c>
      <c r="AM190" s="1">
        <v>24360</v>
      </c>
      <c r="AN190" s="1">
        <v>24280</v>
      </c>
      <c r="AO190" s="1">
        <v>23610</v>
      </c>
      <c r="AP190" s="1">
        <v>23450</v>
      </c>
      <c r="AQ190" s="1">
        <v>23440</v>
      </c>
      <c r="AR190" s="1">
        <v>23890</v>
      </c>
      <c r="AS190" s="1">
        <v>24340</v>
      </c>
      <c r="AT190" s="1">
        <v>24270</v>
      </c>
      <c r="AU190" s="1">
        <v>24940</v>
      </c>
      <c r="AV190" s="1">
        <v>24780</v>
      </c>
      <c r="AW190" s="1">
        <v>24050</v>
      </c>
      <c r="AX190" s="1">
        <v>23470</v>
      </c>
      <c r="AY190" s="1">
        <v>22650</v>
      </c>
      <c r="AZ190" s="1">
        <v>22040</v>
      </c>
      <c r="BA190" s="1">
        <v>22170</v>
      </c>
      <c r="BB190" s="1">
        <v>21770</v>
      </c>
      <c r="BC190" s="1">
        <v>22320</v>
      </c>
      <c r="BD190" s="1">
        <v>22780</v>
      </c>
    </row>
    <row r="191" spans="1:56" x14ac:dyDescent="0.2">
      <c r="A191" s="1">
        <v>81</v>
      </c>
      <c r="B191" s="3">
        <v>6900</v>
      </c>
      <c r="C191" s="3">
        <v>6990</v>
      </c>
      <c r="D191" s="3">
        <v>7210</v>
      </c>
      <c r="E191" s="3">
        <v>7500</v>
      </c>
      <c r="F191" s="3">
        <v>7560</v>
      </c>
      <c r="G191" s="3">
        <v>7650</v>
      </c>
      <c r="H191" s="3">
        <v>8040</v>
      </c>
      <c r="I191" s="3">
        <v>7900</v>
      </c>
      <c r="J191" s="3">
        <v>7660</v>
      </c>
      <c r="K191" s="3">
        <v>7950</v>
      </c>
      <c r="L191" s="1">
        <v>8210</v>
      </c>
      <c r="M191" s="1">
        <v>8390</v>
      </c>
      <c r="N191" s="1">
        <v>8890</v>
      </c>
      <c r="O191" s="1">
        <v>9370</v>
      </c>
      <c r="P191" s="1">
        <v>9720</v>
      </c>
      <c r="Q191" s="1">
        <v>10920</v>
      </c>
      <c r="R191" s="1">
        <v>11780</v>
      </c>
      <c r="S191" s="1">
        <v>12150</v>
      </c>
      <c r="T191" s="1">
        <v>11020</v>
      </c>
      <c r="U191" s="1">
        <v>12540</v>
      </c>
      <c r="V191" s="1">
        <v>13050</v>
      </c>
      <c r="W191" s="1">
        <v>13920</v>
      </c>
      <c r="X191" s="1">
        <v>16600</v>
      </c>
      <c r="Y191" s="1">
        <v>16640</v>
      </c>
      <c r="Z191" s="1">
        <v>16780</v>
      </c>
      <c r="AA191" s="1">
        <v>16910</v>
      </c>
      <c r="AB191" s="1">
        <v>17150</v>
      </c>
      <c r="AC191" s="1">
        <v>17460</v>
      </c>
      <c r="AD191" s="1">
        <v>17750</v>
      </c>
      <c r="AE191" s="1">
        <v>18460</v>
      </c>
      <c r="AF191" s="1">
        <v>18950</v>
      </c>
      <c r="AG191" s="1">
        <v>19750</v>
      </c>
      <c r="AH191" s="1">
        <v>20390</v>
      </c>
      <c r="AI191" s="1">
        <v>20520</v>
      </c>
      <c r="AJ191" s="1">
        <v>21670</v>
      </c>
      <c r="AK191" s="1">
        <v>22080</v>
      </c>
      <c r="AL191" s="1">
        <v>23000</v>
      </c>
      <c r="AM191" s="1">
        <v>23680</v>
      </c>
      <c r="AN191" s="1">
        <v>23660</v>
      </c>
      <c r="AO191" s="1">
        <v>23590</v>
      </c>
      <c r="AP191" s="1">
        <v>22960</v>
      </c>
      <c r="AQ191" s="1">
        <v>22820</v>
      </c>
      <c r="AR191" s="1">
        <v>22820</v>
      </c>
      <c r="AS191" s="1">
        <v>23270</v>
      </c>
      <c r="AT191" s="1">
        <v>23720</v>
      </c>
      <c r="AU191" s="1">
        <v>23670</v>
      </c>
      <c r="AV191" s="1">
        <v>24340</v>
      </c>
      <c r="AW191" s="1">
        <v>24190</v>
      </c>
      <c r="AX191" s="1">
        <v>23490</v>
      </c>
      <c r="AY191" s="1">
        <v>22940</v>
      </c>
      <c r="AZ191" s="1">
        <v>22150</v>
      </c>
      <c r="BA191" s="1">
        <v>21560</v>
      </c>
      <c r="BB191" s="1">
        <v>21700</v>
      </c>
      <c r="BC191" s="1">
        <v>21320</v>
      </c>
      <c r="BD191" s="1">
        <v>21870</v>
      </c>
    </row>
    <row r="192" spans="1:56" x14ac:dyDescent="0.2">
      <c r="A192" s="1">
        <v>82</v>
      </c>
      <c r="B192" s="3">
        <v>5900</v>
      </c>
      <c r="C192" s="3">
        <v>6400</v>
      </c>
      <c r="D192" s="3">
        <v>6460</v>
      </c>
      <c r="E192" s="3">
        <v>6720</v>
      </c>
      <c r="F192" s="3">
        <v>6960</v>
      </c>
      <c r="G192" s="3">
        <v>7040</v>
      </c>
      <c r="H192" s="3">
        <v>7130</v>
      </c>
      <c r="I192" s="3">
        <v>7540</v>
      </c>
      <c r="J192" s="3">
        <v>7420</v>
      </c>
      <c r="K192" s="3">
        <v>7210</v>
      </c>
      <c r="L192" s="1">
        <v>7490</v>
      </c>
      <c r="M192" s="1">
        <v>7730</v>
      </c>
      <c r="N192" s="1">
        <v>7910</v>
      </c>
      <c r="O192" s="1">
        <v>8390</v>
      </c>
      <c r="P192" s="1">
        <v>8860</v>
      </c>
      <c r="Q192" s="1">
        <v>9200</v>
      </c>
      <c r="R192" s="1">
        <v>10350</v>
      </c>
      <c r="S192" s="1">
        <v>11170</v>
      </c>
      <c r="T192" s="1">
        <v>11530</v>
      </c>
      <c r="U192" s="1">
        <v>10470</v>
      </c>
      <c r="V192" s="1">
        <v>11930</v>
      </c>
      <c r="W192" s="1">
        <v>12430</v>
      </c>
      <c r="X192" s="1">
        <v>13270</v>
      </c>
      <c r="Y192" s="1">
        <v>15840</v>
      </c>
      <c r="Z192" s="1">
        <v>15890</v>
      </c>
      <c r="AA192" s="1">
        <v>16040</v>
      </c>
      <c r="AB192" s="1">
        <v>16180</v>
      </c>
      <c r="AC192" s="1">
        <v>16430</v>
      </c>
      <c r="AD192" s="1">
        <v>16740</v>
      </c>
      <c r="AE192" s="1">
        <v>17030</v>
      </c>
      <c r="AF192" s="1">
        <v>17720</v>
      </c>
      <c r="AG192" s="1">
        <v>18210</v>
      </c>
      <c r="AH192" s="1">
        <v>19000</v>
      </c>
      <c r="AI192" s="1">
        <v>19630</v>
      </c>
      <c r="AJ192" s="1">
        <v>19770</v>
      </c>
      <c r="AK192" s="1">
        <v>20890</v>
      </c>
      <c r="AL192" s="1">
        <v>21310</v>
      </c>
      <c r="AM192" s="1">
        <v>22210</v>
      </c>
      <c r="AN192" s="1">
        <v>22880</v>
      </c>
      <c r="AO192" s="1">
        <v>22870</v>
      </c>
      <c r="AP192" s="1">
        <v>22830</v>
      </c>
      <c r="AQ192" s="1">
        <v>22230</v>
      </c>
      <c r="AR192" s="1">
        <v>22110</v>
      </c>
      <c r="AS192" s="1">
        <v>22130</v>
      </c>
      <c r="AT192" s="1">
        <v>22570</v>
      </c>
      <c r="AU192" s="1">
        <v>23030</v>
      </c>
      <c r="AV192" s="1">
        <v>22990</v>
      </c>
      <c r="AW192" s="1">
        <v>23660</v>
      </c>
      <c r="AX192" s="1">
        <v>23530</v>
      </c>
      <c r="AY192" s="1">
        <v>22860</v>
      </c>
      <c r="AZ192" s="1">
        <v>22340</v>
      </c>
      <c r="BA192" s="1">
        <v>21570</v>
      </c>
      <c r="BB192" s="1">
        <v>21020</v>
      </c>
      <c r="BC192" s="1">
        <v>21160</v>
      </c>
      <c r="BD192" s="1">
        <v>20800</v>
      </c>
    </row>
    <row r="193" spans="1:56" x14ac:dyDescent="0.2">
      <c r="A193" s="1">
        <v>83</v>
      </c>
      <c r="B193" s="3">
        <v>5210</v>
      </c>
      <c r="C193" s="3">
        <v>5440</v>
      </c>
      <c r="D193" s="3">
        <v>5830</v>
      </c>
      <c r="E193" s="3">
        <v>5940</v>
      </c>
      <c r="F193" s="3">
        <v>6210</v>
      </c>
      <c r="G193" s="3">
        <v>6400</v>
      </c>
      <c r="H193" s="3">
        <v>6540</v>
      </c>
      <c r="I193" s="3">
        <v>6570</v>
      </c>
      <c r="J193" s="3">
        <v>7030</v>
      </c>
      <c r="K193" s="3">
        <v>6920</v>
      </c>
      <c r="L193" s="1">
        <v>6740</v>
      </c>
      <c r="M193" s="1">
        <v>7000</v>
      </c>
      <c r="N193" s="1">
        <v>7230</v>
      </c>
      <c r="O193" s="1">
        <v>7410</v>
      </c>
      <c r="P193" s="1">
        <v>7870</v>
      </c>
      <c r="Q193" s="1">
        <v>8310</v>
      </c>
      <c r="R193" s="1">
        <v>8650</v>
      </c>
      <c r="S193" s="1">
        <v>9730</v>
      </c>
      <c r="T193" s="1">
        <v>10520</v>
      </c>
      <c r="U193" s="1">
        <v>10880</v>
      </c>
      <c r="V193" s="1">
        <v>9890</v>
      </c>
      <c r="W193" s="1">
        <v>11280</v>
      </c>
      <c r="X193" s="1">
        <v>11760</v>
      </c>
      <c r="Y193" s="1">
        <v>12570</v>
      </c>
      <c r="Z193" s="1">
        <v>15020</v>
      </c>
      <c r="AA193" s="1">
        <v>15080</v>
      </c>
      <c r="AB193" s="1">
        <v>15240</v>
      </c>
      <c r="AC193" s="1">
        <v>15380</v>
      </c>
      <c r="AD193" s="1">
        <v>15640</v>
      </c>
      <c r="AE193" s="1">
        <v>15950</v>
      </c>
      <c r="AF193" s="1">
        <v>16240</v>
      </c>
      <c r="AG193" s="1">
        <v>16920</v>
      </c>
      <c r="AH193" s="1">
        <v>17390</v>
      </c>
      <c r="AI193" s="1">
        <v>18170</v>
      </c>
      <c r="AJ193" s="1">
        <v>18790</v>
      </c>
      <c r="AK193" s="1">
        <v>18930</v>
      </c>
      <c r="AL193" s="1">
        <v>20030</v>
      </c>
      <c r="AM193" s="1">
        <v>20440</v>
      </c>
      <c r="AN193" s="1">
        <v>21320</v>
      </c>
      <c r="AO193" s="1">
        <v>21980</v>
      </c>
      <c r="AP193" s="1">
        <v>22000</v>
      </c>
      <c r="AQ193" s="1">
        <v>21970</v>
      </c>
      <c r="AR193" s="1">
        <v>21410</v>
      </c>
      <c r="AS193" s="1">
        <v>21310</v>
      </c>
      <c r="AT193" s="1">
        <v>21340</v>
      </c>
      <c r="AU193" s="1">
        <v>21790</v>
      </c>
      <c r="AV193" s="1">
        <v>22240</v>
      </c>
      <c r="AW193" s="1">
        <v>22220</v>
      </c>
      <c r="AX193" s="1">
        <v>22880</v>
      </c>
      <c r="AY193" s="1">
        <v>22770</v>
      </c>
      <c r="AZ193" s="1">
        <v>22140</v>
      </c>
      <c r="BA193" s="1">
        <v>21650</v>
      </c>
      <c r="BB193" s="1">
        <v>20920</v>
      </c>
      <c r="BC193" s="1">
        <v>20390</v>
      </c>
      <c r="BD193" s="1">
        <v>20550</v>
      </c>
    </row>
    <row r="194" spans="1:56" x14ac:dyDescent="0.2">
      <c r="A194" s="1">
        <v>84</v>
      </c>
      <c r="B194" s="3">
        <v>4650</v>
      </c>
      <c r="C194" s="3">
        <v>4730</v>
      </c>
      <c r="D194" s="3">
        <v>4950</v>
      </c>
      <c r="E194" s="3">
        <v>5290</v>
      </c>
      <c r="F194" s="3">
        <v>5380</v>
      </c>
      <c r="G194" s="3">
        <v>5700</v>
      </c>
      <c r="H194" s="3">
        <v>5860</v>
      </c>
      <c r="I194" s="3">
        <v>6000</v>
      </c>
      <c r="J194" s="3">
        <v>6020</v>
      </c>
      <c r="K194" s="3">
        <v>6490</v>
      </c>
      <c r="L194" s="1">
        <v>6410</v>
      </c>
      <c r="M194" s="1">
        <v>6230</v>
      </c>
      <c r="N194" s="1">
        <v>6480</v>
      </c>
      <c r="O194" s="1">
        <v>6710</v>
      </c>
      <c r="P194" s="1">
        <v>6880</v>
      </c>
      <c r="Q194" s="1">
        <v>7320</v>
      </c>
      <c r="R194" s="1">
        <v>7740</v>
      </c>
      <c r="S194" s="1">
        <v>8060</v>
      </c>
      <c r="T194" s="1">
        <v>9090</v>
      </c>
      <c r="U194" s="1">
        <v>9830</v>
      </c>
      <c r="V194" s="1">
        <v>10180</v>
      </c>
      <c r="W194" s="1">
        <v>9260</v>
      </c>
      <c r="X194" s="1">
        <v>10580</v>
      </c>
      <c r="Y194" s="1">
        <v>11040</v>
      </c>
      <c r="Z194" s="1">
        <v>11820</v>
      </c>
      <c r="AA194" s="1">
        <v>14130</v>
      </c>
      <c r="AB194" s="1">
        <v>14210</v>
      </c>
      <c r="AC194" s="1">
        <v>14370</v>
      </c>
      <c r="AD194" s="1">
        <v>14520</v>
      </c>
      <c r="AE194" s="1">
        <v>14770</v>
      </c>
      <c r="AF194" s="1">
        <v>15090</v>
      </c>
      <c r="AG194" s="1">
        <v>15380</v>
      </c>
      <c r="AH194" s="1">
        <v>16030</v>
      </c>
      <c r="AI194" s="1">
        <v>16500</v>
      </c>
      <c r="AJ194" s="1">
        <v>17250</v>
      </c>
      <c r="AK194" s="1">
        <v>17850</v>
      </c>
      <c r="AL194" s="1">
        <v>18010</v>
      </c>
      <c r="AM194" s="1">
        <v>19070</v>
      </c>
      <c r="AN194" s="1">
        <v>19480</v>
      </c>
      <c r="AO194" s="1">
        <v>20340</v>
      </c>
      <c r="AP194" s="1">
        <v>20980</v>
      </c>
      <c r="AQ194" s="1">
        <v>21020</v>
      </c>
      <c r="AR194" s="1">
        <v>21010</v>
      </c>
      <c r="AS194" s="1">
        <v>20490</v>
      </c>
      <c r="AT194" s="1">
        <v>20410</v>
      </c>
      <c r="AU194" s="1">
        <v>20460</v>
      </c>
      <c r="AV194" s="1">
        <v>20900</v>
      </c>
      <c r="AW194" s="1">
        <v>21350</v>
      </c>
      <c r="AX194" s="1">
        <v>21350</v>
      </c>
      <c r="AY194" s="1">
        <v>22000</v>
      </c>
      <c r="AZ194" s="1">
        <v>21910</v>
      </c>
      <c r="BA194" s="1">
        <v>21310</v>
      </c>
      <c r="BB194" s="1">
        <v>20850</v>
      </c>
      <c r="BC194" s="1">
        <v>20170</v>
      </c>
      <c r="BD194" s="1">
        <v>19670</v>
      </c>
    </row>
    <row r="195" spans="1:56" x14ac:dyDescent="0.2">
      <c r="A195" s="1">
        <v>85</v>
      </c>
      <c r="B195" s="3">
        <v>3850</v>
      </c>
      <c r="C195" s="3">
        <v>4140</v>
      </c>
      <c r="D195" s="3">
        <v>4250</v>
      </c>
      <c r="E195" s="3">
        <v>4440</v>
      </c>
      <c r="F195" s="3">
        <v>4760</v>
      </c>
      <c r="G195" s="3">
        <v>4830</v>
      </c>
      <c r="H195" s="3">
        <v>5160</v>
      </c>
      <c r="I195" s="3">
        <v>5280</v>
      </c>
      <c r="J195" s="3">
        <v>5470</v>
      </c>
      <c r="K195" s="3">
        <v>5500</v>
      </c>
      <c r="L195" s="1">
        <v>5940</v>
      </c>
      <c r="M195" s="1">
        <v>5860</v>
      </c>
      <c r="N195" s="1">
        <v>5710</v>
      </c>
      <c r="O195" s="1">
        <v>5950</v>
      </c>
      <c r="P195" s="1">
        <v>6170</v>
      </c>
      <c r="Q195" s="1">
        <v>6330</v>
      </c>
      <c r="R195" s="1">
        <v>6740</v>
      </c>
      <c r="S195" s="1">
        <v>7140</v>
      </c>
      <c r="T195" s="1">
        <v>7450</v>
      </c>
      <c r="U195" s="1">
        <v>8400</v>
      </c>
      <c r="V195" s="1">
        <v>9100</v>
      </c>
      <c r="W195" s="1">
        <v>9440</v>
      </c>
      <c r="X195" s="1">
        <v>8600</v>
      </c>
      <c r="Y195" s="1">
        <v>9830</v>
      </c>
      <c r="Z195" s="1">
        <v>10280</v>
      </c>
      <c r="AA195" s="1">
        <v>11010</v>
      </c>
      <c r="AB195" s="1">
        <v>13180</v>
      </c>
      <c r="AC195" s="1">
        <v>13270</v>
      </c>
      <c r="AD195" s="1">
        <v>13440</v>
      </c>
      <c r="AE195" s="1">
        <v>13590</v>
      </c>
      <c r="AF195" s="1">
        <v>13840</v>
      </c>
      <c r="AG195" s="1">
        <v>14150</v>
      </c>
      <c r="AH195" s="1">
        <v>14440</v>
      </c>
      <c r="AI195" s="1">
        <v>15070</v>
      </c>
      <c r="AJ195" s="1">
        <v>15530</v>
      </c>
      <c r="AK195" s="1">
        <v>16250</v>
      </c>
      <c r="AL195" s="1">
        <v>16830</v>
      </c>
      <c r="AM195" s="1">
        <v>17000</v>
      </c>
      <c r="AN195" s="1">
        <v>18010</v>
      </c>
      <c r="AO195" s="1">
        <v>18420</v>
      </c>
      <c r="AP195" s="1">
        <v>19250</v>
      </c>
      <c r="AQ195" s="1">
        <v>19880</v>
      </c>
      <c r="AR195" s="1">
        <v>19920</v>
      </c>
      <c r="AS195" s="1">
        <v>19930</v>
      </c>
      <c r="AT195" s="1">
        <v>19460</v>
      </c>
      <c r="AU195" s="1">
        <v>19400</v>
      </c>
      <c r="AV195" s="1">
        <v>19460</v>
      </c>
      <c r="AW195" s="1">
        <v>19900</v>
      </c>
      <c r="AX195" s="1">
        <v>20350</v>
      </c>
      <c r="AY195" s="1">
        <v>20360</v>
      </c>
      <c r="AZ195" s="1">
        <v>20990</v>
      </c>
      <c r="BA195" s="1">
        <v>20920</v>
      </c>
      <c r="BB195" s="1">
        <v>20370</v>
      </c>
      <c r="BC195" s="1">
        <v>19950</v>
      </c>
      <c r="BD195" s="1">
        <v>19310</v>
      </c>
    </row>
    <row r="196" spans="1:56" x14ac:dyDescent="0.2">
      <c r="A196" s="1">
        <v>86</v>
      </c>
      <c r="B196" s="3">
        <v>3290</v>
      </c>
      <c r="C196" s="3">
        <v>3420</v>
      </c>
      <c r="D196" s="3">
        <v>3640</v>
      </c>
      <c r="E196" s="3">
        <v>3790</v>
      </c>
      <c r="F196" s="3">
        <v>3970</v>
      </c>
      <c r="G196" s="3">
        <v>4250</v>
      </c>
      <c r="H196" s="3">
        <v>4310</v>
      </c>
      <c r="I196" s="3">
        <v>4610</v>
      </c>
      <c r="J196" s="3">
        <v>4750</v>
      </c>
      <c r="K196" s="3">
        <v>4930</v>
      </c>
      <c r="L196" s="1">
        <v>4970</v>
      </c>
      <c r="M196" s="1">
        <v>5370</v>
      </c>
      <c r="N196" s="1">
        <v>5300</v>
      </c>
      <c r="O196" s="1">
        <v>5170</v>
      </c>
      <c r="P196" s="1">
        <v>5400</v>
      </c>
      <c r="Q196" s="1">
        <v>5600</v>
      </c>
      <c r="R196" s="1">
        <v>5760</v>
      </c>
      <c r="S196" s="1">
        <v>6140</v>
      </c>
      <c r="T196" s="1">
        <v>6520</v>
      </c>
      <c r="U196" s="1">
        <v>6800</v>
      </c>
      <c r="V196" s="1">
        <v>7690</v>
      </c>
      <c r="W196" s="1">
        <v>8340</v>
      </c>
      <c r="X196" s="1">
        <v>8660</v>
      </c>
      <c r="Y196" s="1">
        <v>7900</v>
      </c>
      <c r="Z196" s="1">
        <v>9040</v>
      </c>
      <c r="AA196" s="1">
        <v>9460</v>
      </c>
      <c r="AB196" s="1">
        <v>10150</v>
      </c>
      <c r="AC196" s="1">
        <v>12170</v>
      </c>
      <c r="AD196" s="1">
        <v>12260</v>
      </c>
      <c r="AE196" s="1">
        <v>12430</v>
      </c>
      <c r="AF196" s="1">
        <v>12590</v>
      </c>
      <c r="AG196" s="1">
        <v>12840</v>
      </c>
      <c r="AH196" s="1">
        <v>13140</v>
      </c>
      <c r="AI196" s="1">
        <v>13420</v>
      </c>
      <c r="AJ196" s="1">
        <v>14020</v>
      </c>
      <c r="AK196" s="1">
        <v>14460</v>
      </c>
      <c r="AL196" s="1">
        <v>15150</v>
      </c>
      <c r="AM196" s="1">
        <v>15710</v>
      </c>
      <c r="AN196" s="1">
        <v>15880</v>
      </c>
      <c r="AO196" s="1">
        <v>16850</v>
      </c>
      <c r="AP196" s="1">
        <v>17250</v>
      </c>
      <c r="AQ196" s="1">
        <v>18040</v>
      </c>
      <c r="AR196" s="1">
        <v>18650</v>
      </c>
      <c r="AS196" s="1">
        <v>18710</v>
      </c>
      <c r="AT196" s="1">
        <v>18740</v>
      </c>
      <c r="AU196" s="1">
        <v>18310</v>
      </c>
      <c r="AV196" s="1">
        <v>18270</v>
      </c>
      <c r="AW196" s="1">
        <v>18350</v>
      </c>
      <c r="AX196" s="1">
        <v>18770</v>
      </c>
      <c r="AY196" s="1">
        <v>19210</v>
      </c>
      <c r="AZ196" s="1">
        <v>19240</v>
      </c>
      <c r="BA196" s="1">
        <v>19860</v>
      </c>
      <c r="BB196" s="1">
        <v>19810</v>
      </c>
      <c r="BC196" s="1">
        <v>19300</v>
      </c>
      <c r="BD196" s="1">
        <v>18920</v>
      </c>
    </row>
    <row r="197" spans="1:56" x14ac:dyDescent="0.2">
      <c r="A197" s="1">
        <v>87</v>
      </c>
      <c r="B197" s="3">
        <v>2380</v>
      </c>
      <c r="C197" s="3">
        <v>2850</v>
      </c>
      <c r="D197" s="3">
        <v>2980</v>
      </c>
      <c r="E197" s="3">
        <v>3200</v>
      </c>
      <c r="F197" s="3">
        <v>3330</v>
      </c>
      <c r="G197" s="3">
        <v>3480</v>
      </c>
      <c r="H197" s="3">
        <v>3760</v>
      </c>
      <c r="I197" s="3">
        <v>3760</v>
      </c>
      <c r="J197" s="3">
        <v>4090</v>
      </c>
      <c r="K197" s="3">
        <v>4230</v>
      </c>
      <c r="L197" s="1">
        <v>4390</v>
      </c>
      <c r="M197" s="1">
        <v>4420</v>
      </c>
      <c r="N197" s="1">
        <v>4790</v>
      </c>
      <c r="O197" s="1">
        <v>4740</v>
      </c>
      <c r="P197" s="1">
        <v>4630</v>
      </c>
      <c r="Q197" s="1">
        <v>4840</v>
      </c>
      <c r="R197" s="1">
        <v>5030</v>
      </c>
      <c r="S197" s="1">
        <v>5180</v>
      </c>
      <c r="T197" s="1">
        <v>5530</v>
      </c>
      <c r="U197" s="1">
        <v>5870</v>
      </c>
      <c r="V197" s="1">
        <v>6140</v>
      </c>
      <c r="W197" s="1">
        <v>6950</v>
      </c>
      <c r="X197" s="1">
        <v>7550</v>
      </c>
      <c r="Y197" s="1">
        <v>7850</v>
      </c>
      <c r="Z197" s="1">
        <v>7170</v>
      </c>
      <c r="AA197" s="1">
        <v>8220</v>
      </c>
      <c r="AB197" s="1">
        <v>8610</v>
      </c>
      <c r="AC197" s="1">
        <v>9250</v>
      </c>
      <c r="AD197" s="1">
        <v>11100</v>
      </c>
      <c r="AE197" s="1">
        <v>11200</v>
      </c>
      <c r="AF197" s="1">
        <v>11370</v>
      </c>
      <c r="AG197" s="1">
        <v>11530</v>
      </c>
      <c r="AH197" s="1">
        <v>11770</v>
      </c>
      <c r="AI197" s="1">
        <v>12060</v>
      </c>
      <c r="AJ197" s="1">
        <v>12330</v>
      </c>
      <c r="AK197" s="1">
        <v>12900</v>
      </c>
      <c r="AL197" s="1">
        <v>13320</v>
      </c>
      <c r="AM197" s="1">
        <v>13970</v>
      </c>
      <c r="AN197" s="1">
        <v>14500</v>
      </c>
      <c r="AO197" s="1">
        <v>14680</v>
      </c>
      <c r="AP197" s="1">
        <v>15590</v>
      </c>
      <c r="AQ197" s="1">
        <v>15970</v>
      </c>
      <c r="AR197" s="1">
        <v>16720</v>
      </c>
      <c r="AS197" s="1">
        <v>17310</v>
      </c>
      <c r="AT197" s="1">
        <v>17380</v>
      </c>
      <c r="AU197" s="1">
        <v>17420</v>
      </c>
      <c r="AV197" s="1">
        <v>17040</v>
      </c>
      <c r="AW197" s="1">
        <v>17020</v>
      </c>
      <c r="AX197" s="1">
        <v>17110</v>
      </c>
      <c r="AY197" s="1">
        <v>17530</v>
      </c>
      <c r="AZ197" s="1">
        <v>17950</v>
      </c>
      <c r="BA197" s="1">
        <v>18000</v>
      </c>
      <c r="BB197" s="1">
        <v>18590</v>
      </c>
      <c r="BC197" s="1">
        <v>18560</v>
      </c>
      <c r="BD197" s="1">
        <v>18100</v>
      </c>
    </row>
    <row r="198" spans="1:56" x14ac:dyDescent="0.2">
      <c r="A198" s="1">
        <v>88</v>
      </c>
      <c r="B198" s="3">
        <v>1930</v>
      </c>
      <c r="C198" s="3">
        <v>2020</v>
      </c>
      <c r="D198" s="3">
        <v>2480</v>
      </c>
      <c r="E198" s="3">
        <v>2590</v>
      </c>
      <c r="F198" s="3">
        <v>2790</v>
      </c>
      <c r="G198" s="3">
        <v>2920</v>
      </c>
      <c r="H198" s="3">
        <v>2990</v>
      </c>
      <c r="I198" s="3">
        <v>3210</v>
      </c>
      <c r="J198" s="3">
        <v>3310</v>
      </c>
      <c r="K198" s="3">
        <v>3580</v>
      </c>
      <c r="L198" s="1">
        <v>3710</v>
      </c>
      <c r="M198" s="1">
        <v>3850</v>
      </c>
      <c r="N198" s="1">
        <v>3890</v>
      </c>
      <c r="O198" s="1">
        <v>4210</v>
      </c>
      <c r="P198" s="1">
        <v>4170</v>
      </c>
      <c r="Q198" s="1">
        <v>4090</v>
      </c>
      <c r="R198" s="1">
        <v>4270</v>
      </c>
      <c r="S198" s="1">
        <v>4450</v>
      </c>
      <c r="T198" s="1">
        <v>4590</v>
      </c>
      <c r="U198" s="1">
        <v>4910</v>
      </c>
      <c r="V198" s="1">
        <v>5220</v>
      </c>
      <c r="W198" s="1">
        <v>5470</v>
      </c>
      <c r="X198" s="1">
        <v>6200</v>
      </c>
      <c r="Y198" s="1">
        <v>6740</v>
      </c>
      <c r="Z198" s="1">
        <v>7010</v>
      </c>
      <c r="AA198" s="1">
        <v>6420</v>
      </c>
      <c r="AB198" s="1">
        <v>7370</v>
      </c>
      <c r="AC198" s="1">
        <v>7730</v>
      </c>
      <c r="AD198" s="1">
        <v>8310</v>
      </c>
      <c r="AE198" s="1">
        <v>9990</v>
      </c>
      <c r="AF198" s="1">
        <v>10090</v>
      </c>
      <c r="AG198" s="1">
        <v>10260</v>
      </c>
      <c r="AH198" s="1">
        <v>10410</v>
      </c>
      <c r="AI198" s="1">
        <v>10640</v>
      </c>
      <c r="AJ198" s="1">
        <v>10920</v>
      </c>
      <c r="AK198" s="1">
        <v>11180</v>
      </c>
      <c r="AL198" s="1">
        <v>11710</v>
      </c>
      <c r="AM198" s="1">
        <v>12100</v>
      </c>
      <c r="AN198" s="1">
        <v>12710</v>
      </c>
      <c r="AO198" s="1">
        <v>13210</v>
      </c>
      <c r="AP198" s="1">
        <v>13380</v>
      </c>
      <c r="AQ198" s="1">
        <v>14230</v>
      </c>
      <c r="AR198" s="1">
        <v>14600</v>
      </c>
      <c r="AS198" s="1">
        <v>15300</v>
      </c>
      <c r="AT198" s="1">
        <v>15850</v>
      </c>
      <c r="AU198" s="1">
        <v>15940</v>
      </c>
      <c r="AV198" s="1">
        <v>15990</v>
      </c>
      <c r="AW198" s="1">
        <v>15660</v>
      </c>
      <c r="AX198" s="1">
        <v>15660</v>
      </c>
      <c r="AY198" s="1">
        <v>15750</v>
      </c>
      <c r="AZ198" s="1">
        <v>16150</v>
      </c>
      <c r="BA198" s="1">
        <v>16560</v>
      </c>
      <c r="BB198" s="1">
        <v>16620</v>
      </c>
      <c r="BC198" s="1">
        <v>17190</v>
      </c>
      <c r="BD198" s="1">
        <v>17170</v>
      </c>
    </row>
    <row r="199" spans="1:56" x14ac:dyDescent="0.2">
      <c r="A199" s="1">
        <v>89</v>
      </c>
      <c r="B199" s="3">
        <v>1720</v>
      </c>
      <c r="C199" s="3">
        <v>1620</v>
      </c>
      <c r="D199" s="3">
        <v>1720</v>
      </c>
      <c r="E199" s="3">
        <v>2130</v>
      </c>
      <c r="F199" s="3">
        <v>2190</v>
      </c>
      <c r="G199" s="3">
        <v>2360</v>
      </c>
      <c r="H199" s="3">
        <v>2460</v>
      </c>
      <c r="I199" s="3">
        <v>2470</v>
      </c>
      <c r="J199" s="3">
        <v>2780</v>
      </c>
      <c r="K199" s="3">
        <v>2850</v>
      </c>
      <c r="L199" s="1">
        <v>3080</v>
      </c>
      <c r="M199" s="1">
        <v>3190</v>
      </c>
      <c r="N199" s="1">
        <v>3320</v>
      </c>
      <c r="O199" s="1">
        <v>3360</v>
      </c>
      <c r="P199" s="1">
        <v>3650</v>
      </c>
      <c r="Q199" s="1">
        <v>3620</v>
      </c>
      <c r="R199" s="1">
        <v>3550</v>
      </c>
      <c r="S199" s="1">
        <v>3720</v>
      </c>
      <c r="T199" s="1">
        <v>3880</v>
      </c>
      <c r="U199" s="1">
        <v>4000</v>
      </c>
      <c r="V199" s="1">
        <v>4290</v>
      </c>
      <c r="W199" s="1">
        <v>4570</v>
      </c>
      <c r="X199" s="1">
        <v>4790</v>
      </c>
      <c r="Y199" s="1">
        <v>5440</v>
      </c>
      <c r="Z199" s="1">
        <v>5920</v>
      </c>
      <c r="AA199" s="1">
        <v>6170</v>
      </c>
      <c r="AB199" s="1">
        <v>5650</v>
      </c>
      <c r="AC199" s="1">
        <v>6500</v>
      </c>
      <c r="AD199" s="1">
        <v>6830</v>
      </c>
      <c r="AE199" s="1">
        <v>7350</v>
      </c>
      <c r="AF199" s="1">
        <v>8850</v>
      </c>
      <c r="AG199" s="1">
        <v>8950</v>
      </c>
      <c r="AH199" s="1">
        <v>9110</v>
      </c>
      <c r="AI199" s="1">
        <v>9260</v>
      </c>
      <c r="AJ199" s="1">
        <v>9480</v>
      </c>
      <c r="AK199" s="1">
        <v>9740</v>
      </c>
      <c r="AL199" s="1">
        <v>9980</v>
      </c>
      <c r="AM199" s="1">
        <v>10470</v>
      </c>
      <c r="AN199" s="1">
        <v>10830</v>
      </c>
      <c r="AO199" s="1">
        <v>11390</v>
      </c>
      <c r="AP199" s="1">
        <v>11850</v>
      </c>
      <c r="AQ199" s="1">
        <v>12020</v>
      </c>
      <c r="AR199" s="1">
        <v>12800</v>
      </c>
      <c r="AS199" s="1">
        <v>13140</v>
      </c>
      <c r="AT199" s="1">
        <v>13790</v>
      </c>
      <c r="AU199" s="1">
        <v>14300</v>
      </c>
      <c r="AV199" s="1">
        <v>14400</v>
      </c>
      <c r="AW199" s="1">
        <v>14470</v>
      </c>
      <c r="AX199" s="1">
        <v>14180</v>
      </c>
      <c r="AY199" s="1">
        <v>14190</v>
      </c>
      <c r="AZ199" s="1">
        <v>14300</v>
      </c>
      <c r="BA199" s="1">
        <v>14670</v>
      </c>
      <c r="BB199" s="1">
        <v>15060</v>
      </c>
      <c r="BC199" s="1">
        <v>15130</v>
      </c>
      <c r="BD199" s="1">
        <v>15660</v>
      </c>
    </row>
    <row r="200" spans="1:56" x14ac:dyDescent="0.2">
      <c r="A200" s="1" t="s">
        <v>3</v>
      </c>
      <c r="B200" s="3">
        <v>5020</v>
      </c>
      <c r="C200" s="3">
        <v>5290</v>
      </c>
      <c r="D200" s="3">
        <v>5460</v>
      </c>
      <c r="E200" s="3">
        <v>5640</v>
      </c>
      <c r="F200" s="3">
        <v>6100</v>
      </c>
      <c r="G200" s="3">
        <v>6550</v>
      </c>
      <c r="H200" s="3">
        <v>7010</v>
      </c>
      <c r="I200" s="3">
        <v>7500</v>
      </c>
      <c r="J200" s="3">
        <v>8110</v>
      </c>
      <c r="K200" s="3">
        <v>8660</v>
      </c>
      <c r="L200" s="1">
        <v>9150</v>
      </c>
      <c r="M200" s="1">
        <v>9840</v>
      </c>
      <c r="N200" s="1">
        <v>10390</v>
      </c>
      <c r="O200" s="1">
        <v>10990</v>
      </c>
      <c r="P200" s="1">
        <v>11430</v>
      </c>
      <c r="Q200" s="1">
        <v>12130</v>
      </c>
      <c r="R200" s="1">
        <v>12580</v>
      </c>
      <c r="S200" s="1">
        <v>12970</v>
      </c>
      <c r="T200" s="1">
        <v>13330</v>
      </c>
      <c r="U200" s="1">
        <v>13880</v>
      </c>
      <c r="V200" s="1">
        <v>14300</v>
      </c>
      <c r="W200" s="1">
        <v>15030</v>
      </c>
      <c r="X200" s="1">
        <v>15730</v>
      </c>
      <c r="Y200" s="1">
        <v>16570</v>
      </c>
      <c r="Z200" s="1">
        <v>17890</v>
      </c>
      <c r="AA200" s="1">
        <v>19290</v>
      </c>
      <c r="AB200" s="1">
        <v>20730</v>
      </c>
      <c r="AC200" s="1">
        <v>21520</v>
      </c>
      <c r="AD200" s="1">
        <v>22780</v>
      </c>
      <c r="AE200" s="1">
        <v>24160</v>
      </c>
      <c r="AF200" s="1">
        <v>25680</v>
      </c>
      <c r="AG200" s="1">
        <v>28250</v>
      </c>
      <c r="AH200" s="1">
        <v>30570</v>
      </c>
      <c r="AI200" s="1">
        <v>32600</v>
      </c>
      <c r="AJ200" s="1">
        <v>34370</v>
      </c>
      <c r="AK200" s="1">
        <v>35920</v>
      </c>
      <c r="AL200" s="1">
        <v>37540</v>
      </c>
      <c r="AM200" s="1">
        <v>38930</v>
      </c>
      <c r="AN200" s="1">
        <v>40590</v>
      </c>
      <c r="AO200" s="1">
        <v>42260</v>
      </c>
      <c r="AP200" s="1">
        <v>44080</v>
      </c>
      <c r="AQ200" s="1">
        <v>46020</v>
      </c>
      <c r="AR200" s="1">
        <v>47810</v>
      </c>
      <c r="AS200" s="1">
        <v>49980</v>
      </c>
      <c r="AT200" s="1">
        <v>52110</v>
      </c>
      <c r="AU200" s="1">
        <v>54460</v>
      </c>
      <c r="AV200" s="1">
        <v>56890</v>
      </c>
      <c r="AW200" s="1">
        <v>59050</v>
      </c>
      <c r="AX200" s="1">
        <v>60870</v>
      </c>
      <c r="AY200" s="1">
        <v>62050</v>
      </c>
      <c r="AZ200" s="1">
        <v>63120</v>
      </c>
      <c r="BA200" s="1">
        <v>64060</v>
      </c>
      <c r="BB200" s="1">
        <v>65100</v>
      </c>
      <c r="BC200" s="1">
        <v>66430</v>
      </c>
      <c r="BD200" s="1">
        <v>67570</v>
      </c>
    </row>
    <row r="201" spans="1:56" ht="15" x14ac:dyDescent="0.25">
      <c r="A201" s="2" t="s">
        <v>12</v>
      </c>
      <c r="B201" s="3">
        <f t="shared" ref="B201:AY201" si="7">SUM(B$110:B$200)</f>
        <v>2048380</v>
      </c>
      <c r="C201" s="3">
        <f t="shared" si="7"/>
        <v>2066490</v>
      </c>
      <c r="D201" s="3">
        <f t="shared" si="7"/>
        <v>2083420</v>
      </c>
      <c r="E201" s="3">
        <f t="shared" si="7"/>
        <v>2104650</v>
      </c>
      <c r="F201" s="3">
        <f t="shared" si="7"/>
        <v>2127750</v>
      </c>
      <c r="G201" s="3">
        <f t="shared" si="7"/>
        <v>2143560</v>
      </c>
      <c r="H201" s="3">
        <f t="shared" si="7"/>
        <v>2154980</v>
      </c>
      <c r="I201" s="3">
        <f t="shared" si="7"/>
        <v>2172160</v>
      </c>
      <c r="J201" s="3">
        <f t="shared" si="7"/>
        <v>2209580</v>
      </c>
      <c r="K201" s="3">
        <f t="shared" si="7"/>
        <v>2254070</v>
      </c>
      <c r="L201" s="3">
        <f t="shared" si="7"/>
        <v>2287110</v>
      </c>
      <c r="M201" s="3">
        <f t="shared" si="7"/>
        <v>2308780</v>
      </c>
      <c r="N201" s="3">
        <f t="shared" si="7"/>
        <v>2330430</v>
      </c>
      <c r="O201" s="3">
        <f t="shared" si="7"/>
        <v>2352170</v>
      </c>
      <c r="P201" s="3">
        <f t="shared" si="7"/>
        <v>2373860</v>
      </c>
      <c r="Q201" s="3">
        <f t="shared" si="7"/>
        <v>2395680</v>
      </c>
      <c r="R201" s="3">
        <f t="shared" si="7"/>
        <v>2417310</v>
      </c>
      <c r="S201" s="3">
        <f t="shared" si="7"/>
        <v>2439000</v>
      </c>
      <c r="T201" s="3">
        <f t="shared" si="7"/>
        <v>2460440</v>
      </c>
      <c r="U201" s="3">
        <f t="shared" si="7"/>
        <v>2481710</v>
      </c>
      <c r="V201" s="3">
        <f t="shared" si="7"/>
        <v>2502720</v>
      </c>
      <c r="W201" s="3">
        <f t="shared" si="7"/>
        <v>2523510</v>
      </c>
      <c r="X201" s="3">
        <f t="shared" si="7"/>
        <v>2543920</v>
      </c>
      <c r="Y201" s="3">
        <f t="shared" si="7"/>
        <v>2563960</v>
      </c>
      <c r="Z201" s="3">
        <f t="shared" si="7"/>
        <v>2583600</v>
      </c>
      <c r="AA201" s="3">
        <f t="shared" si="7"/>
        <v>2602740</v>
      </c>
      <c r="AB201" s="3">
        <f t="shared" si="7"/>
        <v>2621440</v>
      </c>
      <c r="AC201" s="3">
        <f t="shared" si="7"/>
        <v>2639660</v>
      </c>
      <c r="AD201" s="3">
        <f t="shared" si="7"/>
        <v>2657290</v>
      </c>
      <c r="AE201" s="3">
        <f t="shared" si="7"/>
        <v>2674570</v>
      </c>
      <c r="AF201" s="3">
        <f t="shared" si="7"/>
        <v>2691350</v>
      </c>
      <c r="AG201" s="3">
        <f t="shared" si="7"/>
        <v>2707700</v>
      </c>
      <c r="AH201" s="3">
        <f t="shared" si="7"/>
        <v>2723840</v>
      </c>
      <c r="AI201" s="3">
        <f t="shared" si="7"/>
        <v>2739570</v>
      </c>
      <c r="AJ201" s="3">
        <f t="shared" si="7"/>
        <v>2754930</v>
      </c>
      <c r="AK201" s="3">
        <f t="shared" si="7"/>
        <v>2769910</v>
      </c>
      <c r="AL201" s="3">
        <f t="shared" si="7"/>
        <v>2784750</v>
      </c>
      <c r="AM201" s="3">
        <f t="shared" si="7"/>
        <v>2799210</v>
      </c>
      <c r="AN201" s="3">
        <f t="shared" si="7"/>
        <v>2813420</v>
      </c>
      <c r="AO201" s="3">
        <f t="shared" si="7"/>
        <v>2827400</v>
      </c>
      <c r="AP201" s="3">
        <f t="shared" si="7"/>
        <v>2841080</v>
      </c>
      <c r="AQ201" s="3">
        <f t="shared" si="7"/>
        <v>2854480</v>
      </c>
      <c r="AR201" s="3">
        <f t="shared" si="7"/>
        <v>2867620</v>
      </c>
      <c r="AS201" s="3">
        <f t="shared" si="7"/>
        <v>2880580</v>
      </c>
      <c r="AT201" s="3">
        <f t="shared" si="7"/>
        <v>2893360</v>
      </c>
      <c r="AU201" s="3">
        <f t="shared" si="7"/>
        <v>2905950</v>
      </c>
      <c r="AV201" s="3">
        <f t="shared" si="7"/>
        <v>2918400</v>
      </c>
      <c r="AW201" s="3">
        <f t="shared" si="7"/>
        <v>2930820</v>
      </c>
      <c r="AX201" s="3">
        <f t="shared" si="7"/>
        <v>2943140</v>
      </c>
      <c r="AY201" s="3">
        <f t="shared" si="7"/>
        <v>2955380</v>
      </c>
      <c r="AZ201" s="3">
        <f t="shared" ref="AZ201:BD201" si="8">SUM(AZ$110:AZ$200)</f>
        <v>2967730</v>
      </c>
      <c r="BA201" s="3">
        <f t="shared" si="8"/>
        <v>2980050</v>
      </c>
      <c r="BB201" s="3">
        <f t="shared" si="8"/>
        <v>2992380</v>
      </c>
      <c r="BC201" s="3">
        <f t="shared" si="8"/>
        <v>3004830</v>
      </c>
      <c r="BD201" s="3">
        <f t="shared" si="8"/>
        <v>3017290</v>
      </c>
    </row>
    <row r="202" spans="1:56" x14ac:dyDescent="0.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ht="15" x14ac:dyDescent="0.25">
      <c r="G203" s="2" t="s">
        <v>72</v>
      </c>
      <c r="K203" s="10">
        <v>80.2</v>
      </c>
      <c r="L203" s="10">
        <v>80.3</v>
      </c>
      <c r="M203" s="10">
        <v>80.599999999999994</v>
      </c>
      <c r="N203" s="10">
        <v>80.8</v>
      </c>
      <c r="O203" s="10">
        <v>81</v>
      </c>
      <c r="P203" s="10">
        <v>81.2</v>
      </c>
      <c r="Q203" s="10">
        <v>81.400000000000006</v>
      </c>
      <c r="R203" s="10">
        <v>81.599999999999994</v>
      </c>
      <c r="S203" s="10">
        <v>81.8</v>
      </c>
      <c r="T203" s="10">
        <v>82</v>
      </c>
      <c r="U203" s="10">
        <v>82.2</v>
      </c>
      <c r="V203" s="10">
        <v>82.4</v>
      </c>
      <c r="W203" s="10">
        <v>82.6</v>
      </c>
      <c r="X203" s="10">
        <v>82.8</v>
      </c>
      <c r="Y203" s="10">
        <v>83</v>
      </c>
      <c r="Z203" s="10">
        <v>83.2</v>
      </c>
      <c r="AA203" s="10">
        <v>83.4</v>
      </c>
      <c r="AB203" s="10">
        <v>83.6</v>
      </c>
      <c r="AC203" s="10">
        <v>83.8</v>
      </c>
      <c r="AD203" s="10">
        <v>84</v>
      </c>
      <c r="AE203" s="10">
        <v>84.2</v>
      </c>
      <c r="AF203" s="10">
        <v>84.3</v>
      </c>
      <c r="AG203" s="10">
        <v>84.5</v>
      </c>
      <c r="AH203" s="10">
        <v>84.7</v>
      </c>
      <c r="AI203" s="10">
        <v>84.9</v>
      </c>
      <c r="AJ203" s="10">
        <v>85</v>
      </c>
      <c r="AK203" s="10">
        <v>85.2</v>
      </c>
      <c r="AL203" s="10">
        <v>85.4</v>
      </c>
      <c r="AM203" s="10">
        <v>85.5</v>
      </c>
      <c r="AN203" s="10">
        <v>85.7</v>
      </c>
      <c r="AO203" s="10">
        <v>85.9</v>
      </c>
      <c r="AP203" s="10">
        <v>86</v>
      </c>
      <c r="AQ203" s="10">
        <v>86.2</v>
      </c>
      <c r="AR203" s="10">
        <v>86.3</v>
      </c>
      <c r="AS203" s="10">
        <v>86.5</v>
      </c>
      <c r="AT203" s="10">
        <v>86.6</v>
      </c>
      <c r="AU203" s="10">
        <v>86.8</v>
      </c>
      <c r="AV203" s="10">
        <v>86.9</v>
      </c>
      <c r="AW203" s="10">
        <v>87.1</v>
      </c>
      <c r="AX203" s="10">
        <v>87.2</v>
      </c>
      <c r="AY203" s="10">
        <v>87.4</v>
      </c>
      <c r="AZ203" s="10">
        <v>87.5</v>
      </c>
      <c r="BA203" s="10">
        <v>87.6</v>
      </c>
      <c r="BB203" s="10">
        <v>87.8</v>
      </c>
      <c r="BC203" s="10">
        <v>87.9</v>
      </c>
      <c r="BD203" s="10">
        <v>88</v>
      </c>
    </row>
    <row r="204" spans="1:56" ht="15" x14ac:dyDescent="0.25">
      <c r="G204" s="2" t="s">
        <v>73</v>
      </c>
      <c r="K204" s="10">
        <v>19.2</v>
      </c>
      <c r="L204" s="10">
        <v>19.3</v>
      </c>
      <c r="M204" s="10">
        <v>19.5</v>
      </c>
      <c r="N204" s="10">
        <v>19.600000000000001</v>
      </c>
      <c r="O204" s="10">
        <v>19.8</v>
      </c>
      <c r="P204" s="10">
        <v>19.899999999999999</v>
      </c>
      <c r="Q204" s="10">
        <v>20</v>
      </c>
      <c r="R204" s="10">
        <v>20.2</v>
      </c>
      <c r="S204" s="10">
        <v>20.3</v>
      </c>
      <c r="T204" s="10">
        <v>20.5</v>
      </c>
      <c r="U204" s="10">
        <v>20.6</v>
      </c>
      <c r="V204" s="10">
        <v>20.7</v>
      </c>
      <c r="W204" s="10">
        <v>20.9</v>
      </c>
      <c r="X204" s="10">
        <v>21</v>
      </c>
      <c r="Y204" s="10">
        <v>21.1</v>
      </c>
      <c r="Z204" s="10">
        <v>21.3</v>
      </c>
      <c r="AA204" s="10">
        <v>21.4</v>
      </c>
      <c r="AB204" s="10">
        <v>21.5</v>
      </c>
      <c r="AC204" s="10">
        <v>21.6</v>
      </c>
      <c r="AD204" s="10">
        <v>21.8</v>
      </c>
      <c r="AE204" s="10">
        <v>21.9</v>
      </c>
      <c r="AF204" s="10">
        <v>22</v>
      </c>
      <c r="AG204" s="10">
        <v>22.1</v>
      </c>
      <c r="AH204" s="10">
        <v>22.3</v>
      </c>
      <c r="AI204" s="10">
        <v>22.4</v>
      </c>
      <c r="AJ204" s="10">
        <v>22.5</v>
      </c>
      <c r="AK204" s="10">
        <v>22.6</v>
      </c>
      <c r="AL204" s="10">
        <v>22.7</v>
      </c>
      <c r="AM204" s="10">
        <v>22.9</v>
      </c>
      <c r="AN204" s="10">
        <v>23</v>
      </c>
      <c r="AO204" s="10">
        <v>23.1</v>
      </c>
      <c r="AP204" s="10">
        <v>23.2</v>
      </c>
      <c r="AQ204" s="10">
        <v>23.3</v>
      </c>
      <c r="AR204" s="10">
        <v>23.4</v>
      </c>
      <c r="AS204" s="10">
        <v>23.5</v>
      </c>
      <c r="AT204" s="10">
        <v>23.6</v>
      </c>
      <c r="AU204" s="10">
        <v>23.8</v>
      </c>
      <c r="AV204" s="10">
        <v>23.9</v>
      </c>
      <c r="AW204" s="10">
        <v>24</v>
      </c>
      <c r="AX204" s="10">
        <v>24.1</v>
      </c>
      <c r="AY204" s="10">
        <v>24.2</v>
      </c>
      <c r="AZ204" s="10">
        <v>24.3</v>
      </c>
      <c r="BA204" s="10">
        <v>24.4</v>
      </c>
      <c r="BB204" s="10">
        <v>24.5</v>
      </c>
      <c r="BC204" s="10">
        <v>24.6</v>
      </c>
      <c r="BD204" s="10">
        <v>24.7</v>
      </c>
    </row>
    <row r="205" spans="1:56" x14ac:dyDescent="0.2">
      <c r="K205" s="1">
        <f>K202/1000000</f>
        <v>0</v>
      </c>
    </row>
    <row r="206" spans="1:56" ht="15" x14ac:dyDescent="0.25">
      <c r="A206" s="2" t="s">
        <v>478</v>
      </c>
    </row>
    <row r="207" spans="1:56" x14ac:dyDescent="0.2">
      <c r="A207" s="1" t="s">
        <v>513</v>
      </c>
      <c r="C207" s="9">
        <f>SUM(C$25:C$100,C$125:C$200)/SUM(B$25:B$100,B$125:B$200)-1</f>
        <v>1.0994078244830563E-2</v>
      </c>
      <c r="D207" s="9">
        <f t="shared" ref="D207:BD207" si="9">SUM(D$25:D$100,D$125:D$200)/SUM(C$25:C$100,C$125:C$200)-1</f>
        <v>9.5062054396619633E-3</v>
      </c>
      <c r="E207" s="9">
        <f t="shared" si="9"/>
        <v>1.1054502651416165E-2</v>
      </c>
      <c r="F207" s="9">
        <f t="shared" si="9"/>
        <v>1.2083153262010482E-2</v>
      </c>
      <c r="G207" s="9">
        <f t="shared" si="9"/>
        <v>8.9265743508408768E-3</v>
      </c>
      <c r="H207" s="9">
        <f t="shared" si="9"/>
        <v>7.1719364516333872E-3</v>
      </c>
      <c r="I207" s="9">
        <f t="shared" si="9"/>
        <v>1.0045252231881241E-2</v>
      </c>
      <c r="J207" s="9">
        <f t="shared" si="9"/>
        <v>1.8503895780443758E-2</v>
      </c>
      <c r="K207" s="9">
        <f t="shared" si="9"/>
        <v>2.2038575148178863E-2</v>
      </c>
      <c r="L207" s="9">
        <f t="shared" si="9"/>
        <v>1.640293637846657E-2</v>
      </c>
      <c r="M207" s="9">
        <f t="shared" si="9"/>
        <v>1.0630415185390207E-2</v>
      </c>
      <c r="N207" s="9">
        <f t="shared" si="9"/>
        <v>1.0354493167146206E-2</v>
      </c>
      <c r="O207" s="9">
        <f t="shared" si="9"/>
        <v>1.0434377120342342E-2</v>
      </c>
      <c r="P207" s="9">
        <f t="shared" si="9"/>
        <v>1.0044023624456111E-2</v>
      </c>
      <c r="Q207" s="9">
        <f t="shared" si="9"/>
        <v>1.0167464114832603E-2</v>
      </c>
      <c r="R207" s="9">
        <f t="shared" si="9"/>
        <v>1.0636865148639041E-2</v>
      </c>
      <c r="S207" s="9">
        <f t="shared" si="9"/>
        <v>1.101520404904921E-2</v>
      </c>
      <c r="T207" s="9">
        <f t="shared" si="9"/>
        <v>1.0658934007122589E-2</v>
      </c>
      <c r="U207" s="9">
        <f t="shared" si="9"/>
        <v>1.062772213883223E-2</v>
      </c>
      <c r="V207" s="9">
        <f t="shared" si="9"/>
        <v>9.9510845878711951E-3</v>
      </c>
      <c r="W207" s="9">
        <f t="shared" si="9"/>
        <v>9.4528394680759575E-3</v>
      </c>
      <c r="X207" s="9">
        <f t="shared" si="9"/>
        <v>8.9153294468578004E-3</v>
      </c>
      <c r="Y207" s="9">
        <f t="shared" si="9"/>
        <v>8.2660669901764017E-3</v>
      </c>
      <c r="Z207" s="9">
        <f t="shared" si="9"/>
        <v>7.8038794014207991E-3</v>
      </c>
      <c r="AA207" s="9">
        <f t="shared" si="9"/>
        <v>7.7481095637670361E-3</v>
      </c>
      <c r="AB207" s="9">
        <f t="shared" si="9"/>
        <v>7.6561748714725208E-3</v>
      </c>
      <c r="AC207" s="9">
        <f t="shared" si="9"/>
        <v>7.5383570694464996E-3</v>
      </c>
      <c r="AD207" s="9">
        <f t="shared" si="9"/>
        <v>7.3567248798924734E-3</v>
      </c>
      <c r="AE207" s="9">
        <f t="shared" si="9"/>
        <v>7.2532723356260043E-3</v>
      </c>
      <c r="AF207" s="9">
        <f t="shared" si="9"/>
        <v>7.084352489733714E-3</v>
      </c>
      <c r="AG207" s="9">
        <f t="shared" si="9"/>
        <v>6.9320189755941453E-3</v>
      </c>
      <c r="AH207" s="9">
        <f t="shared" si="9"/>
        <v>6.8024200151362013E-3</v>
      </c>
      <c r="AI207" s="9">
        <f t="shared" si="9"/>
        <v>6.5806247417423691E-3</v>
      </c>
      <c r="AJ207" s="9">
        <f t="shared" si="9"/>
        <v>6.4022219990129692E-3</v>
      </c>
      <c r="AK207" s="9">
        <f t="shared" si="9"/>
        <v>6.1835807488859196E-3</v>
      </c>
      <c r="AL207" s="9">
        <f t="shared" si="9"/>
        <v>6.0054167349508081E-3</v>
      </c>
      <c r="AM207" s="9">
        <f t="shared" si="9"/>
        <v>5.785228483301319E-3</v>
      </c>
      <c r="AN207" s="9">
        <f t="shared" si="9"/>
        <v>5.5942476216455095E-3</v>
      </c>
      <c r="AO207" s="9">
        <f t="shared" si="9"/>
        <v>5.3935832254263794E-3</v>
      </c>
      <c r="AP207" s="9">
        <f t="shared" si="9"/>
        <v>5.1517489386638804E-3</v>
      </c>
      <c r="AQ207" s="9">
        <f t="shared" si="9"/>
        <v>4.9324100443328689E-3</v>
      </c>
      <c r="AR207" s="9">
        <f t="shared" si="9"/>
        <v>4.7725574814585503E-3</v>
      </c>
      <c r="AS207" s="9">
        <f t="shared" si="9"/>
        <v>4.5795819184397679E-3</v>
      </c>
      <c r="AT207" s="9">
        <f t="shared" si="9"/>
        <v>4.3829725650725848E-3</v>
      </c>
      <c r="AU207" s="9">
        <f t="shared" si="9"/>
        <v>4.262983470904258E-3</v>
      </c>
      <c r="AV207" s="9">
        <f t="shared" si="9"/>
        <v>4.1198570963001391E-3</v>
      </c>
      <c r="AW207" s="9">
        <f t="shared" si="9"/>
        <v>4.0355915907823725E-3</v>
      </c>
      <c r="AX207" s="9">
        <f t="shared" si="9"/>
        <v>3.9482137484041502E-3</v>
      </c>
      <c r="AY207" s="9">
        <f t="shared" si="9"/>
        <v>3.8678844089832243E-3</v>
      </c>
      <c r="AZ207" s="9">
        <f t="shared" si="9"/>
        <v>3.8065843621399864E-3</v>
      </c>
      <c r="BA207" s="9">
        <f t="shared" si="9"/>
        <v>3.8021973163560041E-3</v>
      </c>
      <c r="BB207" s="9">
        <f t="shared" si="9"/>
        <v>3.7717793228815299E-3</v>
      </c>
      <c r="BC207" s="9">
        <f t="shared" si="9"/>
        <v>3.729683694899899E-3</v>
      </c>
      <c r="BD207" s="9">
        <f t="shared" si="9"/>
        <v>3.729734348329794E-3</v>
      </c>
    </row>
    <row r="208" spans="1:56" x14ac:dyDescent="0.2">
      <c r="A208" s="1" t="s">
        <v>492</v>
      </c>
      <c r="C208" s="9">
        <f>SUM(C$28:C$29,C$128:C$129)/SUM(B$28:B$29,B$128:B$129)-1</f>
        <v>1.7572944297082227E-2</v>
      </c>
      <c r="D208" s="9">
        <f t="shared" ref="D208:BD208" si="10">SUM(D$28:D$29,D$128:D$129)/SUM(C$28:C$29,C$128:C$129)-1</f>
        <v>1.9224503095470746E-2</v>
      </c>
      <c r="E208" s="9">
        <f t="shared" si="10"/>
        <v>2.7493606138107474E-2</v>
      </c>
      <c r="F208" s="9">
        <f t="shared" si="10"/>
        <v>3.8892345986309973E-3</v>
      </c>
      <c r="G208" s="9">
        <f t="shared" si="10"/>
        <v>-1.3482101348210151E-2</v>
      </c>
      <c r="H208" s="9">
        <f t="shared" si="10"/>
        <v>-9.1109016650958718E-3</v>
      </c>
      <c r="I208" s="9">
        <f t="shared" si="10"/>
        <v>-7.9264426125558174E-4</v>
      </c>
      <c r="J208" s="9">
        <f t="shared" si="10"/>
        <v>1.7372679676344704E-2</v>
      </c>
      <c r="K208" s="9">
        <f t="shared" si="10"/>
        <v>1.0916179337231879E-2</v>
      </c>
      <c r="L208" s="9">
        <f t="shared" si="10"/>
        <v>-2.776706517547245E-3</v>
      </c>
      <c r="M208" s="9">
        <f t="shared" si="10"/>
        <v>-1.9800448603913723E-2</v>
      </c>
      <c r="N208" s="9">
        <f t="shared" si="10"/>
        <v>0</v>
      </c>
      <c r="O208" s="9">
        <f t="shared" si="10"/>
        <v>2.9195928351612999E-3</v>
      </c>
      <c r="P208" s="9">
        <f t="shared" si="10"/>
        <v>-3.1943351691581467E-2</v>
      </c>
      <c r="Q208" s="9">
        <f t="shared" si="10"/>
        <v>-2.3407022106632036E-2</v>
      </c>
      <c r="R208" s="9">
        <f t="shared" si="10"/>
        <v>7.6564580559255191E-3</v>
      </c>
      <c r="S208" s="9">
        <f t="shared" si="10"/>
        <v>4.5424512718863497E-3</v>
      </c>
      <c r="T208" s="9">
        <f t="shared" si="10"/>
        <v>5.0152100633067409E-3</v>
      </c>
      <c r="U208" s="9">
        <f t="shared" si="10"/>
        <v>3.1822643979057652E-2</v>
      </c>
      <c r="V208" s="9">
        <f t="shared" si="10"/>
        <v>4.0513755648933669E-2</v>
      </c>
      <c r="W208" s="9">
        <f t="shared" si="10"/>
        <v>1.6077415422127483E-2</v>
      </c>
      <c r="X208" s="9">
        <f t="shared" si="10"/>
        <v>4.0494938132733527E-3</v>
      </c>
      <c r="Y208" s="9">
        <f t="shared" si="10"/>
        <v>-6.0497423257898086E-3</v>
      </c>
      <c r="Z208" s="9">
        <f t="shared" si="10"/>
        <v>-2.096483318304776E-2</v>
      </c>
      <c r="AA208" s="9">
        <f t="shared" si="10"/>
        <v>-1.7883183667203983E-2</v>
      </c>
      <c r="AB208" s="9">
        <f t="shared" si="10"/>
        <v>-2.2975929978118148E-2</v>
      </c>
      <c r="AC208" s="9">
        <f t="shared" si="10"/>
        <v>-2.0556710926251776E-2</v>
      </c>
      <c r="AD208" s="9">
        <f t="shared" si="10"/>
        <v>-1.6333197223361573E-4</v>
      </c>
      <c r="AE208" s="9">
        <f t="shared" si="10"/>
        <v>1.1598464428653088E-2</v>
      </c>
      <c r="AF208" s="9">
        <f t="shared" si="10"/>
        <v>9.6891400888170498E-3</v>
      </c>
      <c r="AG208" s="9">
        <f t="shared" si="10"/>
        <v>8.7964814074370512E-3</v>
      </c>
      <c r="AH208" s="9">
        <f t="shared" si="10"/>
        <v>8.5612366230678472E-3</v>
      </c>
      <c r="AI208" s="9">
        <f t="shared" si="10"/>
        <v>7.7025858681127879E-3</v>
      </c>
      <c r="AJ208" s="9">
        <f t="shared" si="10"/>
        <v>6.8637391779111656E-3</v>
      </c>
      <c r="AK208" s="9">
        <f t="shared" si="10"/>
        <v>5.8099000697187098E-3</v>
      </c>
      <c r="AL208" s="9">
        <f t="shared" si="10"/>
        <v>4.698089956870044E-3</v>
      </c>
      <c r="AM208" s="9">
        <f t="shared" si="10"/>
        <v>3.679570716749625E-3</v>
      </c>
      <c r="AN208" s="9">
        <f t="shared" si="10"/>
        <v>2.6731841441991477E-3</v>
      </c>
      <c r="AO208" s="9">
        <f t="shared" si="10"/>
        <v>1.7519804996952715E-3</v>
      </c>
      <c r="AP208" s="9">
        <f t="shared" si="10"/>
        <v>6.0831875902978005E-4</v>
      </c>
      <c r="AQ208" s="9">
        <f t="shared" si="10"/>
        <v>-3.0397446614482959E-4</v>
      </c>
      <c r="AR208" s="9">
        <f t="shared" si="10"/>
        <v>-1.2162675788673916E-3</v>
      </c>
      <c r="AS208" s="9">
        <f t="shared" si="10"/>
        <v>-1.9027323236167071E-3</v>
      </c>
      <c r="AT208" s="9">
        <f t="shared" si="10"/>
        <v>-2.287631538813506E-3</v>
      </c>
      <c r="AU208" s="9">
        <f t="shared" si="10"/>
        <v>-2.5985937022316996E-3</v>
      </c>
      <c r="AV208" s="9">
        <f t="shared" si="10"/>
        <v>-2.375478927203023E-3</v>
      </c>
      <c r="AW208" s="9">
        <f t="shared" si="10"/>
        <v>-1.9202703740687221E-3</v>
      </c>
      <c r="AX208" s="9">
        <f t="shared" si="10"/>
        <v>-1.154378944128065E-3</v>
      </c>
      <c r="AY208" s="9">
        <f t="shared" si="10"/>
        <v>-5.393327683180793E-4</v>
      </c>
      <c r="AZ208" s="9">
        <f t="shared" si="10"/>
        <v>2.3126734505085622E-4</v>
      </c>
      <c r="BA208" s="9">
        <f t="shared" si="10"/>
        <v>6.9364161849705397E-4</v>
      </c>
      <c r="BB208" s="9">
        <f t="shared" si="10"/>
        <v>1.2322858903266454E-3</v>
      </c>
      <c r="BC208" s="9">
        <f t="shared" si="10"/>
        <v>1.307692307692232E-3</v>
      </c>
      <c r="BD208" s="9">
        <f t="shared" si="10"/>
        <v>1.3828070984098773E-3</v>
      </c>
    </row>
    <row r="209" spans="1:56" x14ac:dyDescent="0.2">
      <c r="A209" s="1" t="s">
        <v>493</v>
      </c>
      <c r="C209" s="9">
        <f>SUM(C$28:C$29)/SUM(B$28:B$29)-1</f>
        <v>2.3122362869198332E-2</v>
      </c>
      <c r="D209" s="9">
        <f t="shared" ref="D209:BD209" si="11">SUM(D$28:D$29)/SUM(C$28:C$29)-1</f>
        <v>2.5734081161332911E-2</v>
      </c>
      <c r="E209" s="9">
        <f t="shared" si="11"/>
        <v>2.8948214860083699E-2</v>
      </c>
      <c r="F209" s="9">
        <f t="shared" si="11"/>
        <v>-1.5629884338855815E-3</v>
      </c>
      <c r="G209" s="9">
        <f t="shared" si="11"/>
        <v>-1.8159048215403928E-2</v>
      </c>
      <c r="H209" s="9">
        <f t="shared" si="11"/>
        <v>-1.2595663265306145E-2</v>
      </c>
      <c r="I209" s="9">
        <f t="shared" si="11"/>
        <v>-5.1671241724527972E-3</v>
      </c>
      <c r="J209" s="9">
        <f t="shared" si="11"/>
        <v>5.5185846453498222E-3</v>
      </c>
      <c r="K209" s="9">
        <f t="shared" si="11"/>
        <v>9.6852300242131761E-3</v>
      </c>
      <c r="L209" s="9">
        <f t="shared" si="11"/>
        <v>2.5579536370903266E-3</v>
      </c>
      <c r="M209" s="9">
        <f t="shared" si="11"/>
        <v>-2.2484452240472019E-2</v>
      </c>
      <c r="N209" s="9">
        <f t="shared" si="11"/>
        <v>-8.1566068515492862E-4</v>
      </c>
      <c r="O209" s="9">
        <f t="shared" si="11"/>
        <v>7.6734693877551496E-3</v>
      </c>
      <c r="P209" s="9">
        <f t="shared" si="11"/>
        <v>-2.5923525599481523E-2</v>
      </c>
      <c r="Q209" s="9">
        <f t="shared" si="11"/>
        <v>-2.4783765801729918E-2</v>
      </c>
      <c r="R209" s="9">
        <f t="shared" si="11"/>
        <v>3.581784069588867E-3</v>
      </c>
      <c r="S209" s="9">
        <f t="shared" si="11"/>
        <v>4.9286199864038149E-3</v>
      </c>
      <c r="T209" s="9">
        <f t="shared" si="11"/>
        <v>7.2721122949432893E-3</v>
      </c>
      <c r="U209" s="9">
        <f t="shared" si="11"/>
        <v>3.1396910678307632E-2</v>
      </c>
      <c r="V209" s="9">
        <f t="shared" si="11"/>
        <v>3.7766563568289113E-2</v>
      </c>
      <c r="W209" s="9">
        <f t="shared" si="11"/>
        <v>1.0039215686274527E-2</v>
      </c>
      <c r="X209" s="9">
        <f t="shared" si="11"/>
        <v>4.037894082932203E-3</v>
      </c>
      <c r="Y209" s="9">
        <f t="shared" si="11"/>
        <v>6.1871616395969831E-4</v>
      </c>
      <c r="Z209" s="9">
        <f t="shared" si="11"/>
        <v>-2.0095841706600726E-2</v>
      </c>
      <c r="AA209" s="9">
        <f t="shared" si="11"/>
        <v>-1.940369143398013E-2</v>
      </c>
      <c r="AB209" s="9">
        <f t="shared" si="11"/>
        <v>-2.6061776061776065E-2</v>
      </c>
      <c r="AC209" s="9">
        <f t="shared" si="11"/>
        <v>-2.1308225966303218E-2</v>
      </c>
      <c r="AD209" s="9">
        <f t="shared" si="11"/>
        <v>1.6877637130801038E-3</v>
      </c>
      <c r="AE209" s="9">
        <f t="shared" si="11"/>
        <v>1.1794439764111209E-2</v>
      </c>
      <c r="AF209" s="9">
        <f t="shared" si="11"/>
        <v>9.8251457119067354E-3</v>
      </c>
      <c r="AG209" s="9">
        <f t="shared" si="11"/>
        <v>8.7401055408971029E-3</v>
      </c>
      <c r="AH209" s="9">
        <f t="shared" si="11"/>
        <v>8.6643779630537487E-3</v>
      </c>
      <c r="AI209" s="9">
        <f t="shared" si="11"/>
        <v>7.6175040518637882E-3</v>
      </c>
      <c r="AJ209" s="9">
        <f t="shared" si="11"/>
        <v>6.9165192214895033E-3</v>
      </c>
      <c r="AK209" s="9">
        <f t="shared" si="11"/>
        <v>5.7507987220446477E-3</v>
      </c>
      <c r="AL209" s="9">
        <f t="shared" si="11"/>
        <v>4.7649301143584122E-3</v>
      </c>
      <c r="AM209" s="9">
        <f t="shared" si="11"/>
        <v>3.6357888080935652E-3</v>
      </c>
      <c r="AN209" s="9">
        <f t="shared" si="11"/>
        <v>2.677587021578276E-3</v>
      </c>
      <c r="AO209" s="9">
        <f t="shared" si="11"/>
        <v>1.7279296261387689E-3</v>
      </c>
      <c r="AP209" s="9">
        <f t="shared" si="11"/>
        <v>6.2725419476250543E-4</v>
      </c>
      <c r="AQ209" s="9">
        <f t="shared" si="11"/>
        <v>-3.1343049678733692E-4</v>
      </c>
      <c r="AR209" s="9">
        <f t="shared" si="11"/>
        <v>-1.2541150650572375E-3</v>
      </c>
      <c r="AS209" s="9">
        <f t="shared" si="11"/>
        <v>-1.883534766912609E-3</v>
      </c>
      <c r="AT209" s="9">
        <f t="shared" si="11"/>
        <v>-2.3588614562037868E-3</v>
      </c>
      <c r="AU209" s="9">
        <f t="shared" si="11"/>
        <v>-2.6796973518284917E-3</v>
      </c>
      <c r="AV209" s="9">
        <f t="shared" si="11"/>
        <v>-2.3707918444760834E-3</v>
      </c>
      <c r="AW209" s="9">
        <f t="shared" si="11"/>
        <v>-1.9011406844106071E-3</v>
      </c>
      <c r="AX209" s="9">
        <f t="shared" si="11"/>
        <v>-1.2698412698413097E-3</v>
      </c>
      <c r="AY209" s="9">
        <f t="shared" si="11"/>
        <v>-4.7679593134142273E-4</v>
      </c>
      <c r="AZ209" s="9">
        <f t="shared" si="11"/>
        <v>1.5900779138178223E-4</v>
      </c>
      <c r="BA209" s="9">
        <f t="shared" si="11"/>
        <v>7.9491255961849916E-4</v>
      </c>
      <c r="BB209" s="9">
        <f t="shared" si="11"/>
        <v>1.111993645750653E-3</v>
      </c>
      <c r="BC209" s="9">
        <f t="shared" si="11"/>
        <v>1.4281180577593311E-3</v>
      </c>
      <c r="BD209" s="9">
        <f t="shared" si="11"/>
        <v>1.2676279511962818E-3</v>
      </c>
    </row>
    <row r="210" spans="1:56" x14ac:dyDescent="0.2">
      <c r="A210" s="1" t="s">
        <v>494</v>
      </c>
      <c r="C210" s="9">
        <f>SUM(C$30:C$39,C$130:C$139)/SUM(B$30:B$39,B$130:B$139)-1</f>
        <v>3.7528554334820274E-3</v>
      </c>
      <c r="D210" s="9">
        <f t="shared" ref="D210:BD210" si="12">SUM(D$30:D$39,D$130:D$139)/SUM(C$30:C$39,C$130:C$139)-1</f>
        <v>6.6287365664228215E-3</v>
      </c>
      <c r="E210" s="9">
        <f t="shared" si="12"/>
        <v>1.2990741405296768E-2</v>
      </c>
      <c r="F210" s="9">
        <f t="shared" si="12"/>
        <v>1.8155731897406824E-2</v>
      </c>
      <c r="G210" s="9">
        <f t="shared" si="12"/>
        <v>1.2665054539760856E-2</v>
      </c>
      <c r="H210" s="9">
        <f t="shared" si="12"/>
        <v>5.2740985071038082E-3</v>
      </c>
      <c r="I210" s="9">
        <f t="shared" si="12"/>
        <v>1.2389773737097487E-2</v>
      </c>
      <c r="J210" s="9">
        <f t="shared" si="12"/>
        <v>4.1339612768184208E-2</v>
      </c>
      <c r="K210" s="9">
        <f t="shared" si="12"/>
        <v>4.6133895282866044E-2</v>
      </c>
      <c r="L210" s="9">
        <f t="shared" si="12"/>
        <v>2.9781827197223221E-2</v>
      </c>
      <c r="M210" s="9">
        <f t="shared" si="12"/>
        <v>1.2865268289746989E-2</v>
      </c>
      <c r="N210" s="9">
        <f t="shared" si="12"/>
        <v>6.8634587672515845E-3</v>
      </c>
      <c r="O210" s="9">
        <f t="shared" si="12"/>
        <v>6.3445223164881881E-4</v>
      </c>
      <c r="P210" s="9">
        <f t="shared" si="12"/>
        <v>-1.7546963932879578E-3</v>
      </c>
      <c r="Q210" s="9">
        <f t="shared" si="12"/>
        <v>-7.6810588044136097E-3</v>
      </c>
      <c r="R210" s="9">
        <f t="shared" si="12"/>
        <v>-1.0018011581000019E-2</v>
      </c>
      <c r="S210" s="9">
        <f t="shared" si="12"/>
        <v>-1.0645656031034845E-2</v>
      </c>
      <c r="T210" s="9">
        <f t="shared" si="12"/>
        <v>-7.872579713669059E-3</v>
      </c>
      <c r="U210" s="9">
        <f t="shared" si="12"/>
        <v>-9.0992647058824039E-3</v>
      </c>
      <c r="V210" s="9">
        <f t="shared" si="12"/>
        <v>-6.5238227746343691E-3</v>
      </c>
      <c r="W210" s="9">
        <f t="shared" si="12"/>
        <v>-9.958919457239146E-4</v>
      </c>
      <c r="X210" s="9">
        <f t="shared" si="12"/>
        <v>4.1433021806853709E-3</v>
      </c>
      <c r="Y210" s="9">
        <f t="shared" si="12"/>
        <v>6.2668693574907675E-3</v>
      </c>
      <c r="Z210" s="9">
        <f t="shared" si="12"/>
        <v>4.9483582549714189E-3</v>
      </c>
      <c r="AA210" s="9">
        <f t="shared" si="12"/>
        <v>4.3871086499669421E-3</v>
      </c>
      <c r="AB210" s="9">
        <f t="shared" si="12"/>
        <v>6.8115521480824892E-3</v>
      </c>
      <c r="AC210" s="9">
        <f t="shared" si="12"/>
        <v>5.1271938473673728E-3</v>
      </c>
      <c r="AD210" s="9">
        <f t="shared" si="12"/>
        <v>8.4514269328872516E-4</v>
      </c>
      <c r="AE210" s="9">
        <f t="shared" si="12"/>
        <v>4.2221451513180241E-4</v>
      </c>
      <c r="AF210" s="9">
        <f t="shared" si="12"/>
        <v>-7.5363629512437136E-5</v>
      </c>
      <c r="AG210" s="9">
        <f t="shared" si="12"/>
        <v>-3.2559541754597632E-3</v>
      </c>
      <c r="AH210" s="9">
        <f t="shared" si="12"/>
        <v>-5.9736253100235448E-3</v>
      </c>
      <c r="AI210" s="9">
        <f t="shared" si="12"/>
        <v>-4.7619772094509294E-3</v>
      </c>
      <c r="AJ210" s="9">
        <f t="shared" si="12"/>
        <v>-5.2586523174757982E-3</v>
      </c>
      <c r="AK210" s="9">
        <f t="shared" si="12"/>
        <v>-2.1053602163757512E-3</v>
      </c>
      <c r="AL210" s="9">
        <f t="shared" si="12"/>
        <v>3.3880033880029359E-4</v>
      </c>
      <c r="AM210" s="9">
        <f t="shared" si="12"/>
        <v>2.6479055375094873E-3</v>
      </c>
      <c r="AN210" s="9">
        <f t="shared" si="12"/>
        <v>5.7885120299712156E-3</v>
      </c>
      <c r="AO210" s="9">
        <f t="shared" si="12"/>
        <v>7.2359783836595248E-3</v>
      </c>
      <c r="AP210" s="9">
        <f t="shared" si="12"/>
        <v>6.2746286753561087E-3</v>
      </c>
      <c r="AQ210" s="9">
        <f t="shared" si="12"/>
        <v>5.3619302949061698E-3</v>
      </c>
      <c r="AR210" s="9">
        <f t="shared" si="12"/>
        <v>4.4644194756553457E-3</v>
      </c>
      <c r="AS210" s="9">
        <f t="shared" si="12"/>
        <v>3.6690132442429579E-3</v>
      </c>
      <c r="AT210" s="9">
        <f t="shared" si="12"/>
        <v>2.6748298511012347E-3</v>
      </c>
      <c r="AU210" s="9">
        <f t="shared" si="12"/>
        <v>1.734001244924066E-3</v>
      </c>
      <c r="AV210" s="9">
        <f t="shared" si="12"/>
        <v>9.1728188664164101E-4</v>
      </c>
      <c r="AW210" s="9">
        <f t="shared" si="12"/>
        <v>1.4781310510980639E-4</v>
      </c>
      <c r="AX210" s="9">
        <f t="shared" si="12"/>
        <v>-4.5815290483719462E-4</v>
      </c>
      <c r="AY210" s="9">
        <f t="shared" si="12"/>
        <v>-9.0193991010167895E-4</v>
      </c>
      <c r="AZ210" s="9">
        <f t="shared" si="12"/>
        <v>-1.3023338414408503E-3</v>
      </c>
      <c r="BA210" s="9">
        <f t="shared" si="12"/>
        <v>-1.3188506735029026E-3</v>
      </c>
      <c r="BB210" s="9">
        <f t="shared" si="12"/>
        <v>-1.2760779891385354E-3</v>
      </c>
      <c r="BC210" s="9">
        <f t="shared" si="12"/>
        <v>-1.1885659951268446E-3</v>
      </c>
      <c r="BD210" s="9">
        <f t="shared" si="12"/>
        <v>-8.4786101029332706E-4</v>
      </c>
    </row>
    <row r="211" spans="1:56" x14ac:dyDescent="0.2">
      <c r="A211" s="1" t="s">
        <v>495</v>
      </c>
      <c r="C211" s="9">
        <f>SUM(C$30:C$39)/SUM(B$30:B$39)-1</f>
        <v>3.8358128696898142E-3</v>
      </c>
      <c r="D211" s="9">
        <f t="shared" ref="D211:BD211" si="13">SUM(D$30:D$39)/SUM(C$30:C$39)-1</f>
        <v>6.3209770730661141E-3</v>
      </c>
      <c r="E211" s="9">
        <f t="shared" si="13"/>
        <v>1.0433301394655592E-2</v>
      </c>
      <c r="F211" s="9">
        <f t="shared" si="13"/>
        <v>1.8052189793839712E-2</v>
      </c>
      <c r="G211" s="9">
        <f t="shared" si="13"/>
        <v>1.2626349742988152E-2</v>
      </c>
      <c r="H211" s="9">
        <f t="shared" si="13"/>
        <v>4.5310530439819363E-3</v>
      </c>
      <c r="I211" s="9">
        <f t="shared" si="13"/>
        <v>1.0276063216441811E-2</v>
      </c>
      <c r="J211" s="9">
        <f t="shared" si="13"/>
        <v>3.1219577696465217E-2</v>
      </c>
      <c r="K211" s="9">
        <f t="shared" si="13"/>
        <v>3.5059735017415994E-2</v>
      </c>
      <c r="L211" s="9">
        <f t="shared" si="13"/>
        <v>2.1606491382563764E-2</v>
      </c>
      <c r="M211" s="9">
        <f t="shared" si="13"/>
        <v>8.8353908198135489E-3</v>
      </c>
      <c r="N211" s="9">
        <f t="shared" si="13"/>
        <v>2.624351541043568E-3</v>
      </c>
      <c r="O211" s="9">
        <f t="shared" si="13"/>
        <v>-2.34355977599221E-3</v>
      </c>
      <c r="P211" s="9">
        <f t="shared" si="13"/>
        <v>-4.5761005521828269E-3</v>
      </c>
      <c r="Q211" s="9">
        <f t="shared" si="13"/>
        <v>-9.1636274479757196E-3</v>
      </c>
      <c r="R211" s="9">
        <f t="shared" si="13"/>
        <v>-9.9597896690380994E-3</v>
      </c>
      <c r="S211" s="9">
        <f t="shared" si="13"/>
        <v>-1.090352411897022E-2</v>
      </c>
      <c r="T211" s="9">
        <f t="shared" si="13"/>
        <v>-7.4860229318677307E-3</v>
      </c>
      <c r="U211" s="9">
        <f t="shared" si="13"/>
        <v>-8.3062822226465105E-3</v>
      </c>
      <c r="V211" s="9">
        <f t="shared" si="13"/>
        <v>-4.3644298963447792E-3</v>
      </c>
      <c r="W211" s="9">
        <f t="shared" si="13"/>
        <v>-9.0249798549557614E-4</v>
      </c>
      <c r="X211" s="9">
        <f t="shared" si="13"/>
        <v>4.2907378133367757E-3</v>
      </c>
      <c r="Y211" s="9">
        <f t="shared" si="13"/>
        <v>5.7500803083840868E-3</v>
      </c>
      <c r="Z211" s="9">
        <f t="shared" si="13"/>
        <v>5.2061707496247056E-3</v>
      </c>
      <c r="AA211" s="9">
        <f t="shared" si="13"/>
        <v>4.35307574987287E-3</v>
      </c>
      <c r="AB211" s="9">
        <f t="shared" si="13"/>
        <v>6.1058559271094381E-3</v>
      </c>
      <c r="AC211" s="9">
        <f t="shared" si="13"/>
        <v>5.1254638073077174E-3</v>
      </c>
      <c r="AD211" s="9">
        <f t="shared" si="13"/>
        <v>2.5027373689967547E-4</v>
      </c>
      <c r="AE211" s="9">
        <f t="shared" si="13"/>
        <v>9.3829168360759496E-5</v>
      </c>
      <c r="AF211" s="9">
        <f t="shared" si="13"/>
        <v>-7.5056292219166654E-4</v>
      </c>
      <c r="AG211" s="9">
        <f t="shared" si="13"/>
        <v>-3.5052578868302042E-3</v>
      </c>
      <c r="AH211" s="9">
        <f t="shared" si="13"/>
        <v>-6.1557788944723857E-3</v>
      </c>
      <c r="AI211" s="9">
        <f t="shared" si="13"/>
        <v>-3.8869927948426142E-3</v>
      </c>
      <c r="AJ211" s="9">
        <f t="shared" si="13"/>
        <v>-5.3615050283937205E-3</v>
      </c>
      <c r="AK211" s="9">
        <f t="shared" si="13"/>
        <v>-2.5835672365399631E-3</v>
      </c>
      <c r="AL211" s="9">
        <f t="shared" si="13"/>
        <v>9.5935531323032563E-5</v>
      </c>
      <c r="AM211" s="9">
        <f t="shared" si="13"/>
        <v>2.5260599859306954E-3</v>
      </c>
      <c r="AN211" s="9">
        <f t="shared" si="13"/>
        <v>6.1876056517717881E-3</v>
      </c>
      <c r="AO211" s="9">
        <f t="shared" si="13"/>
        <v>7.3224078359273026E-3</v>
      </c>
      <c r="AP211" s="9">
        <f t="shared" si="13"/>
        <v>6.2936622820819466E-3</v>
      </c>
      <c r="AQ211" s="9">
        <f t="shared" si="13"/>
        <v>5.4099693539308991E-3</v>
      </c>
      <c r="AR211" s="9">
        <f t="shared" si="13"/>
        <v>4.4477621224845443E-3</v>
      </c>
      <c r="AS211" s="9">
        <f t="shared" si="13"/>
        <v>3.6848950269399161E-3</v>
      </c>
      <c r="AT211" s="9">
        <f t="shared" si="13"/>
        <v>2.6841082281801043E-3</v>
      </c>
      <c r="AU211" s="9">
        <f t="shared" si="13"/>
        <v>1.7230769230769383E-3</v>
      </c>
      <c r="AV211" s="9">
        <f t="shared" si="13"/>
        <v>8.9077282221405873E-4</v>
      </c>
      <c r="AW211" s="9">
        <f t="shared" si="13"/>
        <v>1.2275586926491222E-4</v>
      </c>
      <c r="AX211" s="9">
        <f t="shared" si="13"/>
        <v>-4.9096320844455033E-4</v>
      </c>
      <c r="AY211" s="9">
        <f t="shared" si="13"/>
        <v>-9.5170847020542571E-4</v>
      </c>
      <c r="AZ211" s="9">
        <f t="shared" si="13"/>
        <v>-1.3520988261324085E-3</v>
      </c>
      <c r="BA211" s="9">
        <f t="shared" si="13"/>
        <v>-1.3539294725829487E-3</v>
      </c>
      <c r="BB211" s="9">
        <f t="shared" si="13"/>
        <v>-1.3249522400936575E-3</v>
      </c>
      <c r="BC211" s="9">
        <f t="shared" si="13"/>
        <v>-1.203295177563124E-3</v>
      </c>
      <c r="BD211" s="9">
        <f t="shared" si="13"/>
        <v>-8.9583590757447151E-4</v>
      </c>
    </row>
    <row r="212" spans="1:56" x14ac:dyDescent="0.2">
      <c r="A212" s="1" t="s">
        <v>496</v>
      </c>
      <c r="C212" s="9">
        <f>SUM(C$30:C$49,C$130:C$149)/SUM(B$30:B$49,B$130:B$149)-1</f>
        <v>-2.3214363343911915E-3</v>
      </c>
      <c r="D212" s="9">
        <f t="shared" ref="D212:BD212" si="14">SUM(D$30:D$49,D$130:D$149)/SUM(C$30:C$49,C$130:C$149)-1</f>
        <v>-3.5556175271028723E-3</v>
      </c>
      <c r="E212" s="9">
        <f t="shared" si="14"/>
        <v>5.0725905195037058E-4</v>
      </c>
      <c r="F212" s="9">
        <f t="shared" si="14"/>
        <v>3.1032011049143549E-3</v>
      </c>
      <c r="G212" s="9">
        <f t="shared" si="14"/>
        <v>-2.579453260481257E-3</v>
      </c>
      <c r="H212" s="9">
        <f t="shared" si="14"/>
        <v>-6.0634124605747353E-3</v>
      </c>
      <c r="I212" s="9">
        <f t="shared" si="14"/>
        <v>1.9514253316104124E-3</v>
      </c>
      <c r="J212" s="9">
        <f t="shared" si="14"/>
        <v>2.4283897003991806E-2</v>
      </c>
      <c r="K212" s="9">
        <f t="shared" si="14"/>
        <v>3.2513083175592872E-2</v>
      </c>
      <c r="L212" s="9">
        <f t="shared" si="14"/>
        <v>2.4388422964935375E-2</v>
      </c>
      <c r="M212" s="9">
        <f t="shared" si="14"/>
        <v>1.4317064677825453E-2</v>
      </c>
      <c r="N212" s="9">
        <f t="shared" si="14"/>
        <v>1.4146913944929285E-2</v>
      </c>
      <c r="O212" s="9">
        <f t="shared" si="14"/>
        <v>1.1587905124026854E-2</v>
      </c>
      <c r="P212" s="9">
        <f t="shared" si="14"/>
        <v>1.2427918848880504E-2</v>
      </c>
      <c r="Q212" s="9">
        <f t="shared" si="14"/>
        <v>1.0676566895724715E-2</v>
      </c>
      <c r="R212" s="9">
        <f t="shared" si="14"/>
        <v>7.7802368294963564E-3</v>
      </c>
      <c r="S212" s="9">
        <f t="shared" si="14"/>
        <v>6.4146102180966391E-3</v>
      </c>
      <c r="T212" s="9">
        <f t="shared" si="14"/>
        <v>6.7036592681464224E-3</v>
      </c>
      <c r="U212" s="9">
        <f t="shared" si="14"/>
        <v>5.5268371892085444E-3</v>
      </c>
      <c r="V212" s="9">
        <f t="shared" si="14"/>
        <v>5.4075676316336363E-3</v>
      </c>
      <c r="W212" s="9">
        <f t="shared" si="14"/>
        <v>5.8131824410945221E-3</v>
      </c>
      <c r="X212" s="9">
        <f t="shared" si="14"/>
        <v>5.3693733289381651E-3</v>
      </c>
      <c r="Y212" s="9">
        <f t="shared" si="14"/>
        <v>3.286022382839926E-3</v>
      </c>
      <c r="Z212" s="9">
        <f t="shared" si="14"/>
        <v>1.5105411077784847E-3</v>
      </c>
      <c r="AA212" s="9">
        <f t="shared" si="14"/>
        <v>-1.6387855583835931E-3</v>
      </c>
      <c r="AB212" s="9">
        <f t="shared" si="14"/>
        <v>-1.5833702544286732E-3</v>
      </c>
      <c r="AC212" s="9">
        <f t="shared" si="14"/>
        <v>-2.6188865367408054E-3</v>
      </c>
      <c r="AD212" s="9">
        <f t="shared" si="14"/>
        <v>-3.3040852497757678E-3</v>
      </c>
      <c r="AE212" s="9">
        <f t="shared" si="14"/>
        <v>-4.0834248079033575E-3</v>
      </c>
      <c r="AF212" s="9">
        <f t="shared" si="14"/>
        <v>-3.0934955765217209E-3</v>
      </c>
      <c r="AG212" s="9">
        <f t="shared" si="14"/>
        <v>-1.9974791959962435E-3</v>
      </c>
      <c r="AH212" s="9">
        <f t="shared" si="14"/>
        <v>-9.3057607090107908E-4</v>
      </c>
      <c r="AI212" s="9">
        <f t="shared" si="14"/>
        <v>6.9488593521294106E-4</v>
      </c>
      <c r="AJ212" s="9">
        <f t="shared" si="14"/>
        <v>-1.551326753738147E-4</v>
      </c>
      <c r="AK212" s="9">
        <f t="shared" si="14"/>
        <v>1.1452045483091311E-3</v>
      </c>
      <c r="AL212" s="9">
        <f t="shared" si="14"/>
        <v>3.4612035246712747E-3</v>
      </c>
      <c r="AM212" s="9">
        <f t="shared" si="14"/>
        <v>3.7802178405690334E-3</v>
      </c>
      <c r="AN212" s="9">
        <f t="shared" si="14"/>
        <v>3.2164706744330918E-3</v>
      </c>
      <c r="AO212" s="9">
        <f t="shared" si="14"/>
        <v>3.7027840261751876E-3</v>
      </c>
      <c r="AP212" s="9">
        <f t="shared" si="14"/>
        <v>2.9905916423513812E-3</v>
      </c>
      <c r="AQ212" s="9">
        <f t="shared" si="14"/>
        <v>1.0519290201824738E-3</v>
      </c>
      <c r="AR212" s="9">
        <f t="shared" si="14"/>
        <v>-6.5948241501012639E-4</v>
      </c>
      <c r="AS212" s="9">
        <f t="shared" si="14"/>
        <v>-4.6411788594302728E-4</v>
      </c>
      <c r="AT212" s="9">
        <f t="shared" si="14"/>
        <v>-1.1318126414765484E-3</v>
      </c>
      <c r="AU212" s="9">
        <f t="shared" si="14"/>
        <v>-9.442459106889789E-5</v>
      </c>
      <c r="AV212" s="9">
        <f t="shared" si="14"/>
        <v>6.2471397543273355E-4</v>
      </c>
      <c r="AW212" s="9">
        <f t="shared" si="14"/>
        <v>1.3575416155471309E-3</v>
      </c>
      <c r="AX212" s="9">
        <f t="shared" si="14"/>
        <v>2.5301589142789904E-3</v>
      </c>
      <c r="AY212" s="9">
        <f t="shared" si="14"/>
        <v>3.0299743283797032E-3</v>
      </c>
      <c r="AZ212" s="9">
        <f t="shared" si="14"/>
        <v>2.3503287576420728E-3</v>
      </c>
      <c r="BA212" s="9">
        <f t="shared" si="14"/>
        <v>1.9348342084442027E-3</v>
      </c>
      <c r="BB212" s="9">
        <f t="shared" si="14"/>
        <v>1.5649789302147887E-3</v>
      </c>
      <c r="BC212" s="9">
        <f t="shared" si="14"/>
        <v>1.196986747134865E-3</v>
      </c>
      <c r="BD212" s="9">
        <f t="shared" si="14"/>
        <v>8.8055897597438815E-4</v>
      </c>
    </row>
    <row r="213" spans="1:56" x14ac:dyDescent="0.2">
      <c r="A213" s="1" t="s">
        <v>497</v>
      </c>
      <c r="C213" s="9">
        <f>SUM(C$40:C$54,C$140:C$154)/SUM(B$40:B$54,B$140:B$154)-1</f>
        <v>-8.9679282565739982E-3</v>
      </c>
      <c r="D213" s="9">
        <f t="shared" ref="D213:BD213" si="15">SUM(D$40:D$54,D$140:D$154)/SUM(C$40:C$54,C$140:C$154)-1</f>
        <v>-1.2762927256792289E-2</v>
      </c>
      <c r="E213" s="9">
        <f t="shared" si="15"/>
        <v>-8.8886422904067564E-3</v>
      </c>
      <c r="F213" s="9">
        <f t="shared" si="15"/>
        <v>-6.8298363078577173E-3</v>
      </c>
      <c r="G213" s="9">
        <f t="shared" si="15"/>
        <v>-8.9398448773448935E-3</v>
      </c>
      <c r="H213" s="9">
        <f t="shared" si="15"/>
        <v>-1.0180750986793496E-2</v>
      </c>
      <c r="I213" s="9">
        <f t="shared" si="15"/>
        <v>-7.0676657166498513E-3</v>
      </c>
      <c r="J213" s="9">
        <f t="shared" si="15"/>
        <v>3.0092244302726279E-4</v>
      </c>
      <c r="K213" s="9">
        <f t="shared" si="15"/>
        <v>6.43317481805461E-3</v>
      </c>
      <c r="L213" s="9">
        <f t="shared" si="15"/>
        <v>1.2071324281757168E-3</v>
      </c>
      <c r="M213" s="9">
        <f t="shared" si="15"/>
        <v>-4.5930553003836749E-5</v>
      </c>
      <c r="N213" s="9">
        <f t="shared" si="15"/>
        <v>6.0401451472142931E-3</v>
      </c>
      <c r="O213" s="9">
        <f t="shared" si="15"/>
        <v>1.1288665677434029E-2</v>
      </c>
      <c r="P213" s="9">
        <f t="shared" si="15"/>
        <v>1.764128263298681E-2</v>
      </c>
      <c r="Q213" s="9">
        <f t="shared" si="15"/>
        <v>2.2903218650872859E-2</v>
      </c>
      <c r="R213" s="9">
        <f t="shared" si="15"/>
        <v>2.1154325739750846E-2</v>
      </c>
      <c r="S213" s="9">
        <f t="shared" si="15"/>
        <v>2.1915946399371444E-2</v>
      </c>
      <c r="T213" s="9">
        <f t="shared" si="15"/>
        <v>1.9139253132727907E-2</v>
      </c>
      <c r="U213" s="9">
        <f t="shared" si="15"/>
        <v>1.8647281921618131E-2</v>
      </c>
      <c r="V213" s="9">
        <f t="shared" si="15"/>
        <v>1.7024811586079824E-2</v>
      </c>
      <c r="W213" s="9">
        <f t="shared" si="15"/>
        <v>1.4860157064971347E-2</v>
      </c>
      <c r="X213" s="9">
        <f t="shared" si="15"/>
        <v>1.2315270935960632E-2</v>
      </c>
      <c r="Y213" s="9">
        <f t="shared" si="15"/>
        <v>9.9718374619230943E-3</v>
      </c>
      <c r="Z213" s="9">
        <f t="shared" si="15"/>
        <v>1.048039076208096E-2</v>
      </c>
      <c r="AA213" s="9">
        <f t="shared" si="15"/>
        <v>7.9125211188286748E-3</v>
      </c>
      <c r="AB213" s="9">
        <f t="shared" si="15"/>
        <v>3.4456105715057195E-3</v>
      </c>
      <c r="AC213" s="9">
        <f t="shared" si="15"/>
        <v>5.1042662385269999E-4</v>
      </c>
      <c r="AD213" s="9">
        <f t="shared" si="15"/>
        <v>-8.4409320273082233E-4</v>
      </c>
      <c r="AE213" s="9">
        <f t="shared" si="15"/>
        <v>-4.344718103920453E-3</v>
      </c>
      <c r="AF213" s="9">
        <f t="shared" si="15"/>
        <v>-5.771615586159351E-3</v>
      </c>
      <c r="AG213" s="9">
        <f t="shared" si="15"/>
        <v>-2.1663696895808382E-3</v>
      </c>
      <c r="AH213" s="9">
        <f t="shared" si="15"/>
        <v>-1.0338443030477595E-4</v>
      </c>
      <c r="AI213" s="9">
        <f t="shared" si="15"/>
        <v>3.8538180997860216E-4</v>
      </c>
      <c r="AJ213" s="9">
        <f t="shared" si="15"/>
        <v>9.3019759651968847E-4</v>
      </c>
      <c r="AK213" s="9">
        <f t="shared" si="15"/>
        <v>-5.6323220186227374E-5</v>
      </c>
      <c r="AL213" s="9">
        <f t="shared" si="15"/>
        <v>-3.1918289179699855E-4</v>
      </c>
      <c r="AM213" s="9">
        <f t="shared" si="15"/>
        <v>-5.9161595672752032E-4</v>
      </c>
      <c r="AN213" s="9">
        <f t="shared" si="15"/>
        <v>-7.2351421188632248E-4</v>
      </c>
      <c r="AO213" s="9">
        <f t="shared" si="15"/>
        <v>-2.99018317222699E-3</v>
      </c>
      <c r="AP213" s="9">
        <f t="shared" si="15"/>
        <v>-1.094029991511869E-3</v>
      </c>
      <c r="AQ213" s="9">
        <f t="shared" si="15"/>
        <v>2.0771569386484057E-3</v>
      </c>
      <c r="AR213" s="9">
        <f t="shared" si="15"/>
        <v>2.7229728456479307E-3</v>
      </c>
      <c r="AS213" s="9">
        <f t="shared" si="15"/>
        <v>2.2363586818638925E-3</v>
      </c>
      <c r="AT213" s="9">
        <f t="shared" si="15"/>
        <v>3.2157958391538788E-3</v>
      </c>
      <c r="AU213" s="9">
        <f t="shared" si="15"/>
        <v>2.5513064932152218E-3</v>
      </c>
      <c r="AV213" s="9">
        <f t="shared" si="15"/>
        <v>4.1947481752835358E-4</v>
      </c>
      <c r="AW213" s="9">
        <f t="shared" si="15"/>
        <v>-1.4349341234788371E-3</v>
      </c>
      <c r="AX213" s="9">
        <f t="shared" si="15"/>
        <v>-9.5177664974621656E-4</v>
      </c>
      <c r="AY213" s="9">
        <f t="shared" si="15"/>
        <v>-1.4944053200829366E-3</v>
      </c>
      <c r="AZ213" s="9">
        <f t="shared" si="15"/>
        <v>1.2160215516443529E-4</v>
      </c>
      <c r="BA213" s="9">
        <f t="shared" si="15"/>
        <v>1.253285197205356E-3</v>
      </c>
      <c r="BB213" s="9">
        <f t="shared" si="15"/>
        <v>2.3446330322363096E-3</v>
      </c>
      <c r="BC213" s="9">
        <f t="shared" si="15"/>
        <v>3.9420711250279794E-3</v>
      </c>
      <c r="BD213" s="9">
        <f t="shared" si="15"/>
        <v>4.5299692741838093E-3</v>
      </c>
    </row>
    <row r="214" spans="1:56" x14ac:dyDescent="0.2">
      <c r="A214" s="1" t="s">
        <v>498</v>
      </c>
      <c r="C214" s="9">
        <f>SUM(C$40:C$54)/SUM(B$40:B$54)-1</f>
        <v>-7.8807463775669717E-3</v>
      </c>
      <c r="D214" s="9">
        <f t="shared" ref="D214:BD214" si="16">SUM(D$40:D$54)/SUM(C$40:C$54)-1</f>
        <v>-1.1999075377729262E-2</v>
      </c>
      <c r="E214" s="9">
        <f t="shared" si="16"/>
        <v>-7.4655436447167434E-3</v>
      </c>
      <c r="F214" s="9">
        <f t="shared" si="16"/>
        <v>-5.0573234758384267E-3</v>
      </c>
      <c r="G214" s="9">
        <f t="shared" si="16"/>
        <v>-7.8614658941609239E-3</v>
      </c>
      <c r="H214" s="9">
        <f t="shared" si="16"/>
        <v>-9.7038902396665572E-3</v>
      </c>
      <c r="I214" s="9">
        <f t="shared" si="16"/>
        <v>-7.3218317732424154E-3</v>
      </c>
      <c r="J214" s="9">
        <f t="shared" si="16"/>
        <v>-1.8329174303822748E-3</v>
      </c>
      <c r="K214" s="9">
        <f t="shared" si="16"/>
        <v>4.0486725663717582E-3</v>
      </c>
      <c r="L214" s="9">
        <f t="shared" si="16"/>
        <v>-1.7848092898221646E-3</v>
      </c>
      <c r="M214" s="9">
        <f t="shared" si="16"/>
        <v>-2.5826674319014975E-3</v>
      </c>
      <c r="N214" s="9">
        <f t="shared" si="16"/>
        <v>3.4746044041165103E-3</v>
      </c>
      <c r="O214" s="9">
        <f t="shared" si="16"/>
        <v>7.6529487009835417E-3</v>
      </c>
      <c r="P214" s="9">
        <f t="shared" si="16"/>
        <v>1.3854538291492524E-2</v>
      </c>
      <c r="Q214" s="9">
        <f t="shared" si="16"/>
        <v>1.9040628642977397E-2</v>
      </c>
      <c r="R214" s="9">
        <f t="shared" si="16"/>
        <v>1.6884162359122046E-2</v>
      </c>
      <c r="S214" s="9">
        <f t="shared" si="16"/>
        <v>1.7124643236599235E-2</v>
      </c>
      <c r="T214" s="9">
        <f t="shared" si="16"/>
        <v>1.3845933269155841E-2</v>
      </c>
      <c r="U214" s="9">
        <f t="shared" si="16"/>
        <v>1.373765126568216E-2</v>
      </c>
      <c r="V214" s="9">
        <f t="shared" si="16"/>
        <v>1.2355766356443976E-2</v>
      </c>
      <c r="W214" s="9">
        <f t="shared" si="16"/>
        <v>1.0866355636921954E-2</v>
      </c>
      <c r="X214" s="9">
        <f t="shared" si="16"/>
        <v>8.704796401238557E-3</v>
      </c>
      <c r="Y214" s="9">
        <f t="shared" si="16"/>
        <v>6.3129850573380164E-3</v>
      </c>
      <c r="Z214" s="9">
        <f t="shared" si="16"/>
        <v>6.8681055155874748E-3</v>
      </c>
      <c r="AA214" s="9">
        <f t="shared" si="16"/>
        <v>5.3922222433930855E-3</v>
      </c>
      <c r="AB214" s="9">
        <f t="shared" si="16"/>
        <v>1.572982602433326E-3</v>
      </c>
      <c r="AC214" s="9">
        <f t="shared" si="16"/>
        <v>-2.0435580616473548E-3</v>
      </c>
      <c r="AD214" s="9">
        <f t="shared" si="16"/>
        <v>-2.3321514571206237E-3</v>
      </c>
      <c r="AE214" s="9">
        <f t="shared" si="16"/>
        <v>-5.7964954958379389E-3</v>
      </c>
      <c r="AF214" s="9">
        <f t="shared" si="16"/>
        <v>-6.5758033376025482E-3</v>
      </c>
      <c r="AG214" s="9">
        <f t="shared" si="16"/>
        <v>-2.5399757547769353E-3</v>
      </c>
      <c r="AH214" s="9">
        <f t="shared" si="16"/>
        <v>-3.2795107741578899E-4</v>
      </c>
      <c r="AI214" s="9">
        <f t="shared" si="16"/>
        <v>-9.6487842531800538E-5</v>
      </c>
      <c r="AJ214" s="9">
        <f t="shared" si="16"/>
        <v>1.3316607160089866E-3</v>
      </c>
      <c r="AK214" s="9">
        <f t="shared" si="16"/>
        <v>1.0407832857914912E-3</v>
      </c>
      <c r="AL214" s="9">
        <f t="shared" si="16"/>
        <v>-2.3104470715085146E-4</v>
      </c>
      <c r="AM214" s="9">
        <f t="shared" si="16"/>
        <v>-5.9700342795521166E-4</v>
      </c>
      <c r="AN214" s="9">
        <f t="shared" si="16"/>
        <v>-6.9370844975435997E-4</v>
      </c>
      <c r="AO214" s="9">
        <f t="shared" si="16"/>
        <v>-2.9503075647429045E-3</v>
      </c>
      <c r="AP214" s="9">
        <f t="shared" si="16"/>
        <v>-1.4118284144973847E-3</v>
      </c>
      <c r="AQ214" s="9">
        <f t="shared" si="16"/>
        <v>1.413824492088489E-3</v>
      </c>
      <c r="AR214" s="9">
        <f t="shared" si="16"/>
        <v>2.5915754457896956E-3</v>
      </c>
      <c r="AS214" s="9">
        <f t="shared" si="16"/>
        <v>2.0254629629630205E-3</v>
      </c>
      <c r="AT214" s="9">
        <f t="shared" si="16"/>
        <v>3.0416786986235955E-3</v>
      </c>
      <c r="AU214" s="9">
        <f t="shared" si="16"/>
        <v>2.1303955626355009E-3</v>
      </c>
      <c r="AV214" s="9">
        <f t="shared" si="16"/>
        <v>2.2982341900634751E-4</v>
      </c>
      <c r="AW214" s="9">
        <f t="shared" si="16"/>
        <v>-1.5509516332861129E-3</v>
      </c>
      <c r="AX214" s="9">
        <f t="shared" si="16"/>
        <v>-4.2190046984369456E-4</v>
      </c>
      <c r="AY214" s="9">
        <f t="shared" si="16"/>
        <v>-1.5923872378795778E-3</v>
      </c>
      <c r="AZ214" s="9">
        <f t="shared" si="16"/>
        <v>-1.5372790161416461E-4</v>
      </c>
      <c r="BA214" s="9">
        <f t="shared" si="16"/>
        <v>1.0378228782288446E-3</v>
      </c>
      <c r="BB214" s="9">
        <f t="shared" si="16"/>
        <v>2.2654840072189319E-3</v>
      </c>
      <c r="BC214" s="9">
        <f t="shared" si="16"/>
        <v>4.1184583556814758E-3</v>
      </c>
      <c r="BD214" s="9">
        <f t="shared" si="16"/>
        <v>4.5212613746923314E-3</v>
      </c>
    </row>
    <row r="215" spans="1:56" x14ac:dyDescent="0.2">
      <c r="A215" s="1" t="s">
        <v>499</v>
      </c>
      <c r="C215" s="9">
        <f>SUM(C$50:C$59,C$150:C$159)/SUM(B$50:B$59,B$150:B$159)-1</f>
        <v>7.2491476276965727E-3</v>
      </c>
      <c r="D215" s="9">
        <f t="shared" ref="D215:BD215" si="17">SUM(D$50:D$59,D$150:D$159)/SUM(C$50:C$59,C$150:C$159)-1</f>
        <v>5.0932443333702171E-3</v>
      </c>
      <c r="E215" s="9">
        <f t="shared" si="17"/>
        <v>3.0687880647750632E-3</v>
      </c>
      <c r="F215" s="9">
        <f t="shared" si="17"/>
        <v>1.3649628165302019E-3</v>
      </c>
      <c r="G215" s="9">
        <f t="shared" si="17"/>
        <v>-1.6294555424990476E-3</v>
      </c>
      <c r="H215" s="9">
        <f t="shared" si="17"/>
        <v>-6.2616719762715878E-3</v>
      </c>
      <c r="I215" s="9">
        <f t="shared" si="17"/>
        <v>-7.3592116484002545E-3</v>
      </c>
      <c r="J215" s="9">
        <f t="shared" si="17"/>
        <v>-5.7591956217385443E-3</v>
      </c>
      <c r="K215" s="9">
        <f t="shared" si="17"/>
        <v>-2.6402534643326092E-3</v>
      </c>
      <c r="L215" s="9">
        <f t="shared" si="17"/>
        <v>-8.2946942835597781E-3</v>
      </c>
      <c r="M215" s="9">
        <f t="shared" si="17"/>
        <v>-1.1907073060247186E-2</v>
      </c>
      <c r="N215" s="9">
        <f t="shared" si="17"/>
        <v>-1.450651647128165E-2</v>
      </c>
      <c r="O215" s="9">
        <f t="shared" si="17"/>
        <v>-1.3905964445921293E-2</v>
      </c>
      <c r="P215" s="9">
        <f t="shared" si="17"/>
        <v>-1.2771047798763369E-2</v>
      </c>
      <c r="Q215" s="9">
        <f t="shared" si="17"/>
        <v>-1.4591688710640871E-2</v>
      </c>
      <c r="R215" s="9">
        <f t="shared" si="17"/>
        <v>-1.1257360581918952E-2</v>
      </c>
      <c r="S215" s="9">
        <f t="shared" si="17"/>
        <v>-4.7118584690839516E-3</v>
      </c>
      <c r="T215" s="9">
        <f t="shared" si="17"/>
        <v>-3.5198254166646237E-5</v>
      </c>
      <c r="U215" s="9">
        <f t="shared" si="17"/>
        <v>6.0895123110227267E-3</v>
      </c>
      <c r="V215" s="9">
        <f t="shared" si="17"/>
        <v>1.2385200734715385E-2</v>
      </c>
      <c r="W215" s="9">
        <f t="shared" si="17"/>
        <v>1.5758643927219929E-2</v>
      </c>
      <c r="X215" s="9">
        <f t="shared" si="17"/>
        <v>2.2301607552947189E-2</v>
      </c>
      <c r="Y215" s="9">
        <f t="shared" si="17"/>
        <v>2.3695420660276856E-2</v>
      </c>
      <c r="Z215" s="9">
        <f t="shared" si="17"/>
        <v>2.7828348504551403E-2</v>
      </c>
      <c r="AA215" s="9">
        <f t="shared" si="17"/>
        <v>3.0142965587044435E-2</v>
      </c>
      <c r="AB215" s="9">
        <f t="shared" si="17"/>
        <v>2.5960268967422984E-2</v>
      </c>
      <c r="AC215" s="9">
        <f t="shared" si="17"/>
        <v>2.3283305151954981E-2</v>
      </c>
      <c r="AD215" s="9">
        <f t="shared" si="17"/>
        <v>2.0589310521313076E-2</v>
      </c>
      <c r="AE215" s="9">
        <f t="shared" si="17"/>
        <v>1.9156648947602273E-2</v>
      </c>
      <c r="AF215" s="9">
        <f t="shared" si="17"/>
        <v>1.6153521720792874E-2</v>
      </c>
      <c r="AG215" s="9">
        <f t="shared" si="17"/>
        <v>1.1815326720070907E-2</v>
      </c>
      <c r="AH215" s="9">
        <f t="shared" si="17"/>
        <v>6.4813422121341446E-3</v>
      </c>
      <c r="AI215" s="9">
        <f t="shared" si="17"/>
        <v>7.2004021356675274E-4</v>
      </c>
      <c r="AJ215" s="9">
        <f t="shared" si="17"/>
        <v>-1.384740700515863E-3</v>
      </c>
      <c r="AK215" s="9">
        <f t="shared" si="17"/>
        <v>-6.7565730444003602E-3</v>
      </c>
      <c r="AL215" s="9">
        <f t="shared" si="17"/>
        <v>-8.9377369595269318E-3</v>
      </c>
      <c r="AM215" s="9">
        <f t="shared" si="17"/>
        <v>-9.4326593746547616E-3</v>
      </c>
      <c r="AN215" s="9">
        <f t="shared" si="17"/>
        <v>-6.9431857790170914E-3</v>
      </c>
      <c r="AO215" s="9">
        <f t="shared" si="17"/>
        <v>-8.0447021494658433E-3</v>
      </c>
      <c r="AP215" s="9">
        <f t="shared" si="17"/>
        <v>-5.7463130183712519E-3</v>
      </c>
      <c r="AQ215" s="9">
        <f t="shared" si="17"/>
        <v>-6.405876323880566E-4</v>
      </c>
      <c r="AR215" s="9">
        <f t="shared" si="17"/>
        <v>3.9599447317066883E-3</v>
      </c>
      <c r="AS215" s="9">
        <f t="shared" si="17"/>
        <v>5.8597352477973708E-3</v>
      </c>
      <c r="AT215" s="9">
        <f t="shared" si="17"/>
        <v>4.6971534967699125E-3</v>
      </c>
      <c r="AU215" s="9">
        <f t="shared" si="17"/>
        <v>4.1136086034789798E-3</v>
      </c>
      <c r="AV215" s="9">
        <f t="shared" si="17"/>
        <v>6.3199105145412826E-3</v>
      </c>
      <c r="AW215" s="9">
        <f t="shared" si="17"/>
        <v>4.8074251097649512E-3</v>
      </c>
      <c r="AX215" s="9">
        <f t="shared" si="17"/>
        <v>9.4029149036201076E-4</v>
      </c>
      <c r="AY215" s="9">
        <f t="shared" si="17"/>
        <v>5.5259304285359967E-4</v>
      </c>
      <c r="AZ215" s="9">
        <f t="shared" si="17"/>
        <v>5.5228785242888989E-5</v>
      </c>
      <c r="BA215" s="9">
        <f t="shared" si="17"/>
        <v>-2.7750931934281686E-3</v>
      </c>
      <c r="BB215" s="9">
        <f t="shared" si="17"/>
        <v>-5.2610447327250398E-3</v>
      </c>
      <c r="BC215" s="9">
        <f t="shared" si="17"/>
        <v>-4.2032596139125467E-3</v>
      </c>
      <c r="BD215" s="9">
        <f t="shared" si="17"/>
        <v>-4.6123527191915814E-3</v>
      </c>
    </row>
    <row r="216" spans="1:56" x14ac:dyDescent="0.2">
      <c r="A216" s="1" t="s">
        <v>500</v>
      </c>
      <c r="C216" s="9">
        <f>SUM(C$55:C$64,C$155:C$164)/SUM(B$55:B$64,B$155:B$164)-1</f>
        <v>2.5930418578485659E-2</v>
      </c>
      <c r="D216" s="9">
        <f t="shared" ref="D216:BD216" si="18">SUM(D$55:D$64,D$155:D$164)/SUM(C$55:C$64,C$155:C$164)-1</f>
        <v>2.3492922992563114E-2</v>
      </c>
      <c r="E216" s="9">
        <f t="shared" si="18"/>
        <v>1.8349545446935345E-2</v>
      </c>
      <c r="F216" s="9">
        <f t="shared" si="18"/>
        <v>1.3119605425400804E-2</v>
      </c>
      <c r="G216" s="9">
        <f t="shared" si="18"/>
        <v>6.5397659964623323E-3</v>
      </c>
      <c r="H216" s="9">
        <f t="shared" si="18"/>
        <v>3.385676974172025E-3</v>
      </c>
      <c r="I216" s="9">
        <f t="shared" si="18"/>
        <v>5.3023973263062185E-3</v>
      </c>
      <c r="J216" s="9">
        <f t="shared" si="18"/>
        <v>4.8908352779464259E-3</v>
      </c>
      <c r="K216" s="9">
        <f t="shared" si="18"/>
        <v>5.7259193281586906E-3</v>
      </c>
      <c r="L216" s="9">
        <f t="shared" si="18"/>
        <v>2.4196609311741835E-3</v>
      </c>
      <c r="M216" s="9">
        <f t="shared" si="18"/>
        <v>-3.3919697089216383E-3</v>
      </c>
      <c r="N216" s="9">
        <f t="shared" si="18"/>
        <v>-6.6803862593003416E-3</v>
      </c>
      <c r="O216" s="9">
        <f t="shared" si="18"/>
        <v>-8.3349270096257921E-3</v>
      </c>
      <c r="P216" s="9">
        <f t="shared" si="18"/>
        <v>-8.5014061872238367E-3</v>
      </c>
      <c r="Q216" s="9">
        <f t="shared" si="18"/>
        <v>-1.1183869294605797E-2</v>
      </c>
      <c r="R216" s="9">
        <f t="shared" si="18"/>
        <v>-1.1752942333540961E-2</v>
      </c>
      <c r="S216" s="9">
        <f t="shared" si="18"/>
        <v>-1.4430493124782284E-2</v>
      </c>
      <c r="T216" s="9">
        <f t="shared" si="18"/>
        <v>-1.3749810666621842E-2</v>
      </c>
      <c r="U216" s="9">
        <f t="shared" si="18"/>
        <v>-1.2661683901573295E-2</v>
      </c>
      <c r="V216" s="9">
        <f t="shared" si="18"/>
        <v>-1.4465952298651885E-2</v>
      </c>
      <c r="W216" s="9">
        <f t="shared" si="18"/>
        <v>-1.1170931027830844E-2</v>
      </c>
      <c r="X216" s="9">
        <f t="shared" si="18"/>
        <v>-4.5046642783669322E-3</v>
      </c>
      <c r="Y216" s="9">
        <f t="shared" si="18"/>
        <v>1.6033635003198654E-4</v>
      </c>
      <c r="Z216" s="9">
        <f t="shared" si="18"/>
        <v>6.3233643860993727E-3</v>
      </c>
      <c r="AA216" s="9">
        <f t="shared" si="18"/>
        <v>1.2638062871707767E-2</v>
      </c>
      <c r="AB216" s="9">
        <f t="shared" si="18"/>
        <v>1.599370739381234E-2</v>
      </c>
      <c r="AC216" s="9">
        <f t="shared" si="18"/>
        <v>2.2572043010752774E-2</v>
      </c>
      <c r="AD216" s="9">
        <f t="shared" si="18"/>
        <v>2.3941316015276604E-2</v>
      </c>
      <c r="AE216" s="9">
        <f t="shared" si="18"/>
        <v>2.8146565888925501E-2</v>
      </c>
      <c r="AF216" s="9">
        <f t="shared" si="18"/>
        <v>3.0412478225432693E-2</v>
      </c>
      <c r="AG216" s="9">
        <f t="shared" si="18"/>
        <v>2.6242322724734812E-2</v>
      </c>
      <c r="AH216" s="9">
        <f t="shared" si="18"/>
        <v>2.3455446741627473E-2</v>
      </c>
      <c r="AI216" s="9">
        <f t="shared" si="18"/>
        <v>2.0865327820437152E-2</v>
      </c>
      <c r="AJ216" s="9">
        <f t="shared" si="18"/>
        <v>1.9325069069764167E-2</v>
      </c>
      <c r="AK216" s="9">
        <f t="shared" si="18"/>
        <v>1.629085129631469E-2</v>
      </c>
      <c r="AL216" s="9">
        <f t="shared" si="18"/>
        <v>1.1980395716100878E-2</v>
      </c>
      <c r="AM216" s="9">
        <f t="shared" si="18"/>
        <v>6.553984132459556E-3</v>
      </c>
      <c r="AN216" s="9">
        <f t="shared" si="18"/>
        <v>8.6360520904738003E-4</v>
      </c>
      <c r="AO216" s="9">
        <f t="shared" si="18"/>
        <v>-1.3011381534795419E-3</v>
      </c>
      <c r="AP216" s="9">
        <f t="shared" si="18"/>
        <v>-6.6924490523602165E-3</v>
      </c>
      <c r="AQ216" s="9">
        <f t="shared" si="18"/>
        <v>-8.86373049841227E-3</v>
      </c>
      <c r="AR216" s="9">
        <f t="shared" si="18"/>
        <v>-9.3608959714716056E-3</v>
      </c>
      <c r="AS216" s="9">
        <f t="shared" si="18"/>
        <v>-6.8620282355588147E-3</v>
      </c>
      <c r="AT216" s="9">
        <f t="shared" si="18"/>
        <v>-7.9288667384039835E-3</v>
      </c>
      <c r="AU216" s="9">
        <f t="shared" si="18"/>
        <v>-5.6659245304561123E-3</v>
      </c>
      <c r="AV216" s="9">
        <f t="shared" si="18"/>
        <v>-5.7412696817904507E-4</v>
      </c>
      <c r="AW216" s="9">
        <f t="shared" si="18"/>
        <v>4.0499202941217671E-3</v>
      </c>
      <c r="AX216" s="9">
        <f t="shared" si="18"/>
        <v>5.9788594395893124E-3</v>
      </c>
      <c r="AY216" s="9">
        <f t="shared" si="18"/>
        <v>4.8058466394620414E-3</v>
      </c>
      <c r="AZ216" s="9">
        <f t="shared" si="18"/>
        <v>4.2451428490568599E-3</v>
      </c>
      <c r="BA216" s="9">
        <f t="shared" si="18"/>
        <v>6.4535219602925853E-3</v>
      </c>
      <c r="BB216" s="9">
        <f t="shared" si="18"/>
        <v>4.9421087263918917E-3</v>
      </c>
      <c r="BC216" s="9">
        <f t="shared" si="18"/>
        <v>1.0030649205907682E-3</v>
      </c>
      <c r="BD216" s="9">
        <f t="shared" si="18"/>
        <v>5.8453487724774433E-4</v>
      </c>
    </row>
    <row r="217" spans="1:56" x14ac:dyDescent="0.2">
      <c r="A217" s="1" t="s">
        <v>501</v>
      </c>
      <c r="C217" s="9">
        <f>SUM(C$55:C$69)/SUM(B$55:B$69)-1</f>
        <v>2.074095611930904E-2</v>
      </c>
      <c r="D217" s="9">
        <f t="shared" ref="D217:BD217" si="19">SUM(D$55:D$69)/SUM(C$55:C$69)-1</f>
        <v>2.0580625252213602E-2</v>
      </c>
      <c r="E217" s="9">
        <f t="shared" si="19"/>
        <v>1.956086895845921E-2</v>
      </c>
      <c r="F217" s="9">
        <f t="shared" si="19"/>
        <v>1.6584920725447594E-2</v>
      </c>
      <c r="G217" s="9">
        <f t="shared" si="19"/>
        <v>1.4047843454064068E-2</v>
      </c>
      <c r="H217" s="9">
        <f t="shared" si="19"/>
        <v>1.28795255377534E-2</v>
      </c>
      <c r="I217" s="9">
        <f t="shared" si="19"/>
        <v>1.2628359187240479E-2</v>
      </c>
      <c r="J217" s="9">
        <f t="shared" si="19"/>
        <v>1.3031846034348815E-2</v>
      </c>
      <c r="K217" s="9">
        <f t="shared" si="19"/>
        <v>1.3929119100357878E-2</v>
      </c>
      <c r="L217" s="9">
        <f t="shared" si="19"/>
        <v>1.2456413057177596E-2</v>
      </c>
      <c r="M217" s="9">
        <f t="shared" si="19"/>
        <v>7.386045353638071E-3</v>
      </c>
      <c r="N217" s="9">
        <f t="shared" si="19"/>
        <v>4.1602306662547051E-3</v>
      </c>
      <c r="O217" s="9">
        <f t="shared" si="19"/>
        <v>-9.6396414873767267E-4</v>
      </c>
      <c r="P217" s="9">
        <f t="shared" si="19"/>
        <v>-4.4344077191541542E-3</v>
      </c>
      <c r="Q217" s="9">
        <f t="shared" si="19"/>
        <v>-1.022806945189092E-2</v>
      </c>
      <c r="R217" s="9">
        <f t="shared" si="19"/>
        <v>-1.1583815992333046E-2</v>
      </c>
      <c r="S217" s="9">
        <f t="shared" si="19"/>
        <v>-1.2668099995784332E-2</v>
      </c>
      <c r="T217" s="9">
        <f t="shared" si="19"/>
        <v>-9.3507824341922952E-3</v>
      </c>
      <c r="U217" s="9">
        <f t="shared" si="19"/>
        <v>-6.8099045320345608E-3</v>
      </c>
      <c r="V217" s="9">
        <f t="shared" si="19"/>
        <v>-6.0537678738038503E-3</v>
      </c>
      <c r="W217" s="9">
        <f t="shared" si="19"/>
        <v>-5.6103737338456527E-3</v>
      </c>
      <c r="X217" s="9">
        <f t="shared" si="19"/>
        <v>-4.6760773638339082E-3</v>
      </c>
      <c r="Y217" s="9">
        <f t="shared" si="19"/>
        <v>-5.2053465084476169E-3</v>
      </c>
      <c r="Z217" s="9">
        <f t="shared" si="19"/>
        <v>-3.7692341803023943E-3</v>
      </c>
      <c r="AA217" s="9">
        <f t="shared" si="19"/>
        <v>-5.5194516157749396E-3</v>
      </c>
      <c r="AB217" s="9">
        <f t="shared" si="19"/>
        <v>-2.081281890609632E-3</v>
      </c>
      <c r="AC217" s="9">
        <f t="shared" si="19"/>
        <v>3.9918369177636137E-3</v>
      </c>
      <c r="AD217" s="9">
        <f t="shared" si="19"/>
        <v>7.9966047934953988E-3</v>
      </c>
      <c r="AE217" s="9">
        <f t="shared" si="19"/>
        <v>1.4337314689653713E-2</v>
      </c>
      <c r="AF217" s="9">
        <f t="shared" si="19"/>
        <v>1.9377812732118693E-2</v>
      </c>
      <c r="AG217" s="9">
        <f t="shared" si="19"/>
        <v>1.7187801375881273E-2</v>
      </c>
      <c r="AH217" s="9">
        <f t="shared" si="19"/>
        <v>1.7403029728420005E-2</v>
      </c>
      <c r="AI217" s="9">
        <f t="shared" si="19"/>
        <v>1.4164716602124816E-2</v>
      </c>
      <c r="AJ217" s="9">
        <f t="shared" si="19"/>
        <v>1.4007718538786573E-2</v>
      </c>
      <c r="AK217" s="9">
        <f t="shared" si="19"/>
        <v>1.2505286050866982E-2</v>
      </c>
      <c r="AL217" s="9">
        <f t="shared" si="19"/>
        <v>1.1137629276054106E-2</v>
      </c>
      <c r="AM217" s="9">
        <f t="shared" si="19"/>
        <v>8.8512981904012022E-3</v>
      </c>
      <c r="AN217" s="9">
        <f t="shared" si="19"/>
        <v>6.5509845973874548E-3</v>
      </c>
      <c r="AO217" s="9">
        <f t="shared" si="19"/>
        <v>7.1281912214775645E-3</v>
      </c>
      <c r="AP217" s="9">
        <f t="shared" si="19"/>
        <v>5.5775666423047987E-3</v>
      </c>
      <c r="AQ217" s="9">
        <f t="shared" si="19"/>
        <v>1.7022416035499255E-3</v>
      </c>
      <c r="AR217" s="9">
        <f t="shared" si="19"/>
        <v>-1.7757241326638029E-3</v>
      </c>
      <c r="AS217" s="9">
        <f t="shared" si="19"/>
        <v>-2.065799540933444E-3</v>
      </c>
      <c r="AT217" s="9">
        <f t="shared" si="19"/>
        <v>-5.5393697768918448E-3</v>
      </c>
      <c r="AU217" s="9">
        <f t="shared" si="19"/>
        <v>-6.3604648921612439E-3</v>
      </c>
      <c r="AV217" s="9">
        <f t="shared" si="19"/>
        <v>-2.2695090489399661E-3</v>
      </c>
      <c r="AW217" s="9">
        <f t="shared" si="19"/>
        <v>-1.1664981724857082E-4</v>
      </c>
      <c r="AX217" s="9">
        <f t="shared" si="19"/>
        <v>1.9443904335991746E-4</v>
      </c>
      <c r="AY217" s="9">
        <f t="shared" si="19"/>
        <v>1.5163297045102109E-3</v>
      </c>
      <c r="AZ217" s="9">
        <f t="shared" si="19"/>
        <v>1.2616949415737988E-3</v>
      </c>
      <c r="BA217" s="9">
        <f t="shared" si="19"/>
        <v>0</v>
      </c>
      <c r="BB217" s="9">
        <f t="shared" si="19"/>
        <v>-3.2956594226785096E-4</v>
      </c>
      <c r="BC217" s="9">
        <f t="shared" si="19"/>
        <v>-5.4299344529340487E-4</v>
      </c>
      <c r="BD217" s="9">
        <f t="shared" si="19"/>
        <v>-2.7940548721331337E-3</v>
      </c>
    </row>
    <row r="218" spans="1:56" x14ac:dyDescent="0.2">
      <c r="A218" s="1" t="s">
        <v>502</v>
      </c>
      <c r="C218" s="9">
        <f>SUM(C$130:C$169)/SUM(B$130:B$169)-1</f>
        <v>2.8117897535866465E-3</v>
      </c>
      <c r="D218" s="9">
        <f t="shared" ref="D218:BD218" si="20">SUM(D$130:D$169)/SUM(C$130:C$169)-1</f>
        <v>1.890172892591524E-3</v>
      </c>
      <c r="E218" s="9">
        <f t="shared" si="20"/>
        <v>5.4631128119384531E-3</v>
      </c>
      <c r="F218" s="9">
        <f t="shared" si="20"/>
        <v>5.7891366983247039E-3</v>
      </c>
      <c r="G218" s="9">
        <f t="shared" si="20"/>
        <v>2.8027550109193111E-3</v>
      </c>
      <c r="H218" s="9">
        <f t="shared" si="20"/>
        <v>1.4106859460416565E-4</v>
      </c>
      <c r="I218" s="9">
        <f t="shared" si="20"/>
        <v>4.6457914595015026E-3</v>
      </c>
      <c r="J218" s="9">
        <f t="shared" si="20"/>
        <v>1.8497231557610849E-2</v>
      </c>
      <c r="K218" s="9">
        <f t="shared" si="20"/>
        <v>2.2770545614322346E-2</v>
      </c>
      <c r="L218" s="9">
        <f t="shared" si="20"/>
        <v>1.5128796940546252E-2</v>
      </c>
      <c r="M218" s="9">
        <f t="shared" si="20"/>
        <v>7.1280391668742116E-3</v>
      </c>
      <c r="N218" s="9">
        <f t="shared" si="20"/>
        <v>6.7809737247568336E-3</v>
      </c>
      <c r="O218" s="9">
        <f t="shared" si="20"/>
        <v>5.016695037318275E-3</v>
      </c>
      <c r="P218" s="9">
        <f t="shared" si="20"/>
        <v>5.4476609258580222E-3</v>
      </c>
      <c r="Q218" s="9">
        <f t="shared" si="20"/>
        <v>3.9036558303773283E-3</v>
      </c>
      <c r="R218" s="9">
        <f t="shared" si="20"/>
        <v>2.1297879892865357E-3</v>
      </c>
      <c r="S218" s="9">
        <f t="shared" si="20"/>
        <v>2.4875221381419621E-3</v>
      </c>
      <c r="T218" s="9">
        <f t="shared" si="20"/>
        <v>3.1799821728271116E-3</v>
      </c>
      <c r="U218" s="9">
        <f t="shared" si="20"/>
        <v>3.8102861717030923E-3</v>
      </c>
      <c r="V218" s="9">
        <f t="shared" si="20"/>
        <v>4.4975717896986733E-3</v>
      </c>
      <c r="W218" s="9">
        <f t="shared" si="20"/>
        <v>5.8349541539315375E-3</v>
      </c>
      <c r="X218" s="9">
        <f t="shared" si="20"/>
        <v>6.5824782951855454E-3</v>
      </c>
      <c r="Y218" s="9">
        <f t="shared" si="20"/>
        <v>6.3747706493955114E-3</v>
      </c>
      <c r="Z218" s="9">
        <f t="shared" si="20"/>
        <v>6.6226713518819924E-3</v>
      </c>
      <c r="AA218" s="9">
        <f t="shared" si="20"/>
        <v>5.3948621098012239E-3</v>
      </c>
      <c r="AB218" s="9">
        <f t="shared" si="20"/>
        <v>5.1811477050518473E-3</v>
      </c>
      <c r="AC218" s="9">
        <f t="shared" si="20"/>
        <v>5.5756814509027031E-3</v>
      </c>
      <c r="AD218" s="9">
        <f t="shared" si="20"/>
        <v>5.5904642217905476E-3</v>
      </c>
      <c r="AE218" s="9">
        <f t="shared" si="20"/>
        <v>6.0441266691408924E-3</v>
      </c>
      <c r="AF218" s="9">
        <f t="shared" si="20"/>
        <v>6.9790027629925699E-3</v>
      </c>
      <c r="AG218" s="9">
        <f t="shared" si="20"/>
        <v>7.117544148212307E-3</v>
      </c>
      <c r="AH218" s="9">
        <f t="shared" si="20"/>
        <v>7.7576351461701165E-3</v>
      </c>
      <c r="AI218" s="9">
        <f t="shared" si="20"/>
        <v>7.513756804738092E-3</v>
      </c>
      <c r="AJ218" s="9">
        <f t="shared" si="20"/>
        <v>7.3261144540874845E-3</v>
      </c>
      <c r="AK218" s="9">
        <f t="shared" si="20"/>
        <v>7.0042751482510823E-3</v>
      </c>
      <c r="AL218" s="9">
        <f t="shared" si="20"/>
        <v>6.8906860413153748E-3</v>
      </c>
      <c r="AM218" s="9">
        <f t="shared" si="20"/>
        <v>6.3424341775595305E-3</v>
      </c>
      <c r="AN218" s="9">
        <f t="shared" si="20"/>
        <v>6.1103997723717107E-3</v>
      </c>
      <c r="AO218" s="9">
        <f t="shared" si="20"/>
        <v>5.8682541590366899E-3</v>
      </c>
      <c r="AP218" s="9">
        <f t="shared" si="20"/>
        <v>5.1662695316618823E-3</v>
      </c>
      <c r="AQ218" s="9">
        <f t="shared" si="20"/>
        <v>4.3844927414617985E-3</v>
      </c>
      <c r="AR218" s="9">
        <f t="shared" si="20"/>
        <v>3.3767083707556544E-3</v>
      </c>
      <c r="AS218" s="9">
        <f t="shared" si="20"/>
        <v>2.1302284271003114E-3</v>
      </c>
      <c r="AT218" s="9">
        <f t="shared" si="20"/>
        <v>9.4860236942873044E-4</v>
      </c>
      <c r="AU218" s="9">
        <f t="shared" si="20"/>
        <v>-2.144438295517137E-4</v>
      </c>
      <c r="AV218" s="9">
        <f t="shared" si="20"/>
        <v>-9.6866372838677606E-5</v>
      </c>
      <c r="AW218" s="9">
        <f t="shared" si="20"/>
        <v>-3.0446666436012571E-4</v>
      </c>
      <c r="AX218" s="9">
        <f t="shared" si="20"/>
        <v>-2.2149774003088485E-4</v>
      </c>
      <c r="AY218" s="9">
        <f t="shared" si="20"/>
        <v>-3.9463025914054928E-4</v>
      </c>
      <c r="AZ218" s="9">
        <f t="shared" si="20"/>
        <v>-4.5712069371528496E-4</v>
      </c>
      <c r="BA218" s="9">
        <f t="shared" si="20"/>
        <v>2.0094791984259786E-4</v>
      </c>
      <c r="BB218" s="9">
        <f t="shared" si="20"/>
        <v>5.1266063944033213E-4</v>
      </c>
      <c r="BC218" s="9">
        <f t="shared" si="20"/>
        <v>9.7632582970375026E-4</v>
      </c>
      <c r="BD218" s="9">
        <f t="shared" si="20"/>
        <v>4.911455451024338E-4</v>
      </c>
    </row>
    <row r="219" spans="1:56" x14ac:dyDescent="0.2">
      <c r="A219" s="1" t="s">
        <v>503</v>
      </c>
      <c r="C219" s="9">
        <f>SUM(C$60:C$69,C$160:C$169)/SUM(B$60:B$69,B$160:B$169)-1</f>
        <v>1.4013065703515126E-2</v>
      </c>
      <c r="D219" s="9">
        <f t="shared" ref="D219:BD219" si="21">SUM(D$60:D$69,D$160:D$169)/SUM(C$60:C$69,C$160:C$169)-1</f>
        <v>1.498725110457988E-2</v>
      </c>
      <c r="E219" s="9">
        <f t="shared" si="21"/>
        <v>2.1899629892419448E-2</v>
      </c>
      <c r="F219" s="9">
        <f t="shared" si="21"/>
        <v>2.2781437069564037E-2</v>
      </c>
      <c r="G219" s="9">
        <f t="shared" si="21"/>
        <v>2.4659193071941088E-2</v>
      </c>
      <c r="H219" s="9">
        <f t="shared" si="21"/>
        <v>2.4656651207764169E-2</v>
      </c>
      <c r="I219" s="9">
        <f t="shared" si="21"/>
        <v>2.3032294142317999E-2</v>
      </c>
      <c r="J219" s="9">
        <f t="shared" si="21"/>
        <v>1.9695261521642582E-2</v>
      </c>
      <c r="K219" s="9">
        <f t="shared" si="21"/>
        <v>1.5512186950330742E-2</v>
      </c>
      <c r="L219" s="9">
        <f t="shared" si="21"/>
        <v>9.4356741063328364E-3</v>
      </c>
      <c r="M219" s="9">
        <f t="shared" si="21"/>
        <v>5.7686336672495564E-3</v>
      </c>
      <c r="N219" s="9">
        <f t="shared" si="21"/>
        <v>6.2067396743898939E-3</v>
      </c>
      <c r="O219" s="9">
        <f t="shared" si="21"/>
        <v>3.2457046893166197E-3</v>
      </c>
      <c r="P219" s="9">
        <f t="shared" si="21"/>
        <v>1.5612676849781071E-3</v>
      </c>
      <c r="Q219" s="9">
        <f t="shared" si="21"/>
        <v>5.6246585028763008E-4</v>
      </c>
      <c r="R219" s="9">
        <f t="shared" si="21"/>
        <v>-3.0516695844911013E-3</v>
      </c>
      <c r="S219" s="9">
        <f t="shared" si="21"/>
        <v>-6.4442332168000993E-3</v>
      </c>
      <c r="T219" s="9">
        <f t="shared" si="21"/>
        <v>-8.0264630053022978E-3</v>
      </c>
      <c r="U219" s="9">
        <f t="shared" si="21"/>
        <v>-8.3202563096639315E-3</v>
      </c>
      <c r="V219" s="9">
        <f t="shared" si="21"/>
        <v>-1.102741193729706E-2</v>
      </c>
      <c r="W219" s="9">
        <f t="shared" si="21"/>
        <v>-1.1650388346278184E-2</v>
      </c>
      <c r="X219" s="9">
        <f t="shared" si="21"/>
        <v>-1.4216091333749348E-2</v>
      </c>
      <c r="Y219" s="9">
        <f t="shared" si="21"/>
        <v>-1.3548651977555726E-2</v>
      </c>
      <c r="Z219" s="9">
        <f t="shared" si="21"/>
        <v>-1.2468784683684841E-2</v>
      </c>
      <c r="AA219" s="9">
        <f t="shared" si="21"/>
        <v>-1.4241812275002208E-2</v>
      </c>
      <c r="AB219" s="9">
        <f t="shared" si="21"/>
        <v>-1.0991555919763418E-2</v>
      </c>
      <c r="AC219" s="9">
        <f t="shared" si="21"/>
        <v>-4.2329376587351142E-3</v>
      </c>
      <c r="AD219" s="9">
        <f t="shared" si="21"/>
        <v>3.9795955283827844E-4</v>
      </c>
      <c r="AE219" s="9">
        <f t="shared" si="21"/>
        <v>6.5818024012729293E-3</v>
      </c>
      <c r="AF219" s="9">
        <f t="shared" si="21"/>
        <v>1.2897894661205722E-2</v>
      </c>
      <c r="AG219" s="9">
        <f t="shared" si="21"/>
        <v>1.6440251126166094E-2</v>
      </c>
      <c r="AH219" s="9">
        <f t="shared" si="21"/>
        <v>2.2856943450874967E-2</v>
      </c>
      <c r="AI219" s="9">
        <f t="shared" si="21"/>
        <v>2.4376098118485956E-2</v>
      </c>
      <c r="AJ219" s="9">
        <f t="shared" si="21"/>
        <v>2.8491973622860156E-2</v>
      </c>
      <c r="AK219" s="9">
        <f t="shared" si="21"/>
        <v>3.0778945323251872E-2</v>
      </c>
      <c r="AL219" s="9">
        <f t="shared" si="21"/>
        <v>2.65613219401859E-2</v>
      </c>
      <c r="AM219" s="9">
        <f t="shared" si="21"/>
        <v>2.3762527733149685E-2</v>
      </c>
      <c r="AN219" s="9">
        <f t="shared" si="21"/>
        <v>2.110360495008079E-2</v>
      </c>
      <c r="AO219" s="9">
        <f t="shared" si="21"/>
        <v>1.9642857142857073E-2</v>
      </c>
      <c r="AP219" s="9">
        <f t="shared" si="21"/>
        <v>1.6465217765783358E-2</v>
      </c>
      <c r="AQ219" s="9">
        <f t="shared" si="21"/>
        <v>1.2173593752206724E-2</v>
      </c>
      <c r="AR219" s="9">
        <f t="shared" si="21"/>
        <v>6.7251747568750631E-3</v>
      </c>
      <c r="AS219" s="9">
        <f t="shared" si="21"/>
        <v>1.0255983812177405E-3</v>
      </c>
      <c r="AT219" s="9">
        <f t="shared" si="21"/>
        <v>-1.1629999861547669E-3</v>
      </c>
      <c r="AU219" s="9">
        <f t="shared" si="21"/>
        <v>-6.5702840192395362E-3</v>
      </c>
      <c r="AV219" s="9">
        <f t="shared" si="21"/>
        <v>-8.7625054068006802E-3</v>
      </c>
      <c r="AW219" s="9">
        <f t="shared" si="21"/>
        <v>-9.2904097633760285E-3</v>
      </c>
      <c r="AX219" s="9">
        <f t="shared" si="21"/>
        <v>-6.7773973089327866E-3</v>
      </c>
      <c r="AY219" s="9">
        <f t="shared" si="21"/>
        <v>-7.8965438315403702E-3</v>
      </c>
      <c r="AZ219" s="9">
        <f t="shared" si="21"/>
        <v>-5.5225516207174641E-3</v>
      </c>
      <c r="BA219" s="9">
        <f t="shared" si="21"/>
        <v>-4.2047876582229637E-4</v>
      </c>
      <c r="BB219" s="9">
        <f t="shared" si="21"/>
        <v>4.2645778938206202E-3</v>
      </c>
      <c r="BC219" s="9">
        <f t="shared" si="21"/>
        <v>6.1241586503741896E-3</v>
      </c>
      <c r="BD219" s="9">
        <f t="shared" si="21"/>
        <v>4.909701685377188E-3</v>
      </c>
    </row>
    <row r="220" spans="1:56" x14ac:dyDescent="0.2">
      <c r="A220" s="1" t="s">
        <v>504</v>
      </c>
      <c r="C220" s="9">
        <f>SUM(C$65:C$74,C$165:C$174)/SUM(B$65:B$74,B$165:B$174)-1</f>
        <v>2.6299865009542511E-2</v>
      </c>
      <c r="D220" s="9">
        <f t="shared" ref="D220:BD220" si="22">SUM(D$65:D$74,D$165:D$174)/SUM(C$65:C$74,C$165:C$174)-1</f>
        <v>3.5059869375907216E-2</v>
      </c>
      <c r="E220" s="9">
        <f t="shared" si="22"/>
        <v>3.0038122781648413E-2</v>
      </c>
      <c r="F220" s="9">
        <f t="shared" si="22"/>
        <v>2.9247229489715698E-2</v>
      </c>
      <c r="G220" s="9">
        <f t="shared" si="22"/>
        <v>2.7527486153591907E-2</v>
      </c>
      <c r="H220" s="9">
        <f t="shared" si="22"/>
        <v>1.5044247787610709E-2</v>
      </c>
      <c r="I220" s="9">
        <f t="shared" si="22"/>
        <v>1.6010145042403057E-2</v>
      </c>
      <c r="J220" s="9">
        <f t="shared" si="22"/>
        <v>2.3402761525860072E-2</v>
      </c>
      <c r="K220" s="9">
        <f t="shared" si="22"/>
        <v>2.5078130955103362E-2</v>
      </c>
      <c r="L220" s="9">
        <f t="shared" si="22"/>
        <v>2.7122992266507939E-2</v>
      </c>
      <c r="M220" s="9">
        <f t="shared" si="22"/>
        <v>2.5302709453222549E-2</v>
      </c>
      <c r="N220" s="9">
        <f t="shared" si="22"/>
        <v>2.3266077071086855E-2</v>
      </c>
      <c r="O220" s="9">
        <f t="shared" si="22"/>
        <v>1.7872237652457379E-2</v>
      </c>
      <c r="P220" s="9">
        <f t="shared" si="22"/>
        <v>1.1948544989237808E-2</v>
      </c>
      <c r="Q220" s="9">
        <f t="shared" si="22"/>
        <v>7.9888792121658447E-3</v>
      </c>
      <c r="R220" s="9">
        <f t="shared" si="22"/>
        <v>6.1975575309463071E-3</v>
      </c>
      <c r="S220" s="9">
        <f t="shared" si="22"/>
        <v>6.588724858813011E-3</v>
      </c>
      <c r="T220" s="9">
        <f t="shared" si="22"/>
        <v>3.7239365454335704E-3</v>
      </c>
      <c r="U220" s="9">
        <f t="shared" si="22"/>
        <v>1.9939853556485421E-3</v>
      </c>
      <c r="V220" s="9">
        <f t="shared" si="22"/>
        <v>1.0602551136920102E-3</v>
      </c>
      <c r="W220" s="9">
        <f t="shared" si="22"/>
        <v>-2.6559775789868345E-3</v>
      </c>
      <c r="X220" s="9">
        <f t="shared" si="22"/>
        <v>-5.9469350411710531E-3</v>
      </c>
      <c r="Y220" s="9">
        <f t="shared" si="22"/>
        <v>-7.5767536651107914E-3</v>
      </c>
      <c r="Z220" s="9">
        <f t="shared" si="22"/>
        <v>-7.9823791464485039E-3</v>
      </c>
      <c r="AA220" s="9">
        <f t="shared" si="22"/>
        <v>-1.058413048196194E-2</v>
      </c>
      <c r="AB220" s="9">
        <f t="shared" si="22"/>
        <v>-1.1287900517994887E-2</v>
      </c>
      <c r="AC220" s="9">
        <f t="shared" si="22"/>
        <v>-1.3925389945049327E-2</v>
      </c>
      <c r="AD220" s="9">
        <f t="shared" si="22"/>
        <v>-1.3187497836696593E-2</v>
      </c>
      <c r="AE220" s="9">
        <f t="shared" si="22"/>
        <v>-1.2065941774815903E-2</v>
      </c>
      <c r="AF220" s="9">
        <f t="shared" si="22"/>
        <v>-1.391748917134128E-2</v>
      </c>
      <c r="AG220" s="9">
        <f t="shared" si="22"/>
        <v>-1.0477424929790424E-2</v>
      </c>
      <c r="AH220" s="9">
        <f t="shared" si="22"/>
        <v>-3.8933158679911317E-3</v>
      </c>
      <c r="AI220" s="9">
        <f t="shared" si="22"/>
        <v>7.8535943892465987E-4</v>
      </c>
      <c r="AJ220" s="9">
        <f t="shared" si="22"/>
        <v>6.9166894789669531E-3</v>
      </c>
      <c r="AK220" s="9">
        <f t="shared" si="22"/>
        <v>1.3212745133577508E-2</v>
      </c>
      <c r="AL220" s="9">
        <f t="shared" si="22"/>
        <v>1.6635958714201315E-2</v>
      </c>
      <c r="AM220" s="9">
        <f t="shared" si="22"/>
        <v>2.3137965618566625E-2</v>
      </c>
      <c r="AN220" s="9">
        <f t="shared" si="22"/>
        <v>2.4558024351654328E-2</v>
      </c>
      <c r="AO220" s="9">
        <f t="shared" si="22"/>
        <v>2.882033033436282E-2</v>
      </c>
      <c r="AP220" s="9">
        <f t="shared" si="22"/>
        <v>3.0982330771866184E-2</v>
      </c>
      <c r="AQ220" s="9">
        <f t="shared" si="22"/>
        <v>2.674389163185209E-2</v>
      </c>
      <c r="AR220" s="9">
        <f t="shared" si="22"/>
        <v>2.4012823279183859E-2</v>
      </c>
      <c r="AS220" s="9">
        <f t="shared" si="22"/>
        <v>2.1282360024081903E-2</v>
      </c>
      <c r="AT220" s="9">
        <f t="shared" si="22"/>
        <v>1.9733545553688892E-2</v>
      </c>
      <c r="AU220" s="9">
        <f t="shared" si="22"/>
        <v>1.6706892315696775E-2</v>
      </c>
      <c r="AV220" s="9">
        <f t="shared" si="22"/>
        <v>1.2352698687970065E-2</v>
      </c>
      <c r="AW220" s="9">
        <f t="shared" si="22"/>
        <v>6.8802830745036125E-3</v>
      </c>
      <c r="AX220" s="9">
        <f t="shared" si="22"/>
        <v>1.1993083059071985E-3</v>
      </c>
      <c r="AY220" s="9">
        <f t="shared" si="22"/>
        <v>-1.0446555422458648E-3</v>
      </c>
      <c r="AZ220" s="9">
        <f t="shared" si="22"/>
        <v>-6.3163178516153495E-3</v>
      </c>
      <c r="BA220" s="9">
        <f t="shared" si="22"/>
        <v>-8.6156091263716039E-3</v>
      </c>
      <c r="BB220" s="9">
        <f t="shared" si="22"/>
        <v>-9.0301760742795834E-3</v>
      </c>
      <c r="BC220" s="9">
        <f t="shared" si="22"/>
        <v>-6.6272459793755845E-3</v>
      </c>
      <c r="BD220" s="9">
        <f t="shared" si="22"/>
        <v>-7.7354421279655083E-3</v>
      </c>
    </row>
    <row r="221" spans="1:56" x14ac:dyDescent="0.2">
      <c r="A221" s="1" t="s">
        <v>505</v>
      </c>
      <c r="C221" s="9">
        <f>SUM(C$70:C$74,C$170:C$174)/SUM(B$70:B$74,B$170:B$174)-1</f>
        <v>5.829091883203863E-2</v>
      </c>
      <c r="D221" s="9">
        <f t="shared" ref="D221:BD221" si="23">SUM(D$70:D$74,D$170:D$174)/SUM(C$70:C$74,C$170:C$174)-1</f>
        <v>7.2647192831468699E-2</v>
      </c>
      <c r="E221" s="9">
        <f t="shared" si="23"/>
        <v>4.6960543703983282E-2</v>
      </c>
      <c r="F221" s="9">
        <f t="shared" si="23"/>
        <v>4.2014154983545993E-2</v>
      </c>
      <c r="G221" s="9">
        <f t="shared" si="23"/>
        <v>3.1408176508760599E-2</v>
      </c>
      <c r="H221" s="9">
        <f t="shared" si="23"/>
        <v>3.6072312403003792E-3</v>
      </c>
      <c r="I221" s="9">
        <f t="shared" si="23"/>
        <v>7.2721193630627123E-3</v>
      </c>
      <c r="J221" s="9">
        <f t="shared" si="23"/>
        <v>1.7509646902618137E-2</v>
      </c>
      <c r="K221" s="9">
        <f t="shared" si="23"/>
        <v>2.1245361497369775E-2</v>
      </c>
      <c r="L221" s="9">
        <f t="shared" si="23"/>
        <v>2.571474205398494E-2</v>
      </c>
      <c r="M221" s="9">
        <f t="shared" si="23"/>
        <v>2.5264715042043084E-2</v>
      </c>
      <c r="N221" s="9">
        <f t="shared" si="23"/>
        <v>2.3389148346432798E-2</v>
      </c>
      <c r="O221" s="9">
        <f t="shared" si="23"/>
        <v>2.6305049530664482E-2</v>
      </c>
      <c r="P221" s="9">
        <f t="shared" si="23"/>
        <v>2.4727062396066701E-2</v>
      </c>
      <c r="Q221" s="9">
        <f t="shared" si="23"/>
        <v>2.6917378113314072E-2</v>
      </c>
      <c r="R221" s="9">
        <f t="shared" si="23"/>
        <v>2.579958088563683E-2</v>
      </c>
      <c r="S221" s="9">
        <f t="shared" si="23"/>
        <v>2.3576691225720037E-2</v>
      </c>
      <c r="T221" s="9">
        <f t="shared" si="23"/>
        <v>1.1026043711556133E-2</v>
      </c>
      <c r="U221" s="9">
        <f t="shared" si="23"/>
        <v>1.1650108410730109E-3</v>
      </c>
      <c r="V221" s="9">
        <f t="shared" si="23"/>
        <v>-8.4688237385655007E-3</v>
      </c>
      <c r="W221" s="9">
        <f t="shared" si="23"/>
        <v>-1.1605541972290134E-2</v>
      </c>
      <c r="X221" s="9">
        <f t="shared" si="23"/>
        <v>-9.3340809393449575E-3</v>
      </c>
      <c r="Y221" s="9">
        <f t="shared" si="23"/>
        <v>-2.9964043148221764E-3</v>
      </c>
      <c r="Z221" s="9">
        <f t="shared" si="23"/>
        <v>3.2725572697522853E-3</v>
      </c>
      <c r="AA221" s="9">
        <f t="shared" si="23"/>
        <v>1.1316735454666382E-2</v>
      </c>
      <c r="AB221" s="9">
        <f t="shared" si="23"/>
        <v>6.7798841495523288E-3</v>
      </c>
      <c r="AC221" s="9">
        <f t="shared" si="23"/>
        <v>-2.3537103628636924E-3</v>
      </c>
      <c r="AD221" s="9">
        <f t="shared" si="23"/>
        <v>-1.1501409004521901E-2</v>
      </c>
      <c r="AE221" s="9">
        <f t="shared" si="23"/>
        <v>-1.8497033181953837E-2</v>
      </c>
      <c r="AF221" s="9">
        <f t="shared" si="23"/>
        <v>-3.2118612584011608E-2</v>
      </c>
      <c r="AG221" s="9">
        <f t="shared" si="23"/>
        <v>-2.9555446995603307E-2</v>
      </c>
      <c r="AH221" s="9">
        <f t="shared" si="23"/>
        <v>-2.6104778684693075E-2</v>
      </c>
      <c r="AI221" s="9">
        <f t="shared" si="23"/>
        <v>-1.4472955510430152E-2</v>
      </c>
      <c r="AJ221" s="9">
        <f t="shared" si="23"/>
        <v>-4.4206346233094385E-3</v>
      </c>
      <c r="AK221" s="9">
        <f t="shared" si="23"/>
        <v>6.5851364063969076E-3</v>
      </c>
      <c r="AL221" s="9">
        <f t="shared" si="23"/>
        <v>1.0056074766355172E-2</v>
      </c>
      <c r="AM221" s="9">
        <f t="shared" si="23"/>
        <v>1.9060661016321756E-2</v>
      </c>
      <c r="AN221" s="9">
        <f t="shared" si="23"/>
        <v>1.5907605142732706E-2</v>
      </c>
      <c r="AO221" s="9">
        <f t="shared" si="23"/>
        <v>1.7946517946517915E-2</v>
      </c>
      <c r="AP221" s="9">
        <f t="shared" si="23"/>
        <v>1.9561705415466646E-2</v>
      </c>
      <c r="AQ221" s="9">
        <f t="shared" si="23"/>
        <v>2.2803210361337811E-2</v>
      </c>
      <c r="AR221" s="9">
        <f t="shared" si="23"/>
        <v>2.7077088876166E-2</v>
      </c>
      <c r="AS221" s="9">
        <f t="shared" si="23"/>
        <v>3.2363839066137601E-2</v>
      </c>
      <c r="AT221" s="9">
        <f t="shared" si="23"/>
        <v>3.8400457375174613E-2</v>
      </c>
      <c r="AU221" s="9">
        <f t="shared" si="23"/>
        <v>4.1079130089009874E-2</v>
      </c>
      <c r="AV221" s="9">
        <f t="shared" si="23"/>
        <v>3.0144552826419035E-2</v>
      </c>
      <c r="AW221" s="9">
        <f t="shared" si="23"/>
        <v>2.1533283897096522E-2</v>
      </c>
      <c r="AX221" s="9">
        <f t="shared" si="23"/>
        <v>1.2033391964709539E-2</v>
      </c>
      <c r="AY221" s="9">
        <f t="shared" si="23"/>
        <v>3.7243434120504126E-3</v>
      </c>
      <c r="AZ221" s="9">
        <f t="shared" si="23"/>
        <v>-4.8099387076381284E-3</v>
      </c>
      <c r="BA221" s="9">
        <f t="shared" si="23"/>
        <v>-4.1427308882014957E-3</v>
      </c>
      <c r="BB221" s="9">
        <f t="shared" si="23"/>
        <v>-6.9887403627488798E-3</v>
      </c>
      <c r="BC221" s="9">
        <f t="shared" si="23"/>
        <v>-9.4397586996592953E-3</v>
      </c>
      <c r="BD221" s="9">
        <f t="shared" si="23"/>
        <v>-5.6388857561745498E-3</v>
      </c>
    </row>
    <row r="222" spans="1:56" x14ac:dyDescent="0.2">
      <c r="A222" s="1" t="s">
        <v>479</v>
      </c>
      <c r="C222" s="9">
        <f>SUM(C$75:C$100,C$175:C$200)/SUM(B$75:B$100,B$175:B$200)-1</f>
        <v>2.6718527060571207E-2</v>
      </c>
      <c r="D222" s="9">
        <f t="shared" ref="D222:BD222" si="24">SUM(D$75:D$100,D$175:D$200)/SUM(C$75:C$100,C$175:C$200)-1</f>
        <v>1.8522748905387409E-2</v>
      </c>
      <c r="E222" s="9">
        <f t="shared" si="24"/>
        <v>2.4877109694783517E-2</v>
      </c>
      <c r="F222" s="9">
        <f t="shared" si="24"/>
        <v>2.755589597694863E-2</v>
      </c>
      <c r="G222" s="9">
        <f t="shared" si="24"/>
        <v>2.9461354157423125E-2</v>
      </c>
      <c r="H222" s="9">
        <f t="shared" si="24"/>
        <v>3.9513835014223009E-2</v>
      </c>
      <c r="I222" s="9">
        <f t="shared" si="24"/>
        <v>3.8177687115445114E-2</v>
      </c>
      <c r="J222" s="9">
        <f t="shared" si="24"/>
        <v>3.9122030703365951E-2</v>
      </c>
      <c r="K222" s="9">
        <f t="shared" si="24"/>
        <v>3.9540031976386558E-2</v>
      </c>
      <c r="L222" s="9">
        <f t="shared" si="24"/>
        <v>3.6527654540077004E-2</v>
      </c>
      <c r="M222" s="9">
        <f t="shared" si="24"/>
        <v>3.4783849336567307E-2</v>
      </c>
      <c r="N222" s="9">
        <f t="shared" si="24"/>
        <v>3.3711118464593071E-2</v>
      </c>
      <c r="O222" s="9">
        <f t="shared" si="24"/>
        <v>3.4492417270217235E-2</v>
      </c>
      <c r="P222" s="9">
        <f t="shared" si="24"/>
        <v>3.3754947846155847E-2</v>
      </c>
      <c r="Q222" s="9">
        <f t="shared" si="24"/>
        <v>3.4299113212018506E-2</v>
      </c>
      <c r="R222" s="9">
        <f t="shared" si="24"/>
        <v>3.4041988737081974E-2</v>
      </c>
      <c r="S222" s="9">
        <f t="shared" si="24"/>
        <v>3.2827988338192338E-2</v>
      </c>
      <c r="T222" s="9">
        <f t="shared" si="24"/>
        <v>3.3941173149664161E-2</v>
      </c>
      <c r="U222" s="9">
        <f t="shared" si="24"/>
        <v>3.304539646831417E-2</v>
      </c>
      <c r="V222" s="9">
        <f t="shared" si="24"/>
        <v>3.3584574563675362E-2</v>
      </c>
      <c r="W222" s="9">
        <f t="shared" si="24"/>
        <v>3.3362652647943136E-2</v>
      </c>
      <c r="X222" s="9">
        <f t="shared" si="24"/>
        <v>3.1246288451640902E-2</v>
      </c>
      <c r="Y222" s="9">
        <f t="shared" si="24"/>
        <v>2.8687147889013609E-2</v>
      </c>
      <c r="Z222" s="9">
        <f t="shared" si="24"/>
        <v>2.5004198466160421E-2</v>
      </c>
      <c r="AA222" s="9">
        <f t="shared" si="24"/>
        <v>2.3028890790264045E-2</v>
      </c>
      <c r="AB222" s="9">
        <f t="shared" si="24"/>
        <v>2.2065627446793412E-2</v>
      </c>
      <c r="AC222" s="9">
        <f t="shared" si="24"/>
        <v>2.1397729646911445E-2</v>
      </c>
      <c r="AD222" s="9">
        <f t="shared" si="24"/>
        <v>2.0744907525781953E-2</v>
      </c>
      <c r="AE222" s="9">
        <f t="shared" si="24"/>
        <v>1.9363080725426585E-2</v>
      </c>
      <c r="AF222" s="9">
        <f t="shared" si="24"/>
        <v>1.9560462963721381E-2</v>
      </c>
      <c r="AG222" s="9">
        <f t="shared" si="24"/>
        <v>1.7658731752777657E-2</v>
      </c>
      <c r="AH222" s="9">
        <f t="shared" si="24"/>
        <v>1.5102353377700828E-2</v>
      </c>
      <c r="AI222" s="9">
        <f t="shared" si="24"/>
        <v>1.2505638425285071E-2</v>
      </c>
      <c r="AJ222" s="9">
        <f t="shared" si="24"/>
        <v>9.9393194561794296E-3</v>
      </c>
      <c r="AK222" s="9">
        <f t="shared" si="24"/>
        <v>7.4381673815826499E-3</v>
      </c>
      <c r="AL222" s="9">
        <f t="shared" si="24"/>
        <v>6.8321480877535645E-3</v>
      </c>
      <c r="AM222" s="9">
        <f t="shared" si="24"/>
        <v>5.4736179114773797E-3</v>
      </c>
      <c r="AN222" s="9">
        <f t="shared" si="24"/>
        <v>5.9360015511160658E-3</v>
      </c>
      <c r="AO222" s="9">
        <f t="shared" si="24"/>
        <v>5.6118553223665213E-3</v>
      </c>
      <c r="AP222" s="9">
        <f t="shared" si="24"/>
        <v>5.5952819756726058E-3</v>
      </c>
      <c r="AQ222" s="9">
        <f t="shared" si="24"/>
        <v>5.6741124119377151E-3</v>
      </c>
      <c r="AR222" s="9">
        <f t="shared" si="24"/>
        <v>6.4002099385491729E-3</v>
      </c>
      <c r="AS222" s="9">
        <f t="shared" si="24"/>
        <v>6.2798328275182058E-3</v>
      </c>
      <c r="AT222" s="9">
        <f t="shared" si="24"/>
        <v>6.4061960152022035E-3</v>
      </c>
      <c r="AU222" s="9">
        <f t="shared" si="24"/>
        <v>7.0591769300090146E-3</v>
      </c>
      <c r="AV222" s="9">
        <f t="shared" si="24"/>
        <v>7.9613650083447673E-3</v>
      </c>
      <c r="AW222" s="9">
        <f t="shared" si="24"/>
        <v>9.7163310457561991E-3</v>
      </c>
      <c r="AX222" s="9">
        <f t="shared" si="24"/>
        <v>1.0990544642545563E-2</v>
      </c>
      <c r="AY222" s="9">
        <f t="shared" si="24"/>
        <v>1.2817504141358294E-2</v>
      </c>
      <c r="AZ222" s="9">
        <f t="shared" si="24"/>
        <v>1.4236354838929488E-2</v>
      </c>
      <c r="BA222" s="9">
        <f t="shared" si="24"/>
        <v>1.3223495894534532E-2</v>
      </c>
      <c r="BB222" s="9">
        <f t="shared" si="24"/>
        <v>1.3011127763704167E-2</v>
      </c>
      <c r="BC222" s="9">
        <f t="shared" si="24"/>
        <v>1.2320301657545274E-2</v>
      </c>
      <c r="BD222" s="9">
        <f t="shared" si="24"/>
        <v>1.2319093625111632E-2</v>
      </c>
    </row>
    <row r="225" spans="56:56" x14ac:dyDescent="0.2">
      <c r="BD225" s="3"/>
    </row>
  </sheetData>
  <hyperlinks>
    <hyperlink ref="E3" r:id="rId1"/>
    <hyperlink ref="E2"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0"/>
  <sheetViews>
    <sheetView zoomScaleNormal="100" workbookViewId="0">
      <pane xSplit="1" ySplit="7" topLeftCell="AM8" activePane="bottomRight" state="frozen"/>
      <selection pane="topRight" activeCell="B1" sqref="B1"/>
      <selection pane="bottomLeft" activeCell="A8" sqref="A8"/>
      <selection pane="bottomRight" activeCell="AV3" sqref="AV3:AW5"/>
    </sheetView>
  </sheetViews>
  <sheetFormatPr defaultRowHeight="14.25" x14ac:dyDescent="0.2"/>
  <cols>
    <col min="1" max="1" width="25.7109375" style="1" customWidth="1"/>
    <col min="2" max="47" width="10.7109375" style="1" customWidth="1"/>
    <col min="48" max="16384" width="9.140625" style="1"/>
  </cols>
  <sheetData>
    <row r="1" spans="1:47" ht="15" x14ac:dyDescent="0.25">
      <c r="A1" s="2" t="s">
        <v>74</v>
      </c>
    </row>
    <row r="2" spans="1:47" ht="15" x14ac:dyDescent="0.25">
      <c r="A2" s="1" t="s">
        <v>8</v>
      </c>
      <c r="E2" s="5" t="s">
        <v>76</v>
      </c>
      <c r="I2" s="4" t="s">
        <v>75</v>
      </c>
      <c r="N2" s="4" t="s">
        <v>24</v>
      </c>
    </row>
    <row r="3" spans="1:47" ht="15" x14ac:dyDescent="0.25">
      <c r="A3" s="2" t="s">
        <v>13</v>
      </c>
      <c r="B3" s="6" t="s">
        <v>23</v>
      </c>
      <c r="C3" s="6" t="s">
        <v>25</v>
      </c>
      <c r="D3" s="6" t="s">
        <v>26</v>
      </c>
      <c r="E3" s="6" t="s">
        <v>27</v>
      </c>
      <c r="F3" s="6" t="s">
        <v>28</v>
      </c>
      <c r="G3" s="6" t="s">
        <v>29</v>
      </c>
      <c r="H3" s="6" t="s">
        <v>30</v>
      </c>
      <c r="I3" s="6" t="s">
        <v>31</v>
      </c>
      <c r="J3" s="6" t="s">
        <v>32</v>
      </c>
      <c r="K3" s="6" t="s">
        <v>33</v>
      </c>
      <c r="L3" s="6" t="s">
        <v>34</v>
      </c>
      <c r="M3" s="6" t="s">
        <v>35</v>
      </c>
      <c r="N3" s="6" t="s">
        <v>36</v>
      </c>
      <c r="O3" s="6" t="s">
        <v>37</v>
      </c>
      <c r="P3" s="6" t="s">
        <v>38</v>
      </c>
      <c r="Q3" s="6" t="s">
        <v>39</v>
      </c>
      <c r="R3" s="6" t="s">
        <v>40</v>
      </c>
      <c r="S3" s="6" t="s">
        <v>41</v>
      </c>
      <c r="T3" s="6" t="s">
        <v>42</v>
      </c>
      <c r="U3" s="6" t="s">
        <v>43</v>
      </c>
      <c r="V3" s="6" t="s">
        <v>44</v>
      </c>
      <c r="W3" s="6" t="s">
        <v>45</v>
      </c>
      <c r="X3" s="6" t="s">
        <v>46</v>
      </c>
      <c r="Y3" s="6" t="s">
        <v>47</v>
      </c>
      <c r="Z3" s="6" t="s">
        <v>48</v>
      </c>
      <c r="AA3" s="6" t="s">
        <v>49</v>
      </c>
      <c r="AB3" s="6" t="s">
        <v>50</v>
      </c>
      <c r="AC3" s="6" t="s">
        <v>51</v>
      </c>
      <c r="AD3" s="6" t="s">
        <v>52</v>
      </c>
      <c r="AE3" s="6" t="s">
        <v>53</v>
      </c>
      <c r="AF3" s="6" t="s">
        <v>54</v>
      </c>
      <c r="AG3" s="6" t="s">
        <v>55</v>
      </c>
      <c r="AH3" s="6" t="s">
        <v>56</v>
      </c>
      <c r="AI3" s="6" t="s">
        <v>57</v>
      </c>
      <c r="AJ3" s="6" t="s">
        <v>58</v>
      </c>
      <c r="AK3" s="6" t="s">
        <v>59</v>
      </c>
      <c r="AL3" s="6" t="s">
        <v>60</v>
      </c>
      <c r="AM3" s="6" t="s">
        <v>61</v>
      </c>
      <c r="AN3" s="6" t="s">
        <v>62</v>
      </c>
      <c r="AO3" s="6" t="s">
        <v>63</v>
      </c>
      <c r="AP3" s="6" t="s">
        <v>64</v>
      </c>
      <c r="AQ3" s="6" t="s">
        <v>65</v>
      </c>
      <c r="AR3" s="6" t="s">
        <v>66</v>
      </c>
      <c r="AS3" s="6" t="s">
        <v>67</v>
      </c>
      <c r="AT3" s="6" t="s">
        <v>68</v>
      </c>
      <c r="AU3" s="6" t="s">
        <v>69</v>
      </c>
    </row>
    <row r="4" spans="1:47" ht="15" x14ac:dyDescent="0.25">
      <c r="B4" s="2">
        <v>2015</v>
      </c>
      <c r="C4" s="2">
        <v>2016</v>
      </c>
      <c r="D4" s="2">
        <v>2017</v>
      </c>
      <c r="E4" s="2">
        <v>2018</v>
      </c>
      <c r="F4" s="2">
        <v>2019</v>
      </c>
      <c r="G4" s="2">
        <v>2020</v>
      </c>
      <c r="H4" s="2">
        <v>2021</v>
      </c>
      <c r="I4" s="2">
        <v>2022</v>
      </c>
      <c r="J4" s="2">
        <v>2023</v>
      </c>
      <c r="K4" s="2">
        <v>2024</v>
      </c>
      <c r="L4" s="2">
        <v>2025</v>
      </c>
      <c r="M4" s="2">
        <v>2026</v>
      </c>
      <c r="N4" s="2">
        <v>2027</v>
      </c>
      <c r="O4" s="2">
        <v>2028</v>
      </c>
      <c r="P4" s="2">
        <v>2029</v>
      </c>
      <c r="Q4" s="2">
        <v>2030</v>
      </c>
      <c r="R4" s="2">
        <v>2031</v>
      </c>
      <c r="S4" s="2">
        <v>2032</v>
      </c>
      <c r="T4" s="2">
        <v>2033</v>
      </c>
      <c r="U4" s="2">
        <v>2034</v>
      </c>
      <c r="V4" s="2">
        <v>2035</v>
      </c>
      <c r="W4" s="2">
        <v>2036</v>
      </c>
      <c r="X4" s="2">
        <v>2037</v>
      </c>
      <c r="Y4" s="2">
        <v>2038</v>
      </c>
      <c r="Z4" s="2">
        <v>2039</v>
      </c>
      <c r="AA4" s="2">
        <v>2040</v>
      </c>
      <c r="AB4" s="2">
        <v>2041</v>
      </c>
      <c r="AC4" s="2">
        <v>2042</v>
      </c>
      <c r="AD4" s="2">
        <v>2043</v>
      </c>
      <c r="AE4" s="2">
        <v>2044</v>
      </c>
      <c r="AF4" s="2">
        <v>2045</v>
      </c>
      <c r="AG4" s="2">
        <v>2046</v>
      </c>
      <c r="AH4" s="2">
        <v>2047</v>
      </c>
      <c r="AI4" s="2">
        <v>2048</v>
      </c>
      <c r="AJ4" s="2">
        <v>2049</v>
      </c>
      <c r="AK4" s="2">
        <v>2050</v>
      </c>
      <c r="AL4" s="2">
        <v>2051</v>
      </c>
      <c r="AM4" s="2">
        <v>2052</v>
      </c>
      <c r="AN4" s="2">
        <v>2053</v>
      </c>
      <c r="AO4" s="2">
        <v>2054</v>
      </c>
      <c r="AP4" s="2">
        <v>2055</v>
      </c>
      <c r="AQ4" s="2">
        <v>2056</v>
      </c>
      <c r="AR4" s="2">
        <v>2057</v>
      </c>
      <c r="AS4" s="2">
        <v>2058</v>
      </c>
      <c r="AT4" s="2">
        <v>2059</v>
      </c>
      <c r="AU4" s="2">
        <v>2060</v>
      </c>
    </row>
    <row r="5" spans="1:47" ht="15" x14ac:dyDescent="0.25">
      <c r="A5" s="2" t="s">
        <v>78</v>
      </c>
      <c r="B5" s="8">
        <f t="shared" ref="B5:AG5" si="0">SUM(B$10:B$75,B$80:B$145)/1000000</f>
        <v>2.4922499999999999</v>
      </c>
      <c r="C5" s="8">
        <f t="shared" si="0"/>
        <v>2.53382</v>
      </c>
      <c r="D5" s="8">
        <f t="shared" si="0"/>
        <v>2.5607600000000001</v>
      </c>
      <c r="E5" s="8">
        <f t="shared" si="0"/>
        <v>2.5861100000000001</v>
      </c>
      <c r="F5" s="8">
        <f t="shared" si="0"/>
        <v>2.6099800000000002</v>
      </c>
      <c r="G5" s="8">
        <f t="shared" si="0"/>
        <v>2.6325099999999999</v>
      </c>
      <c r="H5" s="8">
        <f t="shared" si="0"/>
        <v>2.6541299999999999</v>
      </c>
      <c r="I5" s="8">
        <f t="shared" si="0"/>
        <v>2.6753399999999998</v>
      </c>
      <c r="J5" s="8">
        <f t="shared" si="0"/>
        <v>2.6961300000000001</v>
      </c>
      <c r="K5" s="8">
        <f t="shared" si="0"/>
        <v>2.71672</v>
      </c>
      <c r="L5" s="8">
        <f t="shared" si="0"/>
        <v>2.73726</v>
      </c>
      <c r="M5" s="8">
        <f t="shared" si="0"/>
        <v>2.7567900000000001</v>
      </c>
      <c r="N5" s="8">
        <f t="shared" si="0"/>
        <v>2.7753999999999999</v>
      </c>
      <c r="O5" s="8">
        <f t="shared" si="0"/>
        <v>2.7928899999999999</v>
      </c>
      <c r="P5" s="8">
        <f t="shared" si="0"/>
        <v>2.8091200000000001</v>
      </c>
      <c r="Q5" s="8">
        <f t="shared" si="0"/>
        <v>2.8243900000000002</v>
      </c>
      <c r="R5" s="8">
        <f t="shared" si="0"/>
        <v>2.83867</v>
      </c>
      <c r="S5" s="8">
        <f t="shared" si="0"/>
        <v>2.8522799999999999</v>
      </c>
      <c r="T5" s="8">
        <f t="shared" si="0"/>
        <v>2.8653900000000001</v>
      </c>
      <c r="U5" s="8">
        <f t="shared" si="0"/>
        <v>2.8782000000000001</v>
      </c>
      <c r="V5" s="8">
        <f t="shared" si="0"/>
        <v>2.8909199999999999</v>
      </c>
      <c r="W5" s="8">
        <f t="shared" si="0"/>
        <v>2.9033899999999999</v>
      </c>
      <c r="X5" s="8">
        <f t="shared" si="0"/>
        <v>2.9160200000000001</v>
      </c>
      <c r="Y5" s="8">
        <f t="shared" si="0"/>
        <v>2.9288099999999999</v>
      </c>
      <c r="Z5" s="8">
        <f t="shared" si="0"/>
        <v>2.94191</v>
      </c>
      <c r="AA5" s="8">
        <f t="shared" si="0"/>
        <v>2.9555400000000001</v>
      </c>
      <c r="AB5" s="8">
        <f t="shared" si="0"/>
        <v>2.9695999999999998</v>
      </c>
      <c r="AC5" s="8">
        <f t="shared" si="0"/>
        <v>2.9837799999999999</v>
      </c>
      <c r="AD5" s="8">
        <f t="shared" si="0"/>
        <v>2.9982099999999998</v>
      </c>
      <c r="AE5" s="8">
        <f t="shared" si="0"/>
        <v>3.0127600000000001</v>
      </c>
      <c r="AF5" s="8">
        <f t="shared" si="0"/>
        <v>3.0274299999999998</v>
      </c>
      <c r="AG5" s="8">
        <f t="shared" si="0"/>
        <v>3.0418400000000001</v>
      </c>
      <c r="AH5" s="8">
        <f t="shared" ref="AH5:AT5" si="1">SUM(AH$10:AH$75,AH$80:AH$145)/1000000</f>
        <v>3.0562100000000001</v>
      </c>
      <c r="AI5" s="8">
        <f t="shared" si="1"/>
        <v>3.0702799999999999</v>
      </c>
      <c r="AJ5" s="8">
        <f t="shared" si="1"/>
        <v>3.0838199999999998</v>
      </c>
      <c r="AK5" s="8">
        <f t="shared" si="1"/>
        <v>3.09687</v>
      </c>
      <c r="AL5" s="8">
        <f t="shared" si="1"/>
        <v>3.10947</v>
      </c>
      <c r="AM5" s="8">
        <f t="shared" si="1"/>
        <v>3.1210499999999999</v>
      </c>
      <c r="AN5" s="8">
        <f t="shared" si="1"/>
        <v>3.1320299999999999</v>
      </c>
      <c r="AO5" s="8">
        <f t="shared" si="1"/>
        <v>3.1419899999999998</v>
      </c>
      <c r="AP5" s="8">
        <f t="shared" si="1"/>
        <v>3.1509999999999998</v>
      </c>
      <c r="AQ5" s="8">
        <f t="shared" si="1"/>
        <v>3.1592600000000002</v>
      </c>
      <c r="AR5" s="8">
        <f t="shared" si="1"/>
        <v>3.1667800000000002</v>
      </c>
      <c r="AS5" s="8">
        <f t="shared" si="1"/>
        <v>3.1736300000000002</v>
      </c>
      <c r="AT5" s="8">
        <f t="shared" si="1"/>
        <v>3.1800700000000002</v>
      </c>
      <c r="AU5" s="8">
        <f>SUM(AU$10:AU$75,AU$80:AU$145)/1000000</f>
        <v>3.1859299999999999</v>
      </c>
    </row>
    <row r="6" spans="1:47" x14ac:dyDescent="0.2">
      <c r="A6" s="4" t="s">
        <v>71</v>
      </c>
      <c r="C6" s="9">
        <f>C$5/B$5-1</f>
        <v>1.6679707091985296E-2</v>
      </c>
      <c r="D6" s="9">
        <f t="shared" ref="D6:AU6" si="2">D$5/C$5-1</f>
        <v>1.0632168030878297E-2</v>
      </c>
      <c r="E6" s="9">
        <f t="shared" si="2"/>
        <v>9.8994048641809496E-3</v>
      </c>
      <c r="F6" s="9">
        <f t="shared" si="2"/>
        <v>9.2300791536323867E-3</v>
      </c>
      <c r="G6" s="9">
        <f t="shared" si="2"/>
        <v>8.6322500555557902E-3</v>
      </c>
      <c r="H6" s="9">
        <f t="shared" si="2"/>
        <v>8.2126943487395021E-3</v>
      </c>
      <c r="I6" s="9">
        <f t="shared" si="2"/>
        <v>7.9913191893388191E-3</v>
      </c>
      <c r="J6" s="9">
        <f t="shared" si="2"/>
        <v>7.7709749041243725E-3</v>
      </c>
      <c r="K6" s="9">
        <f t="shared" si="2"/>
        <v>7.6368721092825442E-3</v>
      </c>
      <c r="L6" s="9">
        <f t="shared" si="2"/>
        <v>7.560587767602156E-3</v>
      </c>
      <c r="M6" s="9">
        <f t="shared" si="2"/>
        <v>7.1348720983757108E-3</v>
      </c>
      <c r="N6" s="9">
        <f t="shared" si="2"/>
        <v>6.7506048701568844E-3</v>
      </c>
      <c r="O6" s="9">
        <f t="shared" si="2"/>
        <v>6.3017943359515716E-3</v>
      </c>
      <c r="P6" s="9">
        <f t="shared" si="2"/>
        <v>5.8111848300506086E-3</v>
      </c>
      <c r="Q6" s="9">
        <f t="shared" si="2"/>
        <v>5.4358660363387212E-3</v>
      </c>
      <c r="R6" s="9">
        <f t="shared" si="2"/>
        <v>5.0559589858341081E-3</v>
      </c>
      <c r="S6" s="9">
        <f t="shared" si="2"/>
        <v>4.7944988321995119E-3</v>
      </c>
      <c r="T6" s="9">
        <f t="shared" si="2"/>
        <v>4.5963229416468021E-3</v>
      </c>
      <c r="U6" s="9">
        <f t="shared" si="2"/>
        <v>4.4705956257262702E-3</v>
      </c>
      <c r="V6" s="9">
        <f t="shared" si="2"/>
        <v>4.4194288096726098E-3</v>
      </c>
      <c r="W6" s="9">
        <f t="shared" si="2"/>
        <v>4.3135057351983974E-3</v>
      </c>
      <c r="X6" s="9">
        <f t="shared" si="2"/>
        <v>4.3500873117288119E-3</v>
      </c>
      <c r="Y6" s="9">
        <f t="shared" si="2"/>
        <v>4.3861153215682958E-3</v>
      </c>
      <c r="Z6" s="9">
        <f t="shared" si="2"/>
        <v>4.4728063616281677E-3</v>
      </c>
      <c r="AA6" s="9">
        <f t="shared" si="2"/>
        <v>4.6330445186970604E-3</v>
      </c>
      <c r="AB6" s="9">
        <f t="shared" si="2"/>
        <v>4.7571678948685747E-3</v>
      </c>
      <c r="AC6" s="9">
        <f t="shared" si="2"/>
        <v>4.7750538793103203E-3</v>
      </c>
      <c r="AD6" s="9">
        <f t="shared" si="2"/>
        <v>4.8361474371434454E-3</v>
      </c>
      <c r="AE6" s="9">
        <f t="shared" si="2"/>
        <v>4.8528955610180891E-3</v>
      </c>
      <c r="AF6" s="9">
        <f t="shared" si="2"/>
        <v>4.86928928955499E-3</v>
      </c>
      <c r="AG6" s="9">
        <f t="shared" si="2"/>
        <v>4.7598127784953537E-3</v>
      </c>
      <c r="AH6" s="9">
        <f t="shared" si="2"/>
        <v>4.7241143518397255E-3</v>
      </c>
      <c r="AI6" s="9">
        <f t="shared" si="2"/>
        <v>4.6037412350590223E-3</v>
      </c>
      <c r="AJ6" s="9">
        <f t="shared" si="2"/>
        <v>4.410021235848216E-3</v>
      </c>
      <c r="AK6" s="9">
        <f t="shared" si="2"/>
        <v>4.2317644998735027E-3</v>
      </c>
      <c r="AL6" s="9">
        <f t="shared" si="2"/>
        <v>4.0686241269409784E-3</v>
      </c>
      <c r="AM6" s="9">
        <f t="shared" si="2"/>
        <v>3.724107323756165E-3</v>
      </c>
      <c r="AN6" s="9">
        <f t="shared" si="2"/>
        <v>3.5180468111692953E-3</v>
      </c>
      <c r="AO6" s="9">
        <f t="shared" si="2"/>
        <v>3.1800461681401604E-3</v>
      </c>
      <c r="AP6" s="9">
        <f t="shared" si="2"/>
        <v>2.8676093813155834E-3</v>
      </c>
      <c r="AQ6" s="9">
        <f t="shared" si="2"/>
        <v>2.6213900349096875E-3</v>
      </c>
      <c r="AR6" s="9">
        <f t="shared" si="2"/>
        <v>2.3803042484631387E-3</v>
      </c>
      <c r="AS6" s="9">
        <f t="shared" si="2"/>
        <v>2.1630804792249769E-3</v>
      </c>
      <c r="AT6" s="9">
        <f t="shared" si="2"/>
        <v>2.0292220580218068E-3</v>
      </c>
      <c r="AU6" s="9">
        <f t="shared" si="2"/>
        <v>1.8427267324303553E-3</v>
      </c>
    </row>
    <row r="7" spans="1:47" ht="15" x14ac:dyDescent="0.25">
      <c r="A7" s="2" t="s">
        <v>79</v>
      </c>
      <c r="B7" s="10">
        <v>67.8</v>
      </c>
      <c r="C7" s="12">
        <v>67.8</v>
      </c>
      <c r="D7" s="12">
        <v>67.8</v>
      </c>
      <c r="E7" s="12">
        <v>67.8</v>
      </c>
      <c r="F7" s="12">
        <v>67.7</v>
      </c>
      <c r="G7" s="12">
        <v>67.599999999999994</v>
      </c>
      <c r="H7" s="12">
        <v>67.400000000000006</v>
      </c>
      <c r="I7" s="12">
        <v>67.3</v>
      </c>
      <c r="J7" s="12">
        <v>67.099999999999994</v>
      </c>
      <c r="K7" s="12">
        <v>66.900000000000006</v>
      </c>
      <c r="L7" s="12">
        <v>66.599999999999994</v>
      </c>
      <c r="M7" s="12">
        <v>66.5</v>
      </c>
      <c r="N7" s="12">
        <v>66.3</v>
      </c>
      <c r="O7" s="12">
        <v>66.099999999999994</v>
      </c>
      <c r="P7" s="12">
        <v>66</v>
      </c>
      <c r="Q7" s="12">
        <v>65.8</v>
      </c>
      <c r="R7" s="12">
        <v>65.599999999999994</v>
      </c>
      <c r="S7" s="12">
        <v>65.400000000000006</v>
      </c>
      <c r="T7" s="12">
        <v>65.2</v>
      </c>
      <c r="U7" s="12">
        <v>65.099999999999994</v>
      </c>
      <c r="V7" s="12">
        <v>64.900000000000006</v>
      </c>
      <c r="W7" s="12">
        <v>64.7</v>
      </c>
      <c r="X7" s="12">
        <v>64.5</v>
      </c>
      <c r="Y7" s="12">
        <v>64.400000000000006</v>
      </c>
      <c r="Z7" s="12">
        <v>64.2</v>
      </c>
      <c r="AA7" s="12">
        <v>64.099999999999994</v>
      </c>
      <c r="AB7" s="12">
        <v>64</v>
      </c>
      <c r="AC7" s="12">
        <v>64</v>
      </c>
      <c r="AD7" s="12">
        <v>63.9</v>
      </c>
      <c r="AE7" s="12">
        <v>63.9</v>
      </c>
      <c r="AF7" s="12">
        <v>63.8</v>
      </c>
      <c r="AG7" s="12">
        <v>63.8</v>
      </c>
      <c r="AH7" s="12">
        <v>63.8</v>
      </c>
      <c r="AI7" s="12">
        <v>63.8</v>
      </c>
      <c r="AJ7" s="12">
        <v>63.8</v>
      </c>
      <c r="AK7" s="12">
        <v>63.7</v>
      </c>
      <c r="AL7" s="12">
        <v>63.7</v>
      </c>
      <c r="AM7" s="12">
        <v>63.7</v>
      </c>
      <c r="AN7" s="12">
        <v>63.7</v>
      </c>
      <c r="AO7" s="12">
        <v>63.6</v>
      </c>
      <c r="AP7" s="12">
        <v>63.6</v>
      </c>
      <c r="AQ7" s="12">
        <v>63.5</v>
      </c>
      <c r="AR7" s="12">
        <v>63.4</v>
      </c>
      <c r="AS7" s="12">
        <v>63.3</v>
      </c>
      <c r="AT7" s="12">
        <v>63.2</v>
      </c>
      <c r="AU7" s="12">
        <v>63.1</v>
      </c>
    </row>
    <row r="8" spans="1:47" ht="15" x14ac:dyDescent="0.25">
      <c r="A8" s="2" t="s">
        <v>2</v>
      </c>
    </row>
    <row r="9" spans="1:47" ht="15" x14ac:dyDescent="0.25">
      <c r="A9" s="2" t="s">
        <v>5</v>
      </c>
    </row>
    <row r="10" spans="1:47" x14ac:dyDescent="0.2">
      <c r="A10" s="1">
        <v>15</v>
      </c>
      <c r="B10" s="3">
        <v>6620</v>
      </c>
      <c r="C10" s="3">
        <v>6400</v>
      </c>
      <c r="D10" s="3">
        <v>6010</v>
      </c>
      <c r="E10" s="3">
        <v>5820</v>
      </c>
      <c r="F10" s="3">
        <v>5800</v>
      </c>
      <c r="G10" s="3">
        <v>5640</v>
      </c>
      <c r="H10" s="3">
        <v>5660</v>
      </c>
      <c r="I10" s="3">
        <v>5790</v>
      </c>
      <c r="J10" s="3">
        <v>5900</v>
      </c>
      <c r="K10" s="3">
        <v>5710</v>
      </c>
      <c r="L10" s="3">
        <v>5750</v>
      </c>
      <c r="M10" s="3">
        <v>5550</v>
      </c>
      <c r="N10" s="3">
        <v>5360</v>
      </c>
      <c r="O10" s="3">
        <v>5180</v>
      </c>
      <c r="P10" s="3">
        <v>4950</v>
      </c>
      <c r="Q10" s="3">
        <v>4840</v>
      </c>
      <c r="R10" s="3">
        <v>4850</v>
      </c>
      <c r="S10" s="3">
        <v>4860</v>
      </c>
      <c r="T10" s="3">
        <v>4850</v>
      </c>
      <c r="U10" s="3">
        <v>4860</v>
      </c>
      <c r="V10" s="3">
        <v>4860</v>
      </c>
      <c r="W10" s="3">
        <v>4860</v>
      </c>
      <c r="X10" s="3">
        <v>4850</v>
      </c>
      <c r="Y10" s="3">
        <v>4850</v>
      </c>
      <c r="Z10" s="3">
        <v>4840</v>
      </c>
      <c r="AA10" s="3">
        <v>4830</v>
      </c>
      <c r="AB10" s="3">
        <v>4820</v>
      </c>
      <c r="AC10" s="3">
        <v>4810</v>
      </c>
      <c r="AD10" s="3">
        <v>4790</v>
      </c>
      <c r="AE10" s="3">
        <v>4770</v>
      </c>
      <c r="AF10" s="3">
        <v>4750</v>
      </c>
      <c r="AG10" s="3">
        <v>4720</v>
      </c>
      <c r="AH10" s="3">
        <v>4700</v>
      </c>
      <c r="AI10" s="3">
        <v>4680</v>
      </c>
      <c r="AJ10" s="3">
        <v>4660</v>
      </c>
      <c r="AK10" s="3">
        <v>4650</v>
      </c>
      <c r="AL10" s="3">
        <v>4640</v>
      </c>
      <c r="AM10" s="3">
        <v>4630</v>
      </c>
      <c r="AN10" s="3">
        <v>4630</v>
      </c>
      <c r="AO10" s="3">
        <v>4630</v>
      </c>
      <c r="AP10" s="3">
        <v>4630</v>
      </c>
      <c r="AQ10" s="3">
        <v>4640</v>
      </c>
      <c r="AR10" s="3">
        <v>4640</v>
      </c>
      <c r="AS10" s="3">
        <v>4650</v>
      </c>
      <c r="AT10" s="3">
        <v>4650</v>
      </c>
      <c r="AU10" s="3">
        <v>4650</v>
      </c>
    </row>
    <row r="11" spans="1:47" x14ac:dyDescent="0.2">
      <c r="A11" s="1">
        <v>16</v>
      </c>
      <c r="B11" s="3">
        <v>9740</v>
      </c>
      <c r="C11" s="3">
        <v>10010</v>
      </c>
      <c r="D11" s="3">
        <v>9810</v>
      </c>
      <c r="E11" s="3">
        <v>9380</v>
      </c>
      <c r="F11" s="3">
        <v>9220</v>
      </c>
      <c r="G11" s="3">
        <v>9340</v>
      </c>
      <c r="H11" s="3">
        <v>9220</v>
      </c>
      <c r="I11" s="3">
        <v>9390</v>
      </c>
      <c r="J11" s="3">
        <v>9730</v>
      </c>
      <c r="K11" s="3">
        <v>10040</v>
      </c>
      <c r="L11" s="3">
        <v>9860</v>
      </c>
      <c r="M11" s="3">
        <v>10050</v>
      </c>
      <c r="N11" s="3">
        <v>9800</v>
      </c>
      <c r="O11" s="3">
        <v>9580</v>
      </c>
      <c r="P11" s="3">
        <v>9360</v>
      </c>
      <c r="Q11" s="3">
        <v>9030</v>
      </c>
      <c r="R11" s="3">
        <v>8920</v>
      </c>
      <c r="S11" s="3">
        <v>9010</v>
      </c>
      <c r="T11" s="3">
        <v>9090</v>
      </c>
      <c r="U11" s="3">
        <v>9160</v>
      </c>
      <c r="V11" s="3">
        <v>9220</v>
      </c>
      <c r="W11" s="3">
        <v>9280</v>
      </c>
      <c r="X11" s="3">
        <v>9340</v>
      </c>
      <c r="Y11" s="3">
        <v>9390</v>
      </c>
      <c r="Z11" s="3">
        <v>9420</v>
      </c>
      <c r="AA11" s="3">
        <v>9450</v>
      </c>
      <c r="AB11" s="3">
        <v>9480</v>
      </c>
      <c r="AC11" s="3">
        <v>9490</v>
      </c>
      <c r="AD11" s="3">
        <v>9490</v>
      </c>
      <c r="AE11" s="3">
        <v>9490</v>
      </c>
      <c r="AF11" s="3">
        <v>9470</v>
      </c>
      <c r="AG11" s="3">
        <v>9450</v>
      </c>
      <c r="AH11" s="3">
        <v>9420</v>
      </c>
      <c r="AI11" s="3">
        <v>9400</v>
      </c>
      <c r="AJ11" s="3">
        <v>9370</v>
      </c>
      <c r="AK11" s="3">
        <v>9340</v>
      </c>
      <c r="AL11" s="3">
        <v>9330</v>
      </c>
      <c r="AM11" s="3">
        <v>9320</v>
      </c>
      <c r="AN11" s="3">
        <v>9310</v>
      </c>
      <c r="AO11" s="3">
        <v>9320</v>
      </c>
      <c r="AP11" s="3">
        <v>9320</v>
      </c>
      <c r="AQ11" s="3">
        <v>9340</v>
      </c>
      <c r="AR11" s="3">
        <v>9350</v>
      </c>
      <c r="AS11" s="3">
        <v>9360</v>
      </c>
      <c r="AT11" s="3">
        <v>9370</v>
      </c>
      <c r="AU11" s="3">
        <v>9380</v>
      </c>
    </row>
    <row r="12" spans="1:47" x14ac:dyDescent="0.2">
      <c r="A12" s="1">
        <v>17</v>
      </c>
      <c r="B12" s="3">
        <v>14800</v>
      </c>
      <c r="C12" s="3">
        <v>14440</v>
      </c>
      <c r="D12" s="3">
        <v>14870</v>
      </c>
      <c r="E12" s="3">
        <v>14660</v>
      </c>
      <c r="F12" s="3">
        <v>14090</v>
      </c>
      <c r="G12" s="3">
        <v>13930</v>
      </c>
      <c r="H12" s="3">
        <v>14180</v>
      </c>
      <c r="I12" s="3">
        <v>14070</v>
      </c>
      <c r="J12" s="3">
        <v>14390</v>
      </c>
      <c r="K12" s="3">
        <v>14960</v>
      </c>
      <c r="L12" s="3">
        <v>15500</v>
      </c>
      <c r="M12" s="3">
        <v>15260</v>
      </c>
      <c r="N12" s="3">
        <v>15610</v>
      </c>
      <c r="O12" s="3">
        <v>15280</v>
      </c>
      <c r="P12" s="3">
        <v>14990</v>
      </c>
      <c r="Q12" s="3">
        <v>14680</v>
      </c>
      <c r="R12" s="3">
        <v>14200</v>
      </c>
      <c r="S12" s="3">
        <v>14060</v>
      </c>
      <c r="T12" s="3">
        <v>14250</v>
      </c>
      <c r="U12" s="3">
        <v>14400</v>
      </c>
      <c r="V12" s="3">
        <v>14530</v>
      </c>
      <c r="W12" s="3">
        <v>14650</v>
      </c>
      <c r="X12" s="3">
        <v>14770</v>
      </c>
      <c r="Y12" s="3">
        <v>14880</v>
      </c>
      <c r="Z12" s="3">
        <v>14970</v>
      </c>
      <c r="AA12" s="3">
        <v>15050</v>
      </c>
      <c r="AB12" s="3">
        <v>15120</v>
      </c>
      <c r="AC12" s="3">
        <v>15160</v>
      </c>
      <c r="AD12" s="3">
        <v>15200</v>
      </c>
      <c r="AE12" s="3">
        <v>15210</v>
      </c>
      <c r="AF12" s="3">
        <v>15220</v>
      </c>
      <c r="AG12" s="3">
        <v>15200</v>
      </c>
      <c r="AH12" s="3">
        <v>15180</v>
      </c>
      <c r="AI12" s="3">
        <v>15140</v>
      </c>
      <c r="AJ12" s="3">
        <v>15100</v>
      </c>
      <c r="AK12" s="3">
        <v>15060</v>
      </c>
      <c r="AL12" s="3">
        <v>15030</v>
      </c>
      <c r="AM12" s="3">
        <v>15010</v>
      </c>
      <c r="AN12" s="3">
        <v>14990</v>
      </c>
      <c r="AO12" s="3">
        <v>14990</v>
      </c>
      <c r="AP12" s="3">
        <v>15000</v>
      </c>
      <c r="AQ12" s="3">
        <v>15010</v>
      </c>
      <c r="AR12" s="3">
        <v>15030</v>
      </c>
      <c r="AS12" s="3">
        <v>15050</v>
      </c>
      <c r="AT12" s="3">
        <v>15070</v>
      </c>
      <c r="AU12" s="3">
        <v>15090</v>
      </c>
    </row>
    <row r="13" spans="1:47" x14ac:dyDescent="0.2">
      <c r="A13" s="1">
        <v>18</v>
      </c>
      <c r="B13" s="3">
        <v>17860</v>
      </c>
      <c r="C13" s="3">
        <v>17750</v>
      </c>
      <c r="D13" s="3">
        <v>17210</v>
      </c>
      <c r="E13" s="3">
        <v>17730</v>
      </c>
      <c r="F13" s="3">
        <v>17480</v>
      </c>
      <c r="G13" s="3">
        <v>16810</v>
      </c>
      <c r="H13" s="3">
        <v>16620</v>
      </c>
      <c r="I13" s="3">
        <v>16930</v>
      </c>
      <c r="J13" s="3">
        <v>16790</v>
      </c>
      <c r="K13" s="3">
        <v>17180</v>
      </c>
      <c r="L13" s="3">
        <v>17860</v>
      </c>
      <c r="M13" s="3">
        <v>18500</v>
      </c>
      <c r="N13" s="3">
        <v>18230</v>
      </c>
      <c r="O13" s="3">
        <v>18650</v>
      </c>
      <c r="P13" s="3">
        <v>18250</v>
      </c>
      <c r="Q13" s="3">
        <v>17910</v>
      </c>
      <c r="R13" s="3">
        <v>17550</v>
      </c>
      <c r="S13" s="3">
        <v>16970</v>
      </c>
      <c r="T13" s="3">
        <v>16810</v>
      </c>
      <c r="U13" s="3">
        <v>17030</v>
      </c>
      <c r="V13" s="3">
        <v>17210</v>
      </c>
      <c r="W13" s="3">
        <v>17370</v>
      </c>
      <c r="X13" s="3">
        <v>17520</v>
      </c>
      <c r="Y13" s="3">
        <v>17670</v>
      </c>
      <c r="Z13" s="3">
        <v>17790</v>
      </c>
      <c r="AA13" s="3">
        <v>17910</v>
      </c>
      <c r="AB13" s="3">
        <v>18000</v>
      </c>
      <c r="AC13" s="3">
        <v>18080</v>
      </c>
      <c r="AD13" s="3">
        <v>18140</v>
      </c>
      <c r="AE13" s="3">
        <v>18180</v>
      </c>
      <c r="AF13" s="3">
        <v>18200</v>
      </c>
      <c r="AG13" s="3">
        <v>18200</v>
      </c>
      <c r="AH13" s="3">
        <v>18190</v>
      </c>
      <c r="AI13" s="3">
        <v>18160</v>
      </c>
      <c r="AJ13" s="3">
        <v>18110</v>
      </c>
      <c r="AK13" s="3">
        <v>18070</v>
      </c>
      <c r="AL13" s="3">
        <v>18020</v>
      </c>
      <c r="AM13" s="3">
        <v>17980</v>
      </c>
      <c r="AN13" s="3">
        <v>17950</v>
      </c>
      <c r="AO13" s="3">
        <v>17940</v>
      </c>
      <c r="AP13" s="3">
        <v>17930</v>
      </c>
      <c r="AQ13" s="3">
        <v>17940</v>
      </c>
      <c r="AR13" s="3">
        <v>17960</v>
      </c>
      <c r="AS13" s="3">
        <v>17980</v>
      </c>
      <c r="AT13" s="3">
        <v>18010</v>
      </c>
      <c r="AU13" s="3">
        <v>18030</v>
      </c>
    </row>
    <row r="14" spans="1:47" x14ac:dyDescent="0.2">
      <c r="A14" s="1">
        <v>19</v>
      </c>
      <c r="B14" s="3">
        <v>19390</v>
      </c>
      <c r="C14" s="3">
        <v>19600</v>
      </c>
      <c r="D14" s="3">
        <v>19320</v>
      </c>
      <c r="E14" s="3">
        <v>18730</v>
      </c>
      <c r="F14" s="3">
        <v>19290</v>
      </c>
      <c r="G14" s="3">
        <v>19020</v>
      </c>
      <c r="H14" s="3">
        <v>18300</v>
      </c>
      <c r="I14" s="3">
        <v>18100</v>
      </c>
      <c r="J14" s="3">
        <v>18430</v>
      </c>
      <c r="K14" s="3">
        <v>18280</v>
      </c>
      <c r="L14" s="3">
        <v>18690</v>
      </c>
      <c r="M14" s="3">
        <v>19440</v>
      </c>
      <c r="N14" s="3">
        <v>20130</v>
      </c>
      <c r="O14" s="3">
        <v>19830</v>
      </c>
      <c r="P14" s="3">
        <v>20290</v>
      </c>
      <c r="Q14" s="3">
        <v>19860</v>
      </c>
      <c r="R14" s="3">
        <v>19490</v>
      </c>
      <c r="S14" s="3">
        <v>19100</v>
      </c>
      <c r="T14" s="3">
        <v>18480</v>
      </c>
      <c r="U14" s="3">
        <v>18300</v>
      </c>
      <c r="V14" s="3">
        <v>18540</v>
      </c>
      <c r="W14" s="3">
        <v>18740</v>
      </c>
      <c r="X14" s="3">
        <v>18900</v>
      </c>
      <c r="Y14" s="3">
        <v>19070</v>
      </c>
      <c r="Z14" s="3">
        <v>19220</v>
      </c>
      <c r="AA14" s="3">
        <v>19360</v>
      </c>
      <c r="AB14" s="3">
        <v>19490</v>
      </c>
      <c r="AC14" s="3">
        <v>19590</v>
      </c>
      <c r="AD14" s="3">
        <v>19670</v>
      </c>
      <c r="AE14" s="3">
        <v>19730</v>
      </c>
      <c r="AF14" s="3">
        <v>19780</v>
      </c>
      <c r="AG14" s="3">
        <v>19800</v>
      </c>
      <c r="AH14" s="3">
        <v>19800</v>
      </c>
      <c r="AI14" s="3">
        <v>19790</v>
      </c>
      <c r="AJ14" s="3">
        <v>19760</v>
      </c>
      <c r="AK14" s="3">
        <v>19710</v>
      </c>
      <c r="AL14" s="3">
        <v>19660</v>
      </c>
      <c r="AM14" s="3">
        <v>19610</v>
      </c>
      <c r="AN14" s="3">
        <v>19570</v>
      </c>
      <c r="AO14" s="3">
        <v>19530</v>
      </c>
      <c r="AP14" s="3">
        <v>19520</v>
      </c>
      <c r="AQ14" s="3">
        <v>19520</v>
      </c>
      <c r="AR14" s="3">
        <v>19530</v>
      </c>
      <c r="AS14" s="3">
        <v>19550</v>
      </c>
      <c r="AT14" s="3">
        <v>19570</v>
      </c>
      <c r="AU14" s="3">
        <v>19600</v>
      </c>
    </row>
    <row r="15" spans="1:47" x14ac:dyDescent="0.2">
      <c r="A15" s="1">
        <v>20</v>
      </c>
      <c r="B15" s="3">
        <v>21680</v>
      </c>
      <c r="C15" s="3">
        <v>21500</v>
      </c>
      <c r="D15" s="3">
        <v>21550</v>
      </c>
      <c r="E15" s="3">
        <v>21240</v>
      </c>
      <c r="F15" s="3">
        <v>20600</v>
      </c>
      <c r="G15" s="3">
        <v>21210</v>
      </c>
      <c r="H15" s="3">
        <v>20920</v>
      </c>
      <c r="I15" s="3">
        <v>20130</v>
      </c>
      <c r="J15" s="3">
        <v>19910</v>
      </c>
      <c r="K15" s="3">
        <v>20270</v>
      </c>
      <c r="L15" s="3">
        <v>20110</v>
      </c>
      <c r="M15" s="3">
        <v>20560</v>
      </c>
      <c r="N15" s="3">
        <v>21370</v>
      </c>
      <c r="O15" s="3">
        <v>22130</v>
      </c>
      <c r="P15" s="3">
        <v>21810</v>
      </c>
      <c r="Q15" s="3">
        <v>22300</v>
      </c>
      <c r="R15" s="3">
        <v>21830</v>
      </c>
      <c r="S15" s="3">
        <v>21430</v>
      </c>
      <c r="T15" s="3">
        <v>21000</v>
      </c>
      <c r="U15" s="3">
        <v>20330</v>
      </c>
      <c r="V15" s="3">
        <v>20140</v>
      </c>
      <c r="W15" s="3">
        <v>20390</v>
      </c>
      <c r="X15" s="3">
        <v>20610</v>
      </c>
      <c r="Y15" s="3">
        <v>20790</v>
      </c>
      <c r="Z15" s="3">
        <v>20970</v>
      </c>
      <c r="AA15" s="3">
        <v>21140</v>
      </c>
      <c r="AB15" s="3">
        <v>21300</v>
      </c>
      <c r="AC15" s="3">
        <v>21430</v>
      </c>
      <c r="AD15" s="3">
        <v>21540</v>
      </c>
      <c r="AE15" s="3">
        <v>21630</v>
      </c>
      <c r="AF15" s="3">
        <v>21700</v>
      </c>
      <c r="AG15" s="3">
        <v>21750</v>
      </c>
      <c r="AH15" s="3">
        <v>21770</v>
      </c>
      <c r="AI15" s="3">
        <v>21770</v>
      </c>
      <c r="AJ15" s="3">
        <v>21760</v>
      </c>
      <c r="AK15" s="3">
        <v>21720</v>
      </c>
      <c r="AL15" s="3">
        <v>21670</v>
      </c>
      <c r="AM15" s="3">
        <v>21620</v>
      </c>
      <c r="AN15" s="3">
        <v>21560</v>
      </c>
      <c r="AO15" s="3">
        <v>21520</v>
      </c>
      <c r="AP15" s="3">
        <v>21480</v>
      </c>
      <c r="AQ15" s="3">
        <v>21460</v>
      </c>
      <c r="AR15" s="3">
        <v>21460</v>
      </c>
      <c r="AS15" s="3">
        <v>21470</v>
      </c>
      <c r="AT15" s="3">
        <v>21490</v>
      </c>
      <c r="AU15" s="3">
        <v>21520</v>
      </c>
    </row>
    <row r="16" spans="1:47" x14ac:dyDescent="0.2">
      <c r="A16" s="1">
        <v>21</v>
      </c>
      <c r="B16" s="3">
        <v>22230</v>
      </c>
      <c r="C16" s="3">
        <v>22480</v>
      </c>
      <c r="D16" s="3">
        <v>22080</v>
      </c>
      <c r="E16" s="3">
        <v>22140</v>
      </c>
      <c r="F16" s="3">
        <v>21820</v>
      </c>
      <c r="G16" s="3">
        <v>21170</v>
      </c>
      <c r="H16" s="3">
        <v>21790</v>
      </c>
      <c r="I16" s="3">
        <v>21490</v>
      </c>
      <c r="J16" s="3">
        <v>20680</v>
      </c>
      <c r="K16" s="3">
        <v>20460</v>
      </c>
      <c r="L16" s="3">
        <v>20820</v>
      </c>
      <c r="M16" s="3">
        <v>20660</v>
      </c>
      <c r="N16" s="3">
        <v>21130</v>
      </c>
      <c r="O16" s="3">
        <v>21960</v>
      </c>
      <c r="P16" s="3">
        <v>22730</v>
      </c>
      <c r="Q16" s="3">
        <v>22400</v>
      </c>
      <c r="R16" s="3">
        <v>22910</v>
      </c>
      <c r="S16" s="3">
        <v>22430</v>
      </c>
      <c r="T16" s="3">
        <v>22010</v>
      </c>
      <c r="U16" s="3">
        <v>21580</v>
      </c>
      <c r="V16" s="3">
        <v>20880</v>
      </c>
      <c r="W16" s="3">
        <v>20690</v>
      </c>
      <c r="X16" s="3">
        <v>20950</v>
      </c>
      <c r="Y16" s="3">
        <v>21170</v>
      </c>
      <c r="Z16" s="3">
        <v>21360</v>
      </c>
      <c r="AA16" s="3">
        <v>21550</v>
      </c>
      <c r="AB16" s="3">
        <v>21720</v>
      </c>
      <c r="AC16" s="3">
        <v>21880</v>
      </c>
      <c r="AD16" s="3">
        <v>22020</v>
      </c>
      <c r="AE16" s="3">
        <v>22130</v>
      </c>
      <c r="AF16" s="3">
        <v>22230</v>
      </c>
      <c r="AG16" s="3">
        <v>22290</v>
      </c>
      <c r="AH16" s="3">
        <v>22340</v>
      </c>
      <c r="AI16" s="3">
        <v>22370</v>
      </c>
      <c r="AJ16" s="3">
        <v>22370</v>
      </c>
      <c r="AK16" s="3">
        <v>22350</v>
      </c>
      <c r="AL16" s="3">
        <v>22320</v>
      </c>
      <c r="AM16" s="3">
        <v>22270</v>
      </c>
      <c r="AN16" s="3">
        <v>22210</v>
      </c>
      <c r="AO16" s="3">
        <v>22160</v>
      </c>
      <c r="AP16" s="3">
        <v>22110</v>
      </c>
      <c r="AQ16" s="3">
        <v>22070</v>
      </c>
      <c r="AR16" s="3">
        <v>22050</v>
      </c>
      <c r="AS16" s="3">
        <v>22050</v>
      </c>
      <c r="AT16" s="3">
        <v>22060</v>
      </c>
      <c r="AU16" s="3">
        <v>22080</v>
      </c>
    </row>
    <row r="17" spans="1:47" x14ac:dyDescent="0.2">
      <c r="A17" s="1">
        <v>22</v>
      </c>
      <c r="B17" s="3">
        <v>23140</v>
      </c>
      <c r="C17" s="3">
        <v>22980</v>
      </c>
      <c r="D17" s="3">
        <v>23000</v>
      </c>
      <c r="E17" s="3">
        <v>22590</v>
      </c>
      <c r="F17" s="3">
        <v>22640</v>
      </c>
      <c r="G17" s="3">
        <v>22320</v>
      </c>
      <c r="H17" s="3">
        <v>21640</v>
      </c>
      <c r="I17" s="3">
        <v>22280</v>
      </c>
      <c r="J17" s="3">
        <v>21980</v>
      </c>
      <c r="K17" s="3">
        <v>21140</v>
      </c>
      <c r="L17" s="3">
        <v>20910</v>
      </c>
      <c r="M17" s="3">
        <v>21290</v>
      </c>
      <c r="N17" s="3">
        <v>21130</v>
      </c>
      <c r="O17" s="3">
        <v>21600</v>
      </c>
      <c r="P17" s="3">
        <v>22460</v>
      </c>
      <c r="Q17" s="3">
        <v>23260</v>
      </c>
      <c r="R17" s="3">
        <v>22920</v>
      </c>
      <c r="S17" s="3">
        <v>23440</v>
      </c>
      <c r="T17" s="3">
        <v>22950</v>
      </c>
      <c r="U17" s="3">
        <v>22520</v>
      </c>
      <c r="V17" s="3">
        <v>22070</v>
      </c>
      <c r="W17" s="3">
        <v>21360</v>
      </c>
      <c r="X17" s="3">
        <v>21160</v>
      </c>
      <c r="Y17" s="3">
        <v>21430</v>
      </c>
      <c r="Z17" s="3">
        <v>21650</v>
      </c>
      <c r="AA17" s="3">
        <v>21850</v>
      </c>
      <c r="AB17" s="3">
        <v>22040</v>
      </c>
      <c r="AC17" s="3">
        <v>22220</v>
      </c>
      <c r="AD17" s="3">
        <v>22380</v>
      </c>
      <c r="AE17" s="3">
        <v>22520</v>
      </c>
      <c r="AF17" s="3">
        <v>22640</v>
      </c>
      <c r="AG17" s="3">
        <v>22740</v>
      </c>
      <c r="AH17" s="3">
        <v>22810</v>
      </c>
      <c r="AI17" s="3">
        <v>22860</v>
      </c>
      <c r="AJ17" s="3">
        <v>22880</v>
      </c>
      <c r="AK17" s="3">
        <v>22890</v>
      </c>
      <c r="AL17" s="3">
        <v>22870</v>
      </c>
      <c r="AM17" s="3">
        <v>22830</v>
      </c>
      <c r="AN17" s="3">
        <v>22780</v>
      </c>
      <c r="AO17" s="3">
        <v>22720</v>
      </c>
      <c r="AP17" s="3">
        <v>22670</v>
      </c>
      <c r="AQ17" s="3">
        <v>22620</v>
      </c>
      <c r="AR17" s="3">
        <v>22580</v>
      </c>
      <c r="AS17" s="3">
        <v>22560</v>
      </c>
      <c r="AT17" s="3">
        <v>22560</v>
      </c>
      <c r="AU17" s="3">
        <v>22570</v>
      </c>
    </row>
    <row r="18" spans="1:47" x14ac:dyDescent="0.2">
      <c r="A18" s="1">
        <v>23</v>
      </c>
      <c r="B18" s="3">
        <v>23440</v>
      </c>
      <c r="C18" s="3">
        <v>23730</v>
      </c>
      <c r="D18" s="3">
        <v>23300</v>
      </c>
      <c r="E18" s="3">
        <v>23330</v>
      </c>
      <c r="F18" s="3">
        <v>22930</v>
      </c>
      <c r="G18" s="3">
        <v>23000</v>
      </c>
      <c r="H18" s="3">
        <v>22680</v>
      </c>
      <c r="I18" s="3">
        <v>22000</v>
      </c>
      <c r="J18" s="3">
        <v>22660</v>
      </c>
      <c r="K18" s="3">
        <v>22360</v>
      </c>
      <c r="L18" s="3">
        <v>21520</v>
      </c>
      <c r="M18" s="3">
        <v>21300</v>
      </c>
      <c r="N18" s="3">
        <v>21690</v>
      </c>
      <c r="O18" s="3">
        <v>21530</v>
      </c>
      <c r="P18" s="3">
        <v>22020</v>
      </c>
      <c r="Q18" s="3">
        <v>22900</v>
      </c>
      <c r="R18" s="3">
        <v>23720</v>
      </c>
      <c r="S18" s="3">
        <v>23380</v>
      </c>
      <c r="T18" s="3">
        <v>23920</v>
      </c>
      <c r="U18" s="3">
        <v>23420</v>
      </c>
      <c r="V18" s="3">
        <v>22980</v>
      </c>
      <c r="W18" s="3">
        <v>22530</v>
      </c>
      <c r="X18" s="3">
        <v>21800</v>
      </c>
      <c r="Y18" s="3">
        <v>21600</v>
      </c>
      <c r="Z18" s="3">
        <v>21880</v>
      </c>
      <c r="AA18" s="3">
        <v>22120</v>
      </c>
      <c r="AB18" s="3">
        <v>22310</v>
      </c>
      <c r="AC18" s="3">
        <v>22510</v>
      </c>
      <c r="AD18" s="3">
        <v>22700</v>
      </c>
      <c r="AE18" s="3">
        <v>22870</v>
      </c>
      <c r="AF18" s="3">
        <v>23010</v>
      </c>
      <c r="AG18" s="3">
        <v>23130</v>
      </c>
      <c r="AH18" s="3">
        <v>23230</v>
      </c>
      <c r="AI18" s="3">
        <v>23310</v>
      </c>
      <c r="AJ18" s="3">
        <v>23360</v>
      </c>
      <c r="AK18" s="3">
        <v>23390</v>
      </c>
      <c r="AL18" s="3">
        <v>23390</v>
      </c>
      <c r="AM18" s="3">
        <v>23370</v>
      </c>
      <c r="AN18" s="3">
        <v>23340</v>
      </c>
      <c r="AO18" s="3">
        <v>23290</v>
      </c>
      <c r="AP18" s="3">
        <v>23230</v>
      </c>
      <c r="AQ18" s="3">
        <v>23170</v>
      </c>
      <c r="AR18" s="3">
        <v>23120</v>
      </c>
      <c r="AS18" s="3">
        <v>23080</v>
      </c>
      <c r="AT18" s="3">
        <v>23060</v>
      </c>
      <c r="AU18" s="3">
        <v>23060</v>
      </c>
    </row>
    <row r="19" spans="1:47" x14ac:dyDescent="0.2">
      <c r="A19" s="1">
        <v>24</v>
      </c>
      <c r="B19" s="3">
        <v>24560</v>
      </c>
      <c r="C19" s="3">
        <v>24190</v>
      </c>
      <c r="D19" s="3">
        <v>24210</v>
      </c>
      <c r="E19" s="3">
        <v>23780</v>
      </c>
      <c r="F19" s="3">
        <v>23830</v>
      </c>
      <c r="G19" s="3">
        <v>23440</v>
      </c>
      <c r="H19" s="3">
        <v>23530</v>
      </c>
      <c r="I19" s="3">
        <v>23210</v>
      </c>
      <c r="J19" s="3">
        <v>22540</v>
      </c>
      <c r="K19" s="3">
        <v>23230</v>
      </c>
      <c r="L19" s="3">
        <v>22930</v>
      </c>
      <c r="M19" s="3">
        <v>22080</v>
      </c>
      <c r="N19" s="3">
        <v>21860</v>
      </c>
      <c r="O19" s="3">
        <v>22270</v>
      </c>
      <c r="P19" s="3">
        <v>22110</v>
      </c>
      <c r="Q19" s="3">
        <v>22620</v>
      </c>
      <c r="R19" s="3">
        <v>23530</v>
      </c>
      <c r="S19" s="3">
        <v>24380</v>
      </c>
      <c r="T19" s="3">
        <v>24040</v>
      </c>
      <c r="U19" s="3">
        <v>24600</v>
      </c>
      <c r="V19" s="3">
        <v>24090</v>
      </c>
      <c r="W19" s="3">
        <v>23650</v>
      </c>
      <c r="X19" s="3">
        <v>23190</v>
      </c>
      <c r="Y19" s="3">
        <v>22450</v>
      </c>
      <c r="Z19" s="3">
        <v>22240</v>
      </c>
      <c r="AA19" s="3">
        <v>22530</v>
      </c>
      <c r="AB19" s="3">
        <v>22780</v>
      </c>
      <c r="AC19" s="3">
        <v>22990</v>
      </c>
      <c r="AD19" s="3">
        <v>23190</v>
      </c>
      <c r="AE19" s="3">
        <v>23380</v>
      </c>
      <c r="AF19" s="3">
        <v>23560</v>
      </c>
      <c r="AG19" s="3">
        <v>23710</v>
      </c>
      <c r="AH19" s="3">
        <v>23840</v>
      </c>
      <c r="AI19" s="3">
        <v>23940</v>
      </c>
      <c r="AJ19" s="3">
        <v>24020</v>
      </c>
      <c r="AK19" s="3">
        <v>24070</v>
      </c>
      <c r="AL19" s="3">
        <v>24100</v>
      </c>
      <c r="AM19" s="3">
        <v>24100</v>
      </c>
      <c r="AN19" s="3">
        <v>24090</v>
      </c>
      <c r="AO19" s="3">
        <v>24050</v>
      </c>
      <c r="AP19" s="3">
        <v>24000</v>
      </c>
      <c r="AQ19" s="3">
        <v>23940</v>
      </c>
      <c r="AR19" s="3">
        <v>23880</v>
      </c>
      <c r="AS19" s="3">
        <v>23820</v>
      </c>
      <c r="AT19" s="3">
        <v>23790</v>
      </c>
      <c r="AU19" s="3">
        <v>23770</v>
      </c>
    </row>
    <row r="20" spans="1:47" x14ac:dyDescent="0.2">
      <c r="A20" s="1">
        <v>25</v>
      </c>
      <c r="B20" s="3">
        <v>24190</v>
      </c>
      <c r="C20" s="3">
        <v>25270</v>
      </c>
      <c r="D20" s="3">
        <v>24620</v>
      </c>
      <c r="E20" s="3">
        <v>24650</v>
      </c>
      <c r="F20" s="3">
        <v>24230</v>
      </c>
      <c r="G20" s="3">
        <v>24280</v>
      </c>
      <c r="H20" s="3">
        <v>23890</v>
      </c>
      <c r="I20" s="3">
        <v>23980</v>
      </c>
      <c r="J20" s="3">
        <v>23670</v>
      </c>
      <c r="K20" s="3">
        <v>22990</v>
      </c>
      <c r="L20" s="3">
        <v>23690</v>
      </c>
      <c r="M20" s="3">
        <v>23390</v>
      </c>
      <c r="N20" s="3">
        <v>22530</v>
      </c>
      <c r="O20" s="3">
        <v>22310</v>
      </c>
      <c r="P20" s="3">
        <v>22730</v>
      </c>
      <c r="Q20" s="3">
        <v>22570</v>
      </c>
      <c r="R20" s="3">
        <v>23090</v>
      </c>
      <c r="S20" s="3">
        <v>24010</v>
      </c>
      <c r="T20" s="3">
        <v>24880</v>
      </c>
      <c r="U20" s="3">
        <v>24530</v>
      </c>
      <c r="V20" s="3">
        <v>25100</v>
      </c>
      <c r="W20" s="3">
        <v>24580</v>
      </c>
      <c r="X20" s="3">
        <v>24140</v>
      </c>
      <c r="Y20" s="3">
        <v>23680</v>
      </c>
      <c r="Z20" s="3">
        <v>22920</v>
      </c>
      <c r="AA20" s="3">
        <v>22720</v>
      </c>
      <c r="AB20" s="3">
        <v>23020</v>
      </c>
      <c r="AC20" s="3">
        <v>23260</v>
      </c>
      <c r="AD20" s="3">
        <v>23470</v>
      </c>
      <c r="AE20" s="3">
        <v>23680</v>
      </c>
      <c r="AF20" s="3">
        <v>23880</v>
      </c>
      <c r="AG20" s="3">
        <v>24050</v>
      </c>
      <c r="AH20" s="3">
        <v>24210</v>
      </c>
      <c r="AI20" s="3">
        <v>24340</v>
      </c>
      <c r="AJ20" s="3">
        <v>24440</v>
      </c>
      <c r="AK20" s="3">
        <v>24520</v>
      </c>
      <c r="AL20" s="3">
        <v>24570</v>
      </c>
      <c r="AM20" s="3">
        <v>24600</v>
      </c>
      <c r="AN20" s="3">
        <v>24610</v>
      </c>
      <c r="AO20" s="3">
        <v>24590</v>
      </c>
      <c r="AP20" s="3">
        <v>24550</v>
      </c>
      <c r="AQ20" s="3">
        <v>24500</v>
      </c>
      <c r="AR20" s="3">
        <v>24440</v>
      </c>
      <c r="AS20" s="3">
        <v>24380</v>
      </c>
      <c r="AT20" s="3">
        <v>24330</v>
      </c>
      <c r="AU20" s="3">
        <v>24290</v>
      </c>
    </row>
    <row r="21" spans="1:47" x14ac:dyDescent="0.2">
      <c r="A21" s="1">
        <v>26</v>
      </c>
      <c r="B21" s="3">
        <v>23380</v>
      </c>
      <c r="C21" s="3">
        <v>24860</v>
      </c>
      <c r="D21" s="3">
        <v>25700</v>
      </c>
      <c r="E21" s="3">
        <v>25050</v>
      </c>
      <c r="F21" s="3">
        <v>25080</v>
      </c>
      <c r="G21" s="3">
        <v>24660</v>
      </c>
      <c r="H21" s="3">
        <v>24720</v>
      </c>
      <c r="I21" s="3">
        <v>24330</v>
      </c>
      <c r="J21" s="3">
        <v>24420</v>
      </c>
      <c r="K21" s="3">
        <v>24110</v>
      </c>
      <c r="L21" s="3">
        <v>23430</v>
      </c>
      <c r="M21" s="3">
        <v>24130</v>
      </c>
      <c r="N21" s="3">
        <v>23830</v>
      </c>
      <c r="O21" s="3">
        <v>22970</v>
      </c>
      <c r="P21" s="3">
        <v>22750</v>
      </c>
      <c r="Q21" s="3">
        <v>23170</v>
      </c>
      <c r="R21" s="3">
        <v>23020</v>
      </c>
      <c r="S21" s="3">
        <v>23540</v>
      </c>
      <c r="T21" s="3">
        <v>24470</v>
      </c>
      <c r="U21" s="3">
        <v>25340</v>
      </c>
      <c r="V21" s="3">
        <v>24990</v>
      </c>
      <c r="W21" s="3">
        <v>25560</v>
      </c>
      <c r="X21" s="3">
        <v>25040</v>
      </c>
      <c r="Y21" s="3">
        <v>24600</v>
      </c>
      <c r="Z21" s="3">
        <v>24130</v>
      </c>
      <c r="AA21" s="3">
        <v>23380</v>
      </c>
      <c r="AB21" s="3">
        <v>23170</v>
      </c>
      <c r="AC21" s="3">
        <v>23470</v>
      </c>
      <c r="AD21" s="3">
        <v>23720</v>
      </c>
      <c r="AE21" s="3">
        <v>23930</v>
      </c>
      <c r="AF21" s="3">
        <v>24140</v>
      </c>
      <c r="AG21" s="3">
        <v>24340</v>
      </c>
      <c r="AH21" s="3">
        <v>24510</v>
      </c>
      <c r="AI21" s="3">
        <v>24670</v>
      </c>
      <c r="AJ21" s="3">
        <v>24800</v>
      </c>
      <c r="AK21" s="3">
        <v>24900</v>
      </c>
      <c r="AL21" s="3">
        <v>24980</v>
      </c>
      <c r="AM21" s="3">
        <v>25040</v>
      </c>
      <c r="AN21" s="3">
        <v>25070</v>
      </c>
      <c r="AO21" s="3">
        <v>25070</v>
      </c>
      <c r="AP21" s="3">
        <v>25050</v>
      </c>
      <c r="AQ21" s="3">
        <v>25020</v>
      </c>
      <c r="AR21" s="3">
        <v>24960</v>
      </c>
      <c r="AS21" s="3">
        <v>24900</v>
      </c>
      <c r="AT21" s="3">
        <v>24840</v>
      </c>
      <c r="AU21" s="3">
        <v>24790</v>
      </c>
    </row>
    <row r="22" spans="1:47" x14ac:dyDescent="0.2">
      <c r="A22" s="1">
        <v>27</v>
      </c>
      <c r="B22" s="3">
        <v>23240</v>
      </c>
      <c r="C22" s="3">
        <v>24020</v>
      </c>
      <c r="D22" s="3">
        <v>25290</v>
      </c>
      <c r="E22" s="3">
        <v>26130</v>
      </c>
      <c r="F22" s="3">
        <v>25480</v>
      </c>
      <c r="G22" s="3">
        <v>25510</v>
      </c>
      <c r="H22" s="3">
        <v>25090</v>
      </c>
      <c r="I22" s="3">
        <v>25150</v>
      </c>
      <c r="J22" s="3">
        <v>24760</v>
      </c>
      <c r="K22" s="3">
        <v>24850</v>
      </c>
      <c r="L22" s="3">
        <v>24540</v>
      </c>
      <c r="M22" s="3">
        <v>23860</v>
      </c>
      <c r="N22" s="3">
        <v>24570</v>
      </c>
      <c r="O22" s="3">
        <v>24270</v>
      </c>
      <c r="P22" s="3">
        <v>23400</v>
      </c>
      <c r="Q22" s="3">
        <v>23180</v>
      </c>
      <c r="R22" s="3">
        <v>23600</v>
      </c>
      <c r="S22" s="3">
        <v>23450</v>
      </c>
      <c r="T22" s="3">
        <v>23970</v>
      </c>
      <c r="U22" s="3">
        <v>24900</v>
      </c>
      <c r="V22" s="3">
        <v>25780</v>
      </c>
      <c r="W22" s="3">
        <v>25430</v>
      </c>
      <c r="X22" s="3">
        <v>26000</v>
      </c>
      <c r="Y22" s="3">
        <v>25480</v>
      </c>
      <c r="Z22" s="3">
        <v>25030</v>
      </c>
      <c r="AA22" s="3">
        <v>24570</v>
      </c>
      <c r="AB22" s="3">
        <v>23810</v>
      </c>
      <c r="AC22" s="3">
        <v>23600</v>
      </c>
      <c r="AD22" s="3">
        <v>23900</v>
      </c>
      <c r="AE22" s="3">
        <v>24150</v>
      </c>
      <c r="AF22" s="3">
        <v>24360</v>
      </c>
      <c r="AG22" s="3">
        <v>24570</v>
      </c>
      <c r="AH22" s="3">
        <v>24770</v>
      </c>
      <c r="AI22" s="3">
        <v>24950</v>
      </c>
      <c r="AJ22" s="3">
        <v>25100</v>
      </c>
      <c r="AK22" s="3">
        <v>25230</v>
      </c>
      <c r="AL22" s="3">
        <v>25340</v>
      </c>
      <c r="AM22" s="3">
        <v>25420</v>
      </c>
      <c r="AN22" s="3">
        <v>25470</v>
      </c>
      <c r="AO22" s="3">
        <v>25500</v>
      </c>
      <c r="AP22" s="3">
        <v>25510</v>
      </c>
      <c r="AQ22" s="3">
        <v>25490</v>
      </c>
      <c r="AR22" s="3">
        <v>25450</v>
      </c>
      <c r="AS22" s="3">
        <v>25400</v>
      </c>
      <c r="AT22" s="3">
        <v>25340</v>
      </c>
      <c r="AU22" s="3">
        <v>25270</v>
      </c>
    </row>
    <row r="23" spans="1:47" x14ac:dyDescent="0.2">
      <c r="A23" s="1">
        <v>28</v>
      </c>
      <c r="B23" s="3">
        <v>22420</v>
      </c>
      <c r="C23" s="3">
        <v>23820</v>
      </c>
      <c r="D23" s="3">
        <v>24400</v>
      </c>
      <c r="E23" s="3">
        <v>25670</v>
      </c>
      <c r="F23" s="3">
        <v>26520</v>
      </c>
      <c r="G23" s="3">
        <v>25870</v>
      </c>
      <c r="H23" s="3">
        <v>25910</v>
      </c>
      <c r="I23" s="3">
        <v>25490</v>
      </c>
      <c r="J23" s="3">
        <v>25550</v>
      </c>
      <c r="K23" s="3">
        <v>25160</v>
      </c>
      <c r="L23" s="3">
        <v>25260</v>
      </c>
      <c r="M23" s="3">
        <v>24950</v>
      </c>
      <c r="N23" s="3">
        <v>24260</v>
      </c>
      <c r="O23" s="3">
        <v>24980</v>
      </c>
      <c r="P23" s="3">
        <v>24680</v>
      </c>
      <c r="Q23" s="3">
        <v>23810</v>
      </c>
      <c r="R23" s="3">
        <v>23590</v>
      </c>
      <c r="S23" s="3">
        <v>24020</v>
      </c>
      <c r="T23" s="3">
        <v>23860</v>
      </c>
      <c r="U23" s="3">
        <v>24390</v>
      </c>
      <c r="V23" s="3">
        <v>25320</v>
      </c>
      <c r="W23" s="3">
        <v>26200</v>
      </c>
      <c r="X23" s="3">
        <v>25850</v>
      </c>
      <c r="Y23" s="3">
        <v>26420</v>
      </c>
      <c r="Z23" s="3">
        <v>25910</v>
      </c>
      <c r="AA23" s="3">
        <v>25460</v>
      </c>
      <c r="AB23" s="3">
        <v>24990</v>
      </c>
      <c r="AC23" s="3">
        <v>24230</v>
      </c>
      <c r="AD23" s="3">
        <v>24020</v>
      </c>
      <c r="AE23" s="3">
        <v>24320</v>
      </c>
      <c r="AF23" s="3">
        <v>24570</v>
      </c>
      <c r="AG23" s="3">
        <v>24780</v>
      </c>
      <c r="AH23" s="3">
        <v>24990</v>
      </c>
      <c r="AI23" s="3">
        <v>25190</v>
      </c>
      <c r="AJ23" s="3">
        <v>25370</v>
      </c>
      <c r="AK23" s="3">
        <v>25530</v>
      </c>
      <c r="AL23" s="3">
        <v>25660</v>
      </c>
      <c r="AM23" s="3">
        <v>25760</v>
      </c>
      <c r="AN23" s="3">
        <v>25840</v>
      </c>
      <c r="AO23" s="3">
        <v>25900</v>
      </c>
      <c r="AP23" s="3">
        <v>25930</v>
      </c>
      <c r="AQ23" s="3">
        <v>25930</v>
      </c>
      <c r="AR23" s="3">
        <v>25920</v>
      </c>
      <c r="AS23" s="3">
        <v>25880</v>
      </c>
      <c r="AT23" s="3">
        <v>25820</v>
      </c>
      <c r="AU23" s="3">
        <v>25760</v>
      </c>
    </row>
    <row r="24" spans="1:47" x14ac:dyDescent="0.2">
      <c r="A24" s="1">
        <v>29</v>
      </c>
      <c r="B24" s="3">
        <v>22130</v>
      </c>
      <c r="C24" s="3">
        <v>22990</v>
      </c>
      <c r="D24" s="3">
        <v>24220</v>
      </c>
      <c r="E24" s="3">
        <v>24800</v>
      </c>
      <c r="F24" s="3">
        <v>26070</v>
      </c>
      <c r="G24" s="3">
        <v>26920</v>
      </c>
      <c r="H24" s="3">
        <v>26270</v>
      </c>
      <c r="I24" s="3">
        <v>26310</v>
      </c>
      <c r="J24" s="3">
        <v>25890</v>
      </c>
      <c r="K24" s="3">
        <v>25950</v>
      </c>
      <c r="L24" s="3">
        <v>25560</v>
      </c>
      <c r="M24" s="3">
        <v>25660</v>
      </c>
      <c r="N24" s="3">
        <v>25340</v>
      </c>
      <c r="O24" s="3">
        <v>24660</v>
      </c>
      <c r="P24" s="3">
        <v>25380</v>
      </c>
      <c r="Q24" s="3">
        <v>25070</v>
      </c>
      <c r="R24" s="3">
        <v>24210</v>
      </c>
      <c r="S24" s="3">
        <v>23990</v>
      </c>
      <c r="T24" s="3">
        <v>24420</v>
      </c>
      <c r="U24" s="3">
        <v>24260</v>
      </c>
      <c r="V24" s="3">
        <v>24790</v>
      </c>
      <c r="W24" s="3">
        <v>25720</v>
      </c>
      <c r="X24" s="3">
        <v>26600</v>
      </c>
      <c r="Y24" s="3">
        <v>26240</v>
      </c>
      <c r="Z24" s="3">
        <v>26820</v>
      </c>
      <c r="AA24" s="3">
        <v>26300</v>
      </c>
      <c r="AB24" s="3">
        <v>25850</v>
      </c>
      <c r="AC24" s="3">
        <v>25380</v>
      </c>
      <c r="AD24" s="3">
        <v>24620</v>
      </c>
      <c r="AE24" s="3">
        <v>24410</v>
      </c>
      <c r="AF24" s="3">
        <v>24710</v>
      </c>
      <c r="AG24" s="3">
        <v>24960</v>
      </c>
      <c r="AH24" s="3">
        <v>25180</v>
      </c>
      <c r="AI24" s="3">
        <v>25390</v>
      </c>
      <c r="AJ24" s="3">
        <v>25590</v>
      </c>
      <c r="AK24" s="3">
        <v>25760</v>
      </c>
      <c r="AL24" s="3">
        <v>25920</v>
      </c>
      <c r="AM24" s="3">
        <v>26050</v>
      </c>
      <c r="AN24" s="3">
        <v>26160</v>
      </c>
      <c r="AO24" s="3">
        <v>26230</v>
      </c>
      <c r="AP24" s="3">
        <v>26290</v>
      </c>
      <c r="AQ24" s="3">
        <v>26320</v>
      </c>
      <c r="AR24" s="3">
        <v>26330</v>
      </c>
      <c r="AS24" s="3">
        <v>26310</v>
      </c>
      <c r="AT24" s="3">
        <v>26270</v>
      </c>
      <c r="AU24" s="3">
        <v>26210</v>
      </c>
    </row>
    <row r="25" spans="1:47" x14ac:dyDescent="0.2">
      <c r="A25" s="1">
        <v>30</v>
      </c>
      <c r="B25" s="3">
        <v>22220</v>
      </c>
      <c r="C25" s="3">
        <v>22640</v>
      </c>
      <c r="D25" s="3">
        <v>23370</v>
      </c>
      <c r="E25" s="3">
        <v>24590</v>
      </c>
      <c r="F25" s="3">
        <v>25170</v>
      </c>
      <c r="G25" s="3">
        <v>26450</v>
      </c>
      <c r="H25" s="3">
        <v>27300</v>
      </c>
      <c r="I25" s="3">
        <v>26660</v>
      </c>
      <c r="J25" s="3">
        <v>26690</v>
      </c>
      <c r="K25" s="3">
        <v>26270</v>
      </c>
      <c r="L25" s="3">
        <v>26330</v>
      </c>
      <c r="M25" s="3">
        <v>25940</v>
      </c>
      <c r="N25" s="3">
        <v>26040</v>
      </c>
      <c r="O25" s="3">
        <v>25730</v>
      </c>
      <c r="P25" s="3">
        <v>25050</v>
      </c>
      <c r="Q25" s="3">
        <v>25760</v>
      </c>
      <c r="R25" s="3">
        <v>25460</v>
      </c>
      <c r="S25" s="3">
        <v>24600</v>
      </c>
      <c r="T25" s="3">
        <v>24380</v>
      </c>
      <c r="U25" s="3">
        <v>24800</v>
      </c>
      <c r="V25" s="3">
        <v>24640</v>
      </c>
      <c r="W25" s="3">
        <v>25170</v>
      </c>
      <c r="X25" s="3">
        <v>26110</v>
      </c>
      <c r="Y25" s="3">
        <v>26980</v>
      </c>
      <c r="Z25" s="3">
        <v>26630</v>
      </c>
      <c r="AA25" s="3">
        <v>27200</v>
      </c>
      <c r="AB25" s="3">
        <v>26690</v>
      </c>
      <c r="AC25" s="3">
        <v>26240</v>
      </c>
      <c r="AD25" s="3">
        <v>25770</v>
      </c>
      <c r="AE25" s="3">
        <v>25010</v>
      </c>
      <c r="AF25" s="3">
        <v>24800</v>
      </c>
      <c r="AG25" s="3">
        <v>25100</v>
      </c>
      <c r="AH25" s="3">
        <v>25350</v>
      </c>
      <c r="AI25" s="3">
        <v>25560</v>
      </c>
      <c r="AJ25" s="3">
        <v>25770</v>
      </c>
      <c r="AK25" s="3">
        <v>25970</v>
      </c>
      <c r="AL25" s="3">
        <v>26150</v>
      </c>
      <c r="AM25" s="3">
        <v>26300</v>
      </c>
      <c r="AN25" s="3">
        <v>26430</v>
      </c>
      <c r="AO25" s="3">
        <v>26540</v>
      </c>
      <c r="AP25" s="3">
        <v>26620</v>
      </c>
      <c r="AQ25" s="3">
        <v>26670</v>
      </c>
      <c r="AR25" s="3">
        <v>26700</v>
      </c>
      <c r="AS25" s="3">
        <v>26710</v>
      </c>
      <c r="AT25" s="3">
        <v>26690</v>
      </c>
      <c r="AU25" s="3">
        <v>26650</v>
      </c>
    </row>
    <row r="26" spans="1:47" x14ac:dyDescent="0.2">
      <c r="A26" s="1">
        <v>31</v>
      </c>
      <c r="B26" s="3">
        <v>22050</v>
      </c>
      <c r="C26" s="3">
        <v>22670</v>
      </c>
      <c r="D26" s="3">
        <v>22960</v>
      </c>
      <c r="E26" s="3">
        <v>23690</v>
      </c>
      <c r="F26" s="3">
        <v>24910</v>
      </c>
      <c r="G26" s="3">
        <v>25490</v>
      </c>
      <c r="H26" s="3">
        <v>26760</v>
      </c>
      <c r="I26" s="3">
        <v>27610</v>
      </c>
      <c r="J26" s="3">
        <v>26960</v>
      </c>
      <c r="K26" s="3">
        <v>26990</v>
      </c>
      <c r="L26" s="3">
        <v>26570</v>
      </c>
      <c r="M26" s="3">
        <v>26630</v>
      </c>
      <c r="N26" s="3">
        <v>26240</v>
      </c>
      <c r="O26" s="3">
        <v>26340</v>
      </c>
      <c r="P26" s="3">
        <v>26020</v>
      </c>
      <c r="Q26" s="3">
        <v>25340</v>
      </c>
      <c r="R26" s="3">
        <v>26050</v>
      </c>
      <c r="S26" s="3">
        <v>25750</v>
      </c>
      <c r="T26" s="3">
        <v>24880</v>
      </c>
      <c r="U26" s="3">
        <v>24660</v>
      </c>
      <c r="V26" s="3">
        <v>25090</v>
      </c>
      <c r="W26" s="3">
        <v>24930</v>
      </c>
      <c r="X26" s="3">
        <v>25450</v>
      </c>
      <c r="Y26" s="3">
        <v>26380</v>
      </c>
      <c r="Z26" s="3">
        <v>27260</v>
      </c>
      <c r="AA26" s="3">
        <v>26910</v>
      </c>
      <c r="AB26" s="3">
        <v>27480</v>
      </c>
      <c r="AC26" s="3">
        <v>26960</v>
      </c>
      <c r="AD26" s="3">
        <v>26510</v>
      </c>
      <c r="AE26" s="3">
        <v>26040</v>
      </c>
      <c r="AF26" s="3">
        <v>25280</v>
      </c>
      <c r="AG26" s="3">
        <v>25070</v>
      </c>
      <c r="AH26" s="3">
        <v>25370</v>
      </c>
      <c r="AI26" s="3">
        <v>25620</v>
      </c>
      <c r="AJ26" s="3">
        <v>25830</v>
      </c>
      <c r="AK26" s="3">
        <v>26040</v>
      </c>
      <c r="AL26" s="3">
        <v>26240</v>
      </c>
      <c r="AM26" s="3">
        <v>26420</v>
      </c>
      <c r="AN26" s="3">
        <v>26570</v>
      </c>
      <c r="AO26" s="3">
        <v>26700</v>
      </c>
      <c r="AP26" s="3">
        <v>26810</v>
      </c>
      <c r="AQ26" s="3">
        <v>26880</v>
      </c>
      <c r="AR26" s="3">
        <v>26940</v>
      </c>
      <c r="AS26" s="3">
        <v>26970</v>
      </c>
      <c r="AT26" s="3">
        <v>26970</v>
      </c>
      <c r="AU26" s="3">
        <v>26960</v>
      </c>
    </row>
    <row r="27" spans="1:47" x14ac:dyDescent="0.2">
      <c r="A27" s="1">
        <v>32</v>
      </c>
      <c r="B27" s="3">
        <v>21930</v>
      </c>
      <c r="C27" s="3">
        <v>22290</v>
      </c>
      <c r="D27" s="3">
        <v>22790</v>
      </c>
      <c r="E27" s="3">
        <v>23070</v>
      </c>
      <c r="F27" s="3">
        <v>23790</v>
      </c>
      <c r="G27" s="3">
        <v>25010</v>
      </c>
      <c r="H27" s="3">
        <v>25580</v>
      </c>
      <c r="I27" s="3">
        <v>26850</v>
      </c>
      <c r="J27" s="3">
        <v>27680</v>
      </c>
      <c r="K27" s="3">
        <v>27040</v>
      </c>
      <c r="L27" s="3">
        <v>27060</v>
      </c>
      <c r="M27" s="3">
        <v>26640</v>
      </c>
      <c r="N27" s="3">
        <v>26700</v>
      </c>
      <c r="O27" s="3">
        <v>26310</v>
      </c>
      <c r="P27" s="3">
        <v>26400</v>
      </c>
      <c r="Q27" s="3">
        <v>26080</v>
      </c>
      <c r="R27" s="3">
        <v>25400</v>
      </c>
      <c r="S27" s="3">
        <v>26110</v>
      </c>
      <c r="T27" s="3">
        <v>25800</v>
      </c>
      <c r="U27" s="3">
        <v>24940</v>
      </c>
      <c r="V27" s="3">
        <v>24720</v>
      </c>
      <c r="W27" s="3">
        <v>25140</v>
      </c>
      <c r="X27" s="3">
        <v>24980</v>
      </c>
      <c r="Y27" s="3">
        <v>25500</v>
      </c>
      <c r="Z27" s="3">
        <v>26430</v>
      </c>
      <c r="AA27" s="3">
        <v>27290</v>
      </c>
      <c r="AB27" s="3">
        <v>26940</v>
      </c>
      <c r="AC27" s="3">
        <v>27510</v>
      </c>
      <c r="AD27" s="3">
        <v>27000</v>
      </c>
      <c r="AE27" s="3">
        <v>26550</v>
      </c>
      <c r="AF27" s="3">
        <v>26080</v>
      </c>
      <c r="AG27" s="3">
        <v>25320</v>
      </c>
      <c r="AH27" s="3">
        <v>25110</v>
      </c>
      <c r="AI27" s="3">
        <v>25410</v>
      </c>
      <c r="AJ27" s="3">
        <v>25660</v>
      </c>
      <c r="AK27" s="3">
        <v>25870</v>
      </c>
      <c r="AL27" s="3">
        <v>26070</v>
      </c>
      <c r="AM27" s="3">
        <v>26270</v>
      </c>
      <c r="AN27" s="3">
        <v>26450</v>
      </c>
      <c r="AO27" s="3">
        <v>26600</v>
      </c>
      <c r="AP27" s="3">
        <v>26730</v>
      </c>
      <c r="AQ27" s="3">
        <v>26830</v>
      </c>
      <c r="AR27" s="3">
        <v>26910</v>
      </c>
      <c r="AS27" s="3">
        <v>26970</v>
      </c>
      <c r="AT27" s="3">
        <v>27000</v>
      </c>
      <c r="AU27" s="3">
        <v>27000</v>
      </c>
    </row>
    <row r="28" spans="1:47" x14ac:dyDescent="0.2">
      <c r="A28" s="1">
        <v>33</v>
      </c>
      <c r="B28" s="3">
        <v>21490</v>
      </c>
      <c r="C28" s="3">
        <v>22110</v>
      </c>
      <c r="D28" s="3">
        <v>22360</v>
      </c>
      <c r="E28" s="3">
        <v>22840</v>
      </c>
      <c r="F28" s="3">
        <v>23120</v>
      </c>
      <c r="G28" s="3">
        <v>23830</v>
      </c>
      <c r="H28" s="3">
        <v>25040</v>
      </c>
      <c r="I28" s="3">
        <v>25600</v>
      </c>
      <c r="J28" s="3">
        <v>26860</v>
      </c>
      <c r="K28" s="3">
        <v>27690</v>
      </c>
      <c r="L28" s="3">
        <v>27030</v>
      </c>
      <c r="M28" s="3">
        <v>27060</v>
      </c>
      <c r="N28" s="3">
        <v>26630</v>
      </c>
      <c r="O28" s="3">
        <v>26680</v>
      </c>
      <c r="P28" s="3">
        <v>26290</v>
      </c>
      <c r="Q28" s="3">
        <v>26380</v>
      </c>
      <c r="R28" s="3">
        <v>26060</v>
      </c>
      <c r="S28" s="3">
        <v>25380</v>
      </c>
      <c r="T28" s="3">
        <v>26070</v>
      </c>
      <c r="U28" s="3">
        <v>25770</v>
      </c>
      <c r="V28" s="3">
        <v>24910</v>
      </c>
      <c r="W28" s="3">
        <v>24690</v>
      </c>
      <c r="X28" s="3">
        <v>25100</v>
      </c>
      <c r="Y28" s="3">
        <v>24940</v>
      </c>
      <c r="Z28" s="3">
        <v>25460</v>
      </c>
      <c r="AA28" s="3">
        <v>26380</v>
      </c>
      <c r="AB28" s="3">
        <v>27240</v>
      </c>
      <c r="AC28" s="3">
        <v>26880</v>
      </c>
      <c r="AD28" s="3">
        <v>27450</v>
      </c>
      <c r="AE28" s="3">
        <v>26930</v>
      </c>
      <c r="AF28" s="3">
        <v>26490</v>
      </c>
      <c r="AG28" s="3">
        <v>26020</v>
      </c>
      <c r="AH28" s="3">
        <v>25270</v>
      </c>
      <c r="AI28" s="3">
        <v>25060</v>
      </c>
      <c r="AJ28" s="3">
        <v>25350</v>
      </c>
      <c r="AK28" s="3">
        <v>25600</v>
      </c>
      <c r="AL28" s="3">
        <v>25810</v>
      </c>
      <c r="AM28" s="3">
        <v>26010</v>
      </c>
      <c r="AN28" s="3">
        <v>26210</v>
      </c>
      <c r="AO28" s="3">
        <v>26380</v>
      </c>
      <c r="AP28" s="3">
        <v>26530</v>
      </c>
      <c r="AQ28" s="3">
        <v>26660</v>
      </c>
      <c r="AR28" s="3">
        <v>26770</v>
      </c>
      <c r="AS28" s="3">
        <v>26840</v>
      </c>
      <c r="AT28" s="3">
        <v>26900</v>
      </c>
      <c r="AU28" s="3">
        <v>26930</v>
      </c>
    </row>
    <row r="29" spans="1:47" x14ac:dyDescent="0.2">
      <c r="A29" s="1">
        <v>34</v>
      </c>
      <c r="B29" s="3">
        <v>21040</v>
      </c>
      <c r="C29" s="3">
        <v>21700</v>
      </c>
      <c r="D29" s="3">
        <v>22210</v>
      </c>
      <c r="E29" s="3">
        <v>22450</v>
      </c>
      <c r="F29" s="3">
        <v>22930</v>
      </c>
      <c r="G29" s="3">
        <v>23190</v>
      </c>
      <c r="H29" s="3">
        <v>23890</v>
      </c>
      <c r="I29" s="3">
        <v>25090</v>
      </c>
      <c r="J29" s="3">
        <v>25640</v>
      </c>
      <c r="K29" s="3">
        <v>26890</v>
      </c>
      <c r="L29" s="3">
        <v>27700</v>
      </c>
      <c r="M29" s="3">
        <v>27050</v>
      </c>
      <c r="N29" s="3">
        <v>27060</v>
      </c>
      <c r="O29" s="3">
        <v>26630</v>
      </c>
      <c r="P29" s="3">
        <v>26680</v>
      </c>
      <c r="Q29" s="3">
        <v>26280</v>
      </c>
      <c r="R29" s="3">
        <v>26360</v>
      </c>
      <c r="S29" s="3">
        <v>26040</v>
      </c>
      <c r="T29" s="3">
        <v>25350</v>
      </c>
      <c r="U29" s="3">
        <v>26050</v>
      </c>
      <c r="V29" s="3">
        <v>25740</v>
      </c>
      <c r="W29" s="3">
        <v>24880</v>
      </c>
      <c r="X29" s="3">
        <v>24650</v>
      </c>
      <c r="Y29" s="3">
        <v>25060</v>
      </c>
      <c r="Z29" s="3">
        <v>24900</v>
      </c>
      <c r="AA29" s="3">
        <v>25410</v>
      </c>
      <c r="AB29" s="3">
        <v>26320</v>
      </c>
      <c r="AC29" s="3">
        <v>27180</v>
      </c>
      <c r="AD29" s="3">
        <v>26830</v>
      </c>
      <c r="AE29" s="3">
        <v>27390</v>
      </c>
      <c r="AF29" s="3">
        <v>26870</v>
      </c>
      <c r="AG29" s="3">
        <v>26430</v>
      </c>
      <c r="AH29" s="3">
        <v>25960</v>
      </c>
      <c r="AI29" s="3">
        <v>25210</v>
      </c>
      <c r="AJ29" s="3">
        <v>25010</v>
      </c>
      <c r="AK29" s="3">
        <v>25300</v>
      </c>
      <c r="AL29" s="3">
        <v>25540</v>
      </c>
      <c r="AM29" s="3">
        <v>25740</v>
      </c>
      <c r="AN29" s="3">
        <v>25950</v>
      </c>
      <c r="AO29" s="3">
        <v>26140</v>
      </c>
      <c r="AP29" s="3">
        <v>26320</v>
      </c>
      <c r="AQ29" s="3">
        <v>26470</v>
      </c>
      <c r="AR29" s="3">
        <v>26590</v>
      </c>
      <c r="AS29" s="3">
        <v>26700</v>
      </c>
      <c r="AT29" s="3">
        <v>26770</v>
      </c>
      <c r="AU29" s="3">
        <v>26830</v>
      </c>
    </row>
    <row r="30" spans="1:47" x14ac:dyDescent="0.2">
      <c r="A30" s="1">
        <v>35</v>
      </c>
      <c r="B30" s="3">
        <v>21130</v>
      </c>
      <c r="C30" s="3">
        <v>21360</v>
      </c>
      <c r="D30" s="3">
        <v>21910</v>
      </c>
      <c r="E30" s="3">
        <v>22410</v>
      </c>
      <c r="F30" s="3">
        <v>22640</v>
      </c>
      <c r="G30" s="3">
        <v>23110</v>
      </c>
      <c r="H30" s="3">
        <v>23370</v>
      </c>
      <c r="I30" s="3">
        <v>24070</v>
      </c>
      <c r="J30" s="3">
        <v>25260</v>
      </c>
      <c r="K30" s="3">
        <v>25810</v>
      </c>
      <c r="L30" s="3">
        <v>27050</v>
      </c>
      <c r="M30" s="3">
        <v>27870</v>
      </c>
      <c r="N30" s="3">
        <v>27200</v>
      </c>
      <c r="O30" s="3">
        <v>27210</v>
      </c>
      <c r="P30" s="3">
        <v>26770</v>
      </c>
      <c r="Q30" s="3">
        <v>26820</v>
      </c>
      <c r="R30" s="3">
        <v>26410</v>
      </c>
      <c r="S30" s="3">
        <v>26490</v>
      </c>
      <c r="T30" s="3">
        <v>26170</v>
      </c>
      <c r="U30" s="3">
        <v>25480</v>
      </c>
      <c r="V30" s="3">
        <v>26170</v>
      </c>
      <c r="W30" s="3">
        <v>25860</v>
      </c>
      <c r="X30" s="3">
        <v>25000</v>
      </c>
      <c r="Y30" s="3">
        <v>24770</v>
      </c>
      <c r="Z30" s="3">
        <v>25180</v>
      </c>
      <c r="AA30" s="3">
        <v>25010</v>
      </c>
      <c r="AB30" s="3">
        <v>25520</v>
      </c>
      <c r="AC30" s="3">
        <v>26430</v>
      </c>
      <c r="AD30" s="3">
        <v>27280</v>
      </c>
      <c r="AE30" s="3">
        <v>26930</v>
      </c>
      <c r="AF30" s="3">
        <v>27490</v>
      </c>
      <c r="AG30" s="3">
        <v>26970</v>
      </c>
      <c r="AH30" s="3">
        <v>26530</v>
      </c>
      <c r="AI30" s="3">
        <v>26060</v>
      </c>
      <c r="AJ30" s="3">
        <v>25310</v>
      </c>
      <c r="AK30" s="3">
        <v>25100</v>
      </c>
      <c r="AL30" s="3">
        <v>25390</v>
      </c>
      <c r="AM30" s="3">
        <v>25640</v>
      </c>
      <c r="AN30" s="3">
        <v>25840</v>
      </c>
      <c r="AO30" s="3">
        <v>26040</v>
      </c>
      <c r="AP30" s="3">
        <v>26240</v>
      </c>
      <c r="AQ30" s="3">
        <v>26410</v>
      </c>
      <c r="AR30" s="3">
        <v>26560</v>
      </c>
      <c r="AS30" s="3">
        <v>26690</v>
      </c>
      <c r="AT30" s="3">
        <v>26790</v>
      </c>
      <c r="AU30" s="3">
        <v>26870</v>
      </c>
    </row>
    <row r="31" spans="1:47" x14ac:dyDescent="0.2">
      <c r="A31" s="1">
        <v>36</v>
      </c>
      <c r="B31" s="3">
        <v>21400</v>
      </c>
      <c r="C31" s="3">
        <v>21510</v>
      </c>
      <c r="D31" s="3">
        <v>21620</v>
      </c>
      <c r="E31" s="3">
        <v>22160</v>
      </c>
      <c r="F31" s="3">
        <v>22660</v>
      </c>
      <c r="G31" s="3">
        <v>22890</v>
      </c>
      <c r="H31" s="3">
        <v>23350</v>
      </c>
      <c r="I31" s="3">
        <v>23610</v>
      </c>
      <c r="J31" s="3">
        <v>24300</v>
      </c>
      <c r="K31" s="3">
        <v>25490</v>
      </c>
      <c r="L31" s="3">
        <v>26040</v>
      </c>
      <c r="M31" s="3">
        <v>27280</v>
      </c>
      <c r="N31" s="3">
        <v>28090</v>
      </c>
      <c r="O31" s="3">
        <v>27420</v>
      </c>
      <c r="P31" s="3">
        <v>27420</v>
      </c>
      <c r="Q31" s="3">
        <v>26980</v>
      </c>
      <c r="R31" s="3">
        <v>27010</v>
      </c>
      <c r="S31" s="3">
        <v>26600</v>
      </c>
      <c r="T31" s="3">
        <v>26680</v>
      </c>
      <c r="U31" s="3">
        <v>26350</v>
      </c>
      <c r="V31" s="3">
        <v>25660</v>
      </c>
      <c r="W31" s="3">
        <v>26340</v>
      </c>
      <c r="X31" s="3">
        <v>26030</v>
      </c>
      <c r="Y31" s="3">
        <v>25160</v>
      </c>
      <c r="Z31" s="3">
        <v>24930</v>
      </c>
      <c r="AA31" s="3">
        <v>25340</v>
      </c>
      <c r="AB31" s="3">
        <v>25170</v>
      </c>
      <c r="AC31" s="3">
        <v>25680</v>
      </c>
      <c r="AD31" s="3">
        <v>26590</v>
      </c>
      <c r="AE31" s="3">
        <v>27440</v>
      </c>
      <c r="AF31" s="3">
        <v>27090</v>
      </c>
      <c r="AG31" s="3">
        <v>27650</v>
      </c>
      <c r="AH31" s="3">
        <v>27130</v>
      </c>
      <c r="AI31" s="3">
        <v>26680</v>
      </c>
      <c r="AJ31" s="3">
        <v>26220</v>
      </c>
      <c r="AK31" s="3">
        <v>25460</v>
      </c>
      <c r="AL31" s="3">
        <v>25260</v>
      </c>
      <c r="AM31" s="3">
        <v>25540</v>
      </c>
      <c r="AN31" s="3">
        <v>25790</v>
      </c>
      <c r="AO31" s="3">
        <v>25990</v>
      </c>
      <c r="AP31" s="3">
        <v>26200</v>
      </c>
      <c r="AQ31" s="3">
        <v>26390</v>
      </c>
      <c r="AR31" s="3">
        <v>26560</v>
      </c>
      <c r="AS31" s="3">
        <v>26710</v>
      </c>
      <c r="AT31" s="3">
        <v>26840</v>
      </c>
      <c r="AU31" s="3">
        <v>26950</v>
      </c>
    </row>
    <row r="32" spans="1:47" x14ac:dyDescent="0.2">
      <c r="A32" s="1">
        <v>37</v>
      </c>
      <c r="B32" s="3">
        <v>21120</v>
      </c>
      <c r="C32" s="3">
        <v>21890</v>
      </c>
      <c r="D32" s="3">
        <v>21900</v>
      </c>
      <c r="E32" s="3">
        <v>22000</v>
      </c>
      <c r="F32" s="3">
        <v>22550</v>
      </c>
      <c r="G32" s="3">
        <v>23050</v>
      </c>
      <c r="H32" s="3">
        <v>23270</v>
      </c>
      <c r="I32" s="3">
        <v>23740</v>
      </c>
      <c r="J32" s="3">
        <v>23990</v>
      </c>
      <c r="K32" s="3">
        <v>24690</v>
      </c>
      <c r="L32" s="3">
        <v>25890</v>
      </c>
      <c r="M32" s="3">
        <v>26430</v>
      </c>
      <c r="N32" s="3">
        <v>27690</v>
      </c>
      <c r="O32" s="3">
        <v>28500</v>
      </c>
      <c r="P32" s="3">
        <v>27820</v>
      </c>
      <c r="Q32" s="3">
        <v>27820</v>
      </c>
      <c r="R32" s="3">
        <v>27360</v>
      </c>
      <c r="S32" s="3">
        <v>27400</v>
      </c>
      <c r="T32" s="3">
        <v>26980</v>
      </c>
      <c r="U32" s="3">
        <v>27050</v>
      </c>
      <c r="V32" s="3">
        <v>26720</v>
      </c>
      <c r="W32" s="3">
        <v>26010</v>
      </c>
      <c r="X32" s="3">
        <v>26710</v>
      </c>
      <c r="Y32" s="3">
        <v>26390</v>
      </c>
      <c r="Z32" s="3">
        <v>25510</v>
      </c>
      <c r="AA32" s="3">
        <v>25280</v>
      </c>
      <c r="AB32" s="3">
        <v>25690</v>
      </c>
      <c r="AC32" s="3">
        <v>25520</v>
      </c>
      <c r="AD32" s="3">
        <v>26030</v>
      </c>
      <c r="AE32" s="3">
        <v>26950</v>
      </c>
      <c r="AF32" s="3">
        <v>27810</v>
      </c>
      <c r="AG32" s="3">
        <v>27450</v>
      </c>
      <c r="AH32" s="3">
        <v>28010</v>
      </c>
      <c r="AI32" s="3">
        <v>27490</v>
      </c>
      <c r="AJ32" s="3">
        <v>27040</v>
      </c>
      <c r="AK32" s="3">
        <v>26560</v>
      </c>
      <c r="AL32" s="3">
        <v>25800</v>
      </c>
      <c r="AM32" s="3">
        <v>25590</v>
      </c>
      <c r="AN32" s="3">
        <v>25880</v>
      </c>
      <c r="AO32" s="3">
        <v>26130</v>
      </c>
      <c r="AP32" s="3">
        <v>26340</v>
      </c>
      <c r="AQ32" s="3">
        <v>26540</v>
      </c>
      <c r="AR32" s="3">
        <v>26740</v>
      </c>
      <c r="AS32" s="3">
        <v>26910</v>
      </c>
      <c r="AT32" s="3">
        <v>27070</v>
      </c>
      <c r="AU32" s="3">
        <v>27200</v>
      </c>
    </row>
    <row r="33" spans="1:47" x14ac:dyDescent="0.2">
      <c r="A33" s="1">
        <v>38</v>
      </c>
      <c r="B33" s="3">
        <v>21770</v>
      </c>
      <c r="C33" s="3">
        <v>21650</v>
      </c>
      <c r="D33" s="3">
        <v>22340</v>
      </c>
      <c r="E33" s="3">
        <v>22330</v>
      </c>
      <c r="F33" s="3">
        <v>22440</v>
      </c>
      <c r="G33" s="3">
        <v>22990</v>
      </c>
      <c r="H33" s="3">
        <v>23490</v>
      </c>
      <c r="I33" s="3">
        <v>23710</v>
      </c>
      <c r="J33" s="3">
        <v>24180</v>
      </c>
      <c r="K33" s="3">
        <v>24430</v>
      </c>
      <c r="L33" s="3">
        <v>25140</v>
      </c>
      <c r="M33" s="3">
        <v>26360</v>
      </c>
      <c r="N33" s="3">
        <v>26910</v>
      </c>
      <c r="O33" s="3">
        <v>28180</v>
      </c>
      <c r="P33" s="3">
        <v>29000</v>
      </c>
      <c r="Q33" s="3">
        <v>28300</v>
      </c>
      <c r="R33" s="3">
        <v>28300</v>
      </c>
      <c r="S33" s="3">
        <v>27840</v>
      </c>
      <c r="T33" s="3">
        <v>27870</v>
      </c>
      <c r="U33" s="3">
        <v>27440</v>
      </c>
      <c r="V33" s="3">
        <v>27520</v>
      </c>
      <c r="W33" s="3">
        <v>27170</v>
      </c>
      <c r="X33" s="3">
        <v>26460</v>
      </c>
      <c r="Y33" s="3">
        <v>27160</v>
      </c>
      <c r="Z33" s="3">
        <v>26840</v>
      </c>
      <c r="AA33" s="3">
        <v>25950</v>
      </c>
      <c r="AB33" s="3">
        <v>25710</v>
      </c>
      <c r="AC33" s="3">
        <v>26120</v>
      </c>
      <c r="AD33" s="3">
        <v>25950</v>
      </c>
      <c r="AE33" s="3">
        <v>26470</v>
      </c>
      <c r="AF33" s="3">
        <v>27400</v>
      </c>
      <c r="AG33" s="3">
        <v>28270</v>
      </c>
      <c r="AH33" s="3">
        <v>27900</v>
      </c>
      <c r="AI33" s="3">
        <v>28480</v>
      </c>
      <c r="AJ33" s="3">
        <v>27940</v>
      </c>
      <c r="AK33" s="3">
        <v>27480</v>
      </c>
      <c r="AL33" s="3">
        <v>27000</v>
      </c>
      <c r="AM33" s="3">
        <v>26230</v>
      </c>
      <c r="AN33" s="3">
        <v>26020</v>
      </c>
      <c r="AO33" s="3">
        <v>26320</v>
      </c>
      <c r="AP33" s="3">
        <v>26560</v>
      </c>
      <c r="AQ33" s="3">
        <v>26780</v>
      </c>
      <c r="AR33" s="3">
        <v>26980</v>
      </c>
      <c r="AS33" s="3">
        <v>27180</v>
      </c>
      <c r="AT33" s="3">
        <v>27360</v>
      </c>
      <c r="AU33" s="3">
        <v>27510</v>
      </c>
    </row>
    <row r="34" spans="1:47" x14ac:dyDescent="0.2">
      <c r="A34" s="1">
        <v>39</v>
      </c>
      <c r="B34" s="3">
        <v>22230</v>
      </c>
      <c r="C34" s="3">
        <v>22300</v>
      </c>
      <c r="D34" s="3">
        <v>22080</v>
      </c>
      <c r="E34" s="3">
        <v>22770</v>
      </c>
      <c r="F34" s="3">
        <v>22760</v>
      </c>
      <c r="G34" s="3">
        <v>22860</v>
      </c>
      <c r="H34" s="3">
        <v>23420</v>
      </c>
      <c r="I34" s="3">
        <v>23920</v>
      </c>
      <c r="J34" s="3">
        <v>24150</v>
      </c>
      <c r="K34" s="3">
        <v>24620</v>
      </c>
      <c r="L34" s="3">
        <v>24870</v>
      </c>
      <c r="M34" s="3">
        <v>25590</v>
      </c>
      <c r="N34" s="3">
        <v>26810</v>
      </c>
      <c r="O34" s="3">
        <v>27370</v>
      </c>
      <c r="P34" s="3">
        <v>28650</v>
      </c>
      <c r="Q34" s="3">
        <v>29490</v>
      </c>
      <c r="R34" s="3">
        <v>28780</v>
      </c>
      <c r="S34" s="3">
        <v>28770</v>
      </c>
      <c r="T34" s="3">
        <v>28300</v>
      </c>
      <c r="U34" s="3">
        <v>28330</v>
      </c>
      <c r="V34" s="3">
        <v>27900</v>
      </c>
      <c r="W34" s="3">
        <v>27970</v>
      </c>
      <c r="X34" s="3">
        <v>27620</v>
      </c>
      <c r="Y34" s="3">
        <v>26890</v>
      </c>
      <c r="Z34" s="3">
        <v>27600</v>
      </c>
      <c r="AA34" s="3">
        <v>27270</v>
      </c>
      <c r="AB34" s="3">
        <v>26370</v>
      </c>
      <c r="AC34" s="3">
        <v>26120</v>
      </c>
      <c r="AD34" s="3">
        <v>26540</v>
      </c>
      <c r="AE34" s="3">
        <v>26360</v>
      </c>
      <c r="AF34" s="3">
        <v>26890</v>
      </c>
      <c r="AG34" s="3">
        <v>27830</v>
      </c>
      <c r="AH34" s="3">
        <v>28720</v>
      </c>
      <c r="AI34" s="3">
        <v>28350</v>
      </c>
      <c r="AJ34" s="3">
        <v>28920</v>
      </c>
      <c r="AK34" s="3">
        <v>28390</v>
      </c>
      <c r="AL34" s="3">
        <v>27920</v>
      </c>
      <c r="AM34" s="3">
        <v>27430</v>
      </c>
      <c r="AN34" s="3">
        <v>26650</v>
      </c>
      <c r="AO34" s="3">
        <v>26430</v>
      </c>
      <c r="AP34" s="3">
        <v>26730</v>
      </c>
      <c r="AQ34" s="3">
        <v>26990</v>
      </c>
      <c r="AR34" s="3">
        <v>27200</v>
      </c>
      <c r="AS34" s="3">
        <v>27410</v>
      </c>
      <c r="AT34" s="3">
        <v>27610</v>
      </c>
      <c r="AU34" s="3">
        <v>27790</v>
      </c>
    </row>
    <row r="35" spans="1:47" x14ac:dyDescent="0.2">
      <c r="A35" s="1">
        <v>40</v>
      </c>
      <c r="B35" s="3">
        <v>23680</v>
      </c>
      <c r="C35" s="3">
        <v>22670</v>
      </c>
      <c r="D35" s="3">
        <v>22650</v>
      </c>
      <c r="E35" s="3">
        <v>22410</v>
      </c>
      <c r="F35" s="3">
        <v>23110</v>
      </c>
      <c r="G35" s="3">
        <v>23090</v>
      </c>
      <c r="H35" s="3">
        <v>23190</v>
      </c>
      <c r="I35" s="3">
        <v>23750</v>
      </c>
      <c r="J35" s="3">
        <v>24250</v>
      </c>
      <c r="K35" s="3">
        <v>24480</v>
      </c>
      <c r="L35" s="3">
        <v>24950</v>
      </c>
      <c r="M35" s="3">
        <v>25200</v>
      </c>
      <c r="N35" s="3">
        <v>25920</v>
      </c>
      <c r="O35" s="3">
        <v>27160</v>
      </c>
      <c r="P35" s="3">
        <v>27720</v>
      </c>
      <c r="Q35" s="3">
        <v>29010</v>
      </c>
      <c r="R35" s="3">
        <v>29850</v>
      </c>
      <c r="S35" s="3">
        <v>29130</v>
      </c>
      <c r="T35" s="3">
        <v>29120</v>
      </c>
      <c r="U35" s="3">
        <v>28640</v>
      </c>
      <c r="V35" s="3">
        <v>28670</v>
      </c>
      <c r="W35" s="3">
        <v>28230</v>
      </c>
      <c r="X35" s="3">
        <v>28300</v>
      </c>
      <c r="Y35" s="3">
        <v>27940</v>
      </c>
      <c r="Z35" s="3">
        <v>27210</v>
      </c>
      <c r="AA35" s="3">
        <v>27920</v>
      </c>
      <c r="AB35" s="3">
        <v>27590</v>
      </c>
      <c r="AC35" s="3">
        <v>26670</v>
      </c>
      <c r="AD35" s="3">
        <v>26430</v>
      </c>
      <c r="AE35" s="3">
        <v>26850</v>
      </c>
      <c r="AF35" s="3">
        <v>26670</v>
      </c>
      <c r="AG35" s="3">
        <v>27200</v>
      </c>
      <c r="AH35" s="3">
        <v>28150</v>
      </c>
      <c r="AI35" s="3">
        <v>29040</v>
      </c>
      <c r="AJ35" s="3">
        <v>28670</v>
      </c>
      <c r="AK35" s="3">
        <v>29250</v>
      </c>
      <c r="AL35" s="3">
        <v>28710</v>
      </c>
      <c r="AM35" s="3">
        <v>28240</v>
      </c>
      <c r="AN35" s="3">
        <v>27750</v>
      </c>
      <c r="AO35" s="3">
        <v>26960</v>
      </c>
      <c r="AP35" s="3">
        <v>26740</v>
      </c>
      <c r="AQ35" s="3">
        <v>27040</v>
      </c>
      <c r="AR35" s="3">
        <v>27300</v>
      </c>
      <c r="AS35" s="3">
        <v>27510</v>
      </c>
      <c r="AT35" s="3">
        <v>27720</v>
      </c>
      <c r="AU35" s="3">
        <v>27930</v>
      </c>
    </row>
    <row r="36" spans="1:47" x14ac:dyDescent="0.2">
      <c r="A36" s="1">
        <v>41</v>
      </c>
      <c r="B36" s="3">
        <v>24970</v>
      </c>
      <c r="C36" s="3">
        <v>24050</v>
      </c>
      <c r="D36" s="3">
        <v>22940</v>
      </c>
      <c r="E36" s="3">
        <v>22920</v>
      </c>
      <c r="F36" s="3">
        <v>22680</v>
      </c>
      <c r="G36" s="3">
        <v>23380</v>
      </c>
      <c r="H36" s="3">
        <v>23360</v>
      </c>
      <c r="I36" s="3">
        <v>23450</v>
      </c>
      <c r="J36" s="3">
        <v>24010</v>
      </c>
      <c r="K36" s="3">
        <v>24520</v>
      </c>
      <c r="L36" s="3">
        <v>24740</v>
      </c>
      <c r="M36" s="3">
        <v>25220</v>
      </c>
      <c r="N36" s="3">
        <v>25470</v>
      </c>
      <c r="O36" s="3">
        <v>26190</v>
      </c>
      <c r="P36" s="3">
        <v>27440</v>
      </c>
      <c r="Q36" s="3">
        <v>28000</v>
      </c>
      <c r="R36" s="3">
        <v>29310</v>
      </c>
      <c r="S36" s="3">
        <v>30150</v>
      </c>
      <c r="T36" s="3">
        <v>29420</v>
      </c>
      <c r="U36" s="3">
        <v>29410</v>
      </c>
      <c r="V36" s="3">
        <v>28930</v>
      </c>
      <c r="W36" s="3">
        <v>28960</v>
      </c>
      <c r="X36" s="3">
        <v>28510</v>
      </c>
      <c r="Y36" s="3">
        <v>28580</v>
      </c>
      <c r="Z36" s="3">
        <v>28220</v>
      </c>
      <c r="AA36" s="3">
        <v>27480</v>
      </c>
      <c r="AB36" s="3">
        <v>28200</v>
      </c>
      <c r="AC36" s="3">
        <v>27860</v>
      </c>
      <c r="AD36" s="3">
        <v>26940</v>
      </c>
      <c r="AE36" s="3">
        <v>26690</v>
      </c>
      <c r="AF36" s="3">
        <v>27110</v>
      </c>
      <c r="AG36" s="3">
        <v>26930</v>
      </c>
      <c r="AH36" s="3">
        <v>27470</v>
      </c>
      <c r="AI36" s="3">
        <v>28430</v>
      </c>
      <c r="AJ36" s="3">
        <v>29330</v>
      </c>
      <c r="AK36" s="3">
        <v>28950</v>
      </c>
      <c r="AL36" s="3">
        <v>29540</v>
      </c>
      <c r="AM36" s="3">
        <v>28990</v>
      </c>
      <c r="AN36" s="3">
        <v>28510</v>
      </c>
      <c r="AO36" s="3">
        <v>28020</v>
      </c>
      <c r="AP36" s="3">
        <v>27220</v>
      </c>
      <c r="AQ36" s="3">
        <v>27000</v>
      </c>
      <c r="AR36" s="3">
        <v>27310</v>
      </c>
      <c r="AS36" s="3">
        <v>27560</v>
      </c>
      <c r="AT36" s="3">
        <v>27780</v>
      </c>
      <c r="AU36" s="3">
        <v>27990</v>
      </c>
    </row>
    <row r="37" spans="1:47" x14ac:dyDescent="0.2">
      <c r="A37" s="1">
        <v>42</v>
      </c>
      <c r="B37" s="3">
        <v>26160</v>
      </c>
      <c r="C37" s="3">
        <v>25310</v>
      </c>
      <c r="D37" s="3">
        <v>24310</v>
      </c>
      <c r="E37" s="3">
        <v>23190</v>
      </c>
      <c r="F37" s="3">
        <v>23160</v>
      </c>
      <c r="G37" s="3">
        <v>22920</v>
      </c>
      <c r="H37" s="3">
        <v>23630</v>
      </c>
      <c r="I37" s="3">
        <v>23610</v>
      </c>
      <c r="J37" s="3">
        <v>23700</v>
      </c>
      <c r="K37" s="3">
        <v>24270</v>
      </c>
      <c r="L37" s="3">
        <v>24780</v>
      </c>
      <c r="M37" s="3">
        <v>25000</v>
      </c>
      <c r="N37" s="3">
        <v>25480</v>
      </c>
      <c r="O37" s="3">
        <v>25740</v>
      </c>
      <c r="P37" s="3">
        <v>26470</v>
      </c>
      <c r="Q37" s="3">
        <v>27730</v>
      </c>
      <c r="R37" s="3">
        <v>28300</v>
      </c>
      <c r="S37" s="3">
        <v>29610</v>
      </c>
      <c r="T37" s="3">
        <v>30460</v>
      </c>
      <c r="U37" s="3">
        <v>29730</v>
      </c>
      <c r="V37" s="3">
        <v>29720</v>
      </c>
      <c r="W37" s="3">
        <v>29230</v>
      </c>
      <c r="X37" s="3">
        <v>29260</v>
      </c>
      <c r="Y37" s="3">
        <v>28810</v>
      </c>
      <c r="Z37" s="3">
        <v>28880</v>
      </c>
      <c r="AA37" s="3">
        <v>28520</v>
      </c>
      <c r="AB37" s="3">
        <v>27760</v>
      </c>
      <c r="AC37" s="3">
        <v>28490</v>
      </c>
      <c r="AD37" s="3">
        <v>28150</v>
      </c>
      <c r="AE37" s="3">
        <v>27220</v>
      </c>
      <c r="AF37" s="3">
        <v>26970</v>
      </c>
      <c r="AG37" s="3">
        <v>27400</v>
      </c>
      <c r="AH37" s="3">
        <v>27220</v>
      </c>
      <c r="AI37" s="3">
        <v>27760</v>
      </c>
      <c r="AJ37" s="3">
        <v>28720</v>
      </c>
      <c r="AK37" s="3">
        <v>29630</v>
      </c>
      <c r="AL37" s="3">
        <v>29250</v>
      </c>
      <c r="AM37" s="3">
        <v>29850</v>
      </c>
      <c r="AN37" s="3">
        <v>29290</v>
      </c>
      <c r="AO37" s="3">
        <v>28810</v>
      </c>
      <c r="AP37" s="3">
        <v>28310</v>
      </c>
      <c r="AQ37" s="3">
        <v>27510</v>
      </c>
      <c r="AR37" s="3">
        <v>27290</v>
      </c>
      <c r="AS37" s="3">
        <v>27590</v>
      </c>
      <c r="AT37" s="3">
        <v>27850</v>
      </c>
      <c r="AU37" s="3">
        <v>28070</v>
      </c>
    </row>
    <row r="38" spans="1:47" x14ac:dyDescent="0.2">
      <c r="A38" s="1">
        <v>43</v>
      </c>
      <c r="B38" s="3">
        <v>27320</v>
      </c>
      <c r="C38" s="3">
        <v>26480</v>
      </c>
      <c r="D38" s="3">
        <v>25540</v>
      </c>
      <c r="E38" s="3">
        <v>24530</v>
      </c>
      <c r="F38" s="3">
        <v>23400</v>
      </c>
      <c r="G38" s="3">
        <v>23370</v>
      </c>
      <c r="H38" s="3">
        <v>23130</v>
      </c>
      <c r="I38" s="3">
        <v>23840</v>
      </c>
      <c r="J38" s="3">
        <v>23830</v>
      </c>
      <c r="K38" s="3">
        <v>23920</v>
      </c>
      <c r="L38" s="3">
        <v>24490</v>
      </c>
      <c r="M38" s="3">
        <v>25010</v>
      </c>
      <c r="N38" s="3">
        <v>25240</v>
      </c>
      <c r="O38" s="3">
        <v>25720</v>
      </c>
      <c r="P38" s="3">
        <v>25970</v>
      </c>
      <c r="Q38" s="3">
        <v>26710</v>
      </c>
      <c r="R38" s="3">
        <v>27980</v>
      </c>
      <c r="S38" s="3">
        <v>28560</v>
      </c>
      <c r="T38" s="3">
        <v>29880</v>
      </c>
      <c r="U38" s="3">
        <v>30750</v>
      </c>
      <c r="V38" s="3">
        <v>30000</v>
      </c>
      <c r="W38" s="3">
        <v>29990</v>
      </c>
      <c r="X38" s="3">
        <v>29500</v>
      </c>
      <c r="Y38" s="3">
        <v>29530</v>
      </c>
      <c r="Z38" s="3">
        <v>29070</v>
      </c>
      <c r="AA38" s="3">
        <v>29150</v>
      </c>
      <c r="AB38" s="3">
        <v>28780</v>
      </c>
      <c r="AC38" s="3">
        <v>28020</v>
      </c>
      <c r="AD38" s="3">
        <v>28760</v>
      </c>
      <c r="AE38" s="3">
        <v>28420</v>
      </c>
      <c r="AF38" s="3">
        <v>27480</v>
      </c>
      <c r="AG38" s="3">
        <v>27220</v>
      </c>
      <c r="AH38" s="3">
        <v>27650</v>
      </c>
      <c r="AI38" s="3">
        <v>27470</v>
      </c>
      <c r="AJ38" s="3">
        <v>28020</v>
      </c>
      <c r="AK38" s="3">
        <v>28990</v>
      </c>
      <c r="AL38" s="3">
        <v>29910</v>
      </c>
      <c r="AM38" s="3">
        <v>29530</v>
      </c>
      <c r="AN38" s="3">
        <v>30130</v>
      </c>
      <c r="AO38" s="3">
        <v>29570</v>
      </c>
      <c r="AP38" s="3">
        <v>29080</v>
      </c>
      <c r="AQ38" s="3">
        <v>28580</v>
      </c>
      <c r="AR38" s="3">
        <v>27770</v>
      </c>
      <c r="AS38" s="3">
        <v>27540</v>
      </c>
      <c r="AT38" s="3">
        <v>27850</v>
      </c>
      <c r="AU38" s="3">
        <v>28120</v>
      </c>
    </row>
    <row r="39" spans="1:47" x14ac:dyDescent="0.2">
      <c r="A39" s="1">
        <v>44</v>
      </c>
      <c r="B39" s="3">
        <v>28000</v>
      </c>
      <c r="C39" s="3">
        <v>27550</v>
      </c>
      <c r="D39" s="3">
        <v>26630</v>
      </c>
      <c r="E39" s="3">
        <v>25690</v>
      </c>
      <c r="F39" s="3">
        <v>24670</v>
      </c>
      <c r="G39" s="3">
        <v>23540</v>
      </c>
      <c r="H39" s="3">
        <v>23520</v>
      </c>
      <c r="I39" s="3">
        <v>23280</v>
      </c>
      <c r="J39" s="3">
        <v>24000</v>
      </c>
      <c r="K39" s="3">
        <v>23990</v>
      </c>
      <c r="L39" s="3">
        <v>24080</v>
      </c>
      <c r="M39" s="3">
        <v>24660</v>
      </c>
      <c r="N39" s="3">
        <v>25190</v>
      </c>
      <c r="O39" s="3">
        <v>25420</v>
      </c>
      <c r="P39" s="3">
        <v>25910</v>
      </c>
      <c r="Q39" s="3">
        <v>26170</v>
      </c>
      <c r="R39" s="3">
        <v>26910</v>
      </c>
      <c r="S39" s="3">
        <v>28200</v>
      </c>
      <c r="T39" s="3">
        <v>28780</v>
      </c>
      <c r="U39" s="3">
        <v>30120</v>
      </c>
      <c r="V39" s="3">
        <v>30990</v>
      </c>
      <c r="W39" s="3">
        <v>30240</v>
      </c>
      <c r="X39" s="3">
        <v>30230</v>
      </c>
      <c r="Y39" s="3">
        <v>29730</v>
      </c>
      <c r="Z39" s="3">
        <v>29760</v>
      </c>
      <c r="AA39" s="3">
        <v>29310</v>
      </c>
      <c r="AB39" s="3">
        <v>29380</v>
      </c>
      <c r="AC39" s="3">
        <v>29010</v>
      </c>
      <c r="AD39" s="3">
        <v>28250</v>
      </c>
      <c r="AE39" s="3">
        <v>28990</v>
      </c>
      <c r="AF39" s="3">
        <v>28650</v>
      </c>
      <c r="AG39" s="3">
        <v>27700</v>
      </c>
      <c r="AH39" s="3">
        <v>27440</v>
      </c>
      <c r="AI39" s="3">
        <v>27880</v>
      </c>
      <c r="AJ39" s="3">
        <v>27700</v>
      </c>
      <c r="AK39" s="3">
        <v>28250</v>
      </c>
      <c r="AL39" s="3">
        <v>29230</v>
      </c>
      <c r="AM39" s="3">
        <v>30160</v>
      </c>
      <c r="AN39" s="3">
        <v>29770</v>
      </c>
      <c r="AO39" s="3">
        <v>30370</v>
      </c>
      <c r="AP39" s="3">
        <v>29810</v>
      </c>
      <c r="AQ39" s="3">
        <v>29320</v>
      </c>
      <c r="AR39" s="3">
        <v>28820</v>
      </c>
      <c r="AS39" s="3">
        <v>28000</v>
      </c>
      <c r="AT39" s="3">
        <v>27770</v>
      </c>
      <c r="AU39" s="3">
        <v>28090</v>
      </c>
    </row>
    <row r="40" spans="1:47" x14ac:dyDescent="0.2">
      <c r="A40" s="1">
        <v>45</v>
      </c>
      <c r="B40" s="3">
        <v>27220</v>
      </c>
      <c r="C40" s="3">
        <v>28250</v>
      </c>
      <c r="D40" s="3">
        <v>27720</v>
      </c>
      <c r="E40" s="3">
        <v>26800</v>
      </c>
      <c r="F40" s="3">
        <v>25860</v>
      </c>
      <c r="G40" s="3">
        <v>24840</v>
      </c>
      <c r="H40" s="3">
        <v>23700</v>
      </c>
      <c r="I40" s="3">
        <v>23680</v>
      </c>
      <c r="J40" s="3">
        <v>23440</v>
      </c>
      <c r="K40" s="3">
        <v>24170</v>
      </c>
      <c r="L40" s="3">
        <v>24160</v>
      </c>
      <c r="M40" s="3">
        <v>24260</v>
      </c>
      <c r="N40" s="3">
        <v>24840</v>
      </c>
      <c r="O40" s="3">
        <v>25370</v>
      </c>
      <c r="P40" s="3">
        <v>25610</v>
      </c>
      <c r="Q40" s="3">
        <v>26110</v>
      </c>
      <c r="R40" s="3">
        <v>26370</v>
      </c>
      <c r="S40" s="3">
        <v>27120</v>
      </c>
      <c r="T40" s="3">
        <v>28420</v>
      </c>
      <c r="U40" s="3">
        <v>29000</v>
      </c>
      <c r="V40" s="3">
        <v>30360</v>
      </c>
      <c r="W40" s="3">
        <v>31240</v>
      </c>
      <c r="X40" s="3">
        <v>30480</v>
      </c>
      <c r="Y40" s="3">
        <v>30470</v>
      </c>
      <c r="Z40" s="3">
        <v>29980</v>
      </c>
      <c r="AA40" s="3">
        <v>30010</v>
      </c>
      <c r="AB40" s="3">
        <v>29550</v>
      </c>
      <c r="AC40" s="3">
        <v>29620</v>
      </c>
      <c r="AD40" s="3">
        <v>29250</v>
      </c>
      <c r="AE40" s="3">
        <v>28480</v>
      </c>
      <c r="AF40" s="3">
        <v>29230</v>
      </c>
      <c r="AG40" s="3">
        <v>28880</v>
      </c>
      <c r="AH40" s="3">
        <v>27930</v>
      </c>
      <c r="AI40" s="3">
        <v>27670</v>
      </c>
      <c r="AJ40" s="3">
        <v>28110</v>
      </c>
      <c r="AK40" s="3">
        <v>27930</v>
      </c>
      <c r="AL40" s="3">
        <v>28490</v>
      </c>
      <c r="AM40" s="3">
        <v>29480</v>
      </c>
      <c r="AN40" s="3">
        <v>30410</v>
      </c>
      <c r="AO40" s="3">
        <v>30020</v>
      </c>
      <c r="AP40" s="3">
        <v>30630</v>
      </c>
      <c r="AQ40" s="3">
        <v>30060</v>
      </c>
      <c r="AR40" s="3">
        <v>29570</v>
      </c>
      <c r="AS40" s="3">
        <v>29060</v>
      </c>
      <c r="AT40" s="3">
        <v>28230</v>
      </c>
      <c r="AU40" s="3">
        <v>28010</v>
      </c>
    </row>
    <row r="41" spans="1:47" x14ac:dyDescent="0.2">
      <c r="A41" s="1">
        <v>46</v>
      </c>
      <c r="B41" s="3">
        <v>27340</v>
      </c>
      <c r="C41" s="3">
        <v>27390</v>
      </c>
      <c r="D41" s="3">
        <v>28340</v>
      </c>
      <c r="E41" s="3">
        <v>27810</v>
      </c>
      <c r="F41" s="3">
        <v>26890</v>
      </c>
      <c r="G41" s="3">
        <v>25940</v>
      </c>
      <c r="H41" s="3">
        <v>24910</v>
      </c>
      <c r="I41" s="3">
        <v>23770</v>
      </c>
      <c r="J41" s="3">
        <v>23750</v>
      </c>
      <c r="K41" s="3">
        <v>23510</v>
      </c>
      <c r="L41" s="3">
        <v>24240</v>
      </c>
      <c r="M41" s="3">
        <v>24230</v>
      </c>
      <c r="N41" s="3">
        <v>24330</v>
      </c>
      <c r="O41" s="3">
        <v>24920</v>
      </c>
      <c r="P41" s="3">
        <v>25450</v>
      </c>
      <c r="Q41" s="3">
        <v>25690</v>
      </c>
      <c r="R41" s="3">
        <v>26180</v>
      </c>
      <c r="S41" s="3">
        <v>26450</v>
      </c>
      <c r="T41" s="3">
        <v>27200</v>
      </c>
      <c r="U41" s="3">
        <v>28510</v>
      </c>
      <c r="V41" s="3">
        <v>29090</v>
      </c>
      <c r="W41" s="3">
        <v>30450</v>
      </c>
      <c r="X41" s="3">
        <v>31330</v>
      </c>
      <c r="Y41" s="3">
        <v>30580</v>
      </c>
      <c r="Z41" s="3">
        <v>30570</v>
      </c>
      <c r="AA41" s="3">
        <v>30070</v>
      </c>
      <c r="AB41" s="3">
        <v>30100</v>
      </c>
      <c r="AC41" s="3">
        <v>29640</v>
      </c>
      <c r="AD41" s="3">
        <v>29710</v>
      </c>
      <c r="AE41" s="3">
        <v>29340</v>
      </c>
      <c r="AF41" s="3">
        <v>28570</v>
      </c>
      <c r="AG41" s="3">
        <v>29320</v>
      </c>
      <c r="AH41" s="3">
        <v>28970</v>
      </c>
      <c r="AI41" s="3">
        <v>28010</v>
      </c>
      <c r="AJ41" s="3">
        <v>27750</v>
      </c>
      <c r="AK41" s="3">
        <v>28200</v>
      </c>
      <c r="AL41" s="3">
        <v>28010</v>
      </c>
      <c r="AM41" s="3">
        <v>28570</v>
      </c>
      <c r="AN41" s="3">
        <v>29570</v>
      </c>
      <c r="AO41" s="3">
        <v>30510</v>
      </c>
      <c r="AP41" s="3">
        <v>30110</v>
      </c>
      <c r="AQ41" s="3">
        <v>30730</v>
      </c>
      <c r="AR41" s="3">
        <v>30160</v>
      </c>
      <c r="AS41" s="3">
        <v>29660</v>
      </c>
      <c r="AT41" s="3">
        <v>29150</v>
      </c>
      <c r="AU41" s="3">
        <v>28320</v>
      </c>
    </row>
    <row r="42" spans="1:47" x14ac:dyDescent="0.2">
      <c r="A42" s="1">
        <v>47</v>
      </c>
      <c r="B42" s="3">
        <v>27000</v>
      </c>
      <c r="C42" s="3">
        <v>27500</v>
      </c>
      <c r="D42" s="3">
        <v>27480</v>
      </c>
      <c r="E42" s="3">
        <v>28430</v>
      </c>
      <c r="F42" s="3">
        <v>27890</v>
      </c>
      <c r="G42" s="3">
        <v>26960</v>
      </c>
      <c r="H42" s="3">
        <v>26010</v>
      </c>
      <c r="I42" s="3">
        <v>24970</v>
      </c>
      <c r="J42" s="3">
        <v>23820</v>
      </c>
      <c r="K42" s="3">
        <v>23800</v>
      </c>
      <c r="L42" s="3">
        <v>23550</v>
      </c>
      <c r="M42" s="3">
        <v>24290</v>
      </c>
      <c r="N42" s="3">
        <v>24270</v>
      </c>
      <c r="O42" s="3">
        <v>24370</v>
      </c>
      <c r="P42" s="3">
        <v>24960</v>
      </c>
      <c r="Q42" s="3">
        <v>25490</v>
      </c>
      <c r="R42" s="3">
        <v>25730</v>
      </c>
      <c r="S42" s="3">
        <v>26220</v>
      </c>
      <c r="T42" s="3">
        <v>26490</v>
      </c>
      <c r="U42" s="3">
        <v>27240</v>
      </c>
      <c r="V42" s="3">
        <v>28550</v>
      </c>
      <c r="W42" s="3">
        <v>29140</v>
      </c>
      <c r="X42" s="3">
        <v>30500</v>
      </c>
      <c r="Y42" s="3">
        <v>31380</v>
      </c>
      <c r="Z42" s="3">
        <v>30620</v>
      </c>
      <c r="AA42" s="3">
        <v>30620</v>
      </c>
      <c r="AB42" s="3">
        <v>30110</v>
      </c>
      <c r="AC42" s="3">
        <v>30140</v>
      </c>
      <c r="AD42" s="3">
        <v>29680</v>
      </c>
      <c r="AE42" s="3">
        <v>29750</v>
      </c>
      <c r="AF42" s="3">
        <v>29380</v>
      </c>
      <c r="AG42" s="3">
        <v>28610</v>
      </c>
      <c r="AH42" s="3">
        <v>29360</v>
      </c>
      <c r="AI42" s="3">
        <v>29010</v>
      </c>
      <c r="AJ42" s="3">
        <v>28050</v>
      </c>
      <c r="AK42" s="3">
        <v>27790</v>
      </c>
      <c r="AL42" s="3">
        <v>28230</v>
      </c>
      <c r="AM42" s="3">
        <v>28050</v>
      </c>
      <c r="AN42" s="3">
        <v>28610</v>
      </c>
      <c r="AO42" s="3">
        <v>29610</v>
      </c>
      <c r="AP42" s="3">
        <v>30550</v>
      </c>
      <c r="AQ42" s="3">
        <v>30160</v>
      </c>
      <c r="AR42" s="3">
        <v>30770</v>
      </c>
      <c r="AS42" s="3">
        <v>30200</v>
      </c>
      <c r="AT42" s="3">
        <v>29710</v>
      </c>
      <c r="AU42" s="3">
        <v>29190</v>
      </c>
    </row>
    <row r="43" spans="1:47" x14ac:dyDescent="0.2">
      <c r="A43" s="1">
        <v>48</v>
      </c>
      <c r="B43" s="3">
        <v>26820</v>
      </c>
      <c r="C43" s="3">
        <v>27100</v>
      </c>
      <c r="D43" s="3">
        <v>27540</v>
      </c>
      <c r="E43" s="3">
        <v>27510</v>
      </c>
      <c r="F43" s="3">
        <v>28460</v>
      </c>
      <c r="G43" s="3">
        <v>27920</v>
      </c>
      <c r="H43" s="3">
        <v>26980</v>
      </c>
      <c r="I43" s="3">
        <v>26030</v>
      </c>
      <c r="J43" s="3">
        <v>24980</v>
      </c>
      <c r="K43" s="3">
        <v>23830</v>
      </c>
      <c r="L43" s="3">
        <v>23810</v>
      </c>
      <c r="M43" s="3">
        <v>23560</v>
      </c>
      <c r="N43" s="3">
        <v>24290</v>
      </c>
      <c r="O43" s="3">
        <v>24280</v>
      </c>
      <c r="P43" s="3">
        <v>24380</v>
      </c>
      <c r="Q43" s="3">
        <v>24960</v>
      </c>
      <c r="R43" s="3">
        <v>25500</v>
      </c>
      <c r="S43" s="3">
        <v>25730</v>
      </c>
      <c r="T43" s="3">
        <v>26230</v>
      </c>
      <c r="U43" s="3">
        <v>26490</v>
      </c>
      <c r="V43" s="3">
        <v>27250</v>
      </c>
      <c r="W43" s="3">
        <v>28560</v>
      </c>
      <c r="X43" s="3">
        <v>29150</v>
      </c>
      <c r="Y43" s="3">
        <v>30510</v>
      </c>
      <c r="Z43" s="3">
        <v>31400</v>
      </c>
      <c r="AA43" s="3">
        <v>30640</v>
      </c>
      <c r="AB43" s="3">
        <v>30630</v>
      </c>
      <c r="AC43" s="3">
        <v>30130</v>
      </c>
      <c r="AD43" s="3">
        <v>30160</v>
      </c>
      <c r="AE43" s="3">
        <v>29690</v>
      </c>
      <c r="AF43" s="3">
        <v>29770</v>
      </c>
      <c r="AG43" s="3">
        <v>29390</v>
      </c>
      <c r="AH43" s="3">
        <v>28620</v>
      </c>
      <c r="AI43" s="3">
        <v>29370</v>
      </c>
      <c r="AJ43" s="3">
        <v>29020</v>
      </c>
      <c r="AK43" s="3">
        <v>28060</v>
      </c>
      <c r="AL43" s="3">
        <v>27800</v>
      </c>
      <c r="AM43" s="3">
        <v>28240</v>
      </c>
      <c r="AN43" s="3">
        <v>28060</v>
      </c>
      <c r="AO43" s="3">
        <v>28620</v>
      </c>
      <c r="AP43" s="3">
        <v>29620</v>
      </c>
      <c r="AQ43" s="3">
        <v>30570</v>
      </c>
      <c r="AR43" s="3">
        <v>30170</v>
      </c>
      <c r="AS43" s="3">
        <v>30790</v>
      </c>
      <c r="AT43" s="3">
        <v>30220</v>
      </c>
      <c r="AU43" s="3">
        <v>29720</v>
      </c>
    </row>
    <row r="44" spans="1:47" x14ac:dyDescent="0.2">
      <c r="A44" s="1">
        <v>49</v>
      </c>
      <c r="B44" s="3">
        <v>26440</v>
      </c>
      <c r="C44" s="3">
        <v>26930</v>
      </c>
      <c r="D44" s="3">
        <v>27140</v>
      </c>
      <c r="E44" s="3">
        <v>27580</v>
      </c>
      <c r="F44" s="3">
        <v>27540</v>
      </c>
      <c r="G44" s="3">
        <v>28500</v>
      </c>
      <c r="H44" s="3">
        <v>27950</v>
      </c>
      <c r="I44" s="3">
        <v>27010</v>
      </c>
      <c r="J44" s="3">
        <v>26050</v>
      </c>
      <c r="K44" s="3">
        <v>25000</v>
      </c>
      <c r="L44" s="3">
        <v>23840</v>
      </c>
      <c r="M44" s="3">
        <v>23810</v>
      </c>
      <c r="N44" s="3">
        <v>23570</v>
      </c>
      <c r="O44" s="3">
        <v>24300</v>
      </c>
      <c r="P44" s="3">
        <v>24280</v>
      </c>
      <c r="Q44" s="3">
        <v>24380</v>
      </c>
      <c r="R44" s="3">
        <v>24970</v>
      </c>
      <c r="S44" s="3">
        <v>25500</v>
      </c>
      <c r="T44" s="3">
        <v>25740</v>
      </c>
      <c r="U44" s="3">
        <v>26230</v>
      </c>
      <c r="V44" s="3">
        <v>26500</v>
      </c>
      <c r="W44" s="3">
        <v>27260</v>
      </c>
      <c r="X44" s="3">
        <v>28570</v>
      </c>
      <c r="Y44" s="3">
        <v>29160</v>
      </c>
      <c r="Z44" s="3">
        <v>30530</v>
      </c>
      <c r="AA44" s="3">
        <v>31410</v>
      </c>
      <c r="AB44" s="3">
        <v>30650</v>
      </c>
      <c r="AC44" s="3">
        <v>30640</v>
      </c>
      <c r="AD44" s="3">
        <v>30130</v>
      </c>
      <c r="AE44" s="3">
        <v>30160</v>
      </c>
      <c r="AF44" s="3">
        <v>29700</v>
      </c>
      <c r="AG44" s="3">
        <v>29770</v>
      </c>
      <c r="AH44" s="3">
        <v>29400</v>
      </c>
      <c r="AI44" s="3">
        <v>28620</v>
      </c>
      <c r="AJ44" s="3">
        <v>29380</v>
      </c>
      <c r="AK44" s="3">
        <v>29030</v>
      </c>
      <c r="AL44" s="3">
        <v>28060</v>
      </c>
      <c r="AM44" s="3">
        <v>27800</v>
      </c>
      <c r="AN44" s="3">
        <v>28250</v>
      </c>
      <c r="AO44" s="3">
        <v>28060</v>
      </c>
      <c r="AP44" s="3">
        <v>28620</v>
      </c>
      <c r="AQ44" s="3">
        <v>29630</v>
      </c>
      <c r="AR44" s="3">
        <v>30580</v>
      </c>
      <c r="AS44" s="3">
        <v>30180</v>
      </c>
      <c r="AT44" s="3">
        <v>30800</v>
      </c>
      <c r="AU44" s="3">
        <v>30230</v>
      </c>
    </row>
    <row r="45" spans="1:47" x14ac:dyDescent="0.2">
      <c r="A45" s="1">
        <v>50</v>
      </c>
      <c r="B45" s="3">
        <v>26650</v>
      </c>
      <c r="C45" s="3">
        <v>26490</v>
      </c>
      <c r="D45" s="3">
        <v>26920</v>
      </c>
      <c r="E45" s="3">
        <v>27130</v>
      </c>
      <c r="F45" s="3">
        <v>27570</v>
      </c>
      <c r="G45" s="3">
        <v>27540</v>
      </c>
      <c r="H45" s="3">
        <v>28490</v>
      </c>
      <c r="I45" s="3">
        <v>27940</v>
      </c>
      <c r="J45" s="3">
        <v>27000</v>
      </c>
      <c r="K45" s="3">
        <v>26030</v>
      </c>
      <c r="L45" s="3">
        <v>24980</v>
      </c>
      <c r="M45" s="3">
        <v>23820</v>
      </c>
      <c r="N45" s="3">
        <v>23790</v>
      </c>
      <c r="O45" s="3">
        <v>23540</v>
      </c>
      <c r="P45" s="3">
        <v>24280</v>
      </c>
      <c r="Q45" s="3">
        <v>24260</v>
      </c>
      <c r="R45" s="3">
        <v>24360</v>
      </c>
      <c r="S45" s="3">
        <v>24950</v>
      </c>
      <c r="T45" s="3">
        <v>25480</v>
      </c>
      <c r="U45" s="3">
        <v>25710</v>
      </c>
      <c r="V45" s="3">
        <v>26210</v>
      </c>
      <c r="W45" s="3">
        <v>26480</v>
      </c>
      <c r="X45" s="3">
        <v>27240</v>
      </c>
      <c r="Y45" s="3">
        <v>28550</v>
      </c>
      <c r="Z45" s="3">
        <v>29140</v>
      </c>
      <c r="AA45" s="3">
        <v>30510</v>
      </c>
      <c r="AB45" s="3">
        <v>31400</v>
      </c>
      <c r="AC45" s="3">
        <v>30630</v>
      </c>
      <c r="AD45" s="3">
        <v>30620</v>
      </c>
      <c r="AE45" s="3">
        <v>30120</v>
      </c>
      <c r="AF45" s="3">
        <v>30150</v>
      </c>
      <c r="AG45" s="3">
        <v>29680</v>
      </c>
      <c r="AH45" s="3">
        <v>29760</v>
      </c>
      <c r="AI45" s="3">
        <v>29380</v>
      </c>
      <c r="AJ45" s="3">
        <v>28600</v>
      </c>
      <c r="AK45" s="3">
        <v>29360</v>
      </c>
      <c r="AL45" s="3">
        <v>29010</v>
      </c>
      <c r="AM45" s="3">
        <v>28040</v>
      </c>
      <c r="AN45" s="3">
        <v>27780</v>
      </c>
      <c r="AO45" s="3">
        <v>28230</v>
      </c>
      <c r="AP45" s="3">
        <v>28040</v>
      </c>
      <c r="AQ45" s="3">
        <v>28610</v>
      </c>
      <c r="AR45" s="3">
        <v>29620</v>
      </c>
      <c r="AS45" s="3">
        <v>30560</v>
      </c>
      <c r="AT45" s="3">
        <v>30170</v>
      </c>
      <c r="AU45" s="3">
        <v>30790</v>
      </c>
    </row>
    <row r="46" spans="1:47" x14ac:dyDescent="0.2">
      <c r="A46" s="1">
        <v>51</v>
      </c>
      <c r="B46" s="3">
        <v>27650</v>
      </c>
      <c r="C46" s="3">
        <v>26680</v>
      </c>
      <c r="D46" s="3">
        <v>26480</v>
      </c>
      <c r="E46" s="3">
        <v>26910</v>
      </c>
      <c r="F46" s="3">
        <v>27120</v>
      </c>
      <c r="G46" s="3">
        <v>27560</v>
      </c>
      <c r="H46" s="3">
        <v>27530</v>
      </c>
      <c r="I46" s="3">
        <v>28480</v>
      </c>
      <c r="J46" s="3">
        <v>27940</v>
      </c>
      <c r="K46" s="3">
        <v>26990</v>
      </c>
      <c r="L46" s="3">
        <v>26020</v>
      </c>
      <c r="M46" s="3">
        <v>24970</v>
      </c>
      <c r="N46" s="3">
        <v>23810</v>
      </c>
      <c r="O46" s="3">
        <v>23780</v>
      </c>
      <c r="P46" s="3">
        <v>23530</v>
      </c>
      <c r="Q46" s="3">
        <v>24270</v>
      </c>
      <c r="R46" s="3">
        <v>24250</v>
      </c>
      <c r="S46" s="3">
        <v>24350</v>
      </c>
      <c r="T46" s="3">
        <v>24940</v>
      </c>
      <c r="U46" s="3">
        <v>25480</v>
      </c>
      <c r="V46" s="3">
        <v>25710</v>
      </c>
      <c r="W46" s="3">
        <v>26220</v>
      </c>
      <c r="X46" s="3">
        <v>26480</v>
      </c>
      <c r="Y46" s="3">
        <v>27240</v>
      </c>
      <c r="Z46" s="3">
        <v>28560</v>
      </c>
      <c r="AA46" s="3">
        <v>29150</v>
      </c>
      <c r="AB46" s="3">
        <v>30530</v>
      </c>
      <c r="AC46" s="3">
        <v>31420</v>
      </c>
      <c r="AD46" s="3">
        <v>30650</v>
      </c>
      <c r="AE46" s="3">
        <v>30640</v>
      </c>
      <c r="AF46" s="3">
        <v>30140</v>
      </c>
      <c r="AG46" s="3">
        <v>30170</v>
      </c>
      <c r="AH46" s="3">
        <v>29700</v>
      </c>
      <c r="AI46" s="3">
        <v>29780</v>
      </c>
      <c r="AJ46" s="3">
        <v>29400</v>
      </c>
      <c r="AK46" s="3">
        <v>28620</v>
      </c>
      <c r="AL46" s="3">
        <v>29380</v>
      </c>
      <c r="AM46" s="3">
        <v>29030</v>
      </c>
      <c r="AN46" s="3">
        <v>28060</v>
      </c>
      <c r="AO46" s="3">
        <v>27800</v>
      </c>
      <c r="AP46" s="3">
        <v>28250</v>
      </c>
      <c r="AQ46" s="3">
        <v>28060</v>
      </c>
      <c r="AR46" s="3">
        <v>28630</v>
      </c>
      <c r="AS46" s="3">
        <v>29640</v>
      </c>
      <c r="AT46" s="3">
        <v>30590</v>
      </c>
      <c r="AU46" s="3">
        <v>30200</v>
      </c>
    </row>
    <row r="47" spans="1:47" x14ac:dyDescent="0.2">
      <c r="A47" s="1">
        <v>52</v>
      </c>
      <c r="B47" s="3">
        <v>28130</v>
      </c>
      <c r="C47" s="3">
        <v>27560</v>
      </c>
      <c r="D47" s="3">
        <v>26550</v>
      </c>
      <c r="E47" s="3">
        <v>26350</v>
      </c>
      <c r="F47" s="3">
        <v>26790</v>
      </c>
      <c r="G47" s="3">
        <v>27000</v>
      </c>
      <c r="H47" s="3">
        <v>27450</v>
      </c>
      <c r="I47" s="3">
        <v>27420</v>
      </c>
      <c r="J47" s="3">
        <v>28380</v>
      </c>
      <c r="K47" s="3">
        <v>27840</v>
      </c>
      <c r="L47" s="3">
        <v>26900</v>
      </c>
      <c r="M47" s="3">
        <v>25940</v>
      </c>
      <c r="N47" s="3">
        <v>24890</v>
      </c>
      <c r="O47" s="3">
        <v>23730</v>
      </c>
      <c r="P47" s="3">
        <v>23710</v>
      </c>
      <c r="Q47" s="3">
        <v>23460</v>
      </c>
      <c r="R47" s="3">
        <v>24200</v>
      </c>
      <c r="S47" s="3">
        <v>24190</v>
      </c>
      <c r="T47" s="3">
        <v>24290</v>
      </c>
      <c r="U47" s="3">
        <v>24880</v>
      </c>
      <c r="V47" s="3">
        <v>25420</v>
      </c>
      <c r="W47" s="3">
        <v>25660</v>
      </c>
      <c r="X47" s="3">
        <v>26160</v>
      </c>
      <c r="Y47" s="3">
        <v>26420</v>
      </c>
      <c r="Z47" s="3">
        <v>27190</v>
      </c>
      <c r="AA47" s="3">
        <v>28510</v>
      </c>
      <c r="AB47" s="3">
        <v>29100</v>
      </c>
      <c r="AC47" s="3">
        <v>30480</v>
      </c>
      <c r="AD47" s="3">
        <v>31370</v>
      </c>
      <c r="AE47" s="3">
        <v>30600</v>
      </c>
      <c r="AF47" s="3">
        <v>30600</v>
      </c>
      <c r="AG47" s="3">
        <v>30090</v>
      </c>
      <c r="AH47" s="3">
        <v>30120</v>
      </c>
      <c r="AI47" s="3">
        <v>29660</v>
      </c>
      <c r="AJ47" s="3">
        <v>29730</v>
      </c>
      <c r="AK47" s="3">
        <v>29360</v>
      </c>
      <c r="AL47" s="3">
        <v>28580</v>
      </c>
      <c r="AM47" s="3">
        <v>29340</v>
      </c>
      <c r="AN47" s="3">
        <v>28990</v>
      </c>
      <c r="AO47" s="3">
        <v>28020</v>
      </c>
      <c r="AP47" s="3">
        <v>27760</v>
      </c>
      <c r="AQ47" s="3">
        <v>28210</v>
      </c>
      <c r="AR47" s="3">
        <v>28020</v>
      </c>
      <c r="AS47" s="3">
        <v>28590</v>
      </c>
      <c r="AT47" s="3">
        <v>29600</v>
      </c>
      <c r="AU47" s="3">
        <v>30560</v>
      </c>
    </row>
    <row r="48" spans="1:47" x14ac:dyDescent="0.2">
      <c r="A48" s="1">
        <v>53</v>
      </c>
      <c r="B48" s="3">
        <v>27750</v>
      </c>
      <c r="C48" s="3">
        <v>27980</v>
      </c>
      <c r="D48" s="3">
        <v>27370</v>
      </c>
      <c r="E48" s="3">
        <v>26380</v>
      </c>
      <c r="F48" s="3">
        <v>26190</v>
      </c>
      <c r="G48" s="3">
        <v>26640</v>
      </c>
      <c r="H48" s="3">
        <v>26870</v>
      </c>
      <c r="I48" s="3">
        <v>27320</v>
      </c>
      <c r="J48" s="3">
        <v>27300</v>
      </c>
      <c r="K48" s="3">
        <v>28270</v>
      </c>
      <c r="L48" s="3">
        <v>27740</v>
      </c>
      <c r="M48" s="3">
        <v>26810</v>
      </c>
      <c r="N48" s="3">
        <v>25860</v>
      </c>
      <c r="O48" s="3">
        <v>24820</v>
      </c>
      <c r="P48" s="3">
        <v>23670</v>
      </c>
      <c r="Q48" s="3">
        <v>23650</v>
      </c>
      <c r="R48" s="3">
        <v>23410</v>
      </c>
      <c r="S48" s="3">
        <v>24150</v>
      </c>
      <c r="T48" s="3">
        <v>24140</v>
      </c>
      <c r="U48" s="3">
        <v>24250</v>
      </c>
      <c r="V48" s="3">
        <v>24840</v>
      </c>
      <c r="W48" s="3">
        <v>25380</v>
      </c>
      <c r="X48" s="3">
        <v>25630</v>
      </c>
      <c r="Y48" s="3">
        <v>26130</v>
      </c>
      <c r="Z48" s="3">
        <v>26400</v>
      </c>
      <c r="AA48" s="3">
        <v>27170</v>
      </c>
      <c r="AB48" s="3">
        <v>28490</v>
      </c>
      <c r="AC48" s="3">
        <v>29090</v>
      </c>
      <c r="AD48" s="3">
        <v>30470</v>
      </c>
      <c r="AE48" s="3">
        <v>31360</v>
      </c>
      <c r="AF48" s="3">
        <v>30600</v>
      </c>
      <c r="AG48" s="3">
        <v>30590</v>
      </c>
      <c r="AH48" s="3">
        <v>30090</v>
      </c>
      <c r="AI48" s="3">
        <v>30120</v>
      </c>
      <c r="AJ48" s="3">
        <v>29660</v>
      </c>
      <c r="AK48" s="3">
        <v>29730</v>
      </c>
      <c r="AL48" s="3">
        <v>29360</v>
      </c>
      <c r="AM48" s="3">
        <v>28580</v>
      </c>
      <c r="AN48" s="3">
        <v>29340</v>
      </c>
      <c r="AO48" s="3">
        <v>28990</v>
      </c>
      <c r="AP48" s="3">
        <v>28020</v>
      </c>
      <c r="AQ48" s="3">
        <v>27760</v>
      </c>
      <c r="AR48" s="3">
        <v>28210</v>
      </c>
      <c r="AS48" s="3">
        <v>28030</v>
      </c>
      <c r="AT48" s="3">
        <v>28600</v>
      </c>
      <c r="AU48" s="3">
        <v>29610</v>
      </c>
    </row>
    <row r="49" spans="1:47" x14ac:dyDescent="0.2">
      <c r="A49" s="1">
        <v>54</v>
      </c>
      <c r="B49" s="3">
        <v>26930</v>
      </c>
      <c r="C49" s="3">
        <v>27530</v>
      </c>
      <c r="D49" s="3">
        <v>27730</v>
      </c>
      <c r="E49" s="3">
        <v>27150</v>
      </c>
      <c r="F49" s="3">
        <v>26180</v>
      </c>
      <c r="G49" s="3">
        <v>26010</v>
      </c>
      <c r="H49" s="3">
        <v>26460</v>
      </c>
      <c r="I49" s="3">
        <v>26700</v>
      </c>
      <c r="J49" s="3">
        <v>27160</v>
      </c>
      <c r="K49" s="3">
        <v>27160</v>
      </c>
      <c r="L49" s="3">
        <v>28130</v>
      </c>
      <c r="M49" s="3">
        <v>27620</v>
      </c>
      <c r="N49" s="3">
        <v>26700</v>
      </c>
      <c r="O49" s="3">
        <v>25760</v>
      </c>
      <c r="P49" s="3">
        <v>24730</v>
      </c>
      <c r="Q49" s="3">
        <v>23590</v>
      </c>
      <c r="R49" s="3">
        <v>23570</v>
      </c>
      <c r="S49" s="3">
        <v>23340</v>
      </c>
      <c r="T49" s="3">
        <v>24090</v>
      </c>
      <c r="U49" s="3">
        <v>24080</v>
      </c>
      <c r="V49" s="3">
        <v>24190</v>
      </c>
      <c r="W49" s="3">
        <v>24790</v>
      </c>
      <c r="X49" s="3">
        <v>25330</v>
      </c>
      <c r="Y49" s="3">
        <v>25580</v>
      </c>
      <c r="Z49" s="3">
        <v>26090</v>
      </c>
      <c r="AA49" s="3">
        <v>26360</v>
      </c>
      <c r="AB49" s="3">
        <v>27130</v>
      </c>
      <c r="AC49" s="3">
        <v>28450</v>
      </c>
      <c r="AD49" s="3">
        <v>29050</v>
      </c>
      <c r="AE49" s="3">
        <v>30430</v>
      </c>
      <c r="AF49" s="3">
        <v>31330</v>
      </c>
      <c r="AG49" s="3">
        <v>30570</v>
      </c>
      <c r="AH49" s="3">
        <v>30570</v>
      </c>
      <c r="AI49" s="3">
        <v>30060</v>
      </c>
      <c r="AJ49" s="3">
        <v>30100</v>
      </c>
      <c r="AK49" s="3">
        <v>29630</v>
      </c>
      <c r="AL49" s="3">
        <v>29710</v>
      </c>
      <c r="AM49" s="3">
        <v>29340</v>
      </c>
      <c r="AN49" s="3">
        <v>28560</v>
      </c>
      <c r="AO49" s="3">
        <v>29330</v>
      </c>
      <c r="AP49" s="3">
        <v>28970</v>
      </c>
      <c r="AQ49" s="3">
        <v>28000</v>
      </c>
      <c r="AR49" s="3">
        <v>27740</v>
      </c>
      <c r="AS49" s="3">
        <v>28200</v>
      </c>
      <c r="AT49" s="3">
        <v>28010</v>
      </c>
      <c r="AU49" s="3">
        <v>28580</v>
      </c>
    </row>
    <row r="50" spans="1:47" x14ac:dyDescent="0.2">
      <c r="A50" s="1">
        <v>55</v>
      </c>
      <c r="B50" s="3">
        <v>25390</v>
      </c>
      <c r="C50" s="3">
        <v>26710</v>
      </c>
      <c r="D50" s="3">
        <v>27280</v>
      </c>
      <c r="E50" s="3">
        <v>27490</v>
      </c>
      <c r="F50" s="3">
        <v>26930</v>
      </c>
      <c r="G50" s="3">
        <v>25990</v>
      </c>
      <c r="H50" s="3">
        <v>25830</v>
      </c>
      <c r="I50" s="3">
        <v>26300</v>
      </c>
      <c r="J50" s="3">
        <v>26550</v>
      </c>
      <c r="K50" s="3">
        <v>27020</v>
      </c>
      <c r="L50" s="3">
        <v>27030</v>
      </c>
      <c r="M50" s="3">
        <v>28010</v>
      </c>
      <c r="N50" s="3">
        <v>27510</v>
      </c>
      <c r="O50" s="3">
        <v>26600</v>
      </c>
      <c r="P50" s="3">
        <v>25670</v>
      </c>
      <c r="Q50" s="3">
        <v>24650</v>
      </c>
      <c r="R50" s="3">
        <v>23520</v>
      </c>
      <c r="S50" s="3">
        <v>23510</v>
      </c>
      <c r="T50" s="3">
        <v>23290</v>
      </c>
      <c r="U50" s="3">
        <v>24040</v>
      </c>
      <c r="V50" s="3">
        <v>24030</v>
      </c>
      <c r="W50" s="3">
        <v>24150</v>
      </c>
      <c r="X50" s="3">
        <v>24750</v>
      </c>
      <c r="Y50" s="3">
        <v>25300</v>
      </c>
      <c r="Z50" s="3">
        <v>25550</v>
      </c>
      <c r="AA50" s="3">
        <v>26060</v>
      </c>
      <c r="AB50" s="3">
        <v>26330</v>
      </c>
      <c r="AC50" s="3">
        <v>27110</v>
      </c>
      <c r="AD50" s="3">
        <v>28430</v>
      </c>
      <c r="AE50" s="3">
        <v>29040</v>
      </c>
      <c r="AF50" s="3">
        <v>30420</v>
      </c>
      <c r="AG50" s="3">
        <v>31320</v>
      </c>
      <c r="AH50" s="3">
        <v>30560</v>
      </c>
      <c r="AI50" s="3">
        <v>30550</v>
      </c>
      <c r="AJ50" s="3">
        <v>30050</v>
      </c>
      <c r="AK50" s="3">
        <v>30090</v>
      </c>
      <c r="AL50" s="3">
        <v>29630</v>
      </c>
      <c r="AM50" s="3">
        <v>29710</v>
      </c>
      <c r="AN50" s="3">
        <v>29330</v>
      </c>
      <c r="AO50" s="3">
        <v>28560</v>
      </c>
      <c r="AP50" s="3">
        <v>29320</v>
      </c>
      <c r="AQ50" s="3">
        <v>28970</v>
      </c>
      <c r="AR50" s="3">
        <v>28000</v>
      </c>
      <c r="AS50" s="3">
        <v>27740</v>
      </c>
      <c r="AT50" s="3">
        <v>28200</v>
      </c>
      <c r="AU50" s="3">
        <v>28010</v>
      </c>
    </row>
    <row r="51" spans="1:47" x14ac:dyDescent="0.2">
      <c r="A51" s="1">
        <v>56</v>
      </c>
      <c r="B51" s="3">
        <v>24670</v>
      </c>
      <c r="C51" s="3">
        <v>25160</v>
      </c>
      <c r="D51" s="3">
        <v>26440</v>
      </c>
      <c r="E51" s="3">
        <v>27020</v>
      </c>
      <c r="F51" s="3">
        <v>27250</v>
      </c>
      <c r="G51" s="3">
        <v>26720</v>
      </c>
      <c r="H51" s="3">
        <v>25790</v>
      </c>
      <c r="I51" s="3">
        <v>25650</v>
      </c>
      <c r="J51" s="3">
        <v>26140</v>
      </c>
      <c r="K51" s="3">
        <v>26400</v>
      </c>
      <c r="L51" s="3">
        <v>26880</v>
      </c>
      <c r="M51" s="3">
        <v>26900</v>
      </c>
      <c r="N51" s="3">
        <v>27880</v>
      </c>
      <c r="O51" s="3">
        <v>27390</v>
      </c>
      <c r="P51" s="3">
        <v>26500</v>
      </c>
      <c r="Q51" s="3">
        <v>25580</v>
      </c>
      <c r="R51" s="3">
        <v>24570</v>
      </c>
      <c r="S51" s="3">
        <v>23450</v>
      </c>
      <c r="T51" s="3">
        <v>23450</v>
      </c>
      <c r="U51" s="3">
        <v>23220</v>
      </c>
      <c r="V51" s="3">
        <v>23980</v>
      </c>
      <c r="W51" s="3">
        <v>23980</v>
      </c>
      <c r="X51" s="3">
        <v>24100</v>
      </c>
      <c r="Y51" s="3">
        <v>24700</v>
      </c>
      <c r="Z51" s="3">
        <v>25250</v>
      </c>
      <c r="AA51" s="3">
        <v>25500</v>
      </c>
      <c r="AB51" s="3">
        <v>26020</v>
      </c>
      <c r="AC51" s="3">
        <v>26290</v>
      </c>
      <c r="AD51" s="3">
        <v>27070</v>
      </c>
      <c r="AE51" s="3">
        <v>28390</v>
      </c>
      <c r="AF51" s="3">
        <v>29000</v>
      </c>
      <c r="AG51" s="3">
        <v>30380</v>
      </c>
      <c r="AH51" s="3">
        <v>31280</v>
      </c>
      <c r="AI51" s="3">
        <v>30520</v>
      </c>
      <c r="AJ51" s="3">
        <v>30520</v>
      </c>
      <c r="AK51" s="3">
        <v>30020</v>
      </c>
      <c r="AL51" s="3">
        <v>30060</v>
      </c>
      <c r="AM51" s="3">
        <v>29600</v>
      </c>
      <c r="AN51" s="3">
        <v>29680</v>
      </c>
      <c r="AO51" s="3">
        <v>29310</v>
      </c>
      <c r="AP51" s="3">
        <v>28530</v>
      </c>
      <c r="AQ51" s="3">
        <v>29300</v>
      </c>
      <c r="AR51" s="3">
        <v>28950</v>
      </c>
      <c r="AS51" s="3">
        <v>27980</v>
      </c>
      <c r="AT51" s="3">
        <v>27720</v>
      </c>
      <c r="AU51" s="3">
        <v>28180</v>
      </c>
    </row>
    <row r="52" spans="1:47" x14ac:dyDescent="0.2">
      <c r="A52" s="1">
        <v>57</v>
      </c>
      <c r="B52" s="3">
        <v>23120</v>
      </c>
      <c r="C52" s="3">
        <v>24380</v>
      </c>
      <c r="D52" s="3">
        <v>24860</v>
      </c>
      <c r="E52" s="3">
        <v>26140</v>
      </c>
      <c r="F52" s="3">
        <v>26740</v>
      </c>
      <c r="G52" s="3">
        <v>26990</v>
      </c>
      <c r="H52" s="3">
        <v>26480</v>
      </c>
      <c r="I52" s="3">
        <v>25590</v>
      </c>
      <c r="J52" s="3">
        <v>25460</v>
      </c>
      <c r="K52" s="3">
        <v>25960</v>
      </c>
      <c r="L52" s="3">
        <v>26230</v>
      </c>
      <c r="M52" s="3">
        <v>26720</v>
      </c>
      <c r="N52" s="3">
        <v>26760</v>
      </c>
      <c r="O52" s="3">
        <v>27750</v>
      </c>
      <c r="P52" s="3">
        <v>27270</v>
      </c>
      <c r="Q52" s="3">
        <v>26390</v>
      </c>
      <c r="R52" s="3">
        <v>25490</v>
      </c>
      <c r="S52" s="3">
        <v>24490</v>
      </c>
      <c r="T52" s="3">
        <v>23380</v>
      </c>
      <c r="U52" s="3">
        <v>23380</v>
      </c>
      <c r="V52" s="3">
        <v>23170</v>
      </c>
      <c r="W52" s="3">
        <v>23920</v>
      </c>
      <c r="X52" s="3">
        <v>23930</v>
      </c>
      <c r="Y52" s="3">
        <v>24050</v>
      </c>
      <c r="Z52" s="3">
        <v>24660</v>
      </c>
      <c r="AA52" s="3">
        <v>25220</v>
      </c>
      <c r="AB52" s="3">
        <v>25470</v>
      </c>
      <c r="AC52" s="3">
        <v>25990</v>
      </c>
      <c r="AD52" s="3">
        <v>26260</v>
      </c>
      <c r="AE52" s="3">
        <v>27040</v>
      </c>
      <c r="AF52" s="3">
        <v>28370</v>
      </c>
      <c r="AG52" s="3">
        <v>28970</v>
      </c>
      <c r="AH52" s="3">
        <v>30350</v>
      </c>
      <c r="AI52" s="3">
        <v>31260</v>
      </c>
      <c r="AJ52" s="3">
        <v>30500</v>
      </c>
      <c r="AK52" s="3">
        <v>30500</v>
      </c>
      <c r="AL52" s="3">
        <v>30000</v>
      </c>
      <c r="AM52" s="3">
        <v>30040</v>
      </c>
      <c r="AN52" s="3">
        <v>29580</v>
      </c>
      <c r="AO52" s="3">
        <v>29660</v>
      </c>
      <c r="AP52" s="3">
        <v>29290</v>
      </c>
      <c r="AQ52" s="3">
        <v>28520</v>
      </c>
      <c r="AR52" s="3">
        <v>29290</v>
      </c>
      <c r="AS52" s="3">
        <v>28940</v>
      </c>
      <c r="AT52" s="3">
        <v>27970</v>
      </c>
      <c r="AU52" s="3">
        <v>27710</v>
      </c>
    </row>
    <row r="53" spans="1:47" x14ac:dyDescent="0.2">
      <c r="A53" s="1">
        <v>58</v>
      </c>
      <c r="B53" s="3">
        <v>22330</v>
      </c>
      <c r="C53" s="3">
        <v>22820</v>
      </c>
      <c r="D53" s="3">
        <v>24040</v>
      </c>
      <c r="E53" s="3">
        <v>24520</v>
      </c>
      <c r="F53" s="3">
        <v>25800</v>
      </c>
      <c r="G53" s="3">
        <v>26410</v>
      </c>
      <c r="H53" s="3">
        <v>26670</v>
      </c>
      <c r="I53" s="3">
        <v>26180</v>
      </c>
      <c r="J53" s="3">
        <v>25310</v>
      </c>
      <c r="K53" s="3">
        <v>25200</v>
      </c>
      <c r="L53" s="3">
        <v>25700</v>
      </c>
      <c r="M53" s="3">
        <v>25980</v>
      </c>
      <c r="N53" s="3">
        <v>26480</v>
      </c>
      <c r="O53" s="3">
        <v>26520</v>
      </c>
      <c r="P53" s="3">
        <v>27510</v>
      </c>
      <c r="Q53" s="3">
        <v>27040</v>
      </c>
      <c r="R53" s="3">
        <v>26180</v>
      </c>
      <c r="S53" s="3">
        <v>25290</v>
      </c>
      <c r="T53" s="3">
        <v>24310</v>
      </c>
      <c r="U53" s="3">
        <v>23210</v>
      </c>
      <c r="V53" s="3">
        <v>23220</v>
      </c>
      <c r="W53" s="3">
        <v>23010</v>
      </c>
      <c r="X53" s="3">
        <v>23760</v>
      </c>
      <c r="Y53" s="3">
        <v>23770</v>
      </c>
      <c r="Z53" s="3">
        <v>23900</v>
      </c>
      <c r="AA53" s="3">
        <v>24500</v>
      </c>
      <c r="AB53" s="3">
        <v>25050</v>
      </c>
      <c r="AC53" s="3">
        <v>25310</v>
      </c>
      <c r="AD53" s="3">
        <v>25820</v>
      </c>
      <c r="AE53" s="3">
        <v>26100</v>
      </c>
      <c r="AF53" s="3">
        <v>26870</v>
      </c>
      <c r="AG53" s="3">
        <v>28190</v>
      </c>
      <c r="AH53" s="3">
        <v>28790</v>
      </c>
      <c r="AI53" s="3">
        <v>30170</v>
      </c>
      <c r="AJ53" s="3">
        <v>31060</v>
      </c>
      <c r="AK53" s="3">
        <v>30320</v>
      </c>
      <c r="AL53" s="3">
        <v>30320</v>
      </c>
      <c r="AM53" s="3">
        <v>29820</v>
      </c>
      <c r="AN53" s="3">
        <v>29860</v>
      </c>
      <c r="AO53" s="3">
        <v>29410</v>
      </c>
      <c r="AP53" s="3">
        <v>29490</v>
      </c>
      <c r="AQ53" s="3">
        <v>29120</v>
      </c>
      <c r="AR53" s="3">
        <v>28350</v>
      </c>
      <c r="AS53" s="3">
        <v>29110</v>
      </c>
      <c r="AT53" s="3">
        <v>28770</v>
      </c>
      <c r="AU53" s="3">
        <v>27810</v>
      </c>
    </row>
    <row r="54" spans="1:47" x14ac:dyDescent="0.2">
      <c r="A54" s="1">
        <v>59</v>
      </c>
      <c r="B54" s="3">
        <v>21160</v>
      </c>
      <c r="C54" s="3">
        <v>21940</v>
      </c>
      <c r="D54" s="3">
        <v>22400</v>
      </c>
      <c r="E54" s="3">
        <v>23610</v>
      </c>
      <c r="F54" s="3">
        <v>24100</v>
      </c>
      <c r="G54" s="3">
        <v>25380</v>
      </c>
      <c r="H54" s="3">
        <v>25990</v>
      </c>
      <c r="I54" s="3">
        <v>26260</v>
      </c>
      <c r="J54" s="3">
        <v>25790</v>
      </c>
      <c r="K54" s="3">
        <v>24940</v>
      </c>
      <c r="L54" s="3">
        <v>24850</v>
      </c>
      <c r="M54" s="3">
        <v>25350</v>
      </c>
      <c r="N54" s="3">
        <v>25630</v>
      </c>
      <c r="O54" s="3">
        <v>26130</v>
      </c>
      <c r="P54" s="3">
        <v>26180</v>
      </c>
      <c r="Q54" s="3">
        <v>27160</v>
      </c>
      <c r="R54" s="3">
        <v>26710</v>
      </c>
      <c r="S54" s="3">
        <v>25860</v>
      </c>
      <c r="T54" s="3">
        <v>24990</v>
      </c>
      <c r="U54" s="3">
        <v>24020</v>
      </c>
      <c r="V54" s="3">
        <v>22940</v>
      </c>
      <c r="W54" s="3">
        <v>22960</v>
      </c>
      <c r="X54" s="3">
        <v>22750</v>
      </c>
      <c r="Y54" s="3">
        <v>23500</v>
      </c>
      <c r="Z54" s="3">
        <v>23510</v>
      </c>
      <c r="AA54" s="3">
        <v>23640</v>
      </c>
      <c r="AB54" s="3">
        <v>24240</v>
      </c>
      <c r="AC54" s="3">
        <v>24780</v>
      </c>
      <c r="AD54" s="3">
        <v>25040</v>
      </c>
      <c r="AE54" s="3">
        <v>25550</v>
      </c>
      <c r="AF54" s="3">
        <v>25820</v>
      </c>
      <c r="AG54" s="3">
        <v>26590</v>
      </c>
      <c r="AH54" s="3">
        <v>27890</v>
      </c>
      <c r="AI54" s="3">
        <v>28490</v>
      </c>
      <c r="AJ54" s="3">
        <v>29850</v>
      </c>
      <c r="AK54" s="3">
        <v>30740</v>
      </c>
      <c r="AL54" s="3">
        <v>30000</v>
      </c>
      <c r="AM54" s="3">
        <v>30000</v>
      </c>
      <c r="AN54" s="3">
        <v>29510</v>
      </c>
      <c r="AO54" s="3">
        <v>29550</v>
      </c>
      <c r="AP54" s="3">
        <v>29100</v>
      </c>
      <c r="AQ54" s="3">
        <v>29180</v>
      </c>
      <c r="AR54" s="3">
        <v>28820</v>
      </c>
      <c r="AS54" s="3">
        <v>28060</v>
      </c>
      <c r="AT54" s="3">
        <v>28810</v>
      </c>
      <c r="AU54" s="3">
        <v>28470</v>
      </c>
    </row>
    <row r="55" spans="1:47" x14ac:dyDescent="0.2">
      <c r="A55" s="1">
        <v>60</v>
      </c>
      <c r="B55" s="3">
        <v>19890</v>
      </c>
      <c r="C55" s="3">
        <v>20690</v>
      </c>
      <c r="D55" s="3">
        <v>21430</v>
      </c>
      <c r="E55" s="3">
        <v>21900</v>
      </c>
      <c r="F55" s="3">
        <v>23090</v>
      </c>
      <c r="G55" s="3">
        <v>23590</v>
      </c>
      <c r="H55" s="3">
        <v>24850</v>
      </c>
      <c r="I55" s="3">
        <v>25470</v>
      </c>
      <c r="J55" s="3">
        <v>25750</v>
      </c>
      <c r="K55" s="3">
        <v>25300</v>
      </c>
      <c r="L55" s="3">
        <v>24490</v>
      </c>
      <c r="M55" s="3">
        <v>24400</v>
      </c>
      <c r="N55" s="3">
        <v>24900</v>
      </c>
      <c r="O55" s="3">
        <v>25190</v>
      </c>
      <c r="P55" s="3">
        <v>25690</v>
      </c>
      <c r="Q55" s="3">
        <v>25750</v>
      </c>
      <c r="R55" s="3">
        <v>26720</v>
      </c>
      <c r="S55" s="3">
        <v>26280</v>
      </c>
      <c r="T55" s="3">
        <v>25460</v>
      </c>
      <c r="U55" s="3">
        <v>24600</v>
      </c>
      <c r="V55" s="3">
        <v>23660</v>
      </c>
      <c r="W55" s="3">
        <v>22600</v>
      </c>
      <c r="X55" s="3">
        <v>22620</v>
      </c>
      <c r="Y55" s="3">
        <v>22420</v>
      </c>
      <c r="Z55" s="3">
        <v>23160</v>
      </c>
      <c r="AA55" s="3">
        <v>23170</v>
      </c>
      <c r="AB55" s="3">
        <v>23300</v>
      </c>
      <c r="AC55" s="3">
        <v>23890</v>
      </c>
      <c r="AD55" s="3">
        <v>24430</v>
      </c>
      <c r="AE55" s="3">
        <v>24680</v>
      </c>
      <c r="AF55" s="3">
        <v>25190</v>
      </c>
      <c r="AG55" s="3">
        <v>25460</v>
      </c>
      <c r="AH55" s="3">
        <v>26210</v>
      </c>
      <c r="AI55" s="3">
        <v>27500</v>
      </c>
      <c r="AJ55" s="3">
        <v>28090</v>
      </c>
      <c r="AK55" s="3">
        <v>29430</v>
      </c>
      <c r="AL55" s="3">
        <v>30300</v>
      </c>
      <c r="AM55" s="3">
        <v>29570</v>
      </c>
      <c r="AN55" s="3">
        <v>29580</v>
      </c>
      <c r="AO55" s="3">
        <v>29100</v>
      </c>
      <c r="AP55" s="3">
        <v>29140</v>
      </c>
      <c r="AQ55" s="3">
        <v>28700</v>
      </c>
      <c r="AR55" s="3">
        <v>28780</v>
      </c>
      <c r="AS55" s="3">
        <v>28420</v>
      </c>
      <c r="AT55" s="3">
        <v>27670</v>
      </c>
      <c r="AU55" s="3">
        <v>28420</v>
      </c>
    </row>
    <row r="56" spans="1:47" x14ac:dyDescent="0.2">
      <c r="A56" s="1">
        <v>61</v>
      </c>
      <c r="B56" s="3">
        <v>18680</v>
      </c>
      <c r="C56" s="3">
        <v>19310</v>
      </c>
      <c r="D56" s="3">
        <v>20070</v>
      </c>
      <c r="E56" s="3">
        <v>20800</v>
      </c>
      <c r="F56" s="3">
        <v>21260</v>
      </c>
      <c r="G56" s="3">
        <v>22440</v>
      </c>
      <c r="H56" s="3">
        <v>22930</v>
      </c>
      <c r="I56" s="3">
        <v>24170</v>
      </c>
      <c r="J56" s="3">
        <v>24780</v>
      </c>
      <c r="K56" s="3">
        <v>25070</v>
      </c>
      <c r="L56" s="3">
        <v>24650</v>
      </c>
      <c r="M56" s="3">
        <v>23860</v>
      </c>
      <c r="N56" s="3">
        <v>23790</v>
      </c>
      <c r="O56" s="3">
        <v>24280</v>
      </c>
      <c r="P56" s="3">
        <v>24570</v>
      </c>
      <c r="Q56" s="3">
        <v>25060</v>
      </c>
      <c r="R56" s="3">
        <v>25120</v>
      </c>
      <c r="S56" s="3">
        <v>26080</v>
      </c>
      <c r="T56" s="3">
        <v>25660</v>
      </c>
      <c r="U56" s="3">
        <v>24850</v>
      </c>
      <c r="V56" s="3">
        <v>24030</v>
      </c>
      <c r="W56" s="3">
        <v>23110</v>
      </c>
      <c r="X56" s="3">
        <v>22080</v>
      </c>
      <c r="Y56" s="3">
        <v>22100</v>
      </c>
      <c r="Z56" s="3">
        <v>21910</v>
      </c>
      <c r="AA56" s="3">
        <v>22630</v>
      </c>
      <c r="AB56" s="3">
        <v>22650</v>
      </c>
      <c r="AC56" s="3">
        <v>22770</v>
      </c>
      <c r="AD56" s="3">
        <v>23350</v>
      </c>
      <c r="AE56" s="3">
        <v>23880</v>
      </c>
      <c r="AF56" s="3">
        <v>24130</v>
      </c>
      <c r="AG56" s="3">
        <v>24620</v>
      </c>
      <c r="AH56" s="3">
        <v>24890</v>
      </c>
      <c r="AI56" s="3">
        <v>25620</v>
      </c>
      <c r="AJ56" s="3">
        <v>26880</v>
      </c>
      <c r="AK56" s="3">
        <v>27450</v>
      </c>
      <c r="AL56" s="3">
        <v>28760</v>
      </c>
      <c r="AM56" s="3">
        <v>29620</v>
      </c>
      <c r="AN56" s="3">
        <v>28910</v>
      </c>
      <c r="AO56" s="3">
        <v>28910</v>
      </c>
      <c r="AP56" s="3">
        <v>28440</v>
      </c>
      <c r="AQ56" s="3">
        <v>28480</v>
      </c>
      <c r="AR56" s="3">
        <v>28050</v>
      </c>
      <c r="AS56" s="3">
        <v>28130</v>
      </c>
      <c r="AT56" s="3">
        <v>27790</v>
      </c>
      <c r="AU56" s="3">
        <v>27060</v>
      </c>
    </row>
    <row r="57" spans="1:47" x14ac:dyDescent="0.2">
      <c r="A57" s="1">
        <v>62</v>
      </c>
      <c r="B57" s="3">
        <v>17240</v>
      </c>
      <c r="C57" s="3">
        <v>18170</v>
      </c>
      <c r="D57" s="3">
        <v>18750</v>
      </c>
      <c r="E57" s="3">
        <v>19490</v>
      </c>
      <c r="F57" s="3">
        <v>20210</v>
      </c>
      <c r="G57" s="3">
        <v>20670</v>
      </c>
      <c r="H57" s="3">
        <v>21820</v>
      </c>
      <c r="I57" s="3">
        <v>22310</v>
      </c>
      <c r="J57" s="3">
        <v>23520</v>
      </c>
      <c r="K57" s="3">
        <v>24120</v>
      </c>
      <c r="L57" s="3">
        <v>24410</v>
      </c>
      <c r="M57" s="3">
        <v>24000</v>
      </c>
      <c r="N57" s="3">
        <v>23240</v>
      </c>
      <c r="O57" s="3">
        <v>23180</v>
      </c>
      <c r="P57" s="3">
        <v>23660</v>
      </c>
      <c r="Q57" s="3">
        <v>23950</v>
      </c>
      <c r="R57" s="3">
        <v>24430</v>
      </c>
      <c r="S57" s="3">
        <v>24490</v>
      </c>
      <c r="T57" s="3">
        <v>25430</v>
      </c>
      <c r="U57" s="3">
        <v>25020</v>
      </c>
      <c r="V57" s="3">
        <v>24240</v>
      </c>
      <c r="W57" s="3">
        <v>23440</v>
      </c>
      <c r="X57" s="3">
        <v>22550</v>
      </c>
      <c r="Y57" s="3">
        <v>21550</v>
      </c>
      <c r="Z57" s="3">
        <v>21570</v>
      </c>
      <c r="AA57" s="3">
        <v>21380</v>
      </c>
      <c r="AB57" s="3">
        <v>22090</v>
      </c>
      <c r="AC57" s="3">
        <v>22100</v>
      </c>
      <c r="AD57" s="3">
        <v>22230</v>
      </c>
      <c r="AE57" s="3">
        <v>22790</v>
      </c>
      <c r="AF57" s="3">
        <v>23310</v>
      </c>
      <c r="AG57" s="3">
        <v>23550</v>
      </c>
      <c r="AH57" s="3">
        <v>24030</v>
      </c>
      <c r="AI57" s="3">
        <v>24290</v>
      </c>
      <c r="AJ57" s="3">
        <v>25010</v>
      </c>
      <c r="AK57" s="3">
        <v>26230</v>
      </c>
      <c r="AL57" s="3">
        <v>26790</v>
      </c>
      <c r="AM57" s="3">
        <v>28060</v>
      </c>
      <c r="AN57" s="3">
        <v>28890</v>
      </c>
      <c r="AO57" s="3">
        <v>28210</v>
      </c>
      <c r="AP57" s="3">
        <v>28210</v>
      </c>
      <c r="AQ57" s="3">
        <v>27760</v>
      </c>
      <c r="AR57" s="3">
        <v>27790</v>
      </c>
      <c r="AS57" s="3">
        <v>27380</v>
      </c>
      <c r="AT57" s="3">
        <v>27450</v>
      </c>
      <c r="AU57" s="3">
        <v>27120</v>
      </c>
    </row>
    <row r="58" spans="1:47" x14ac:dyDescent="0.2">
      <c r="A58" s="1">
        <v>63</v>
      </c>
      <c r="B58" s="3">
        <v>15730</v>
      </c>
      <c r="C58" s="3">
        <v>16270</v>
      </c>
      <c r="D58" s="3">
        <v>17120</v>
      </c>
      <c r="E58" s="3">
        <v>17690</v>
      </c>
      <c r="F58" s="3">
        <v>18400</v>
      </c>
      <c r="G58" s="3">
        <v>19090</v>
      </c>
      <c r="H58" s="3">
        <v>19530</v>
      </c>
      <c r="I58" s="3">
        <v>20630</v>
      </c>
      <c r="J58" s="3">
        <v>21100</v>
      </c>
      <c r="K58" s="3">
        <v>22250</v>
      </c>
      <c r="L58" s="3">
        <v>22830</v>
      </c>
      <c r="M58" s="3">
        <v>23110</v>
      </c>
      <c r="N58" s="3">
        <v>22730</v>
      </c>
      <c r="O58" s="3">
        <v>22020</v>
      </c>
      <c r="P58" s="3">
        <v>21970</v>
      </c>
      <c r="Q58" s="3">
        <v>22430</v>
      </c>
      <c r="R58" s="3">
        <v>22710</v>
      </c>
      <c r="S58" s="3">
        <v>23170</v>
      </c>
      <c r="T58" s="3">
        <v>23230</v>
      </c>
      <c r="U58" s="3">
        <v>24120</v>
      </c>
      <c r="V58" s="3">
        <v>23740</v>
      </c>
      <c r="W58" s="3">
        <v>23000</v>
      </c>
      <c r="X58" s="3">
        <v>22240</v>
      </c>
      <c r="Y58" s="3">
        <v>21410</v>
      </c>
      <c r="Z58" s="3">
        <v>20460</v>
      </c>
      <c r="AA58" s="3">
        <v>20480</v>
      </c>
      <c r="AB58" s="3">
        <v>20310</v>
      </c>
      <c r="AC58" s="3">
        <v>20980</v>
      </c>
      <c r="AD58" s="3">
        <v>20990</v>
      </c>
      <c r="AE58" s="3">
        <v>21110</v>
      </c>
      <c r="AF58" s="3">
        <v>21650</v>
      </c>
      <c r="AG58" s="3">
        <v>22140</v>
      </c>
      <c r="AH58" s="3">
        <v>22360</v>
      </c>
      <c r="AI58" s="3">
        <v>22820</v>
      </c>
      <c r="AJ58" s="3">
        <v>23070</v>
      </c>
      <c r="AK58" s="3">
        <v>23750</v>
      </c>
      <c r="AL58" s="3">
        <v>24910</v>
      </c>
      <c r="AM58" s="3">
        <v>25440</v>
      </c>
      <c r="AN58" s="3">
        <v>26650</v>
      </c>
      <c r="AO58" s="3">
        <v>27440</v>
      </c>
      <c r="AP58" s="3">
        <v>26790</v>
      </c>
      <c r="AQ58" s="3">
        <v>26790</v>
      </c>
      <c r="AR58" s="3">
        <v>26360</v>
      </c>
      <c r="AS58" s="3">
        <v>26400</v>
      </c>
      <c r="AT58" s="3">
        <v>26000</v>
      </c>
      <c r="AU58" s="3">
        <v>26080</v>
      </c>
    </row>
    <row r="59" spans="1:47" x14ac:dyDescent="0.2">
      <c r="A59" s="1">
        <v>64</v>
      </c>
      <c r="B59" s="3">
        <v>13630</v>
      </c>
      <c r="C59" s="3">
        <v>14230</v>
      </c>
      <c r="D59" s="3">
        <v>14710</v>
      </c>
      <c r="E59" s="3">
        <v>15510</v>
      </c>
      <c r="F59" s="3">
        <v>16050</v>
      </c>
      <c r="G59" s="3">
        <v>16710</v>
      </c>
      <c r="H59" s="3">
        <v>17360</v>
      </c>
      <c r="I59" s="3">
        <v>17790</v>
      </c>
      <c r="J59" s="3">
        <v>18800</v>
      </c>
      <c r="K59" s="3">
        <v>19250</v>
      </c>
      <c r="L59" s="3">
        <v>20320</v>
      </c>
      <c r="M59" s="3">
        <v>20860</v>
      </c>
      <c r="N59" s="3">
        <v>21130</v>
      </c>
      <c r="O59" s="3">
        <v>20800</v>
      </c>
      <c r="P59" s="3">
        <v>20160</v>
      </c>
      <c r="Q59" s="3">
        <v>20130</v>
      </c>
      <c r="R59" s="3">
        <v>20560</v>
      </c>
      <c r="S59" s="3">
        <v>20820</v>
      </c>
      <c r="T59" s="3">
        <v>21250</v>
      </c>
      <c r="U59" s="3">
        <v>21320</v>
      </c>
      <c r="V59" s="3">
        <v>22140</v>
      </c>
      <c r="W59" s="3">
        <v>21800</v>
      </c>
      <c r="X59" s="3">
        <v>21130</v>
      </c>
      <c r="Y59" s="3">
        <v>20440</v>
      </c>
      <c r="Z59" s="3">
        <v>19670</v>
      </c>
      <c r="AA59" s="3">
        <v>18810</v>
      </c>
      <c r="AB59" s="3">
        <v>18830</v>
      </c>
      <c r="AC59" s="3">
        <v>18680</v>
      </c>
      <c r="AD59" s="3">
        <v>19290</v>
      </c>
      <c r="AE59" s="3">
        <v>19310</v>
      </c>
      <c r="AF59" s="3">
        <v>19420</v>
      </c>
      <c r="AG59" s="3">
        <v>19920</v>
      </c>
      <c r="AH59" s="3">
        <v>20370</v>
      </c>
      <c r="AI59" s="3">
        <v>20580</v>
      </c>
      <c r="AJ59" s="3">
        <v>21000</v>
      </c>
      <c r="AK59" s="3">
        <v>21230</v>
      </c>
      <c r="AL59" s="3">
        <v>21850</v>
      </c>
      <c r="AM59" s="3">
        <v>22920</v>
      </c>
      <c r="AN59" s="3">
        <v>23410</v>
      </c>
      <c r="AO59" s="3">
        <v>24520</v>
      </c>
      <c r="AP59" s="3">
        <v>25250</v>
      </c>
      <c r="AQ59" s="3">
        <v>24650</v>
      </c>
      <c r="AR59" s="3">
        <v>24650</v>
      </c>
      <c r="AS59" s="3">
        <v>24260</v>
      </c>
      <c r="AT59" s="3">
        <v>24290</v>
      </c>
      <c r="AU59" s="3">
        <v>23930</v>
      </c>
    </row>
    <row r="60" spans="1:47" x14ac:dyDescent="0.2">
      <c r="A60" s="1">
        <v>65</v>
      </c>
      <c r="B60" s="3">
        <v>11680</v>
      </c>
      <c r="C60" s="3">
        <v>11870</v>
      </c>
      <c r="D60" s="3">
        <v>12400</v>
      </c>
      <c r="E60" s="3">
        <v>12850</v>
      </c>
      <c r="F60" s="3">
        <v>13570</v>
      </c>
      <c r="G60" s="3">
        <v>14060</v>
      </c>
      <c r="H60" s="3">
        <v>14670</v>
      </c>
      <c r="I60" s="3">
        <v>15260</v>
      </c>
      <c r="J60" s="3">
        <v>15660</v>
      </c>
      <c r="K60" s="3">
        <v>16570</v>
      </c>
      <c r="L60" s="3">
        <v>16980</v>
      </c>
      <c r="M60" s="3">
        <v>17950</v>
      </c>
      <c r="N60" s="3">
        <v>18440</v>
      </c>
      <c r="O60" s="3">
        <v>18690</v>
      </c>
      <c r="P60" s="3">
        <v>18420</v>
      </c>
      <c r="Q60" s="3">
        <v>17870</v>
      </c>
      <c r="R60" s="3">
        <v>17850</v>
      </c>
      <c r="S60" s="3">
        <v>18240</v>
      </c>
      <c r="T60" s="3">
        <v>18490</v>
      </c>
      <c r="U60" s="3">
        <v>18880</v>
      </c>
      <c r="V60" s="3">
        <v>18940</v>
      </c>
      <c r="W60" s="3">
        <v>19680</v>
      </c>
      <c r="X60" s="3">
        <v>19380</v>
      </c>
      <c r="Y60" s="3">
        <v>18790</v>
      </c>
      <c r="Z60" s="3">
        <v>18190</v>
      </c>
      <c r="AA60" s="3">
        <v>17510</v>
      </c>
      <c r="AB60" s="3">
        <v>16750</v>
      </c>
      <c r="AC60" s="3">
        <v>16770</v>
      </c>
      <c r="AD60" s="3">
        <v>16640</v>
      </c>
      <c r="AE60" s="3">
        <v>17190</v>
      </c>
      <c r="AF60" s="3">
        <v>17210</v>
      </c>
      <c r="AG60" s="3">
        <v>17300</v>
      </c>
      <c r="AH60" s="3">
        <v>17750</v>
      </c>
      <c r="AI60" s="3">
        <v>18150</v>
      </c>
      <c r="AJ60" s="3">
        <v>18340</v>
      </c>
      <c r="AK60" s="3">
        <v>18710</v>
      </c>
      <c r="AL60" s="3">
        <v>18920</v>
      </c>
      <c r="AM60" s="3">
        <v>19480</v>
      </c>
      <c r="AN60" s="3">
        <v>20430</v>
      </c>
      <c r="AO60" s="3">
        <v>20860</v>
      </c>
      <c r="AP60" s="3">
        <v>21850</v>
      </c>
      <c r="AQ60" s="3">
        <v>22500</v>
      </c>
      <c r="AR60" s="3">
        <v>21970</v>
      </c>
      <c r="AS60" s="3">
        <v>21970</v>
      </c>
      <c r="AT60" s="3">
        <v>21620</v>
      </c>
      <c r="AU60" s="3">
        <v>21650</v>
      </c>
    </row>
    <row r="61" spans="1:47" x14ac:dyDescent="0.2">
      <c r="A61" s="1">
        <v>66</v>
      </c>
      <c r="B61" s="3">
        <v>9550</v>
      </c>
      <c r="C61" s="3">
        <v>10050</v>
      </c>
      <c r="D61" s="3">
        <v>10230</v>
      </c>
      <c r="E61" s="3">
        <v>10710</v>
      </c>
      <c r="F61" s="3">
        <v>11120</v>
      </c>
      <c r="G61" s="3">
        <v>11770</v>
      </c>
      <c r="H61" s="3">
        <v>12220</v>
      </c>
      <c r="I61" s="3">
        <v>12760</v>
      </c>
      <c r="J61" s="3">
        <v>13300</v>
      </c>
      <c r="K61" s="3">
        <v>13660</v>
      </c>
      <c r="L61" s="3">
        <v>14470</v>
      </c>
      <c r="M61" s="3">
        <v>14850</v>
      </c>
      <c r="N61" s="3">
        <v>15710</v>
      </c>
      <c r="O61" s="3">
        <v>16150</v>
      </c>
      <c r="P61" s="3">
        <v>16390</v>
      </c>
      <c r="Q61" s="3">
        <v>16160</v>
      </c>
      <c r="R61" s="3">
        <v>15690</v>
      </c>
      <c r="S61" s="3">
        <v>15680</v>
      </c>
      <c r="T61" s="3">
        <v>16040</v>
      </c>
      <c r="U61" s="3">
        <v>16260</v>
      </c>
      <c r="V61" s="3">
        <v>16610</v>
      </c>
      <c r="W61" s="3">
        <v>16670</v>
      </c>
      <c r="X61" s="3">
        <v>17330</v>
      </c>
      <c r="Y61" s="3">
        <v>17070</v>
      </c>
      <c r="Z61" s="3">
        <v>16560</v>
      </c>
      <c r="AA61" s="3">
        <v>16030</v>
      </c>
      <c r="AB61" s="3">
        <v>15440</v>
      </c>
      <c r="AC61" s="3">
        <v>14770</v>
      </c>
      <c r="AD61" s="3">
        <v>14790</v>
      </c>
      <c r="AE61" s="3">
        <v>14680</v>
      </c>
      <c r="AF61" s="3">
        <v>15160</v>
      </c>
      <c r="AG61" s="3">
        <v>15180</v>
      </c>
      <c r="AH61" s="3">
        <v>15270</v>
      </c>
      <c r="AI61" s="3">
        <v>15660</v>
      </c>
      <c r="AJ61" s="3">
        <v>16020</v>
      </c>
      <c r="AK61" s="3">
        <v>16180</v>
      </c>
      <c r="AL61" s="3">
        <v>16510</v>
      </c>
      <c r="AM61" s="3">
        <v>16700</v>
      </c>
      <c r="AN61" s="3">
        <v>17190</v>
      </c>
      <c r="AO61" s="3">
        <v>18030</v>
      </c>
      <c r="AP61" s="3">
        <v>18410</v>
      </c>
      <c r="AQ61" s="3">
        <v>19280</v>
      </c>
      <c r="AR61" s="3">
        <v>19860</v>
      </c>
      <c r="AS61" s="3">
        <v>19390</v>
      </c>
      <c r="AT61" s="3">
        <v>19390</v>
      </c>
      <c r="AU61" s="3">
        <v>19090</v>
      </c>
    </row>
    <row r="62" spans="1:47" x14ac:dyDescent="0.2">
      <c r="A62" s="1">
        <v>67</v>
      </c>
      <c r="B62" s="3">
        <v>8040</v>
      </c>
      <c r="C62" s="3">
        <v>8180</v>
      </c>
      <c r="D62" s="3">
        <v>8610</v>
      </c>
      <c r="E62" s="3">
        <v>8780</v>
      </c>
      <c r="F62" s="3">
        <v>9210</v>
      </c>
      <c r="G62" s="3">
        <v>9570</v>
      </c>
      <c r="H62" s="3">
        <v>10150</v>
      </c>
      <c r="I62" s="3">
        <v>10540</v>
      </c>
      <c r="J62" s="3">
        <v>11030</v>
      </c>
      <c r="K62" s="3">
        <v>11500</v>
      </c>
      <c r="L62" s="3">
        <v>11820</v>
      </c>
      <c r="M62" s="3">
        <v>12530</v>
      </c>
      <c r="N62" s="3">
        <v>12870</v>
      </c>
      <c r="O62" s="3">
        <v>13610</v>
      </c>
      <c r="P62" s="3">
        <v>14010</v>
      </c>
      <c r="Q62" s="3">
        <v>14220</v>
      </c>
      <c r="R62" s="3">
        <v>14030</v>
      </c>
      <c r="S62" s="3">
        <v>13620</v>
      </c>
      <c r="T62" s="3">
        <v>13620</v>
      </c>
      <c r="U62" s="3">
        <v>13930</v>
      </c>
      <c r="V62" s="3">
        <v>14130</v>
      </c>
      <c r="W62" s="3">
        <v>14440</v>
      </c>
      <c r="X62" s="3">
        <v>14490</v>
      </c>
      <c r="Y62" s="3">
        <v>15060</v>
      </c>
      <c r="Z62" s="3">
        <v>14840</v>
      </c>
      <c r="AA62" s="3">
        <v>14400</v>
      </c>
      <c r="AB62" s="3">
        <v>13940</v>
      </c>
      <c r="AC62" s="3">
        <v>13430</v>
      </c>
      <c r="AD62" s="3">
        <v>12850</v>
      </c>
      <c r="AE62" s="3">
        <v>12870</v>
      </c>
      <c r="AF62" s="3">
        <v>12770</v>
      </c>
      <c r="AG62" s="3">
        <v>13200</v>
      </c>
      <c r="AH62" s="3">
        <v>13210</v>
      </c>
      <c r="AI62" s="3">
        <v>13290</v>
      </c>
      <c r="AJ62" s="3">
        <v>13630</v>
      </c>
      <c r="AK62" s="3">
        <v>13940</v>
      </c>
      <c r="AL62" s="3">
        <v>14090</v>
      </c>
      <c r="AM62" s="3">
        <v>14370</v>
      </c>
      <c r="AN62" s="3">
        <v>14530</v>
      </c>
      <c r="AO62" s="3">
        <v>14960</v>
      </c>
      <c r="AP62" s="3">
        <v>15690</v>
      </c>
      <c r="AQ62" s="3">
        <v>16030</v>
      </c>
      <c r="AR62" s="3">
        <v>16780</v>
      </c>
      <c r="AS62" s="3">
        <v>17280</v>
      </c>
      <c r="AT62" s="3">
        <v>16880</v>
      </c>
      <c r="AU62" s="3">
        <v>16880</v>
      </c>
    </row>
    <row r="63" spans="1:47" x14ac:dyDescent="0.2">
      <c r="A63" s="1">
        <v>68</v>
      </c>
      <c r="B63" s="3">
        <v>6900</v>
      </c>
      <c r="C63" s="3">
        <v>7130</v>
      </c>
      <c r="D63" s="3">
        <v>7240</v>
      </c>
      <c r="E63" s="3">
        <v>7620</v>
      </c>
      <c r="F63" s="3">
        <v>7760</v>
      </c>
      <c r="G63" s="3">
        <v>8130</v>
      </c>
      <c r="H63" s="3">
        <v>8450</v>
      </c>
      <c r="I63" s="3">
        <v>8950</v>
      </c>
      <c r="J63" s="3">
        <v>9290</v>
      </c>
      <c r="K63" s="3">
        <v>9710</v>
      </c>
      <c r="L63" s="3">
        <v>10120</v>
      </c>
      <c r="M63" s="3">
        <v>10400</v>
      </c>
      <c r="N63" s="3">
        <v>11020</v>
      </c>
      <c r="O63" s="3">
        <v>11310</v>
      </c>
      <c r="P63" s="3">
        <v>11970</v>
      </c>
      <c r="Q63" s="3">
        <v>12310</v>
      </c>
      <c r="R63" s="3">
        <v>12490</v>
      </c>
      <c r="S63" s="3">
        <v>12320</v>
      </c>
      <c r="T63" s="3">
        <v>11960</v>
      </c>
      <c r="U63" s="3">
        <v>11960</v>
      </c>
      <c r="V63" s="3">
        <v>12230</v>
      </c>
      <c r="W63" s="3">
        <v>12400</v>
      </c>
      <c r="X63" s="3">
        <v>12660</v>
      </c>
      <c r="Y63" s="3">
        <v>12710</v>
      </c>
      <c r="Z63" s="3">
        <v>13210</v>
      </c>
      <c r="AA63" s="3">
        <v>13020</v>
      </c>
      <c r="AB63" s="3">
        <v>12630</v>
      </c>
      <c r="AC63" s="3">
        <v>12230</v>
      </c>
      <c r="AD63" s="3">
        <v>11780</v>
      </c>
      <c r="AE63" s="3">
        <v>11270</v>
      </c>
      <c r="AF63" s="3">
        <v>11280</v>
      </c>
      <c r="AG63" s="3">
        <v>11200</v>
      </c>
      <c r="AH63" s="3">
        <v>11570</v>
      </c>
      <c r="AI63" s="3">
        <v>11580</v>
      </c>
      <c r="AJ63" s="3">
        <v>11650</v>
      </c>
      <c r="AK63" s="3">
        <v>11940</v>
      </c>
      <c r="AL63" s="3">
        <v>12220</v>
      </c>
      <c r="AM63" s="3">
        <v>12340</v>
      </c>
      <c r="AN63" s="3">
        <v>12590</v>
      </c>
      <c r="AO63" s="3">
        <v>12730</v>
      </c>
      <c r="AP63" s="3">
        <v>13110</v>
      </c>
      <c r="AQ63" s="3">
        <v>13750</v>
      </c>
      <c r="AR63" s="3">
        <v>14040</v>
      </c>
      <c r="AS63" s="3">
        <v>14700</v>
      </c>
      <c r="AT63" s="3">
        <v>15140</v>
      </c>
      <c r="AU63" s="3">
        <v>14790</v>
      </c>
    </row>
    <row r="64" spans="1:47" x14ac:dyDescent="0.2">
      <c r="A64" s="1">
        <v>69</v>
      </c>
      <c r="B64" s="3">
        <v>4980</v>
      </c>
      <c r="C64" s="3">
        <v>6060</v>
      </c>
      <c r="D64" s="3">
        <v>6250</v>
      </c>
      <c r="E64" s="3">
        <v>6340</v>
      </c>
      <c r="F64" s="3">
        <v>6670</v>
      </c>
      <c r="G64" s="3">
        <v>6790</v>
      </c>
      <c r="H64" s="3">
        <v>7110</v>
      </c>
      <c r="I64" s="3">
        <v>7380</v>
      </c>
      <c r="J64" s="3">
        <v>7810</v>
      </c>
      <c r="K64" s="3">
        <v>8110</v>
      </c>
      <c r="L64" s="3">
        <v>8470</v>
      </c>
      <c r="M64" s="3">
        <v>8820</v>
      </c>
      <c r="N64" s="3">
        <v>9070</v>
      </c>
      <c r="O64" s="3">
        <v>9600</v>
      </c>
      <c r="P64" s="3">
        <v>9850</v>
      </c>
      <c r="Q64" s="3">
        <v>10420</v>
      </c>
      <c r="R64" s="3">
        <v>10710</v>
      </c>
      <c r="S64" s="3">
        <v>10870</v>
      </c>
      <c r="T64" s="3">
        <v>10710</v>
      </c>
      <c r="U64" s="3">
        <v>10400</v>
      </c>
      <c r="V64" s="3">
        <v>10390</v>
      </c>
      <c r="W64" s="3">
        <v>10630</v>
      </c>
      <c r="X64" s="3">
        <v>10770</v>
      </c>
      <c r="Y64" s="3">
        <v>11000</v>
      </c>
      <c r="Z64" s="3">
        <v>11040</v>
      </c>
      <c r="AA64" s="3">
        <v>11470</v>
      </c>
      <c r="AB64" s="3">
        <v>11300</v>
      </c>
      <c r="AC64" s="3">
        <v>10970</v>
      </c>
      <c r="AD64" s="3">
        <v>10620</v>
      </c>
      <c r="AE64" s="3">
        <v>10220</v>
      </c>
      <c r="AF64" s="3">
        <v>9780</v>
      </c>
      <c r="AG64" s="3">
        <v>9800</v>
      </c>
      <c r="AH64" s="3">
        <v>9720</v>
      </c>
      <c r="AI64" s="3">
        <v>10040</v>
      </c>
      <c r="AJ64" s="3">
        <v>10050</v>
      </c>
      <c r="AK64" s="3">
        <v>10110</v>
      </c>
      <c r="AL64" s="3">
        <v>10370</v>
      </c>
      <c r="AM64" s="3">
        <v>10600</v>
      </c>
      <c r="AN64" s="3">
        <v>10710</v>
      </c>
      <c r="AO64" s="3">
        <v>10930</v>
      </c>
      <c r="AP64" s="3">
        <v>11050</v>
      </c>
      <c r="AQ64" s="3">
        <v>11380</v>
      </c>
      <c r="AR64" s="3">
        <v>11930</v>
      </c>
      <c r="AS64" s="3">
        <v>12180</v>
      </c>
      <c r="AT64" s="3">
        <v>12760</v>
      </c>
      <c r="AU64" s="3">
        <v>13140</v>
      </c>
    </row>
    <row r="65" spans="1:47" x14ac:dyDescent="0.2">
      <c r="A65" s="1">
        <v>70</v>
      </c>
      <c r="B65" s="3">
        <v>4230</v>
      </c>
      <c r="C65" s="3">
        <v>4590</v>
      </c>
      <c r="D65" s="3">
        <v>5580</v>
      </c>
      <c r="E65" s="3">
        <v>5740</v>
      </c>
      <c r="F65" s="3">
        <v>5810</v>
      </c>
      <c r="G65" s="3">
        <v>6100</v>
      </c>
      <c r="H65" s="3">
        <v>6190</v>
      </c>
      <c r="I65" s="3">
        <v>6480</v>
      </c>
      <c r="J65" s="3">
        <v>6720</v>
      </c>
      <c r="K65" s="3">
        <v>7100</v>
      </c>
      <c r="L65" s="3">
        <v>7370</v>
      </c>
      <c r="M65" s="3">
        <v>7690</v>
      </c>
      <c r="N65" s="3">
        <v>8000</v>
      </c>
      <c r="O65" s="3">
        <v>8210</v>
      </c>
      <c r="P65" s="3">
        <v>8690</v>
      </c>
      <c r="Q65" s="3">
        <v>8910</v>
      </c>
      <c r="R65" s="3">
        <v>9420</v>
      </c>
      <c r="S65" s="3">
        <v>9680</v>
      </c>
      <c r="T65" s="3">
        <v>9810</v>
      </c>
      <c r="U65" s="3">
        <v>9670</v>
      </c>
      <c r="V65" s="3">
        <v>9390</v>
      </c>
      <c r="W65" s="3">
        <v>9380</v>
      </c>
      <c r="X65" s="3">
        <v>9580</v>
      </c>
      <c r="Y65" s="3">
        <v>9710</v>
      </c>
      <c r="Z65" s="3">
        <v>9910</v>
      </c>
      <c r="AA65" s="3">
        <v>9950</v>
      </c>
      <c r="AB65" s="3">
        <v>10330</v>
      </c>
      <c r="AC65" s="3">
        <v>10180</v>
      </c>
      <c r="AD65" s="3">
        <v>9870</v>
      </c>
      <c r="AE65" s="3">
        <v>9550</v>
      </c>
      <c r="AF65" s="3">
        <v>9200</v>
      </c>
      <c r="AG65" s="3">
        <v>8800</v>
      </c>
      <c r="AH65" s="3">
        <v>8820</v>
      </c>
      <c r="AI65" s="3">
        <v>8740</v>
      </c>
      <c r="AJ65" s="3">
        <v>9030</v>
      </c>
      <c r="AK65" s="3">
        <v>9040</v>
      </c>
      <c r="AL65" s="3">
        <v>9090</v>
      </c>
      <c r="AM65" s="3">
        <v>9320</v>
      </c>
      <c r="AN65" s="3">
        <v>9540</v>
      </c>
      <c r="AO65" s="3">
        <v>9630</v>
      </c>
      <c r="AP65" s="3">
        <v>9830</v>
      </c>
      <c r="AQ65" s="3">
        <v>9940</v>
      </c>
      <c r="AR65" s="3">
        <v>10230</v>
      </c>
      <c r="AS65" s="3">
        <v>10730</v>
      </c>
      <c r="AT65" s="3">
        <v>10960</v>
      </c>
      <c r="AU65" s="3">
        <v>11480</v>
      </c>
    </row>
    <row r="66" spans="1:47" x14ac:dyDescent="0.2">
      <c r="A66" s="1">
        <v>71</v>
      </c>
      <c r="B66" s="3">
        <v>3290</v>
      </c>
      <c r="C66" s="3">
        <v>3610</v>
      </c>
      <c r="D66" s="3">
        <v>3910</v>
      </c>
      <c r="E66" s="3">
        <v>4740</v>
      </c>
      <c r="F66" s="3">
        <v>4870</v>
      </c>
      <c r="G66" s="3">
        <v>4930</v>
      </c>
      <c r="H66" s="3">
        <v>5170</v>
      </c>
      <c r="I66" s="3">
        <v>5250</v>
      </c>
      <c r="J66" s="3">
        <v>5490</v>
      </c>
      <c r="K66" s="3">
        <v>5690</v>
      </c>
      <c r="L66" s="3">
        <v>6020</v>
      </c>
      <c r="M66" s="3">
        <v>6240</v>
      </c>
      <c r="N66" s="3">
        <v>6510</v>
      </c>
      <c r="O66" s="3">
        <v>6770</v>
      </c>
      <c r="P66" s="3">
        <v>6950</v>
      </c>
      <c r="Q66" s="3">
        <v>7350</v>
      </c>
      <c r="R66" s="3">
        <v>7540</v>
      </c>
      <c r="S66" s="3">
        <v>7960</v>
      </c>
      <c r="T66" s="3">
        <v>8180</v>
      </c>
      <c r="U66" s="3">
        <v>8290</v>
      </c>
      <c r="V66" s="3">
        <v>8170</v>
      </c>
      <c r="W66" s="3">
        <v>7930</v>
      </c>
      <c r="X66" s="3">
        <v>7920</v>
      </c>
      <c r="Y66" s="3">
        <v>8090</v>
      </c>
      <c r="Z66" s="3">
        <v>8200</v>
      </c>
      <c r="AA66" s="3">
        <v>8370</v>
      </c>
      <c r="AB66" s="3">
        <v>8400</v>
      </c>
      <c r="AC66" s="3">
        <v>8720</v>
      </c>
      <c r="AD66" s="3">
        <v>8590</v>
      </c>
      <c r="AE66" s="3">
        <v>8330</v>
      </c>
      <c r="AF66" s="3">
        <v>8070</v>
      </c>
      <c r="AG66" s="3">
        <v>7770</v>
      </c>
      <c r="AH66" s="3">
        <v>7430</v>
      </c>
      <c r="AI66" s="3">
        <v>7440</v>
      </c>
      <c r="AJ66" s="3">
        <v>7380</v>
      </c>
      <c r="AK66" s="3">
        <v>7620</v>
      </c>
      <c r="AL66" s="3">
        <v>7630</v>
      </c>
      <c r="AM66" s="3">
        <v>7680</v>
      </c>
      <c r="AN66" s="3">
        <v>7870</v>
      </c>
      <c r="AO66" s="3">
        <v>8050</v>
      </c>
      <c r="AP66" s="3">
        <v>8130</v>
      </c>
      <c r="AQ66" s="3">
        <v>8300</v>
      </c>
      <c r="AR66" s="3">
        <v>8390</v>
      </c>
      <c r="AS66" s="3">
        <v>8640</v>
      </c>
      <c r="AT66" s="3">
        <v>9060</v>
      </c>
      <c r="AU66" s="3">
        <v>9250</v>
      </c>
    </row>
    <row r="67" spans="1:47" x14ac:dyDescent="0.2">
      <c r="A67" s="1">
        <v>72</v>
      </c>
      <c r="B67" s="3">
        <v>2400</v>
      </c>
      <c r="C67" s="3">
        <v>2780</v>
      </c>
      <c r="D67" s="3">
        <v>3040</v>
      </c>
      <c r="E67" s="3">
        <v>3290</v>
      </c>
      <c r="F67" s="3">
        <v>3990</v>
      </c>
      <c r="G67" s="3">
        <v>4100</v>
      </c>
      <c r="H67" s="3">
        <v>4140</v>
      </c>
      <c r="I67" s="3">
        <v>4340</v>
      </c>
      <c r="J67" s="3">
        <v>4410</v>
      </c>
      <c r="K67" s="3">
        <v>4610</v>
      </c>
      <c r="L67" s="3">
        <v>4770</v>
      </c>
      <c r="M67" s="3">
        <v>5040</v>
      </c>
      <c r="N67" s="3">
        <v>5220</v>
      </c>
      <c r="O67" s="3">
        <v>5450</v>
      </c>
      <c r="P67" s="3">
        <v>5660</v>
      </c>
      <c r="Q67" s="3">
        <v>5810</v>
      </c>
      <c r="R67" s="3">
        <v>6150</v>
      </c>
      <c r="S67" s="3">
        <v>6300</v>
      </c>
      <c r="T67" s="3">
        <v>6650</v>
      </c>
      <c r="U67" s="3">
        <v>6830</v>
      </c>
      <c r="V67" s="3">
        <v>6920</v>
      </c>
      <c r="W67" s="3">
        <v>6820</v>
      </c>
      <c r="X67" s="3">
        <v>6620</v>
      </c>
      <c r="Y67" s="3">
        <v>6610</v>
      </c>
      <c r="Z67" s="3">
        <v>6750</v>
      </c>
      <c r="AA67" s="3">
        <v>6840</v>
      </c>
      <c r="AB67" s="3">
        <v>6980</v>
      </c>
      <c r="AC67" s="3">
        <v>7010</v>
      </c>
      <c r="AD67" s="3">
        <v>7280</v>
      </c>
      <c r="AE67" s="3">
        <v>7160</v>
      </c>
      <c r="AF67" s="3">
        <v>6950</v>
      </c>
      <c r="AG67" s="3">
        <v>6730</v>
      </c>
      <c r="AH67" s="3">
        <v>6480</v>
      </c>
      <c r="AI67" s="3">
        <v>6200</v>
      </c>
      <c r="AJ67" s="3">
        <v>6210</v>
      </c>
      <c r="AK67" s="3">
        <v>6160</v>
      </c>
      <c r="AL67" s="3">
        <v>6360</v>
      </c>
      <c r="AM67" s="3">
        <v>6360</v>
      </c>
      <c r="AN67" s="3">
        <v>6400</v>
      </c>
      <c r="AO67" s="3">
        <v>6560</v>
      </c>
      <c r="AP67" s="3">
        <v>6710</v>
      </c>
      <c r="AQ67" s="3">
        <v>6780</v>
      </c>
      <c r="AR67" s="3">
        <v>6920</v>
      </c>
      <c r="AS67" s="3">
        <v>7000</v>
      </c>
      <c r="AT67" s="3">
        <v>7200</v>
      </c>
      <c r="AU67" s="3">
        <v>7550</v>
      </c>
    </row>
    <row r="68" spans="1:47" x14ac:dyDescent="0.2">
      <c r="A68" s="1">
        <v>73</v>
      </c>
      <c r="B68" s="3">
        <v>2170</v>
      </c>
      <c r="C68" s="3">
        <v>2030</v>
      </c>
      <c r="D68" s="3">
        <v>2340</v>
      </c>
      <c r="E68" s="3">
        <v>2570</v>
      </c>
      <c r="F68" s="3">
        <v>2780</v>
      </c>
      <c r="G68" s="3">
        <v>3370</v>
      </c>
      <c r="H68" s="3">
        <v>3460</v>
      </c>
      <c r="I68" s="3">
        <v>3500</v>
      </c>
      <c r="J68" s="3">
        <v>3670</v>
      </c>
      <c r="K68" s="3">
        <v>3720</v>
      </c>
      <c r="L68" s="3">
        <v>3890</v>
      </c>
      <c r="M68" s="3">
        <v>4030</v>
      </c>
      <c r="N68" s="3">
        <v>4260</v>
      </c>
      <c r="O68" s="3">
        <v>4410</v>
      </c>
      <c r="P68" s="3">
        <v>4600</v>
      </c>
      <c r="Q68" s="3">
        <v>4780</v>
      </c>
      <c r="R68" s="3">
        <v>4910</v>
      </c>
      <c r="S68" s="3">
        <v>5190</v>
      </c>
      <c r="T68" s="3">
        <v>5320</v>
      </c>
      <c r="U68" s="3">
        <v>5620</v>
      </c>
      <c r="V68" s="3">
        <v>5770</v>
      </c>
      <c r="W68" s="3">
        <v>5850</v>
      </c>
      <c r="X68" s="3">
        <v>5760</v>
      </c>
      <c r="Y68" s="3">
        <v>5590</v>
      </c>
      <c r="Z68" s="3">
        <v>5580</v>
      </c>
      <c r="AA68" s="3">
        <v>5700</v>
      </c>
      <c r="AB68" s="3">
        <v>5780</v>
      </c>
      <c r="AC68" s="3">
        <v>5900</v>
      </c>
      <c r="AD68" s="3">
        <v>5920</v>
      </c>
      <c r="AE68" s="3">
        <v>6140</v>
      </c>
      <c r="AF68" s="3">
        <v>6050</v>
      </c>
      <c r="AG68" s="3">
        <v>5870</v>
      </c>
      <c r="AH68" s="3">
        <v>5680</v>
      </c>
      <c r="AI68" s="3">
        <v>5470</v>
      </c>
      <c r="AJ68" s="3">
        <v>5230</v>
      </c>
      <c r="AK68" s="3">
        <v>5240</v>
      </c>
      <c r="AL68" s="3">
        <v>5200</v>
      </c>
      <c r="AM68" s="3">
        <v>5370</v>
      </c>
      <c r="AN68" s="3">
        <v>5380</v>
      </c>
      <c r="AO68" s="3">
        <v>5410</v>
      </c>
      <c r="AP68" s="3">
        <v>5540</v>
      </c>
      <c r="AQ68" s="3">
        <v>5670</v>
      </c>
      <c r="AR68" s="3">
        <v>5730</v>
      </c>
      <c r="AS68" s="3">
        <v>5850</v>
      </c>
      <c r="AT68" s="3">
        <v>5910</v>
      </c>
      <c r="AU68" s="3">
        <v>6090</v>
      </c>
    </row>
    <row r="69" spans="1:47" x14ac:dyDescent="0.2">
      <c r="A69" s="1">
        <v>74</v>
      </c>
      <c r="B69" s="3">
        <v>1790</v>
      </c>
      <c r="C69" s="3">
        <v>1910</v>
      </c>
      <c r="D69" s="3">
        <v>1780</v>
      </c>
      <c r="E69" s="3">
        <v>2050</v>
      </c>
      <c r="F69" s="3">
        <v>2240</v>
      </c>
      <c r="G69" s="3">
        <v>2420</v>
      </c>
      <c r="H69" s="3">
        <v>2930</v>
      </c>
      <c r="I69" s="3">
        <v>3010</v>
      </c>
      <c r="J69" s="3">
        <v>3040</v>
      </c>
      <c r="K69" s="3">
        <v>3180</v>
      </c>
      <c r="L69" s="3">
        <v>3220</v>
      </c>
      <c r="M69" s="3">
        <v>3360</v>
      </c>
      <c r="N69" s="3">
        <v>3480</v>
      </c>
      <c r="O69" s="3">
        <v>3680</v>
      </c>
      <c r="P69" s="3">
        <v>3810</v>
      </c>
      <c r="Q69" s="3">
        <v>3970</v>
      </c>
      <c r="R69" s="3">
        <v>4120</v>
      </c>
      <c r="S69" s="3">
        <v>4230</v>
      </c>
      <c r="T69" s="3">
        <v>4470</v>
      </c>
      <c r="U69" s="3">
        <v>4580</v>
      </c>
      <c r="V69" s="3">
        <v>4830</v>
      </c>
      <c r="W69" s="3">
        <v>4960</v>
      </c>
      <c r="X69" s="3">
        <v>5030</v>
      </c>
      <c r="Y69" s="3">
        <v>4950</v>
      </c>
      <c r="Z69" s="3">
        <v>4800</v>
      </c>
      <c r="AA69" s="3">
        <v>4790</v>
      </c>
      <c r="AB69" s="3">
        <v>4900</v>
      </c>
      <c r="AC69" s="3">
        <v>4960</v>
      </c>
      <c r="AD69" s="3">
        <v>5060</v>
      </c>
      <c r="AE69" s="3">
        <v>5080</v>
      </c>
      <c r="AF69" s="3">
        <v>5270</v>
      </c>
      <c r="AG69" s="3">
        <v>5190</v>
      </c>
      <c r="AH69" s="3">
        <v>5040</v>
      </c>
      <c r="AI69" s="3">
        <v>4870</v>
      </c>
      <c r="AJ69" s="3">
        <v>4690</v>
      </c>
      <c r="AK69" s="3">
        <v>4490</v>
      </c>
      <c r="AL69" s="3">
        <v>4500</v>
      </c>
      <c r="AM69" s="3">
        <v>4460</v>
      </c>
      <c r="AN69" s="3">
        <v>4610</v>
      </c>
      <c r="AO69" s="3">
        <v>4610</v>
      </c>
      <c r="AP69" s="3">
        <v>4640</v>
      </c>
      <c r="AQ69" s="3">
        <v>4760</v>
      </c>
      <c r="AR69" s="3">
        <v>4870</v>
      </c>
      <c r="AS69" s="3">
        <v>4920</v>
      </c>
      <c r="AT69" s="3">
        <v>5020</v>
      </c>
      <c r="AU69" s="3">
        <v>5080</v>
      </c>
    </row>
    <row r="70" spans="1:47" x14ac:dyDescent="0.2">
      <c r="A70" s="1">
        <v>75</v>
      </c>
      <c r="B70" s="3">
        <v>1470</v>
      </c>
      <c r="C70" s="3">
        <v>1660</v>
      </c>
      <c r="D70" s="3">
        <v>1760</v>
      </c>
      <c r="E70" s="3">
        <v>1630</v>
      </c>
      <c r="F70" s="3">
        <v>1880</v>
      </c>
      <c r="G70" s="3">
        <v>2050</v>
      </c>
      <c r="H70" s="3">
        <v>2210</v>
      </c>
      <c r="I70" s="3">
        <v>2670</v>
      </c>
      <c r="J70" s="3">
        <v>2730</v>
      </c>
      <c r="K70" s="3">
        <v>2750</v>
      </c>
      <c r="L70" s="3">
        <v>2880</v>
      </c>
      <c r="M70" s="3">
        <v>2920</v>
      </c>
      <c r="N70" s="3">
        <v>3040</v>
      </c>
      <c r="O70" s="3">
        <v>3150</v>
      </c>
      <c r="P70" s="3">
        <v>3320</v>
      </c>
      <c r="Q70" s="3">
        <v>3430</v>
      </c>
      <c r="R70" s="3">
        <v>3570</v>
      </c>
      <c r="S70" s="3">
        <v>3710</v>
      </c>
      <c r="T70" s="3">
        <v>3800</v>
      </c>
      <c r="U70" s="3">
        <v>4020</v>
      </c>
      <c r="V70" s="3">
        <v>4120</v>
      </c>
      <c r="W70" s="3">
        <v>4340</v>
      </c>
      <c r="X70" s="3">
        <v>4460</v>
      </c>
      <c r="Y70" s="3">
        <v>4510</v>
      </c>
      <c r="Z70" s="3">
        <v>4450</v>
      </c>
      <c r="AA70" s="3">
        <v>4310</v>
      </c>
      <c r="AB70" s="3">
        <v>4300</v>
      </c>
      <c r="AC70" s="3">
        <v>4400</v>
      </c>
      <c r="AD70" s="3">
        <v>4450</v>
      </c>
      <c r="AE70" s="3">
        <v>4540</v>
      </c>
      <c r="AF70" s="3">
        <v>4560</v>
      </c>
      <c r="AG70" s="3">
        <v>4730</v>
      </c>
      <c r="AH70" s="3">
        <v>4660</v>
      </c>
      <c r="AI70" s="3">
        <v>4520</v>
      </c>
      <c r="AJ70" s="3">
        <v>4370</v>
      </c>
      <c r="AK70" s="3">
        <v>4210</v>
      </c>
      <c r="AL70" s="3">
        <v>4030</v>
      </c>
      <c r="AM70" s="3">
        <v>4030</v>
      </c>
      <c r="AN70" s="3">
        <v>4000</v>
      </c>
      <c r="AO70" s="3">
        <v>4130</v>
      </c>
      <c r="AP70" s="3">
        <v>4140</v>
      </c>
      <c r="AQ70" s="3">
        <v>4160</v>
      </c>
      <c r="AR70" s="3">
        <v>4270</v>
      </c>
      <c r="AS70" s="3">
        <v>4370</v>
      </c>
      <c r="AT70" s="3">
        <v>4410</v>
      </c>
      <c r="AU70" s="3">
        <v>4500</v>
      </c>
    </row>
    <row r="71" spans="1:47" x14ac:dyDescent="0.2">
      <c r="A71" s="1">
        <v>76</v>
      </c>
      <c r="B71" s="3">
        <v>1190</v>
      </c>
      <c r="C71" s="3">
        <v>1350</v>
      </c>
      <c r="D71" s="3">
        <v>1510</v>
      </c>
      <c r="E71" s="3">
        <v>1590</v>
      </c>
      <c r="F71" s="3">
        <v>1470</v>
      </c>
      <c r="G71" s="3">
        <v>1690</v>
      </c>
      <c r="H71" s="3">
        <v>1840</v>
      </c>
      <c r="I71" s="3">
        <v>1980</v>
      </c>
      <c r="J71" s="3">
        <v>2380</v>
      </c>
      <c r="K71" s="3">
        <v>2430</v>
      </c>
      <c r="L71" s="3">
        <v>2450</v>
      </c>
      <c r="M71" s="3">
        <v>2560</v>
      </c>
      <c r="N71" s="3">
        <v>2590</v>
      </c>
      <c r="O71" s="3">
        <v>2690</v>
      </c>
      <c r="P71" s="3">
        <v>2780</v>
      </c>
      <c r="Q71" s="3">
        <v>2930</v>
      </c>
      <c r="R71" s="3">
        <v>3030</v>
      </c>
      <c r="S71" s="3">
        <v>3150</v>
      </c>
      <c r="T71" s="3">
        <v>3270</v>
      </c>
      <c r="U71" s="3">
        <v>3350</v>
      </c>
      <c r="V71" s="3">
        <v>3540</v>
      </c>
      <c r="W71" s="3">
        <v>3620</v>
      </c>
      <c r="X71" s="3">
        <v>3820</v>
      </c>
      <c r="Y71" s="3">
        <v>3910</v>
      </c>
      <c r="Z71" s="3">
        <v>3960</v>
      </c>
      <c r="AA71" s="3">
        <v>3900</v>
      </c>
      <c r="AB71" s="3">
        <v>3780</v>
      </c>
      <c r="AC71" s="3">
        <v>3770</v>
      </c>
      <c r="AD71" s="3">
        <v>3850</v>
      </c>
      <c r="AE71" s="3">
        <v>3900</v>
      </c>
      <c r="AF71" s="3">
        <v>3980</v>
      </c>
      <c r="AG71" s="3">
        <v>3990</v>
      </c>
      <c r="AH71" s="3">
        <v>4140</v>
      </c>
      <c r="AI71" s="3">
        <v>4080</v>
      </c>
      <c r="AJ71" s="3">
        <v>3960</v>
      </c>
      <c r="AK71" s="3">
        <v>3830</v>
      </c>
      <c r="AL71" s="3">
        <v>3690</v>
      </c>
      <c r="AM71" s="3">
        <v>3530</v>
      </c>
      <c r="AN71" s="3">
        <v>3530</v>
      </c>
      <c r="AO71" s="3">
        <v>3510</v>
      </c>
      <c r="AP71" s="3">
        <v>3620</v>
      </c>
      <c r="AQ71" s="3">
        <v>3630</v>
      </c>
      <c r="AR71" s="3">
        <v>3650</v>
      </c>
      <c r="AS71" s="3">
        <v>3740</v>
      </c>
      <c r="AT71" s="3">
        <v>3830</v>
      </c>
      <c r="AU71" s="3">
        <v>3870</v>
      </c>
    </row>
    <row r="72" spans="1:47" x14ac:dyDescent="0.2">
      <c r="A72" s="1">
        <v>77</v>
      </c>
      <c r="B72" s="3">
        <v>1000</v>
      </c>
      <c r="C72" s="3">
        <v>1080</v>
      </c>
      <c r="D72" s="3">
        <v>1220</v>
      </c>
      <c r="E72" s="3">
        <v>1360</v>
      </c>
      <c r="F72" s="3">
        <v>1430</v>
      </c>
      <c r="G72" s="3">
        <v>1320</v>
      </c>
      <c r="H72" s="3">
        <v>1510</v>
      </c>
      <c r="I72" s="3">
        <v>1640</v>
      </c>
      <c r="J72" s="3">
        <v>1760</v>
      </c>
      <c r="K72" s="3">
        <v>2110</v>
      </c>
      <c r="L72" s="3">
        <v>2150</v>
      </c>
      <c r="M72" s="3">
        <v>2170</v>
      </c>
      <c r="N72" s="3">
        <v>2260</v>
      </c>
      <c r="O72" s="3">
        <v>2280</v>
      </c>
      <c r="P72" s="3">
        <v>2370</v>
      </c>
      <c r="Q72" s="3">
        <v>2450</v>
      </c>
      <c r="R72" s="3">
        <v>2580</v>
      </c>
      <c r="S72" s="3">
        <v>2660</v>
      </c>
      <c r="T72" s="3">
        <v>2770</v>
      </c>
      <c r="U72" s="3">
        <v>2870</v>
      </c>
      <c r="V72" s="3">
        <v>2940</v>
      </c>
      <c r="W72" s="3">
        <v>3100</v>
      </c>
      <c r="X72" s="3">
        <v>3170</v>
      </c>
      <c r="Y72" s="3">
        <v>3340</v>
      </c>
      <c r="Z72" s="3">
        <v>3430</v>
      </c>
      <c r="AA72" s="3">
        <v>3470</v>
      </c>
      <c r="AB72" s="3">
        <v>3420</v>
      </c>
      <c r="AC72" s="3">
        <v>3310</v>
      </c>
      <c r="AD72" s="3">
        <v>3300</v>
      </c>
      <c r="AE72" s="3">
        <v>3370</v>
      </c>
      <c r="AF72" s="3">
        <v>3410</v>
      </c>
      <c r="AG72" s="3">
        <v>3480</v>
      </c>
      <c r="AH72" s="3">
        <v>3490</v>
      </c>
      <c r="AI72" s="3">
        <v>3630</v>
      </c>
      <c r="AJ72" s="3">
        <v>3570</v>
      </c>
      <c r="AK72" s="3">
        <v>3460</v>
      </c>
      <c r="AL72" s="3">
        <v>3350</v>
      </c>
      <c r="AM72" s="3">
        <v>3230</v>
      </c>
      <c r="AN72" s="3">
        <v>3090</v>
      </c>
      <c r="AO72" s="3">
        <v>3090</v>
      </c>
      <c r="AP72" s="3">
        <v>3070</v>
      </c>
      <c r="AQ72" s="3">
        <v>3170</v>
      </c>
      <c r="AR72" s="3">
        <v>3170</v>
      </c>
      <c r="AS72" s="3">
        <v>3190</v>
      </c>
      <c r="AT72" s="3">
        <v>3280</v>
      </c>
      <c r="AU72" s="3">
        <v>3350</v>
      </c>
    </row>
    <row r="73" spans="1:47" x14ac:dyDescent="0.2">
      <c r="A73" s="1">
        <v>78</v>
      </c>
      <c r="B73" s="3">
        <v>830</v>
      </c>
      <c r="C73" s="3">
        <v>900</v>
      </c>
      <c r="D73" s="3">
        <v>970</v>
      </c>
      <c r="E73" s="3">
        <v>1090</v>
      </c>
      <c r="F73" s="3">
        <v>1210</v>
      </c>
      <c r="G73" s="3">
        <v>1270</v>
      </c>
      <c r="H73" s="3">
        <v>1170</v>
      </c>
      <c r="I73" s="3">
        <v>1340</v>
      </c>
      <c r="J73" s="3">
        <v>1450</v>
      </c>
      <c r="K73" s="3">
        <v>1550</v>
      </c>
      <c r="L73" s="3">
        <v>1860</v>
      </c>
      <c r="M73" s="3">
        <v>1900</v>
      </c>
      <c r="N73" s="3">
        <v>1910</v>
      </c>
      <c r="O73" s="3">
        <v>1990</v>
      </c>
      <c r="P73" s="3">
        <v>2010</v>
      </c>
      <c r="Q73" s="3">
        <v>2080</v>
      </c>
      <c r="R73" s="3">
        <v>2150</v>
      </c>
      <c r="S73" s="3">
        <v>2260</v>
      </c>
      <c r="T73" s="3">
        <v>2330</v>
      </c>
      <c r="U73" s="3">
        <v>2420</v>
      </c>
      <c r="V73" s="3">
        <v>2510</v>
      </c>
      <c r="W73" s="3">
        <v>2570</v>
      </c>
      <c r="X73" s="3">
        <v>2710</v>
      </c>
      <c r="Y73" s="3">
        <v>2770</v>
      </c>
      <c r="Z73" s="3">
        <v>2920</v>
      </c>
      <c r="AA73" s="3">
        <v>3000</v>
      </c>
      <c r="AB73" s="3">
        <v>3030</v>
      </c>
      <c r="AC73" s="3">
        <v>2980</v>
      </c>
      <c r="AD73" s="3">
        <v>2890</v>
      </c>
      <c r="AE73" s="3">
        <v>2890</v>
      </c>
      <c r="AF73" s="3">
        <v>2950</v>
      </c>
      <c r="AG73" s="3">
        <v>2980</v>
      </c>
      <c r="AH73" s="3">
        <v>3040</v>
      </c>
      <c r="AI73" s="3">
        <v>3050</v>
      </c>
      <c r="AJ73" s="3">
        <v>3170</v>
      </c>
      <c r="AK73" s="3">
        <v>3120</v>
      </c>
      <c r="AL73" s="3">
        <v>3020</v>
      </c>
      <c r="AM73" s="3">
        <v>2930</v>
      </c>
      <c r="AN73" s="3">
        <v>2820</v>
      </c>
      <c r="AO73" s="3">
        <v>2700</v>
      </c>
      <c r="AP73" s="3">
        <v>2700</v>
      </c>
      <c r="AQ73" s="3">
        <v>2680</v>
      </c>
      <c r="AR73" s="3">
        <v>2770</v>
      </c>
      <c r="AS73" s="3">
        <v>2770</v>
      </c>
      <c r="AT73" s="3">
        <v>2790</v>
      </c>
      <c r="AU73" s="3">
        <v>2860</v>
      </c>
    </row>
    <row r="74" spans="1:47" x14ac:dyDescent="0.2">
      <c r="A74" s="1">
        <v>79</v>
      </c>
      <c r="B74" s="3">
        <v>680</v>
      </c>
      <c r="C74" s="3">
        <v>750</v>
      </c>
      <c r="D74" s="3">
        <v>800</v>
      </c>
      <c r="E74" s="3">
        <v>870</v>
      </c>
      <c r="F74" s="3">
        <v>970</v>
      </c>
      <c r="G74" s="3">
        <v>1070</v>
      </c>
      <c r="H74" s="3">
        <v>1130</v>
      </c>
      <c r="I74" s="3">
        <v>1040</v>
      </c>
      <c r="J74" s="3">
        <v>1180</v>
      </c>
      <c r="K74" s="3">
        <v>1280</v>
      </c>
      <c r="L74" s="3">
        <v>1370</v>
      </c>
      <c r="M74" s="3">
        <v>1640</v>
      </c>
      <c r="N74" s="3">
        <v>1670</v>
      </c>
      <c r="O74" s="3">
        <v>1670</v>
      </c>
      <c r="P74" s="3">
        <v>1740</v>
      </c>
      <c r="Q74" s="3">
        <v>1760</v>
      </c>
      <c r="R74" s="3">
        <v>1820</v>
      </c>
      <c r="S74" s="3">
        <v>1880</v>
      </c>
      <c r="T74" s="3">
        <v>1980</v>
      </c>
      <c r="U74" s="3">
        <v>2040</v>
      </c>
      <c r="V74" s="3">
        <v>2120</v>
      </c>
      <c r="W74" s="3">
        <v>2200</v>
      </c>
      <c r="X74" s="3">
        <v>2250</v>
      </c>
      <c r="Y74" s="3">
        <v>2370</v>
      </c>
      <c r="Z74" s="3">
        <v>2420</v>
      </c>
      <c r="AA74" s="3">
        <v>2550</v>
      </c>
      <c r="AB74" s="3">
        <v>2620</v>
      </c>
      <c r="AC74" s="3">
        <v>2650</v>
      </c>
      <c r="AD74" s="3">
        <v>2600</v>
      </c>
      <c r="AE74" s="3">
        <v>2520</v>
      </c>
      <c r="AF74" s="3">
        <v>2520</v>
      </c>
      <c r="AG74" s="3">
        <v>2570</v>
      </c>
      <c r="AH74" s="3">
        <v>2600</v>
      </c>
      <c r="AI74" s="3">
        <v>2650</v>
      </c>
      <c r="AJ74" s="3">
        <v>2660</v>
      </c>
      <c r="AK74" s="3">
        <v>2760</v>
      </c>
      <c r="AL74" s="3">
        <v>2720</v>
      </c>
      <c r="AM74" s="3">
        <v>2640</v>
      </c>
      <c r="AN74" s="3">
        <v>2560</v>
      </c>
      <c r="AO74" s="3">
        <v>2460</v>
      </c>
      <c r="AP74" s="3">
        <v>2360</v>
      </c>
      <c r="AQ74" s="3">
        <v>2360</v>
      </c>
      <c r="AR74" s="3">
        <v>2340</v>
      </c>
      <c r="AS74" s="3">
        <v>2420</v>
      </c>
      <c r="AT74" s="3">
        <v>2430</v>
      </c>
      <c r="AU74" s="3">
        <v>2440</v>
      </c>
    </row>
    <row r="75" spans="1:47" x14ac:dyDescent="0.2">
      <c r="A75" s="1" t="s">
        <v>77</v>
      </c>
      <c r="B75" s="3">
        <v>3200</v>
      </c>
      <c r="C75" s="3">
        <v>3400</v>
      </c>
      <c r="D75" s="3">
        <v>3600</v>
      </c>
      <c r="E75" s="3">
        <v>3800</v>
      </c>
      <c r="F75" s="3">
        <v>4100</v>
      </c>
      <c r="G75" s="3">
        <v>4400</v>
      </c>
      <c r="H75" s="3">
        <v>4700</v>
      </c>
      <c r="I75" s="3">
        <v>5100</v>
      </c>
      <c r="J75" s="3">
        <v>5300</v>
      </c>
      <c r="K75" s="3">
        <v>5600</v>
      </c>
      <c r="L75" s="3">
        <v>6000</v>
      </c>
      <c r="M75" s="3">
        <v>6400</v>
      </c>
      <c r="N75" s="3">
        <v>7000</v>
      </c>
      <c r="O75" s="3">
        <v>7500</v>
      </c>
      <c r="P75" s="3">
        <v>7900</v>
      </c>
      <c r="Q75" s="3">
        <v>8400</v>
      </c>
      <c r="R75" s="3">
        <v>8800</v>
      </c>
      <c r="S75" s="3">
        <v>9200</v>
      </c>
      <c r="T75" s="3">
        <v>9600</v>
      </c>
      <c r="U75" s="3">
        <v>10000</v>
      </c>
      <c r="V75" s="3">
        <v>10500</v>
      </c>
      <c r="W75" s="3">
        <v>10900</v>
      </c>
      <c r="X75" s="3">
        <v>11400</v>
      </c>
      <c r="Y75" s="3">
        <v>11800</v>
      </c>
      <c r="Z75" s="3">
        <v>12300</v>
      </c>
      <c r="AA75" s="1">
        <v>12700</v>
      </c>
      <c r="AB75" s="1">
        <v>13300</v>
      </c>
      <c r="AC75" s="1">
        <v>13800</v>
      </c>
      <c r="AD75" s="1">
        <v>14200</v>
      </c>
      <c r="AE75" s="1">
        <v>14600</v>
      </c>
      <c r="AF75" s="1">
        <v>14900</v>
      </c>
      <c r="AG75" s="1">
        <v>15100</v>
      </c>
      <c r="AH75" s="1">
        <v>15300</v>
      </c>
      <c r="AI75" s="1">
        <v>15600</v>
      </c>
      <c r="AJ75" s="1">
        <v>15800</v>
      </c>
      <c r="AK75" s="1">
        <v>16000</v>
      </c>
      <c r="AL75" s="1">
        <v>16300</v>
      </c>
      <c r="AM75" s="1">
        <v>16500</v>
      </c>
      <c r="AN75" s="1">
        <v>16700</v>
      </c>
      <c r="AO75" s="1">
        <v>16700</v>
      </c>
      <c r="AP75" s="1">
        <v>16700</v>
      </c>
      <c r="AQ75" s="1">
        <v>16500</v>
      </c>
      <c r="AR75" s="1">
        <v>16400</v>
      </c>
      <c r="AS75" s="1">
        <v>16300</v>
      </c>
      <c r="AT75" s="1">
        <v>16300</v>
      </c>
      <c r="AU75" s="1">
        <v>16300</v>
      </c>
    </row>
    <row r="76" spans="1:47" ht="15" x14ac:dyDescent="0.25">
      <c r="A76" s="2" t="s">
        <v>4</v>
      </c>
      <c r="B76" s="3">
        <f t="shared" ref="B76:AG76" si="3">SUM(B$10:B$75)</f>
        <v>1182500</v>
      </c>
      <c r="C76" s="3">
        <f t="shared" si="3"/>
        <v>1200660</v>
      </c>
      <c r="D76" s="3">
        <f t="shared" si="3"/>
        <v>1212810</v>
      </c>
      <c r="E76" s="3">
        <f t="shared" si="3"/>
        <v>1224000</v>
      </c>
      <c r="F76" s="3">
        <f t="shared" si="3"/>
        <v>1234470</v>
      </c>
      <c r="G76" s="3">
        <f t="shared" si="3"/>
        <v>1244230</v>
      </c>
      <c r="H76" s="3">
        <f t="shared" si="3"/>
        <v>1253370</v>
      </c>
      <c r="I76" s="3">
        <f t="shared" si="3"/>
        <v>1262350</v>
      </c>
      <c r="J76" s="3">
        <f t="shared" si="3"/>
        <v>1271040</v>
      </c>
      <c r="K76" s="3">
        <f t="shared" si="3"/>
        <v>1279470</v>
      </c>
      <c r="L76" s="3">
        <f t="shared" si="3"/>
        <v>1287750</v>
      </c>
      <c r="M76" s="3">
        <f t="shared" si="3"/>
        <v>1295620</v>
      </c>
      <c r="N76" s="3">
        <f t="shared" si="3"/>
        <v>1302960</v>
      </c>
      <c r="O76" s="3">
        <f t="shared" si="3"/>
        <v>1309690</v>
      </c>
      <c r="P76" s="3">
        <f t="shared" si="3"/>
        <v>1315770</v>
      </c>
      <c r="Q76" s="3">
        <f t="shared" si="3"/>
        <v>1321320</v>
      </c>
      <c r="R76" s="3">
        <f t="shared" si="3"/>
        <v>1326380</v>
      </c>
      <c r="S76" s="3">
        <f t="shared" si="3"/>
        <v>1331090</v>
      </c>
      <c r="T76" s="3">
        <f t="shared" si="3"/>
        <v>1335610</v>
      </c>
      <c r="U76" s="3">
        <f t="shared" si="3"/>
        <v>1339910</v>
      </c>
      <c r="V76" s="3">
        <f t="shared" si="3"/>
        <v>1344260</v>
      </c>
      <c r="W76" s="3">
        <f t="shared" si="3"/>
        <v>1348460</v>
      </c>
      <c r="X76" s="3">
        <f t="shared" si="3"/>
        <v>1352760</v>
      </c>
      <c r="Y76" s="3">
        <f t="shared" si="3"/>
        <v>1357080</v>
      </c>
      <c r="Z76" s="3">
        <f t="shared" si="3"/>
        <v>1361710</v>
      </c>
      <c r="AA76" s="3">
        <f t="shared" si="3"/>
        <v>1366490</v>
      </c>
      <c r="AB76" s="3">
        <f t="shared" si="3"/>
        <v>1371620</v>
      </c>
      <c r="AC76" s="3">
        <f t="shared" si="3"/>
        <v>1376780</v>
      </c>
      <c r="AD76" s="3">
        <f t="shared" si="3"/>
        <v>1382020</v>
      </c>
      <c r="AE76" s="3">
        <f t="shared" si="3"/>
        <v>1387410</v>
      </c>
      <c r="AF76" s="3">
        <f t="shared" si="3"/>
        <v>1393010</v>
      </c>
      <c r="AG76" s="3">
        <f t="shared" si="3"/>
        <v>1398350</v>
      </c>
      <c r="AH76" s="3">
        <f t="shared" ref="AH76:AU76" si="4">SUM(AH$10:AH$75)</f>
        <v>1403670</v>
      </c>
      <c r="AI76" s="3">
        <f t="shared" si="4"/>
        <v>1408910</v>
      </c>
      <c r="AJ76" s="3">
        <f t="shared" si="4"/>
        <v>1413770</v>
      </c>
      <c r="AK76" s="3">
        <f t="shared" si="4"/>
        <v>1418310</v>
      </c>
      <c r="AL76" s="3">
        <f t="shared" si="4"/>
        <v>1422570</v>
      </c>
      <c r="AM76" s="3">
        <f t="shared" si="4"/>
        <v>1426340</v>
      </c>
      <c r="AN76" s="3">
        <f t="shared" si="4"/>
        <v>1429800</v>
      </c>
      <c r="AO76" s="3">
        <f t="shared" si="4"/>
        <v>1432660</v>
      </c>
      <c r="AP76" s="3">
        <f t="shared" si="4"/>
        <v>1435140</v>
      </c>
      <c r="AQ76" s="3">
        <f t="shared" si="4"/>
        <v>1437190</v>
      </c>
      <c r="AR76" s="3">
        <f t="shared" si="4"/>
        <v>1438970</v>
      </c>
      <c r="AS76" s="3">
        <f t="shared" si="4"/>
        <v>1440510</v>
      </c>
      <c r="AT76" s="3">
        <f t="shared" si="4"/>
        <v>1441930</v>
      </c>
      <c r="AU76" s="3">
        <f t="shared" si="4"/>
        <v>1443280</v>
      </c>
    </row>
    <row r="77" spans="1:47" ht="15" x14ac:dyDescent="0.25">
      <c r="A77" s="2" t="s">
        <v>79</v>
      </c>
      <c r="B77" s="11">
        <v>62.5</v>
      </c>
      <c r="C77" s="11">
        <v>62.5</v>
      </c>
      <c r="D77" s="11">
        <v>62.5</v>
      </c>
      <c r="E77" s="11">
        <v>62.5</v>
      </c>
      <c r="F77" s="11">
        <v>62.4</v>
      </c>
      <c r="G77" s="11">
        <v>62.3</v>
      </c>
      <c r="H77" s="11">
        <v>62.1</v>
      </c>
      <c r="I77" s="11">
        <v>62</v>
      </c>
      <c r="J77" s="11">
        <v>61.7</v>
      </c>
      <c r="K77" s="11">
        <v>61.5</v>
      </c>
      <c r="L77" s="11">
        <v>61.3</v>
      </c>
      <c r="M77" s="11">
        <v>61.1</v>
      </c>
      <c r="N77" s="11">
        <v>60.9</v>
      </c>
      <c r="O77" s="11">
        <v>60.7</v>
      </c>
      <c r="P77" s="11">
        <v>60.5</v>
      </c>
      <c r="Q77" s="11">
        <v>60.3</v>
      </c>
      <c r="R77" s="11">
        <v>60.1</v>
      </c>
      <c r="S77" s="11">
        <v>59.9</v>
      </c>
      <c r="T77" s="11">
        <v>59.7</v>
      </c>
      <c r="U77" s="11">
        <v>59.5</v>
      </c>
      <c r="V77" s="11">
        <v>59.2</v>
      </c>
      <c r="W77" s="11">
        <v>59</v>
      </c>
      <c r="X77" s="11">
        <v>58.8</v>
      </c>
      <c r="Y77" s="11">
        <v>58.7</v>
      </c>
      <c r="Z77" s="11">
        <v>58.5</v>
      </c>
      <c r="AA77" s="11">
        <v>58.4</v>
      </c>
      <c r="AB77" s="11">
        <v>58.3</v>
      </c>
      <c r="AC77" s="11">
        <v>58.2</v>
      </c>
      <c r="AD77" s="11">
        <v>58.1</v>
      </c>
      <c r="AE77" s="11">
        <v>58</v>
      </c>
      <c r="AF77" s="11">
        <v>58</v>
      </c>
      <c r="AG77" s="11">
        <v>57.9</v>
      </c>
      <c r="AH77" s="11">
        <v>57.9</v>
      </c>
      <c r="AI77" s="11">
        <v>57.9</v>
      </c>
      <c r="AJ77" s="11">
        <v>57.9</v>
      </c>
      <c r="AK77" s="11">
        <v>57.9</v>
      </c>
      <c r="AL77" s="11">
        <v>57.8</v>
      </c>
      <c r="AM77" s="11">
        <v>57.8</v>
      </c>
      <c r="AN77" s="11">
        <v>57.8</v>
      </c>
      <c r="AO77" s="11">
        <v>57.7</v>
      </c>
      <c r="AP77" s="11">
        <v>57.6</v>
      </c>
      <c r="AQ77" s="11">
        <v>57.5</v>
      </c>
      <c r="AR77" s="11">
        <v>57.4</v>
      </c>
      <c r="AS77" s="11">
        <v>57.3</v>
      </c>
      <c r="AT77" s="11">
        <v>57.2</v>
      </c>
      <c r="AU77" s="11">
        <v>57.1</v>
      </c>
    </row>
    <row r="78" spans="1:47" ht="15" x14ac:dyDescent="0.25">
      <c r="A78" s="2" t="s">
        <v>11</v>
      </c>
    </row>
    <row r="79" spans="1:47" ht="15" x14ac:dyDescent="0.25">
      <c r="A79" s="2" t="s">
        <v>5</v>
      </c>
    </row>
    <row r="80" spans="1:47" x14ac:dyDescent="0.2">
      <c r="A80" s="1">
        <v>15</v>
      </c>
      <c r="B80" s="3">
        <v>5900</v>
      </c>
      <c r="C80" s="3">
        <v>5680</v>
      </c>
      <c r="D80" s="3">
        <v>5320</v>
      </c>
      <c r="E80" s="3">
        <v>5290</v>
      </c>
      <c r="F80" s="3">
        <v>5320</v>
      </c>
      <c r="G80" s="3">
        <v>5210</v>
      </c>
      <c r="H80" s="3">
        <v>5240</v>
      </c>
      <c r="I80" s="3">
        <v>5450</v>
      </c>
      <c r="J80" s="3">
        <v>5610</v>
      </c>
      <c r="K80" s="3">
        <v>5590</v>
      </c>
      <c r="L80" s="3">
        <v>5560</v>
      </c>
      <c r="M80" s="3">
        <v>5360</v>
      </c>
      <c r="N80" s="3">
        <v>5230</v>
      </c>
      <c r="O80" s="3">
        <v>5110</v>
      </c>
      <c r="P80" s="3">
        <v>4950</v>
      </c>
      <c r="Q80" s="3">
        <v>4840</v>
      </c>
      <c r="R80" s="3">
        <v>4870</v>
      </c>
      <c r="S80" s="3">
        <v>4900</v>
      </c>
      <c r="T80" s="3">
        <v>4920</v>
      </c>
      <c r="U80" s="3">
        <v>4940</v>
      </c>
      <c r="V80" s="3">
        <v>4960</v>
      </c>
      <c r="W80" s="3">
        <v>4980</v>
      </c>
      <c r="X80" s="3">
        <v>4990</v>
      </c>
      <c r="Y80" s="3">
        <v>5010</v>
      </c>
      <c r="Z80" s="3">
        <v>5010</v>
      </c>
      <c r="AA80" s="1">
        <v>5020</v>
      </c>
      <c r="AB80" s="1">
        <v>5020</v>
      </c>
      <c r="AC80" s="1">
        <v>5010</v>
      </c>
      <c r="AD80" s="1">
        <v>5000</v>
      </c>
      <c r="AE80" s="1">
        <v>4990</v>
      </c>
      <c r="AF80" s="1">
        <v>4970</v>
      </c>
      <c r="AG80" s="1">
        <v>4960</v>
      </c>
      <c r="AH80" s="1">
        <v>4940</v>
      </c>
      <c r="AI80" s="1">
        <v>4920</v>
      </c>
      <c r="AJ80" s="1">
        <v>4910</v>
      </c>
      <c r="AK80" s="1">
        <v>4890</v>
      </c>
      <c r="AL80" s="1">
        <v>4890</v>
      </c>
      <c r="AM80" s="1">
        <v>4880</v>
      </c>
      <c r="AN80" s="1">
        <v>4880</v>
      </c>
      <c r="AO80" s="1">
        <v>4890</v>
      </c>
      <c r="AP80" s="1">
        <v>4890</v>
      </c>
      <c r="AQ80" s="1">
        <v>4900</v>
      </c>
      <c r="AR80" s="1">
        <v>4900</v>
      </c>
      <c r="AS80" s="1">
        <v>4910</v>
      </c>
      <c r="AT80" s="1">
        <v>4910</v>
      </c>
      <c r="AU80" s="1">
        <v>4920</v>
      </c>
    </row>
    <row r="81" spans="1:47" x14ac:dyDescent="0.2">
      <c r="A81" s="1">
        <v>16</v>
      </c>
      <c r="B81" s="3">
        <v>10130</v>
      </c>
      <c r="C81" s="3">
        <v>10370</v>
      </c>
      <c r="D81" s="3">
        <v>10040</v>
      </c>
      <c r="E81" s="3">
        <v>9500</v>
      </c>
      <c r="F81" s="3">
        <v>9520</v>
      </c>
      <c r="G81" s="3">
        <v>9640</v>
      </c>
      <c r="H81" s="3">
        <v>9530</v>
      </c>
      <c r="I81" s="3">
        <v>9640</v>
      </c>
      <c r="J81" s="3">
        <v>10090</v>
      </c>
      <c r="K81" s="3">
        <v>10440</v>
      </c>
      <c r="L81" s="3">
        <v>10480</v>
      </c>
      <c r="M81" s="3">
        <v>10480</v>
      </c>
      <c r="N81" s="3">
        <v>10160</v>
      </c>
      <c r="O81" s="3">
        <v>9970</v>
      </c>
      <c r="P81" s="3">
        <v>9780</v>
      </c>
      <c r="Q81" s="3">
        <v>9520</v>
      </c>
      <c r="R81" s="3">
        <v>9350</v>
      </c>
      <c r="S81" s="3">
        <v>9450</v>
      </c>
      <c r="T81" s="3">
        <v>9540</v>
      </c>
      <c r="U81" s="3">
        <v>9610</v>
      </c>
      <c r="V81" s="3">
        <v>9680</v>
      </c>
      <c r="W81" s="3">
        <v>9750</v>
      </c>
      <c r="X81" s="3">
        <v>9820</v>
      </c>
      <c r="Y81" s="3">
        <v>9870</v>
      </c>
      <c r="Z81" s="3">
        <v>9910</v>
      </c>
      <c r="AA81" s="1">
        <v>9950</v>
      </c>
      <c r="AB81" s="1">
        <v>9970</v>
      </c>
      <c r="AC81" s="1">
        <v>9990</v>
      </c>
      <c r="AD81" s="1">
        <v>9990</v>
      </c>
      <c r="AE81" s="1">
        <v>9990</v>
      </c>
      <c r="AF81" s="1">
        <v>9980</v>
      </c>
      <c r="AG81" s="1">
        <v>9960</v>
      </c>
      <c r="AH81" s="1">
        <v>9930</v>
      </c>
      <c r="AI81" s="1">
        <v>9900</v>
      </c>
      <c r="AJ81" s="1">
        <v>9870</v>
      </c>
      <c r="AK81" s="1">
        <v>9850</v>
      </c>
      <c r="AL81" s="1">
        <v>9830</v>
      </c>
      <c r="AM81" s="1">
        <v>9820</v>
      </c>
      <c r="AN81" s="1">
        <v>9820</v>
      </c>
      <c r="AO81" s="1">
        <v>9820</v>
      </c>
      <c r="AP81" s="1">
        <v>9830</v>
      </c>
      <c r="AQ81" s="1">
        <v>9840</v>
      </c>
      <c r="AR81" s="1">
        <v>9860</v>
      </c>
      <c r="AS81" s="1">
        <v>9870</v>
      </c>
      <c r="AT81" s="1">
        <v>9880</v>
      </c>
      <c r="AU81" s="1">
        <v>9890</v>
      </c>
    </row>
    <row r="82" spans="1:47" x14ac:dyDescent="0.2">
      <c r="A82" s="1">
        <v>17</v>
      </c>
      <c r="B82" s="3">
        <v>15540</v>
      </c>
      <c r="C82" s="3">
        <v>15330</v>
      </c>
      <c r="D82" s="3">
        <v>15690</v>
      </c>
      <c r="E82" s="3">
        <v>15280</v>
      </c>
      <c r="F82" s="3">
        <v>14510</v>
      </c>
      <c r="G82" s="3">
        <v>14600</v>
      </c>
      <c r="H82" s="3">
        <v>14850</v>
      </c>
      <c r="I82" s="3">
        <v>14720</v>
      </c>
      <c r="J82" s="3">
        <v>14940</v>
      </c>
      <c r="K82" s="3">
        <v>15680</v>
      </c>
      <c r="L82" s="3">
        <v>16280</v>
      </c>
      <c r="M82" s="3">
        <v>16380</v>
      </c>
      <c r="N82" s="3">
        <v>16420</v>
      </c>
      <c r="O82" s="3">
        <v>15970</v>
      </c>
      <c r="P82" s="3">
        <v>15700</v>
      </c>
      <c r="Q82" s="3">
        <v>15440</v>
      </c>
      <c r="R82" s="3">
        <v>15060</v>
      </c>
      <c r="S82" s="3">
        <v>14820</v>
      </c>
      <c r="T82" s="3">
        <v>15010</v>
      </c>
      <c r="U82" s="3">
        <v>15160</v>
      </c>
      <c r="V82" s="3">
        <v>15300</v>
      </c>
      <c r="W82" s="3">
        <v>15430</v>
      </c>
      <c r="X82" s="3">
        <v>15560</v>
      </c>
      <c r="Y82" s="3">
        <v>15680</v>
      </c>
      <c r="Z82" s="3">
        <v>15780</v>
      </c>
      <c r="AA82" s="1">
        <v>15860</v>
      </c>
      <c r="AB82" s="1">
        <v>15930</v>
      </c>
      <c r="AC82" s="1">
        <v>15980</v>
      </c>
      <c r="AD82" s="1">
        <v>16020</v>
      </c>
      <c r="AE82" s="1">
        <v>16030</v>
      </c>
      <c r="AF82" s="1">
        <v>16040</v>
      </c>
      <c r="AG82" s="1">
        <v>16030</v>
      </c>
      <c r="AH82" s="1">
        <v>16000</v>
      </c>
      <c r="AI82" s="1">
        <v>15960</v>
      </c>
      <c r="AJ82" s="1">
        <v>15920</v>
      </c>
      <c r="AK82" s="1">
        <v>15880</v>
      </c>
      <c r="AL82" s="1">
        <v>15850</v>
      </c>
      <c r="AM82" s="1">
        <v>15820</v>
      </c>
      <c r="AN82" s="1">
        <v>15810</v>
      </c>
      <c r="AO82" s="1">
        <v>15810</v>
      </c>
      <c r="AP82" s="1">
        <v>15810</v>
      </c>
      <c r="AQ82" s="1">
        <v>15830</v>
      </c>
      <c r="AR82" s="1">
        <v>15850</v>
      </c>
      <c r="AS82" s="1">
        <v>15870</v>
      </c>
      <c r="AT82" s="1">
        <v>15890</v>
      </c>
      <c r="AU82" s="1">
        <v>15910</v>
      </c>
    </row>
    <row r="83" spans="1:47" x14ac:dyDescent="0.2">
      <c r="A83" s="1">
        <v>18</v>
      </c>
      <c r="B83" s="3">
        <v>20060</v>
      </c>
      <c r="C83" s="3">
        <v>20060</v>
      </c>
      <c r="D83" s="3">
        <v>19620</v>
      </c>
      <c r="E83" s="3">
        <v>20090</v>
      </c>
      <c r="F83" s="3">
        <v>19560</v>
      </c>
      <c r="G83" s="3">
        <v>18590</v>
      </c>
      <c r="H83" s="3">
        <v>18710</v>
      </c>
      <c r="I83" s="3">
        <v>19030</v>
      </c>
      <c r="J83" s="3">
        <v>18860</v>
      </c>
      <c r="K83" s="3">
        <v>19140</v>
      </c>
      <c r="L83" s="3">
        <v>20090</v>
      </c>
      <c r="M83" s="3">
        <v>20850</v>
      </c>
      <c r="N83" s="3">
        <v>20980</v>
      </c>
      <c r="O83" s="3">
        <v>21030</v>
      </c>
      <c r="P83" s="3">
        <v>20460</v>
      </c>
      <c r="Q83" s="3">
        <v>20120</v>
      </c>
      <c r="R83" s="3">
        <v>19790</v>
      </c>
      <c r="S83" s="3">
        <v>19310</v>
      </c>
      <c r="T83" s="3">
        <v>19000</v>
      </c>
      <c r="U83" s="3">
        <v>19240</v>
      </c>
      <c r="V83" s="3">
        <v>19440</v>
      </c>
      <c r="W83" s="3">
        <v>19620</v>
      </c>
      <c r="X83" s="3">
        <v>19790</v>
      </c>
      <c r="Y83" s="3">
        <v>19950</v>
      </c>
      <c r="Z83" s="3">
        <v>20100</v>
      </c>
      <c r="AA83" s="1">
        <v>20220</v>
      </c>
      <c r="AB83" s="1">
        <v>20330</v>
      </c>
      <c r="AC83" s="1">
        <v>20420</v>
      </c>
      <c r="AD83" s="1">
        <v>20480</v>
      </c>
      <c r="AE83" s="1">
        <v>20530</v>
      </c>
      <c r="AF83" s="1">
        <v>20550</v>
      </c>
      <c r="AG83" s="1">
        <v>20560</v>
      </c>
      <c r="AH83" s="1">
        <v>20540</v>
      </c>
      <c r="AI83" s="1">
        <v>20510</v>
      </c>
      <c r="AJ83" s="1">
        <v>20460</v>
      </c>
      <c r="AK83" s="1">
        <v>20410</v>
      </c>
      <c r="AL83" s="1">
        <v>20360</v>
      </c>
      <c r="AM83" s="1">
        <v>20320</v>
      </c>
      <c r="AN83" s="1">
        <v>20280</v>
      </c>
      <c r="AO83" s="1">
        <v>20270</v>
      </c>
      <c r="AP83" s="1">
        <v>20270</v>
      </c>
      <c r="AQ83" s="1">
        <v>20280</v>
      </c>
      <c r="AR83" s="1">
        <v>20300</v>
      </c>
      <c r="AS83" s="1">
        <v>20320</v>
      </c>
      <c r="AT83" s="1">
        <v>20350</v>
      </c>
      <c r="AU83" s="1">
        <v>20380</v>
      </c>
    </row>
    <row r="84" spans="1:47" x14ac:dyDescent="0.2">
      <c r="A84" s="1">
        <v>19</v>
      </c>
      <c r="B84" s="3">
        <v>22160</v>
      </c>
      <c r="C84" s="3">
        <v>21820</v>
      </c>
      <c r="D84" s="3">
        <v>21540</v>
      </c>
      <c r="E84" s="3">
        <v>21080</v>
      </c>
      <c r="F84" s="3">
        <v>21570</v>
      </c>
      <c r="G84" s="3">
        <v>21010</v>
      </c>
      <c r="H84" s="3">
        <v>19990</v>
      </c>
      <c r="I84" s="3">
        <v>20110</v>
      </c>
      <c r="J84" s="3">
        <v>20450</v>
      </c>
      <c r="K84" s="3">
        <v>20270</v>
      </c>
      <c r="L84" s="3">
        <v>20570</v>
      </c>
      <c r="M84" s="3">
        <v>21580</v>
      </c>
      <c r="N84" s="3">
        <v>22380</v>
      </c>
      <c r="O84" s="3">
        <v>22520</v>
      </c>
      <c r="P84" s="3">
        <v>22570</v>
      </c>
      <c r="Q84" s="3">
        <v>21970</v>
      </c>
      <c r="R84" s="3">
        <v>21610</v>
      </c>
      <c r="S84" s="3">
        <v>21260</v>
      </c>
      <c r="T84" s="3">
        <v>20750</v>
      </c>
      <c r="U84" s="3">
        <v>20430</v>
      </c>
      <c r="V84" s="3">
        <v>20680</v>
      </c>
      <c r="W84" s="3">
        <v>20890</v>
      </c>
      <c r="X84" s="3">
        <v>21080</v>
      </c>
      <c r="Y84" s="3">
        <v>21260</v>
      </c>
      <c r="Z84" s="3">
        <v>21430</v>
      </c>
      <c r="AA84" s="1">
        <v>21590</v>
      </c>
      <c r="AB84" s="1">
        <v>21720</v>
      </c>
      <c r="AC84" s="1">
        <v>21840</v>
      </c>
      <c r="AD84" s="1">
        <v>21930</v>
      </c>
      <c r="AE84" s="1">
        <v>22000</v>
      </c>
      <c r="AF84" s="1">
        <v>22050</v>
      </c>
      <c r="AG84" s="1">
        <v>22070</v>
      </c>
      <c r="AH84" s="1">
        <v>22080</v>
      </c>
      <c r="AI84" s="1">
        <v>22060</v>
      </c>
      <c r="AJ84" s="1">
        <v>22030</v>
      </c>
      <c r="AK84" s="1">
        <v>21980</v>
      </c>
      <c r="AL84" s="1">
        <v>21920</v>
      </c>
      <c r="AM84" s="1">
        <v>21870</v>
      </c>
      <c r="AN84" s="1">
        <v>21820</v>
      </c>
      <c r="AO84" s="1">
        <v>21790</v>
      </c>
      <c r="AP84" s="1">
        <v>21770</v>
      </c>
      <c r="AQ84" s="1">
        <v>21770</v>
      </c>
      <c r="AR84" s="1">
        <v>21780</v>
      </c>
      <c r="AS84" s="1">
        <v>21800</v>
      </c>
      <c r="AT84" s="1">
        <v>21830</v>
      </c>
      <c r="AU84" s="1">
        <v>21860</v>
      </c>
    </row>
    <row r="85" spans="1:47" x14ac:dyDescent="0.2">
      <c r="A85" s="1">
        <v>20</v>
      </c>
      <c r="B85" s="3">
        <v>23370</v>
      </c>
      <c r="C85" s="3">
        <v>23670</v>
      </c>
      <c r="D85" s="3">
        <v>23020</v>
      </c>
      <c r="E85" s="3">
        <v>22730</v>
      </c>
      <c r="F85" s="3">
        <v>22240</v>
      </c>
      <c r="G85" s="3">
        <v>22760</v>
      </c>
      <c r="H85" s="3">
        <v>22180</v>
      </c>
      <c r="I85" s="3">
        <v>21110</v>
      </c>
      <c r="J85" s="3">
        <v>21240</v>
      </c>
      <c r="K85" s="3">
        <v>21590</v>
      </c>
      <c r="L85" s="3">
        <v>21410</v>
      </c>
      <c r="M85" s="3">
        <v>21720</v>
      </c>
      <c r="N85" s="3">
        <v>22760</v>
      </c>
      <c r="O85" s="3">
        <v>23600</v>
      </c>
      <c r="P85" s="3">
        <v>23750</v>
      </c>
      <c r="Q85" s="3">
        <v>23800</v>
      </c>
      <c r="R85" s="3">
        <v>23170</v>
      </c>
      <c r="S85" s="3">
        <v>22800</v>
      </c>
      <c r="T85" s="3">
        <v>22430</v>
      </c>
      <c r="U85" s="3">
        <v>21910</v>
      </c>
      <c r="V85" s="3">
        <v>21570</v>
      </c>
      <c r="W85" s="3">
        <v>21830</v>
      </c>
      <c r="X85" s="3">
        <v>22050</v>
      </c>
      <c r="Y85" s="3">
        <v>22250</v>
      </c>
      <c r="Z85" s="3">
        <v>22440</v>
      </c>
      <c r="AA85" s="1">
        <v>22620</v>
      </c>
      <c r="AB85" s="1">
        <v>22780</v>
      </c>
      <c r="AC85" s="1">
        <v>22920</v>
      </c>
      <c r="AD85" s="1">
        <v>23040</v>
      </c>
      <c r="AE85" s="1">
        <v>23140</v>
      </c>
      <c r="AF85" s="1">
        <v>23210</v>
      </c>
      <c r="AG85" s="1">
        <v>23260</v>
      </c>
      <c r="AH85" s="1">
        <v>23290</v>
      </c>
      <c r="AI85" s="1">
        <v>23290</v>
      </c>
      <c r="AJ85" s="1">
        <v>23280</v>
      </c>
      <c r="AK85" s="1">
        <v>23240</v>
      </c>
      <c r="AL85" s="1">
        <v>23190</v>
      </c>
      <c r="AM85" s="1">
        <v>23130</v>
      </c>
      <c r="AN85" s="1">
        <v>23080</v>
      </c>
      <c r="AO85" s="1">
        <v>23030</v>
      </c>
      <c r="AP85" s="1">
        <v>22990</v>
      </c>
      <c r="AQ85" s="1">
        <v>22970</v>
      </c>
      <c r="AR85" s="1">
        <v>22970</v>
      </c>
      <c r="AS85" s="1">
        <v>22980</v>
      </c>
      <c r="AT85" s="1">
        <v>23010</v>
      </c>
      <c r="AU85" s="1">
        <v>23040</v>
      </c>
    </row>
    <row r="86" spans="1:47" x14ac:dyDescent="0.2">
      <c r="A86" s="1">
        <v>21</v>
      </c>
      <c r="B86" s="3">
        <v>25910</v>
      </c>
      <c r="C86" s="3">
        <v>26490</v>
      </c>
      <c r="D86" s="3">
        <v>26470</v>
      </c>
      <c r="E86" s="3">
        <v>25760</v>
      </c>
      <c r="F86" s="3">
        <v>25430</v>
      </c>
      <c r="G86" s="3">
        <v>24890</v>
      </c>
      <c r="H86" s="3">
        <v>25470</v>
      </c>
      <c r="I86" s="3">
        <v>24820</v>
      </c>
      <c r="J86" s="3">
        <v>23630</v>
      </c>
      <c r="K86" s="3">
        <v>23780</v>
      </c>
      <c r="L86" s="3">
        <v>24170</v>
      </c>
      <c r="M86" s="3">
        <v>23970</v>
      </c>
      <c r="N86" s="3">
        <v>24310</v>
      </c>
      <c r="O86" s="3">
        <v>25470</v>
      </c>
      <c r="P86" s="3">
        <v>26410</v>
      </c>
      <c r="Q86" s="3">
        <v>26570</v>
      </c>
      <c r="R86" s="3">
        <v>26630</v>
      </c>
      <c r="S86" s="3">
        <v>25930</v>
      </c>
      <c r="T86" s="3">
        <v>25520</v>
      </c>
      <c r="U86" s="3">
        <v>25110</v>
      </c>
      <c r="V86" s="3">
        <v>24530</v>
      </c>
      <c r="W86" s="3">
        <v>24150</v>
      </c>
      <c r="X86" s="3">
        <v>24440</v>
      </c>
      <c r="Y86" s="3">
        <v>24690</v>
      </c>
      <c r="Z86" s="3">
        <v>24900</v>
      </c>
      <c r="AA86" s="1">
        <v>25110</v>
      </c>
      <c r="AB86" s="1">
        <v>25320</v>
      </c>
      <c r="AC86" s="1">
        <v>25500</v>
      </c>
      <c r="AD86" s="1">
        <v>25650</v>
      </c>
      <c r="AE86" s="1">
        <v>25790</v>
      </c>
      <c r="AF86" s="1">
        <v>25890</v>
      </c>
      <c r="AG86" s="1">
        <v>25970</v>
      </c>
      <c r="AH86" s="1">
        <v>26030</v>
      </c>
      <c r="AI86" s="1">
        <v>26060</v>
      </c>
      <c r="AJ86" s="1">
        <v>26070</v>
      </c>
      <c r="AK86" s="1">
        <v>26050</v>
      </c>
      <c r="AL86" s="1">
        <v>26010</v>
      </c>
      <c r="AM86" s="1">
        <v>25950</v>
      </c>
      <c r="AN86" s="1">
        <v>25890</v>
      </c>
      <c r="AO86" s="1">
        <v>25830</v>
      </c>
      <c r="AP86" s="1">
        <v>25770</v>
      </c>
      <c r="AQ86" s="1">
        <v>25730</v>
      </c>
      <c r="AR86" s="1">
        <v>25710</v>
      </c>
      <c r="AS86" s="1">
        <v>25710</v>
      </c>
      <c r="AT86" s="1">
        <v>25730</v>
      </c>
      <c r="AU86" s="1">
        <v>25750</v>
      </c>
    </row>
    <row r="87" spans="1:47" x14ac:dyDescent="0.2">
      <c r="A87" s="1">
        <v>22</v>
      </c>
      <c r="B87" s="3">
        <v>27750</v>
      </c>
      <c r="C87" s="3">
        <v>28040</v>
      </c>
      <c r="D87" s="3">
        <v>28230</v>
      </c>
      <c r="E87" s="3">
        <v>28220</v>
      </c>
      <c r="F87" s="3">
        <v>27460</v>
      </c>
      <c r="G87" s="3">
        <v>27110</v>
      </c>
      <c r="H87" s="3">
        <v>26540</v>
      </c>
      <c r="I87" s="3">
        <v>27150</v>
      </c>
      <c r="J87" s="3">
        <v>26460</v>
      </c>
      <c r="K87" s="3">
        <v>25200</v>
      </c>
      <c r="L87" s="3">
        <v>25360</v>
      </c>
      <c r="M87" s="3">
        <v>25770</v>
      </c>
      <c r="N87" s="3">
        <v>25560</v>
      </c>
      <c r="O87" s="3">
        <v>25920</v>
      </c>
      <c r="P87" s="3">
        <v>27160</v>
      </c>
      <c r="Q87" s="3">
        <v>28160</v>
      </c>
      <c r="R87" s="3">
        <v>28330</v>
      </c>
      <c r="S87" s="3">
        <v>28390</v>
      </c>
      <c r="T87" s="3">
        <v>27650</v>
      </c>
      <c r="U87" s="3">
        <v>27210</v>
      </c>
      <c r="V87" s="3">
        <v>26770</v>
      </c>
      <c r="W87" s="3">
        <v>26160</v>
      </c>
      <c r="X87" s="3">
        <v>25750</v>
      </c>
      <c r="Y87" s="3">
        <v>26060</v>
      </c>
      <c r="Z87" s="3">
        <v>26330</v>
      </c>
      <c r="AA87" s="1">
        <v>26560</v>
      </c>
      <c r="AB87" s="1">
        <v>26780</v>
      </c>
      <c r="AC87" s="1">
        <v>27000</v>
      </c>
      <c r="AD87" s="1">
        <v>27190</v>
      </c>
      <c r="AE87" s="1">
        <v>27360</v>
      </c>
      <c r="AF87" s="1">
        <v>27500</v>
      </c>
      <c r="AG87" s="1">
        <v>27610</v>
      </c>
      <c r="AH87" s="1">
        <v>27700</v>
      </c>
      <c r="AI87" s="1">
        <v>27760</v>
      </c>
      <c r="AJ87" s="1">
        <v>27790</v>
      </c>
      <c r="AK87" s="1">
        <v>27800</v>
      </c>
      <c r="AL87" s="1">
        <v>27780</v>
      </c>
      <c r="AM87" s="1">
        <v>27740</v>
      </c>
      <c r="AN87" s="1">
        <v>27680</v>
      </c>
      <c r="AO87" s="1">
        <v>27610</v>
      </c>
      <c r="AP87" s="1">
        <v>27540</v>
      </c>
      <c r="AQ87" s="1">
        <v>27490</v>
      </c>
      <c r="AR87" s="1">
        <v>27440</v>
      </c>
      <c r="AS87" s="1">
        <v>27420</v>
      </c>
      <c r="AT87" s="1">
        <v>27420</v>
      </c>
      <c r="AU87" s="1">
        <v>27440</v>
      </c>
    </row>
    <row r="88" spans="1:47" x14ac:dyDescent="0.2">
      <c r="A88" s="1">
        <v>23</v>
      </c>
      <c r="B88" s="3">
        <v>28290</v>
      </c>
      <c r="C88" s="3">
        <v>28970</v>
      </c>
      <c r="D88" s="3">
        <v>28790</v>
      </c>
      <c r="E88" s="3">
        <v>28990</v>
      </c>
      <c r="F88" s="3">
        <v>28980</v>
      </c>
      <c r="G88" s="3">
        <v>28200</v>
      </c>
      <c r="H88" s="3">
        <v>27840</v>
      </c>
      <c r="I88" s="3">
        <v>27260</v>
      </c>
      <c r="J88" s="3">
        <v>27880</v>
      </c>
      <c r="K88" s="3">
        <v>27180</v>
      </c>
      <c r="L88" s="3">
        <v>25880</v>
      </c>
      <c r="M88" s="3">
        <v>26040</v>
      </c>
      <c r="N88" s="3">
        <v>26470</v>
      </c>
      <c r="O88" s="3">
        <v>26250</v>
      </c>
      <c r="P88" s="3">
        <v>26630</v>
      </c>
      <c r="Q88" s="3">
        <v>27890</v>
      </c>
      <c r="R88" s="3">
        <v>28910</v>
      </c>
      <c r="S88" s="3">
        <v>29090</v>
      </c>
      <c r="T88" s="3">
        <v>29150</v>
      </c>
      <c r="U88" s="3">
        <v>28390</v>
      </c>
      <c r="V88" s="3">
        <v>27950</v>
      </c>
      <c r="W88" s="3">
        <v>27500</v>
      </c>
      <c r="X88" s="3">
        <v>26870</v>
      </c>
      <c r="Y88" s="3">
        <v>26450</v>
      </c>
      <c r="Z88" s="3">
        <v>26770</v>
      </c>
      <c r="AA88" s="1">
        <v>27040</v>
      </c>
      <c r="AB88" s="1">
        <v>27280</v>
      </c>
      <c r="AC88" s="1">
        <v>27510</v>
      </c>
      <c r="AD88" s="1">
        <v>27730</v>
      </c>
      <c r="AE88" s="1">
        <v>27930</v>
      </c>
      <c r="AF88" s="1">
        <v>28100</v>
      </c>
      <c r="AG88" s="1">
        <v>28250</v>
      </c>
      <c r="AH88" s="1">
        <v>28360</v>
      </c>
      <c r="AI88" s="1">
        <v>28450</v>
      </c>
      <c r="AJ88" s="1">
        <v>28510</v>
      </c>
      <c r="AK88" s="1">
        <v>28550</v>
      </c>
      <c r="AL88" s="1">
        <v>28550</v>
      </c>
      <c r="AM88" s="1">
        <v>28530</v>
      </c>
      <c r="AN88" s="1">
        <v>28490</v>
      </c>
      <c r="AO88" s="1">
        <v>28430</v>
      </c>
      <c r="AP88" s="1">
        <v>28360</v>
      </c>
      <c r="AQ88" s="1">
        <v>28290</v>
      </c>
      <c r="AR88" s="1">
        <v>28230</v>
      </c>
      <c r="AS88" s="1">
        <v>28190</v>
      </c>
      <c r="AT88" s="1">
        <v>28170</v>
      </c>
      <c r="AU88" s="1">
        <v>28170</v>
      </c>
    </row>
    <row r="89" spans="1:47" x14ac:dyDescent="0.2">
      <c r="A89" s="1">
        <v>24</v>
      </c>
      <c r="B89" s="3">
        <v>29630</v>
      </c>
      <c r="C89" s="3">
        <v>29880</v>
      </c>
      <c r="D89" s="3">
        <v>30080</v>
      </c>
      <c r="E89" s="3">
        <v>29890</v>
      </c>
      <c r="F89" s="3">
        <v>30100</v>
      </c>
      <c r="G89" s="3">
        <v>30090</v>
      </c>
      <c r="H89" s="3">
        <v>29280</v>
      </c>
      <c r="I89" s="3">
        <v>28920</v>
      </c>
      <c r="J89" s="3">
        <v>28310</v>
      </c>
      <c r="K89" s="3">
        <v>28960</v>
      </c>
      <c r="L89" s="3">
        <v>28230</v>
      </c>
      <c r="M89" s="3">
        <v>26890</v>
      </c>
      <c r="N89" s="3">
        <v>27060</v>
      </c>
      <c r="O89" s="3">
        <v>27500</v>
      </c>
      <c r="P89" s="3">
        <v>27270</v>
      </c>
      <c r="Q89" s="3">
        <v>27660</v>
      </c>
      <c r="R89" s="3">
        <v>28970</v>
      </c>
      <c r="S89" s="3">
        <v>30030</v>
      </c>
      <c r="T89" s="3">
        <v>30210</v>
      </c>
      <c r="U89" s="3">
        <v>30280</v>
      </c>
      <c r="V89" s="3">
        <v>29490</v>
      </c>
      <c r="W89" s="3">
        <v>29030</v>
      </c>
      <c r="X89" s="3">
        <v>28570</v>
      </c>
      <c r="Y89" s="3">
        <v>27910</v>
      </c>
      <c r="Z89" s="3">
        <v>27490</v>
      </c>
      <c r="AA89" s="1">
        <v>27820</v>
      </c>
      <c r="AB89" s="1">
        <v>28100</v>
      </c>
      <c r="AC89" s="1">
        <v>28340</v>
      </c>
      <c r="AD89" s="1">
        <v>28580</v>
      </c>
      <c r="AE89" s="1">
        <v>28810</v>
      </c>
      <c r="AF89" s="1">
        <v>29010</v>
      </c>
      <c r="AG89" s="1">
        <v>29190</v>
      </c>
      <c r="AH89" s="1">
        <v>29340</v>
      </c>
      <c r="AI89" s="1">
        <v>29460</v>
      </c>
      <c r="AJ89" s="1">
        <v>29560</v>
      </c>
      <c r="AK89" s="1">
        <v>29620</v>
      </c>
      <c r="AL89" s="1">
        <v>29650</v>
      </c>
      <c r="AM89" s="1">
        <v>29660</v>
      </c>
      <c r="AN89" s="1">
        <v>29640</v>
      </c>
      <c r="AO89" s="1">
        <v>29600</v>
      </c>
      <c r="AP89" s="1">
        <v>29540</v>
      </c>
      <c r="AQ89" s="1">
        <v>29470</v>
      </c>
      <c r="AR89" s="1">
        <v>29390</v>
      </c>
      <c r="AS89" s="1">
        <v>29330</v>
      </c>
      <c r="AT89" s="1">
        <v>29290</v>
      </c>
      <c r="AU89" s="1">
        <v>29270</v>
      </c>
    </row>
    <row r="90" spans="1:47" x14ac:dyDescent="0.2">
      <c r="A90" s="1">
        <v>25</v>
      </c>
      <c r="B90" s="3">
        <v>29070</v>
      </c>
      <c r="C90" s="3">
        <v>30900</v>
      </c>
      <c r="D90" s="3">
        <v>30680</v>
      </c>
      <c r="E90" s="3">
        <v>30890</v>
      </c>
      <c r="F90" s="3">
        <v>30700</v>
      </c>
      <c r="G90" s="3">
        <v>30910</v>
      </c>
      <c r="H90" s="3">
        <v>30900</v>
      </c>
      <c r="I90" s="3">
        <v>30070</v>
      </c>
      <c r="J90" s="3">
        <v>29700</v>
      </c>
      <c r="K90" s="3">
        <v>29080</v>
      </c>
      <c r="L90" s="3">
        <v>29740</v>
      </c>
      <c r="M90" s="3">
        <v>29000</v>
      </c>
      <c r="N90" s="3">
        <v>27630</v>
      </c>
      <c r="O90" s="3">
        <v>27800</v>
      </c>
      <c r="P90" s="3">
        <v>28250</v>
      </c>
      <c r="Q90" s="3">
        <v>28020</v>
      </c>
      <c r="R90" s="3">
        <v>28420</v>
      </c>
      <c r="S90" s="3">
        <v>29760</v>
      </c>
      <c r="T90" s="3">
        <v>30840</v>
      </c>
      <c r="U90" s="3">
        <v>31030</v>
      </c>
      <c r="V90" s="3">
        <v>31100</v>
      </c>
      <c r="W90" s="3">
        <v>30290</v>
      </c>
      <c r="X90" s="3">
        <v>29820</v>
      </c>
      <c r="Y90" s="3">
        <v>29350</v>
      </c>
      <c r="Z90" s="3">
        <v>28680</v>
      </c>
      <c r="AA90" s="1">
        <v>28240</v>
      </c>
      <c r="AB90" s="1">
        <v>28580</v>
      </c>
      <c r="AC90" s="1">
        <v>28870</v>
      </c>
      <c r="AD90" s="1">
        <v>29110</v>
      </c>
      <c r="AE90" s="1">
        <v>29360</v>
      </c>
      <c r="AF90" s="1">
        <v>29590</v>
      </c>
      <c r="AG90" s="1">
        <v>29800</v>
      </c>
      <c r="AH90" s="1">
        <v>29990</v>
      </c>
      <c r="AI90" s="1">
        <v>30140</v>
      </c>
      <c r="AJ90" s="1">
        <v>30270</v>
      </c>
      <c r="AK90" s="1">
        <v>30360</v>
      </c>
      <c r="AL90" s="1">
        <v>30430</v>
      </c>
      <c r="AM90" s="1">
        <v>30460</v>
      </c>
      <c r="AN90" s="1">
        <v>30470</v>
      </c>
      <c r="AO90" s="1">
        <v>30450</v>
      </c>
      <c r="AP90" s="1">
        <v>30400</v>
      </c>
      <c r="AQ90" s="1">
        <v>30340</v>
      </c>
      <c r="AR90" s="1">
        <v>30270</v>
      </c>
      <c r="AS90" s="1">
        <v>30200</v>
      </c>
      <c r="AT90" s="1">
        <v>30140</v>
      </c>
      <c r="AU90" s="1">
        <v>30090</v>
      </c>
    </row>
    <row r="91" spans="1:47" x14ac:dyDescent="0.2">
      <c r="A91" s="1">
        <v>26</v>
      </c>
      <c r="B91" s="3">
        <v>28320</v>
      </c>
      <c r="C91" s="3">
        <v>30180</v>
      </c>
      <c r="D91" s="3">
        <v>31610</v>
      </c>
      <c r="E91" s="3">
        <v>31390</v>
      </c>
      <c r="F91" s="3">
        <v>31600</v>
      </c>
      <c r="G91" s="3">
        <v>31410</v>
      </c>
      <c r="H91" s="3">
        <v>31630</v>
      </c>
      <c r="I91" s="3">
        <v>31620</v>
      </c>
      <c r="J91" s="3">
        <v>30780</v>
      </c>
      <c r="K91" s="3">
        <v>30400</v>
      </c>
      <c r="L91" s="3">
        <v>29770</v>
      </c>
      <c r="M91" s="3">
        <v>30440</v>
      </c>
      <c r="N91" s="3">
        <v>29690</v>
      </c>
      <c r="O91" s="3">
        <v>28290</v>
      </c>
      <c r="P91" s="3">
        <v>28470</v>
      </c>
      <c r="Q91" s="3">
        <v>28930</v>
      </c>
      <c r="R91" s="3">
        <v>28690</v>
      </c>
      <c r="S91" s="3">
        <v>29100</v>
      </c>
      <c r="T91" s="3">
        <v>30460</v>
      </c>
      <c r="U91" s="3">
        <v>31560</v>
      </c>
      <c r="V91" s="3">
        <v>31750</v>
      </c>
      <c r="W91" s="3">
        <v>31820</v>
      </c>
      <c r="X91" s="3">
        <v>31000</v>
      </c>
      <c r="Y91" s="3">
        <v>30520</v>
      </c>
      <c r="Z91" s="3">
        <v>30050</v>
      </c>
      <c r="AA91" s="1">
        <v>29360</v>
      </c>
      <c r="AB91" s="1">
        <v>28920</v>
      </c>
      <c r="AC91" s="1">
        <v>29270</v>
      </c>
      <c r="AD91" s="1">
        <v>29560</v>
      </c>
      <c r="AE91" s="1">
        <v>29810</v>
      </c>
      <c r="AF91" s="1">
        <v>30060</v>
      </c>
      <c r="AG91" s="1">
        <v>30300</v>
      </c>
      <c r="AH91" s="1">
        <v>30510</v>
      </c>
      <c r="AI91" s="1">
        <v>30700</v>
      </c>
      <c r="AJ91" s="1">
        <v>30860</v>
      </c>
      <c r="AK91" s="1">
        <v>30980</v>
      </c>
      <c r="AL91" s="1">
        <v>31080</v>
      </c>
      <c r="AM91" s="1">
        <v>31140</v>
      </c>
      <c r="AN91" s="1">
        <v>31180</v>
      </c>
      <c r="AO91" s="1">
        <v>31190</v>
      </c>
      <c r="AP91" s="1">
        <v>31170</v>
      </c>
      <c r="AQ91" s="1">
        <v>31120</v>
      </c>
      <c r="AR91" s="1">
        <v>31060</v>
      </c>
      <c r="AS91" s="1">
        <v>30990</v>
      </c>
      <c r="AT91" s="1">
        <v>30910</v>
      </c>
      <c r="AU91" s="1">
        <v>30850</v>
      </c>
    </row>
    <row r="92" spans="1:47" x14ac:dyDescent="0.2">
      <c r="A92" s="1">
        <v>27</v>
      </c>
      <c r="B92" s="3">
        <v>27270</v>
      </c>
      <c r="C92" s="3">
        <v>29250</v>
      </c>
      <c r="D92" s="3">
        <v>30760</v>
      </c>
      <c r="E92" s="3">
        <v>32210</v>
      </c>
      <c r="F92" s="3">
        <v>31980</v>
      </c>
      <c r="G92" s="3">
        <v>32200</v>
      </c>
      <c r="H92" s="3">
        <v>32000</v>
      </c>
      <c r="I92" s="3">
        <v>32230</v>
      </c>
      <c r="J92" s="3">
        <v>32210</v>
      </c>
      <c r="K92" s="3">
        <v>31360</v>
      </c>
      <c r="L92" s="3">
        <v>30980</v>
      </c>
      <c r="M92" s="3">
        <v>30350</v>
      </c>
      <c r="N92" s="3">
        <v>31030</v>
      </c>
      <c r="O92" s="3">
        <v>30260</v>
      </c>
      <c r="P92" s="3">
        <v>28850</v>
      </c>
      <c r="Q92" s="3">
        <v>29030</v>
      </c>
      <c r="R92" s="3">
        <v>29490</v>
      </c>
      <c r="S92" s="3">
        <v>29260</v>
      </c>
      <c r="T92" s="3">
        <v>29670</v>
      </c>
      <c r="U92" s="3">
        <v>31050</v>
      </c>
      <c r="V92" s="3">
        <v>32160</v>
      </c>
      <c r="W92" s="3">
        <v>32360</v>
      </c>
      <c r="X92" s="3">
        <v>32430</v>
      </c>
      <c r="Y92" s="3">
        <v>31600</v>
      </c>
      <c r="Z92" s="3">
        <v>31110</v>
      </c>
      <c r="AA92" s="1">
        <v>30630</v>
      </c>
      <c r="AB92" s="1">
        <v>29940</v>
      </c>
      <c r="AC92" s="1">
        <v>29490</v>
      </c>
      <c r="AD92" s="1">
        <v>29840</v>
      </c>
      <c r="AE92" s="1">
        <v>30140</v>
      </c>
      <c r="AF92" s="1">
        <v>30390</v>
      </c>
      <c r="AG92" s="1">
        <v>30640</v>
      </c>
      <c r="AH92" s="1">
        <v>30890</v>
      </c>
      <c r="AI92" s="1">
        <v>31100</v>
      </c>
      <c r="AJ92" s="1">
        <v>31290</v>
      </c>
      <c r="AK92" s="1">
        <v>31450</v>
      </c>
      <c r="AL92" s="1">
        <v>31580</v>
      </c>
      <c r="AM92" s="1">
        <v>31680</v>
      </c>
      <c r="AN92" s="1">
        <v>31750</v>
      </c>
      <c r="AO92" s="1">
        <v>31780</v>
      </c>
      <c r="AP92" s="1">
        <v>31790</v>
      </c>
      <c r="AQ92" s="1">
        <v>31770</v>
      </c>
      <c r="AR92" s="1">
        <v>31720</v>
      </c>
      <c r="AS92" s="1">
        <v>31660</v>
      </c>
      <c r="AT92" s="1">
        <v>31590</v>
      </c>
      <c r="AU92" s="1">
        <v>31510</v>
      </c>
    </row>
    <row r="93" spans="1:47" x14ac:dyDescent="0.2">
      <c r="A93" s="1">
        <v>28</v>
      </c>
      <c r="B93" s="3">
        <v>26450</v>
      </c>
      <c r="C93" s="3">
        <v>28070</v>
      </c>
      <c r="D93" s="3">
        <v>29740</v>
      </c>
      <c r="E93" s="3">
        <v>31270</v>
      </c>
      <c r="F93" s="3">
        <v>32730</v>
      </c>
      <c r="G93" s="3">
        <v>32500</v>
      </c>
      <c r="H93" s="3">
        <v>32720</v>
      </c>
      <c r="I93" s="3">
        <v>32520</v>
      </c>
      <c r="J93" s="3">
        <v>32750</v>
      </c>
      <c r="K93" s="3">
        <v>32730</v>
      </c>
      <c r="L93" s="3">
        <v>31880</v>
      </c>
      <c r="M93" s="3">
        <v>31490</v>
      </c>
      <c r="N93" s="3">
        <v>30850</v>
      </c>
      <c r="O93" s="3">
        <v>31540</v>
      </c>
      <c r="P93" s="3">
        <v>30770</v>
      </c>
      <c r="Q93" s="3">
        <v>29350</v>
      </c>
      <c r="R93" s="3">
        <v>29530</v>
      </c>
      <c r="S93" s="3">
        <v>29990</v>
      </c>
      <c r="T93" s="3">
        <v>29760</v>
      </c>
      <c r="U93" s="3">
        <v>30170</v>
      </c>
      <c r="V93" s="3">
        <v>31570</v>
      </c>
      <c r="W93" s="3">
        <v>32690</v>
      </c>
      <c r="X93" s="3">
        <v>32880</v>
      </c>
      <c r="Y93" s="3">
        <v>32950</v>
      </c>
      <c r="Z93" s="3">
        <v>32120</v>
      </c>
      <c r="AA93" s="1">
        <v>31630</v>
      </c>
      <c r="AB93" s="1">
        <v>31140</v>
      </c>
      <c r="AC93" s="1">
        <v>30450</v>
      </c>
      <c r="AD93" s="1">
        <v>30000</v>
      </c>
      <c r="AE93" s="1">
        <v>30350</v>
      </c>
      <c r="AF93" s="1">
        <v>30650</v>
      </c>
      <c r="AG93" s="1">
        <v>30900</v>
      </c>
      <c r="AH93" s="1">
        <v>31160</v>
      </c>
      <c r="AI93" s="1">
        <v>31400</v>
      </c>
      <c r="AJ93" s="1">
        <v>31620</v>
      </c>
      <c r="AK93" s="1">
        <v>31810</v>
      </c>
      <c r="AL93" s="1">
        <v>31970</v>
      </c>
      <c r="AM93" s="1">
        <v>32100</v>
      </c>
      <c r="AN93" s="1">
        <v>32200</v>
      </c>
      <c r="AO93" s="1">
        <v>32270</v>
      </c>
      <c r="AP93" s="1">
        <v>32310</v>
      </c>
      <c r="AQ93" s="1">
        <v>32320</v>
      </c>
      <c r="AR93" s="1">
        <v>32300</v>
      </c>
      <c r="AS93" s="1">
        <v>32250</v>
      </c>
      <c r="AT93" s="1">
        <v>32190</v>
      </c>
      <c r="AU93" s="1">
        <v>32110</v>
      </c>
    </row>
    <row r="94" spans="1:47" x14ac:dyDescent="0.2">
      <c r="A94" s="1">
        <v>29</v>
      </c>
      <c r="B94" s="3">
        <v>25870</v>
      </c>
      <c r="C94" s="3">
        <v>27150</v>
      </c>
      <c r="D94" s="3">
        <v>28490</v>
      </c>
      <c r="E94" s="3">
        <v>30160</v>
      </c>
      <c r="F94" s="3">
        <v>31690</v>
      </c>
      <c r="G94" s="3">
        <v>33160</v>
      </c>
      <c r="H94" s="3">
        <v>32930</v>
      </c>
      <c r="I94" s="3">
        <v>33150</v>
      </c>
      <c r="J94" s="3">
        <v>32950</v>
      </c>
      <c r="K94" s="3">
        <v>33180</v>
      </c>
      <c r="L94" s="3">
        <v>33170</v>
      </c>
      <c r="M94" s="3">
        <v>32310</v>
      </c>
      <c r="N94" s="3">
        <v>31920</v>
      </c>
      <c r="O94" s="3">
        <v>31280</v>
      </c>
      <c r="P94" s="3">
        <v>31970</v>
      </c>
      <c r="Q94" s="3">
        <v>31200</v>
      </c>
      <c r="R94" s="3">
        <v>29770</v>
      </c>
      <c r="S94" s="3">
        <v>29960</v>
      </c>
      <c r="T94" s="3">
        <v>30420</v>
      </c>
      <c r="U94" s="3">
        <v>30190</v>
      </c>
      <c r="V94" s="3">
        <v>30600</v>
      </c>
      <c r="W94" s="3">
        <v>32000</v>
      </c>
      <c r="X94" s="3">
        <v>33120</v>
      </c>
      <c r="Y94" s="3">
        <v>33320</v>
      </c>
      <c r="Z94" s="3">
        <v>33390</v>
      </c>
      <c r="AA94" s="1">
        <v>32550</v>
      </c>
      <c r="AB94" s="1">
        <v>32070</v>
      </c>
      <c r="AC94" s="1">
        <v>31580</v>
      </c>
      <c r="AD94" s="1">
        <v>30880</v>
      </c>
      <c r="AE94" s="1">
        <v>30430</v>
      </c>
      <c r="AF94" s="1">
        <v>30780</v>
      </c>
      <c r="AG94" s="1">
        <v>31080</v>
      </c>
      <c r="AH94" s="1">
        <v>31340</v>
      </c>
      <c r="AI94" s="1">
        <v>31590</v>
      </c>
      <c r="AJ94" s="1">
        <v>31840</v>
      </c>
      <c r="AK94" s="1">
        <v>32060</v>
      </c>
      <c r="AL94" s="1">
        <v>32250</v>
      </c>
      <c r="AM94" s="1">
        <v>32410</v>
      </c>
      <c r="AN94" s="1">
        <v>32540</v>
      </c>
      <c r="AO94" s="1">
        <v>32640</v>
      </c>
      <c r="AP94" s="1">
        <v>32710</v>
      </c>
      <c r="AQ94" s="1">
        <v>32750</v>
      </c>
      <c r="AR94" s="1">
        <v>32760</v>
      </c>
      <c r="AS94" s="1">
        <v>32740</v>
      </c>
      <c r="AT94" s="1">
        <v>32690</v>
      </c>
      <c r="AU94" s="1">
        <v>32630</v>
      </c>
    </row>
    <row r="95" spans="1:47" x14ac:dyDescent="0.2">
      <c r="A95" s="1">
        <v>30</v>
      </c>
      <c r="B95" s="3">
        <v>25470</v>
      </c>
      <c r="C95" s="3">
        <v>26610</v>
      </c>
      <c r="D95" s="3">
        <v>27650</v>
      </c>
      <c r="E95" s="3">
        <v>29000</v>
      </c>
      <c r="F95" s="3">
        <v>30680</v>
      </c>
      <c r="G95" s="3">
        <v>32210</v>
      </c>
      <c r="H95" s="3">
        <v>33680</v>
      </c>
      <c r="I95" s="3">
        <v>33460</v>
      </c>
      <c r="J95" s="3">
        <v>33670</v>
      </c>
      <c r="K95" s="3">
        <v>33480</v>
      </c>
      <c r="L95" s="3">
        <v>33710</v>
      </c>
      <c r="M95" s="3">
        <v>33690</v>
      </c>
      <c r="N95" s="3">
        <v>32830</v>
      </c>
      <c r="O95" s="3">
        <v>32450</v>
      </c>
      <c r="P95" s="3">
        <v>31800</v>
      </c>
      <c r="Q95" s="3">
        <v>32490</v>
      </c>
      <c r="R95" s="3">
        <v>31720</v>
      </c>
      <c r="S95" s="3">
        <v>30290</v>
      </c>
      <c r="T95" s="3">
        <v>30470</v>
      </c>
      <c r="U95" s="3">
        <v>30940</v>
      </c>
      <c r="V95" s="3">
        <v>30710</v>
      </c>
      <c r="W95" s="3">
        <v>31120</v>
      </c>
      <c r="X95" s="3">
        <v>32520</v>
      </c>
      <c r="Y95" s="3">
        <v>33650</v>
      </c>
      <c r="Z95" s="3">
        <v>33850</v>
      </c>
      <c r="AA95" s="1">
        <v>33920</v>
      </c>
      <c r="AB95" s="1">
        <v>33080</v>
      </c>
      <c r="AC95" s="1">
        <v>32590</v>
      </c>
      <c r="AD95" s="1">
        <v>32100</v>
      </c>
      <c r="AE95" s="1">
        <v>31400</v>
      </c>
      <c r="AF95" s="1">
        <v>30950</v>
      </c>
      <c r="AG95" s="1">
        <v>31300</v>
      </c>
      <c r="AH95" s="1">
        <v>31600</v>
      </c>
      <c r="AI95" s="1">
        <v>31870</v>
      </c>
      <c r="AJ95" s="1">
        <v>32120</v>
      </c>
      <c r="AK95" s="1">
        <v>32370</v>
      </c>
      <c r="AL95" s="1">
        <v>32590</v>
      </c>
      <c r="AM95" s="1">
        <v>32780</v>
      </c>
      <c r="AN95" s="1">
        <v>32940</v>
      </c>
      <c r="AO95" s="1">
        <v>33080</v>
      </c>
      <c r="AP95" s="1">
        <v>33170</v>
      </c>
      <c r="AQ95" s="1">
        <v>33240</v>
      </c>
      <c r="AR95" s="1">
        <v>33280</v>
      </c>
      <c r="AS95" s="1">
        <v>33290</v>
      </c>
      <c r="AT95" s="1">
        <v>33270</v>
      </c>
      <c r="AU95" s="1">
        <v>33230</v>
      </c>
    </row>
    <row r="96" spans="1:47" x14ac:dyDescent="0.2">
      <c r="A96" s="1">
        <v>31</v>
      </c>
      <c r="B96" s="3">
        <v>25580</v>
      </c>
      <c r="C96" s="3">
        <v>26160</v>
      </c>
      <c r="D96" s="3">
        <v>27100</v>
      </c>
      <c r="E96" s="3">
        <v>28140</v>
      </c>
      <c r="F96" s="3">
        <v>29500</v>
      </c>
      <c r="G96" s="3">
        <v>31180</v>
      </c>
      <c r="H96" s="3">
        <v>32720</v>
      </c>
      <c r="I96" s="3">
        <v>34200</v>
      </c>
      <c r="J96" s="3">
        <v>33970</v>
      </c>
      <c r="K96" s="3">
        <v>34190</v>
      </c>
      <c r="L96" s="3">
        <v>33990</v>
      </c>
      <c r="M96" s="3">
        <v>34220</v>
      </c>
      <c r="N96" s="3">
        <v>34210</v>
      </c>
      <c r="O96" s="3">
        <v>33350</v>
      </c>
      <c r="P96" s="3">
        <v>32960</v>
      </c>
      <c r="Q96" s="3">
        <v>32310</v>
      </c>
      <c r="R96" s="3">
        <v>33010</v>
      </c>
      <c r="S96" s="3">
        <v>32230</v>
      </c>
      <c r="T96" s="3">
        <v>30800</v>
      </c>
      <c r="U96" s="3">
        <v>30980</v>
      </c>
      <c r="V96" s="3">
        <v>31450</v>
      </c>
      <c r="W96" s="3">
        <v>31210</v>
      </c>
      <c r="X96" s="3">
        <v>31630</v>
      </c>
      <c r="Y96" s="3">
        <v>33040</v>
      </c>
      <c r="Z96" s="3">
        <v>34170</v>
      </c>
      <c r="AA96" s="1">
        <v>34370</v>
      </c>
      <c r="AB96" s="1">
        <v>34450</v>
      </c>
      <c r="AC96" s="1">
        <v>33600</v>
      </c>
      <c r="AD96" s="1">
        <v>33110</v>
      </c>
      <c r="AE96" s="1">
        <v>32620</v>
      </c>
      <c r="AF96" s="1">
        <v>31920</v>
      </c>
      <c r="AG96" s="1">
        <v>31460</v>
      </c>
      <c r="AH96" s="1">
        <v>31820</v>
      </c>
      <c r="AI96" s="1">
        <v>32120</v>
      </c>
      <c r="AJ96" s="1">
        <v>32380</v>
      </c>
      <c r="AK96" s="1">
        <v>32640</v>
      </c>
      <c r="AL96" s="1">
        <v>32890</v>
      </c>
      <c r="AM96" s="1">
        <v>33110</v>
      </c>
      <c r="AN96" s="1">
        <v>33300</v>
      </c>
      <c r="AO96" s="1">
        <v>33470</v>
      </c>
      <c r="AP96" s="1">
        <v>33600</v>
      </c>
      <c r="AQ96" s="1">
        <v>33700</v>
      </c>
      <c r="AR96" s="1">
        <v>33770</v>
      </c>
      <c r="AS96" s="1">
        <v>33810</v>
      </c>
      <c r="AT96" s="1">
        <v>33820</v>
      </c>
      <c r="AU96" s="1">
        <v>33800</v>
      </c>
    </row>
    <row r="97" spans="1:47" x14ac:dyDescent="0.2">
      <c r="A97" s="1">
        <v>32</v>
      </c>
      <c r="B97" s="3">
        <v>25620</v>
      </c>
      <c r="C97" s="3">
        <v>26110</v>
      </c>
      <c r="D97" s="3">
        <v>26520</v>
      </c>
      <c r="E97" s="3">
        <v>27460</v>
      </c>
      <c r="F97" s="3">
        <v>28510</v>
      </c>
      <c r="G97" s="3">
        <v>29870</v>
      </c>
      <c r="H97" s="3">
        <v>31570</v>
      </c>
      <c r="I97" s="3">
        <v>33120</v>
      </c>
      <c r="J97" s="3">
        <v>34600</v>
      </c>
      <c r="K97" s="3">
        <v>34370</v>
      </c>
      <c r="L97" s="3">
        <v>34590</v>
      </c>
      <c r="M97" s="3">
        <v>34400</v>
      </c>
      <c r="N97" s="3">
        <v>34630</v>
      </c>
      <c r="O97" s="3">
        <v>34610</v>
      </c>
      <c r="P97" s="3">
        <v>33750</v>
      </c>
      <c r="Q97" s="3">
        <v>33360</v>
      </c>
      <c r="R97" s="3">
        <v>32710</v>
      </c>
      <c r="S97" s="3">
        <v>33410</v>
      </c>
      <c r="T97" s="3">
        <v>32630</v>
      </c>
      <c r="U97" s="3">
        <v>31180</v>
      </c>
      <c r="V97" s="3">
        <v>31370</v>
      </c>
      <c r="W97" s="3">
        <v>31840</v>
      </c>
      <c r="X97" s="3">
        <v>31600</v>
      </c>
      <c r="Y97" s="3">
        <v>32020</v>
      </c>
      <c r="Z97" s="3">
        <v>33440</v>
      </c>
      <c r="AA97" s="1">
        <v>34580</v>
      </c>
      <c r="AB97" s="1">
        <v>34780</v>
      </c>
      <c r="AC97" s="1">
        <v>34860</v>
      </c>
      <c r="AD97" s="1">
        <v>34010</v>
      </c>
      <c r="AE97" s="1">
        <v>33510</v>
      </c>
      <c r="AF97" s="1">
        <v>33020</v>
      </c>
      <c r="AG97" s="1">
        <v>32310</v>
      </c>
      <c r="AH97" s="1">
        <v>31860</v>
      </c>
      <c r="AI97" s="1">
        <v>32210</v>
      </c>
      <c r="AJ97" s="1">
        <v>32520</v>
      </c>
      <c r="AK97" s="1">
        <v>32780</v>
      </c>
      <c r="AL97" s="1">
        <v>33040</v>
      </c>
      <c r="AM97" s="1">
        <v>33290</v>
      </c>
      <c r="AN97" s="1">
        <v>33510</v>
      </c>
      <c r="AO97" s="1">
        <v>33710</v>
      </c>
      <c r="AP97" s="1">
        <v>33870</v>
      </c>
      <c r="AQ97" s="1">
        <v>34010</v>
      </c>
      <c r="AR97" s="1">
        <v>34110</v>
      </c>
      <c r="AS97" s="1">
        <v>34180</v>
      </c>
      <c r="AT97" s="1">
        <v>34220</v>
      </c>
      <c r="AU97" s="1">
        <v>34230</v>
      </c>
    </row>
    <row r="98" spans="1:47" x14ac:dyDescent="0.2">
      <c r="A98" s="1">
        <v>33</v>
      </c>
      <c r="B98" s="3">
        <v>24960</v>
      </c>
      <c r="C98" s="3">
        <v>26020</v>
      </c>
      <c r="D98" s="3">
        <v>26340</v>
      </c>
      <c r="E98" s="3">
        <v>26750</v>
      </c>
      <c r="F98" s="3">
        <v>27700</v>
      </c>
      <c r="G98" s="3">
        <v>28750</v>
      </c>
      <c r="H98" s="3">
        <v>30120</v>
      </c>
      <c r="I98" s="3">
        <v>31820</v>
      </c>
      <c r="J98" s="3">
        <v>33370</v>
      </c>
      <c r="K98" s="3">
        <v>34870</v>
      </c>
      <c r="L98" s="3">
        <v>34640</v>
      </c>
      <c r="M98" s="3">
        <v>34860</v>
      </c>
      <c r="N98" s="3">
        <v>34660</v>
      </c>
      <c r="O98" s="3">
        <v>34890</v>
      </c>
      <c r="P98" s="3">
        <v>34880</v>
      </c>
      <c r="Q98" s="3">
        <v>34010</v>
      </c>
      <c r="R98" s="3">
        <v>33620</v>
      </c>
      <c r="S98" s="3">
        <v>32970</v>
      </c>
      <c r="T98" s="3">
        <v>33670</v>
      </c>
      <c r="U98" s="3">
        <v>32890</v>
      </c>
      <c r="V98" s="3">
        <v>31440</v>
      </c>
      <c r="W98" s="3">
        <v>31620</v>
      </c>
      <c r="X98" s="3">
        <v>32100</v>
      </c>
      <c r="Y98" s="3">
        <v>31860</v>
      </c>
      <c r="Z98" s="3">
        <v>32280</v>
      </c>
      <c r="AA98" s="1">
        <v>33710</v>
      </c>
      <c r="AB98" s="1">
        <v>34850</v>
      </c>
      <c r="AC98" s="1">
        <v>35050</v>
      </c>
      <c r="AD98" s="1">
        <v>35130</v>
      </c>
      <c r="AE98" s="1">
        <v>34280</v>
      </c>
      <c r="AF98" s="1">
        <v>33780</v>
      </c>
      <c r="AG98" s="1">
        <v>33280</v>
      </c>
      <c r="AH98" s="1">
        <v>32580</v>
      </c>
      <c r="AI98" s="1">
        <v>32120</v>
      </c>
      <c r="AJ98" s="1">
        <v>32480</v>
      </c>
      <c r="AK98" s="1">
        <v>32780</v>
      </c>
      <c r="AL98" s="1">
        <v>33050</v>
      </c>
      <c r="AM98" s="1">
        <v>33310</v>
      </c>
      <c r="AN98" s="1">
        <v>33560</v>
      </c>
      <c r="AO98" s="1">
        <v>33780</v>
      </c>
      <c r="AP98" s="1">
        <v>33980</v>
      </c>
      <c r="AQ98" s="1">
        <v>34140</v>
      </c>
      <c r="AR98" s="1">
        <v>34280</v>
      </c>
      <c r="AS98" s="1">
        <v>34380</v>
      </c>
      <c r="AT98" s="1">
        <v>34450</v>
      </c>
      <c r="AU98" s="1">
        <v>34490</v>
      </c>
    </row>
    <row r="99" spans="1:47" x14ac:dyDescent="0.2">
      <c r="A99" s="1">
        <v>34</v>
      </c>
      <c r="B99" s="3">
        <v>24960</v>
      </c>
      <c r="C99" s="3">
        <v>25360</v>
      </c>
      <c r="D99" s="3">
        <v>26250</v>
      </c>
      <c r="E99" s="3">
        <v>26580</v>
      </c>
      <c r="F99" s="3">
        <v>26990</v>
      </c>
      <c r="G99" s="3">
        <v>27940</v>
      </c>
      <c r="H99" s="3">
        <v>28990</v>
      </c>
      <c r="I99" s="3">
        <v>30370</v>
      </c>
      <c r="J99" s="3">
        <v>32070</v>
      </c>
      <c r="K99" s="3">
        <v>33640</v>
      </c>
      <c r="L99" s="3">
        <v>35140</v>
      </c>
      <c r="M99" s="3">
        <v>34900</v>
      </c>
      <c r="N99" s="3">
        <v>35130</v>
      </c>
      <c r="O99" s="3">
        <v>34930</v>
      </c>
      <c r="P99" s="3">
        <v>35160</v>
      </c>
      <c r="Q99" s="3">
        <v>35150</v>
      </c>
      <c r="R99" s="3">
        <v>34280</v>
      </c>
      <c r="S99" s="3">
        <v>33890</v>
      </c>
      <c r="T99" s="3">
        <v>33230</v>
      </c>
      <c r="U99" s="3">
        <v>33940</v>
      </c>
      <c r="V99" s="3">
        <v>33150</v>
      </c>
      <c r="W99" s="3">
        <v>31700</v>
      </c>
      <c r="X99" s="3">
        <v>31880</v>
      </c>
      <c r="Y99" s="3">
        <v>32360</v>
      </c>
      <c r="Z99" s="3">
        <v>32120</v>
      </c>
      <c r="AA99" s="1">
        <v>32550</v>
      </c>
      <c r="AB99" s="1">
        <v>33980</v>
      </c>
      <c r="AC99" s="1">
        <v>35130</v>
      </c>
      <c r="AD99" s="1">
        <v>35330</v>
      </c>
      <c r="AE99" s="1">
        <v>35400</v>
      </c>
      <c r="AF99" s="1">
        <v>34550</v>
      </c>
      <c r="AG99" s="1">
        <v>34050</v>
      </c>
      <c r="AH99" s="1">
        <v>33550</v>
      </c>
      <c r="AI99" s="1">
        <v>32840</v>
      </c>
      <c r="AJ99" s="1">
        <v>32380</v>
      </c>
      <c r="AK99" s="1">
        <v>32740</v>
      </c>
      <c r="AL99" s="1">
        <v>33050</v>
      </c>
      <c r="AM99" s="1">
        <v>33320</v>
      </c>
      <c r="AN99" s="1">
        <v>33580</v>
      </c>
      <c r="AO99" s="1">
        <v>33830</v>
      </c>
      <c r="AP99" s="1">
        <v>34060</v>
      </c>
      <c r="AQ99" s="1">
        <v>34250</v>
      </c>
      <c r="AR99" s="1">
        <v>34420</v>
      </c>
      <c r="AS99" s="1">
        <v>34560</v>
      </c>
      <c r="AT99" s="1">
        <v>34660</v>
      </c>
      <c r="AU99" s="1">
        <v>34730</v>
      </c>
    </row>
    <row r="100" spans="1:47" x14ac:dyDescent="0.2">
      <c r="A100" s="1">
        <v>35</v>
      </c>
      <c r="B100" s="3">
        <v>24510</v>
      </c>
      <c r="C100" s="3">
        <v>25270</v>
      </c>
      <c r="D100" s="3">
        <v>25510</v>
      </c>
      <c r="E100" s="3">
        <v>26410</v>
      </c>
      <c r="F100" s="3">
        <v>26740</v>
      </c>
      <c r="G100" s="3">
        <v>27150</v>
      </c>
      <c r="H100" s="3">
        <v>28100</v>
      </c>
      <c r="I100" s="3">
        <v>29160</v>
      </c>
      <c r="J100" s="3">
        <v>30530</v>
      </c>
      <c r="K100" s="3">
        <v>32240</v>
      </c>
      <c r="L100" s="3">
        <v>33810</v>
      </c>
      <c r="M100" s="3">
        <v>35310</v>
      </c>
      <c r="N100" s="3">
        <v>35080</v>
      </c>
      <c r="O100" s="3">
        <v>35300</v>
      </c>
      <c r="P100" s="3">
        <v>35110</v>
      </c>
      <c r="Q100" s="3">
        <v>35340</v>
      </c>
      <c r="R100" s="3">
        <v>35330</v>
      </c>
      <c r="S100" s="3">
        <v>34450</v>
      </c>
      <c r="T100" s="3">
        <v>34060</v>
      </c>
      <c r="U100" s="3">
        <v>33410</v>
      </c>
      <c r="V100" s="3">
        <v>34110</v>
      </c>
      <c r="W100" s="3">
        <v>33330</v>
      </c>
      <c r="X100" s="3">
        <v>31870</v>
      </c>
      <c r="Y100" s="3">
        <v>32060</v>
      </c>
      <c r="Z100" s="3">
        <v>32540</v>
      </c>
      <c r="AA100" s="1">
        <v>32300</v>
      </c>
      <c r="AB100" s="1">
        <v>32720</v>
      </c>
      <c r="AC100" s="1">
        <v>34150</v>
      </c>
      <c r="AD100" s="1">
        <v>35310</v>
      </c>
      <c r="AE100" s="1">
        <v>35510</v>
      </c>
      <c r="AF100" s="1">
        <v>35580</v>
      </c>
      <c r="AG100" s="1">
        <v>34730</v>
      </c>
      <c r="AH100" s="1">
        <v>34230</v>
      </c>
      <c r="AI100" s="1">
        <v>33730</v>
      </c>
      <c r="AJ100" s="1">
        <v>33020</v>
      </c>
      <c r="AK100" s="1">
        <v>32560</v>
      </c>
      <c r="AL100" s="1">
        <v>32920</v>
      </c>
      <c r="AM100" s="1">
        <v>33230</v>
      </c>
      <c r="AN100" s="1">
        <v>33500</v>
      </c>
      <c r="AO100" s="1">
        <v>33760</v>
      </c>
      <c r="AP100" s="1">
        <v>34010</v>
      </c>
      <c r="AQ100" s="1">
        <v>34240</v>
      </c>
      <c r="AR100" s="1">
        <v>34440</v>
      </c>
      <c r="AS100" s="1">
        <v>34600</v>
      </c>
      <c r="AT100" s="1">
        <v>34740</v>
      </c>
      <c r="AU100" s="1">
        <v>34840</v>
      </c>
    </row>
    <row r="101" spans="1:47" x14ac:dyDescent="0.2">
      <c r="A101" s="1">
        <v>36</v>
      </c>
      <c r="B101" s="3">
        <v>24190</v>
      </c>
      <c r="C101" s="3">
        <v>24740</v>
      </c>
      <c r="D101" s="3">
        <v>25350</v>
      </c>
      <c r="E101" s="3">
        <v>25590</v>
      </c>
      <c r="F101" s="3">
        <v>26480</v>
      </c>
      <c r="G101" s="3">
        <v>26810</v>
      </c>
      <c r="H101" s="3">
        <v>27220</v>
      </c>
      <c r="I101" s="3">
        <v>28170</v>
      </c>
      <c r="J101" s="3">
        <v>29230</v>
      </c>
      <c r="K101" s="3">
        <v>30600</v>
      </c>
      <c r="L101" s="3">
        <v>32310</v>
      </c>
      <c r="M101" s="3">
        <v>33870</v>
      </c>
      <c r="N101" s="3">
        <v>35370</v>
      </c>
      <c r="O101" s="3">
        <v>35140</v>
      </c>
      <c r="P101" s="3">
        <v>35360</v>
      </c>
      <c r="Q101" s="3">
        <v>35170</v>
      </c>
      <c r="R101" s="3">
        <v>35400</v>
      </c>
      <c r="S101" s="3">
        <v>35390</v>
      </c>
      <c r="T101" s="3">
        <v>34520</v>
      </c>
      <c r="U101" s="3">
        <v>34120</v>
      </c>
      <c r="V101" s="3">
        <v>33470</v>
      </c>
      <c r="W101" s="3">
        <v>34180</v>
      </c>
      <c r="X101" s="3">
        <v>33390</v>
      </c>
      <c r="Y101" s="3">
        <v>31940</v>
      </c>
      <c r="Z101" s="3">
        <v>32130</v>
      </c>
      <c r="AA101" s="1">
        <v>32610</v>
      </c>
      <c r="AB101" s="1">
        <v>32370</v>
      </c>
      <c r="AC101" s="1">
        <v>32790</v>
      </c>
      <c r="AD101" s="1">
        <v>34220</v>
      </c>
      <c r="AE101" s="1">
        <v>35370</v>
      </c>
      <c r="AF101" s="1">
        <v>35570</v>
      </c>
      <c r="AG101" s="1">
        <v>35650</v>
      </c>
      <c r="AH101" s="1">
        <v>34800</v>
      </c>
      <c r="AI101" s="1">
        <v>34300</v>
      </c>
      <c r="AJ101" s="1">
        <v>33800</v>
      </c>
      <c r="AK101" s="1">
        <v>33090</v>
      </c>
      <c r="AL101" s="1">
        <v>32630</v>
      </c>
      <c r="AM101" s="1">
        <v>32990</v>
      </c>
      <c r="AN101" s="1">
        <v>33300</v>
      </c>
      <c r="AO101" s="1">
        <v>33570</v>
      </c>
      <c r="AP101" s="1">
        <v>33830</v>
      </c>
      <c r="AQ101" s="1">
        <v>34090</v>
      </c>
      <c r="AR101" s="1">
        <v>34310</v>
      </c>
      <c r="AS101" s="1">
        <v>34510</v>
      </c>
      <c r="AT101" s="1">
        <v>34680</v>
      </c>
      <c r="AU101" s="1">
        <v>34810</v>
      </c>
    </row>
    <row r="102" spans="1:47" x14ac:dyDescent="0.2">
      <c r="A102" s="1">
        <v>37</v>
      </c>
      <c r="B102" s="3">
        <v>23690</v>
      </c>
      <c r="C102" s="3">
        <v>24320</v>
      </c>
      <c r="D102" s="3">
        <v>24710</v>
      </c>
      <c r="E102" s="3">
        <v>25320</v>
      </c>
      <c r="F102" s="3">
        <v>25560</v>
      </c>
      <c r="G102" s="3">
        <v>26450</v>
      </c>
      <c r="H102" s="3">
        <v>26770</v>
      </c>
      <c r="I102" s="3">
        <v>27180</v>
      </c>
      <c r="J102" s="3">
        <v>28130</v>
      </c>
      <c r="K102" s="3">
        <v>29180</v>
      </c>
      <c r="L102" s="3">
        <v>30550</v>
      </c>
      <c r="M102" s="3">
        <v>32250</v>
      </c>
      <c r="N102" s="3">
        <v>33800</v>
      </c>
      <c r="O102" s="3">
        <v>35290</v>
      </c>
      <c r="P102" s="3">
        <v>35060</v>
      </c>
      <c r="Q102" s="3">
        <v>35290</v>
      </c>
      <c r="R102" s="3">
        <v>35090</v>
      </c>
      <c r="S102" s="3">
        <v>35320</v>
      </c>
      <c r="T102" s="3">
        <v>35310</v>
      </c>
      <c r="U102" s="3">
        <v>34450</v>
      </c>
      <c r="V102" s="3">
        <v>34060</v>
      </c>
      <c r="W102" s="3">
        <v>33410</v>
      </c>
      <c r="X102" s="3">
        <v>34110</v>
      </c>
      <c r="Y102" s="3">
        <v>33330</v>
      </c>
      <c r="Z102" s="3">
        <v>31880</v>
      </c>
      <c r="AA102" s="1">
        <v>32070</v>
      </c>
      <c r="AB102" s="1">
        <v>32550</v>
      </c>
      <c r="AC102" s="1">
        <v>32310</v>
      </c>
      <c r="AD102" s="1">
        <v>32730</v>
      </c>
      <c r="AE102" s="1">
        <v>34160</v>
      </c>
      <c r="AF102" s="1">
        <v>35300</v>
      </c>
      <c r="AG102" s="1">
        <v>35500</v>
      </c>
      <c r="AH102" s="1">
        <v>35580</v>
      </c>
      <c r="AI102" s="1">
        <v>34730</v>
      </c>
      <c r="AJ102" s="1">
        <v>34240</v>
      </c>
      <c r="AK102" s="1">
        <v>33740</v>
      </c>
      <c r="AL102" s="1">
        <v>33040</v>
      </c>
      <c r="AM102" s="1">
        <v>32580</v>
      </c>
      <c r="AN102" s="1">
        <v>32940</v>
      </c>
      <c r="AO102" s="1">
        <v>33250</v>
      </c>
      <c r="AP102" s="1">
        <v>33510</v>
      </c>
      <c r="AQ102" s="1">
        <v>33770</v>
      </c>
      <c r="AR102" s="1">
        <v>34030</v>
      </c>
      <c r="AS102" s="1">
        <v>34250</v>
      </c>
      <c r="AT102" s="1">
        <v>34450</v>
      </c>
      <c r="AU102" s="1">
        <v>34610</v>
      </c>
    </row>
    <row r="103" spans="1:47" x14ac:dyDescent="0.2">
      <c r="A103" s="1">
        <v>38</v>
      </c>
      <c r="B103" s="3">
        <v>24240</v>
      </c>
      <c r="C103" s="3">
        <v>23790</v>
      </c>
      <c r="D103" s="3">
        <v>24280</v>
      </c>
      <c r="E103" s="3">
        <v>24660</v>
      </c>
      <c r="F103" s="3">
        <v>25270</v>
      </c>
      <c r="G103" s="3">
        <v>25510</v>
      </c>
      <c r="H103" s="3">
        <v>26390</v>
      </c>
      <c r="I103" s="3">
        <v>26720</v>
      </c>
      <c r="J103" s="3">
        <v>27120</v>
      </c>
      <c r="K103" s="3">
        <v>28060</v>
      </c>
      <c r="L103" s="3">
        <v>29110</v>
      </c>
      <c r="M103" s="3">
        <v>30470</v>
      </c>
      <c r="N103" s="3">
        <v>32160</v>
      </c>
      <c r="O103" s="3">
        <v>33710</v>
      </c>
      <c r="P103" s="3">
        <v>35190</v>
      </c>
      <c r="Q103" s="3">
        <v>34960</v>
      </c>
      <c r="R103" s="3">
        <v>35190</v>
      </c>
      <c r="S103" s="3">
        <v>34990</v>
      </c>
      <c r="T103" s="3">
        <v>35220</v>
      </c>
      <c r="U103" s="3">
        <v>35210</v>
      </c>
      <c r="V103" s="3">
        <v>34350</v>
      </c>
      <c r="W103" s="3">
        <v>33970</v>
      </c>
      <c r="X103" s="3">
        <v>33320</v>
      </c>
      <c r="Y103" s="3">
        <v>34020</v>
      </c>
      <c r="Z103" s="3">
        <v>33240</v>
      </c>
      <c r="AA103" s="1">
        <v>31810</v>
      </c>
      <c r="AB103" s="1">
        <v>31990</v>
      </c>
      <c r="AC103" s="1">
        <v>32470</v>
      </c>
      <c r="AD103" s="1">
        <v>32230</v>
      </c>
      <c r="AE103" s="1">
        <v>32650</v>
      </c>
      <c r="AF103" s="1">
        <v>34070</v>
      </c>
      <c r="AG103" s="1">
        <v>35210</v>
      </c>
      <c r="AH103" s="1">
        <v>35410</v>
      </c>
      <c r="AI103" s="1">
        <v>35490</v>
      </c>
      <c r="AJ103" s="1">
        <v>34640</v>
      </c>
      <c r="AK103" s="1">
        <v>34150</v>
      </c>
      <c r="AL103" s="1">
        <v>33660</v>
      </c>
      <c r="AM103" s="1">
        <v>32960</v>
      </c>
      <c r="AN103" s="1">
        <v>32500</v>
      </c>
      <c r="AO103" s="1">
        <v>32860</v>
      </c>
      <c r="AP103" s="1">
        <v>33170</v>
      </c>
      <c r="AQ103" s="1">
        <v>33430</v>
      </c>
      <c r="AR103" s="1">
        <v>33690</v>
      </c>
      <c r="AS103" s="1">
        <v>33940</v>
      </c>
      <c r="AT103" s="1">
        <v>34170</v>
      </c>
      <c r="AU103" s="1">
        <v>34360</v>
      </c>
    </row>
    <row r="104" spans="1:47" x14ac:dyDescent="0.2">
      <c r="A104" s="1">
        <v>39</v>
      </c>
      <c r="B104" s="3">
        <v>24190</v>
      </c>
      <c r="C104" s="3">
        <v>24330</v>
      </c>
      <c r="D104" s="3">
        <v>23750</v>
      </c>
      <c r="E104" s="3">
        <v>24240</v>
      </c>
      <c r="F104" s="3">
        <v>24630</v>
      </c>
      <c r="G104" s="3">
        <v>25230</v>
      </c>
      <c r="H104" s="3">
        <v>25470</v>
      </c>
      <c r="I104" s="3">
        <v>26350</v>
      </c>
      <c r="J104" s="3">
        <v>26670</v>
      </c>
      <c r="K104" s="3">
        <v>27080</v>
      </c>
      <c r="L104" s="3">
        <v>28010</v>
      </c>
      <c r="M104" s="3">
        <v>29060</v>
      </c>
      <c r="N104" s="3">
        <v>30410</v>
      </c>
      <c r="O104" s="3">
        <v>32090</v>
      </c>
      <c r="P104" s="3">
        <v>33630</v>
      </c>
      <c r="Q104" s="3">
        <v>35110</v>
      </c>
      <c r="R104" s="3">
        <v>34880</v>
      </c>
      <c r="S104" s="3">
        <v>35110</v>
      </c>
      <c r="T104" s="3">
        <v>34910</v>
      </c>
      <c r="U104" s="3">
        <v>35140</v>
      </c>
      <c r="V104" s="3">
        <v>35130</v>
      </c>
      <c r="W104" s="3">
        <v>34280</v>
      </c>
      <c r="X104" s="3">
        <v>33890</v>
      </c>
      <c r="Y104" s="3">
        <v>33250</v>
      </c>
      <c r="Z104" s="3">
        <v>33950</v>
      </c>
      <c r="AA104" s="1">
        <v>33170</v>
      </c>
      <c r="AB104" s="1">
        <v>31740</v>
      </c>
      <c r="AC104" s="1">
        <v>31930</v>
      </c>
      <c r="AD104" s="1">
        <v>32400</v>
      </c>
      <c r="AE104" s="1">
        <v>32170</v>
      </c>
      <c r="AF104" s="1">
        <v>32590</v>
      </c>
      <c r="AG104" s="1">
        <v>34000</v>
      </c>
      <c r="AH104" s="1">
        <v>35130</v>
      </c>
      <c r="AI104" s="1">
        <v>35330</v>
      </c>
      <c r="AJ104" s="1">
        <v>35410</v>
      </c>
      <c r="AK104" s="1">
        <v>34570</v>
      </c>
      <c r="AL104" s="1">
        <v>34080</v>
      </c>
      <c r="AM104" s="1">
        <v>33590</v>
      </c>
      <c r="AN104" s="1">
        <v>32890</v>
      </c>
      <c r="AO104" s="1">
        <v>32440</v>
      </c>
      <c r="AP104" s="1">
        <v>32800</v>
      </c>
      <c r="AQ104" s="1">
        <v>33100</v>
      </c>
      <c r="AR104" s="1">
        <v>33360</v>
      </c>
      <c r="AS104" s="1">
        <v>33620</v>
      </c>
      <c r="AT104" s="1">
        <v>33880</v>
      </c>
      <c r="AU104" s="1">
        <v>34100</v>
      </c>
    </row>
    <row r="105" spans="1:47" x14ac:dyDescent="0.2">
      <c r="A105" s="1">
        <v>40</v>
      </c>
      <c r="B105" s="3">
        <v>25000</v>
      </c>
      <c r="C105" s="3">
        <v>24290</v>
      </c>
      <c r="D105" s="3">
        <v>24300</v>
      </c>
      <c r="E105" s="3">
        <v>23720</v>
      </c>
      <c r="F105" s="3">
        <v>24210</v>
      </c>
      <c r="G105" s="3">
        <v>24590</v>
      </c>
      <c r="H105" s="3">
        <v>25200</v>
      </c>
      <c r="I105" s="3">
        <v>25430</v>
      </c>
      <c r="J105" s="3">
        <v>26310</v>
      </c>
      <c r="K105" s="3">
        <v>26630</v>
      </c>
      <c r="L105" s="3">
        <v>27040</v>
      </c>
      <c r="M105" s="3">
        <v>27970</v>
      </c>
      <c r="N105" s="3">
        <v>29010</v>
      </c>
      <c r="O105" s="3">
        <v>30360</v>
      </c>
      <c r="P105" s="3">
        <v>32030</v>
      </c>
      <c r="Q105" s="3">
        <v>33570</v>
      </c>
      <c r="R105" s="3">
        <v>35040</v>
      </c>
      <c r="S105" s="3">
        <v>34820</v>
      </c>
      <c r="T105" s="3">
        <v>35040</v>
      </c>
      <c r="U105" s="3">
        <v>34850</v>
      </c>
      <c r="V105" s="3">
        <v>35080</v>
      </c>
      <c r="W105" s="3">
        <v>35070</v>
      </c>
      <c r="X105" s="3">
        <v>34220</v>
      </c>
      <c r="Y105" s="3">
        <v>33830</v>
      </c>
      <c r="Z105" s="3">
        <v>33190</v>
      </c>
      <c r="AA105" s="1">
        <v>33890</v>
      </c>
      <c r="AB105" s="1">
        <v>33120</v>
      </c>
      <c r="AC105" s="1">
        <v>31690</v>
      </c>
      <c r="AD105" s="1">
        <v>31880</v>
      </c>
      <c r="AE105" s="1">
        <v>32350</v>
      </c>
      <c r="AF105" s="1">
        <v>32120</v>
      </c>
      <c r="AG105" s="1">
        <v>32540</v>
      </c>
      <c r="AH105" s="1">
        <v>33940</v>
      </c>
      <c r="AI105" s="1">
        <v>35070</v>
      </c>
      <c r="AJ105" s="1">
        <v>35270</v>
      </c>
      <c r="AK105" s="1">
        <v>35350</v>
      </c>
      <c r="AL105" s="1">
        <v>34510</v>
      </c>
      <c r="AM105" s="1">
        <v>34030</v>
      </c>
      <c r="AN105" s="1">
        <v>33540</v>
      </c>
      <c r="AO105" s="1">
        <v>32840</v>
      </c>
      <c r="AP105" s="1">
        <v>32390</v>
      </c>
      <c r="AQ105" s="1">
        <v>32750</v>
      </c>
      <c r="AR105" s="1">
        <v>33050</v>
      </c>
      <c r="AS105" s="1">
        <v>33320</v>
      </c>
      <c r="AT105" s="1">
        <v>33580</v>
      </c>
      <c r="AU105" s="1">
        <v>33830</v>
      </c>
    </row>
    <row r="106" spans="1:47" x14ac:dyDescent="0.2">
      <c r="A106" s="1">
        <v>41</v>
      </c>
      <c r="B106" s="3">
        <v>26080</v>
      </c>
      <c r="C106" s="3">
        <v>25100</v>
      </c>
      <c r="D106" s="3">
        <v>24280</v>
      </c>
      <c r="E106" s="3">
        <v>24290</v>
      </c>
      <c r="F106" s="3">
        <v>23710</v>
      </c>
      <c r="G106" s="3">
        <v>24200</v>
      </c>
      <c r="H106" s="3">
        <v>24590</v>
      </c>
      <c r="I106" s="3">
        <v>25190</v>
      </c>
      <c r="J106" s="3">
        <v>25420</v>
      </c>
      <c r="K106" s="3">
        <v>26300</v>
      </c>
      <c r="L106" s="3">
        <v>26620</v>
      </c>
      <c r="M106" s="3">
        <v>27030</v>
      </c>
      <c r="N106" s="3">
        <v>27960</v>
      </c>
      <c r="O106" s="3">
        <v>28990</v>
      </c>
      <c r="P106" s="3">
        <v>30340</v>
      </c>
      <c r="Q106" s="3">
        <v>32010</v>
      </c>
      <c r="R106" s="3">
        <v>33540</v>
      </c>
      <c r="S106" s="3">
        <v>35010</v>
      </c>
      <c r="T106" s="3">
        <v>34790</v>
      </c>
      <c r="U106" s="3">
        <v>35010</v>
      </c>
      <c r="V106" s="3">
        <v>34820</v>
      </c>
      <c r="W106" s="3">
        <v>35050</v>
      </c>
      <c r="X106" s="3">
        <v>35040</v>
      </c>
      <c r="Y106" s="3">
        <v>34190</v>
      </c>
      <c r="Z106" s="3">
        <v>33810</v>
      </c>
      <c r="AA106" s="1">
        <v>33170</v>
      </c>
      <c r="AB106" s="1">
        <v>33870</v>
      </c>
      <c r="AC106" s="1">
        <v>33100</v>
      </c>
      <c r="AD106" s="1">
        <v>31680</v>
      </c>
      <c r="AE106" s="1">
        <v>31870</v>
      </c>
      <c r="AF106" s="1">
        <v>32340</v>
      </c>
      <c r="AG106" s="1">
        <v>32100</v>
      </c>
      <c r="AH106" s="1">
        <v>32520</v>
      </c>
      <c r="AI106" s="1">
        <v>33930</v>
      </c>
      <c r="AJ106" s="1">
        <v>35060</v>
      </c>
      <c r="AK106" s="1">
        <v>35250</v>
      </c>
      <c r="AL106" s="1">
        <v>35330</v>
      </c>
      <c r="AM106" s="1">
        <v>34500</v>
      </c>
      <c r="AN106" s="1">
        <v>34010</v>
      </c>
      <c r="AO106" s="1">
        <v>33530</v>
      </c>
      <c r="AP106" s="1">
        <v>32830</v>
      </c>
      <c r="AQ106" s="1">
        <v>32380</v>
      </c>
      <c r="AR106" s="1">
        <v>32740</v>
      </c>
      <c r="AS106" s="1">
        <v>33040</v>
      </c>
      <c r="AT106" s="1">
        <v>33300</v>
      </c>
      <c r="AU106" s="1">
        <v>33560</v>
      </c>
    </row>
    <row r="107" spans="1:47" x14ac:dyDescent="0.2">
      <c r="A107" s="1">
        <v>42</v>
      </c>
      <c r="B107" s="3">
        <v>26910</v>
      </c>
      <c r="C107" s="3">
        <v>26200</v>
      </c>
      <c r="D107" s="3">
        <v>25120</v>
      </c>
      <c r="E107" s="3">
        <v>24300</v>
      </c>
      <c r="F107" s="3">
        <v>24310</v>
      </c>
      <c r="G107" s="3">
        <v>23730</v>
      </c>
      <c r="H107" s="3">
        <v>24220</v>
      </c>
      <c r="I107" s="3">
        <v>24610</v>
      </c>
      <c r="J107" s="3">
        <v>25210</v>
      </c>
      <c r="K107" s="3">
        <v>25440</v>
      </c>
      <c r="L107" s="3">
        <v>26320</v>
      </c>
      <c r="M107" s="3">
        <v>26640</v>
      </c>
      <c r="N107" s="3">
        <v>27050</v>
      </c>
      <c r="O107" s="3">
        <v>27980</v>
      </c>
      <c r="P107" s="3">
        <v>29010</v>
      </c>
      <c r="Q107" s="3">
        <v>30360</v>
      </c>
      <c r="R107" s="3">
        <v>32030</v>
      </c>
      <c r="S107" s="3">
        <v>33560</v>
      </c>
      <c r="T107" s="3">
        <v>35030</v>
      </c>
      <c r="U107" s="3">
        <v>34810</v>
      </c>
      <c r="V107" s="3">
        <v>35030</v>
      </c>
      <c r="W107" s="3">
        <v>34840</v>
      </c>
      <c r="X107" s="3">
        <v>35070</v>
      </c>
      <c r="Y107" s="3">
        <v>35060</v>
      </c>
      <c r="Z107" s="3">
        <v>34210</v>
      </c>
      <c r="AA107" s="1">
        <v>33830</v>
      </c>
      <c r="AB107" s="1">
        <v>33200</v>
      </c>
      <c r="AC107" s="1">
        <v>33890</v>
      </c>
      <c r="AD107" s="1">
        <v>33120</v>
      </c>
      <c r="AE107" s="1">
        <v>31710</v>
      </c>
      <c r="AF107" s="1">
        <v>31890</v>
      </c>
      <c r="AG107" s="1">
        <v>32360</v>
      </c>
      <c r="AH107" s="1">
        <v>32130</v>
      </c>
      <c r="AI107" s="1">
        <v>32550</v>
      </c>
      <c r="AJ107" s="1">
        <v>33950</v>
      </c>
      <c r="AK107" s="1">
        <v>35080</v>
      </c>
      <c r="AL107" s="1">
        <v>35280</v>
      </c>
      <c r="AM107" s="1">
        <v>35360</v>
      </c>
      <c r="AN107" s="1">
        <v>34520</v>
      </c>
      <c r="AO107" s="1">
        <v>34040</v>
      </c>
      <c r="AP107" s="1">
        <v>33550</v>
      </c>
      <c r="AQ107" s="1">
        <v>32860</v>
      </c>
      <c r="AR107" s="1">
        <v>32410</v>
      </c>
      <c r="AS107" s="1">
        <v>32770</v>
      </c>
      <c r="AT107" s="1">
        <v>33070</v>
      </c>
      <c r="AU107" s="1">
        <v>33340</v>
      </c>
    </row>
    <row r="108" spans="1:47" x14ac:dyDescent="0.2">
      <c r="A108" s="1">
        <v>43</v>
      </c>
      <c r="B108" s="3">
        <v>27910</v>
      </c>
      <c r="C108" s="3">
        <v>27010</v>
      </c>
      <c r="D108" s="3">
        <v>26200</v>
      </c>
      <c r="E108" s="3">
        <v>25120</v>
      </c>
      <c r="F108" s="3">
        <v>24300</v>
      </c>
      <c r="G108" s="3">
        <v>24310</v>
      </c>
      <c r="H108" s="3">
        <v>23740</v>
      </c>
      <c r="I108" s="3">
        <v>24220</v>
      </c>
      <c r="J108" s="3">
        <v>24610</v>
      </c>
      <c r="K108" s="3">
        <v>25210</v>
      </c>
      <c r="L108" s="3">
        <v>25450</v>
      </c>
      <c r="M108" s="3">
        <v>26320</v>
      </c>
      <c r="N108" s="3">
        <v>26650</v>
      </c>
      <c r="O108" s="3">
        <v>27050</v>
      </c>
      <c r="P108" s="3">
        <v>27980</v>
      </c>
      <c r="Q108" s="3">
        <v>29020</v>
      </c>
      <c r="R108" s="3">
        <v>30360</v>
      </c>
      <c r="S108" s="3">
        <v>32030</v>
      </c>
      <c r="T108" s="3">
        <v>33560</v>
      </c>
      <c r="U108" s="3">
        <v>35030</v>
      </c>
      <c r="V108" s="3">
        <v>34810</v>
      </c>
      <c r="W108" s="3">
        <v>35030</v>
      </c>
      <c r="X108" s="3">
        <v>34840</v>
      </c>
      <c r="Y108" s="3">
        <v>35070</v>
      </c>
      <c r="Z108" s="3">
        <v>35070</v>
      </c>
      <c r="AA108" s="1">
        <v>34220</v>
      </c>
      <c r="AB108" s="1">
        <v>33840</v>
      </c>
      <c r="AC108" s="1">
        <v>33200</v>
      </c>
      <c r="AD108" s="1">
        <v>33900</v>
      </c>
      <c r="AE108" s="1">
        <v>33130</v>
      </c>
      <c r="AF108" s="1">
        <v>31710</v>
      </c>
      <c r="AG108" s="1">
        <v>31900</v>
      </c>
      <c r="AH108" s="1">
        <v>32370</v>
      </c>
      <c r="AI108" s="1">
        <v>32140</v>
      </c>
      <c r="AJ108" s="1">
        <v>32560</v>
      </c>
      <c r="AK108" s="1">
        <v>33960</v>
      </c>
      <c r="AL108" s="1">
        <v>35090</v>
      </c>
      <c r="AM108" s="1">
        <v>35290</v>
      </c>
      <c r="AN108" s="1">
        <v>35370</v>
      </c>
      <c r="AO108" s="1">
        <v>34540</v>
      </c>
      <c r="AP108" s="1">
        <v>34050</v>
      </c>
      <c r="AQ108" s="1">
        <v>33570</v>
      </c>
      <c r="AR108" s="1">
        <v>32880</v>
      </c>
      <c r="AS108" s="1">
        <v>32430</v>
      </c>
      <c r="AT108" s="1">
        <v>32780</v>
      </c>
      <c r="AU108" s="1">
        <v>33090</v>
      </c>
    </row>
    <row r="109" spans="1:47" x14ac:dyDescent="0.2">
      <c r="A109" s="1">
        <v>44</v>
      </c>
      <c r="B109" s="3">
        <v>28240</v>
      </c>
      <c r="C109" s="3">
        <v>27970</v>
      </c>
      <c r="D109" s="3">
        <v>26980</v>
      </c>
      <c r="E109" s="3">
        <v>26170</v>
      </c>
      <c r="F109" s="3">
        <v>25090</v>
      </c>
      <c r="G109" s="3">
        <v>24270</v>
      </c>
      <c r="H109" s="3">
        <v>24290</v>
      </c>
      <c r="I109" s="3">
        <v>23710</v>
      </c>
      <c r="J109" s="3">
        <v>24200</v>
      </c>
      <c r="K109" s="3">
        <v>24590</v>
      </c>
      <c r="L109" s="3">
        <v>25190</v>
      </c>
      <c r="M109" s="3">
        <v>25420</v>
      </c>
      <c r="N109" s="3">
        <v>26300</v>
      </c>
      <c r="O109" s="3">
        <v>26620</v>
      </c>
      <c r="P109" s="3">
        <v>27020</v>
      </c>
      <c r="Q109" s="3">
        <v>27950</v>
      </c>
      <c r="R109" s="3">
        <v>28990</v>
      </c>
      <c r="S109" s="3">
        <v>30330</v>
      </c>
      <c r="T109" s="3">
        <v>32000</v>
      </c>
      <c r="U109" s="3">
        <v>33530</v>
      </c>
      <c r="V109" s="3">
        <v>34990</v>
      </c>
      <c r="W109" s="3">
        <v>34780</v>
      </c>
      <c r="X109" s="3">
        <v>35000</v>
      </c>
      <c r="Y109" s="3">
        <v>34810</v>
      </c>
      <c r="Z109" s="3">
        <v>35040</v>
      </c>
      <c r="AA109" s="1">
        <v>35040</v>
      </c>
      <c r="AB109" s="1">
        <v>34190</v>
      </c>
      <c r="AC109" s="1">
        <v>33810</v>
      </c>
      <c r="AD109" s="1">
        <v>33180</v>
      </c>
      <c r="AE109" s="1">
        <v>33870</v>
      </c>
      <c r="AF109" s="1">
        <v>33110</v>
      </c>
      <c r="AG109" s="1">
        <v>31690</v>
      </c>
      <c r="AH109" s="1">
        <v>31880</v>
      </c>
      <c r="AI109" s="1">
        <v>32350</v>
      </c>
      <c r="AJ109" s="1">
        <v>32120</v>
      </c>
      <c r="AK109" s="1">
        <v>32540</v>
      </c>
      <c r="AL109" s="1">
        <v>33940</v>
      </c>
      <c r="AM109" s="1">
        <v>35070</v>
      </c>
      <c r="AN109" s="1">
        <v>35270</v>
      </c>
      <c r="AO109" s="1">
        <v>35350</v>
      </c>
      <c r="AP109" s="1">
        <v>34520</v>
      </c>
      <c r="AQ109" s="1">
        <v>34030</v>
      </c>
      <c r="AR109" s="1">
        <v>33550</v>
      </c>
      <c r="AS109" s="1">
        <v>32860</v>
      </c>
      <c r="AT109" s="1">
        <v>32410</v>
      </c>
      <c r="AU109" s="1">
        <v>32770</v>
      </c>
    </row>
    <row r="110" spans="1:47" x14ac:dyDescent="0.2">
      <c r="A110" s="1">
        <v>45</v>
      </c>
      <c r="B110" s="3">
        <v>27560</v>
      </c>
      <c r="C110" s="3">
        <v>28250</v>
      </c>
      <c r="D110" s="3">
        <v>27890</v>
      </c>
      <c r="E110" s="3">
        <v>26900</v>
      </c>
      <c r="F110" s="3">
        <v>26100</v>
      </c>
      <c r="G110" s="3">
        <v>25020</v>
      </c>
      <c r="H110" s="3">
        <v>24210</v>
      </c>
      <c r="I110" s="3">
        <v>24220</v>
      </c>
      <c r="J110" s="3">
        <v>23650</v>
      </c>
      <c r="K110" s="3">
        <v>24140</v>
      </c>
      <c r="L110" s="3">
        <v>24520</v>
      </c>
      <c r="M110" s="3">
        <v>25120</v>
      </c>
      <c r="N110" s="3">
        <v>25360</v>
      </c>
      <c r="O110" s="3">
        <v>26230</v>
      </c>
      <c r="P110" s="3">
        <v>26550</v>
      </c>
      <c r="Q110" s="3">
        <v>26960</v>
      </c>
      <c r="R110" s="3">
        <v>27890</v>
      </c>
      <c r="S110" s="3">
        <v>28920</v>
      </c>
      <c r="T110" s="3">
        <v>30260</v>
      </c>
      <c r="U110" s="3">
        <v>31920</v>
      </c>
      <c r="V110" s="3">
        <v>33450</v>
      </c>
      <c r="W110" s="3">
        <v>34910</v>
      </c>
      <c r="X110" s="3">
        <v>34690</v>
      </c>
      <c r="Y110" s="3">
        <v>34920</v>
      </c>
      <c r="Z110" s="3">
        <v>34730</v>
      </c>
      <c r="AA110" s="1">
        <v>34960</v>
      </c>
      <c r="AB110" s="1">
        <v>34960</v>
      </c>
      <c r="AC110" s="1">
        <v>34110</v>
      </c>
      <c r="AD110" s="1">
        <v>33740</v>
      </c>
      <c r="AE110" s="1">
        <v>33100</v>
      </c>
      <c r="AF110" s="1">
        <v>33800</v>
      </c>
      <c r="AG110" s="1">
        <v>33040</v>
      </c>
      <c r="AH110" s="1">
        <v>31620</v>
      </c>
      <c r="AI110" s="1">
        <v>31810</v>
      </c>
      <c r="AJ110" s="1">
        <v>32280</v>
      </c>
      <c r="AK110" s="1">
        <v>32050</v>
      </c>
      <c r="AL110" s="1">
        <v>32470</v>
      </c>
      <c r="AM110" s="1">
        <v>33870</v>
      </c>
      <c r="AN110" s="1">
        <v>34990</v>
      </c>
      <c r="AO110" s="1">
        <v>35200</v>
      </c>
      <c r="AP110" s="1">
        <v>35270</v>
      </c>
      <c r="AQ110" s="1">
        <v>34450</v>
      </c>
      <c r="AR110" s="1">
        <v>33960</v>
      </c>
      <c r="AS110" s="1">
        <v>33480</v>
      </c>
      <c r="AT110" s="1">
        <v>32790</v>
      </c>
      <c r="AU110" s="1">
        <v>32350</v>
      </c>
    </row>
    <row r="111" spans="1:47" x14ac:dyDescent="0.2">
      <c r="A111" s="1">
        <v>46</v>
      </c>
      <c r="B111" s="3">
        <v>27740</v>
      </c>
      <c r="C111" s="3">
        <v>27570</v>
      </c>
      <c r="D111" s="3">
        <v>28170</v>
      </c>
      <c r="E111" s="3">
        <v>27810</v>
      </c>
      <c r="F111" s="3">
        <v>26820</v>
      </c>
      <c r="G111" s="3">
        <v>26020</v>
      </c>
      <c r="H111" s="3">
        <v>24950</v>
      </c>
      <c r="I111" s="3">
        <v>24140</v>
      </c>
      <c r="J111" s="3">
        <v>24150</v>
      </c>
      <c r="K111" s="3">
        <v>23590</v>
      </c>
      <c r="L111" s="3">
        <v>24070</v>
      </c>
      <c r="M111" s="3">
        <v>24460</v>
      </c>
      <c r="N111" s="3">
        <v>25050</v>
      </c>
      <c r="O111" s="3">
        <v>25290</v>
      </c>
      <c r="P111" s="3">
        <v>26160</v>
      </c>
      <c r="Q111" s="3">
        <v>26490</v>
      </c>
      <c r="R111" s="3">
        <v>26890</v>
      </c>
      <c r="S111" s="3">
        <v>27820</v>
      </c>
      <c r="T111" s="3">
        <v>28850</v>
      </c>
      <c r="U111" s="3">
        <v>30180</v>
      </c>
      <c r="V111" s="3">
        <v>31850</v>
      </c>
      <c r="W111" s="3">
        <v>33370</v>
      </c>
      <c r="X111" s="3">
        <v>34830</v>
      </c>
      <c r="Y111" s="3">
        <v>34610</v>
      </c>
      <c r="Z111" s="3">
        <v>34840</v>
      </c>
      <c r="AA111" s="1">
        <v>34650</v>
      </c>
      <c r="AB111" s="1">
        <v>34880</v>
      </c>
      <c r="AC111" s="1">
        <v>34880</v>
      </c>
      <c r="AD111" s="1">
        <v>34040</v>
      </c>
      <c r="AE111" s="1">
        <v>33660</v>
      </c>
      <c r="AF111" s="1">
        <v>33030</v>
      </c>
      <c r="AG111" s="1">
        <v>33720</v>
      </c>
      <c r="AH111" s="1">
        <v>32970</v>
      </c>
      <c r="AI111" s="1">
        <v>31560</v>
      </c>
      <c r="AJ111" s="1">
        <v>31740</v>
      </c>
      <c r="AK111" s="1">
        <v>32220</v>
      </c>
      <c r="AL111" s="1">
        <v>31990</v>
      </c>
      <c r="AM111" s="1">
        <v>32410</v>
      </c>
      <c r="AN111" s="1">
        <v>33800</v>
      </c>
      <c r="AO111" s="1">
        <v>34930</v>
      </c>
      <c r="AP111" s="1">
        <v>35130</v>
      </c>
      <c r="AQ111" s="1">
        <v>35200</v>
      </c>
      <c r="AR111" s="1">
        <v>34380</v>
      </c>
      <c r="AS111" s="1">
        <v>33900</v>
      </c>
      <c r="AT111" s="1">
        <v>33420</v>
      </c>
      <c r="AU111" s="1">
        <v>32730</v>
      </c>
    </row>
    <row r="112" spans="1:47" x14ac:dyDescent="0.2">
      <c r="A112" s="1">
        <v>47</v>
      </c>
      <c r="B112" s="3">
        <v>27260</v>
      </c>
      <c r="C112" s="3">
        <v>27690</v>
      </c>
      <c r="D112" s="3">
        <v>27440</v>
      </c>
      <c r="E112" s="3">
        <v>28040</v>
      </c>
      <c r="F112" s="3">
        <v>27680</v>
      </c>
      <c r="G112" s="3">
        <v>26700</v>
      </c>
      <c r="H112" s="3">
        <v>25900</v>
      </c>
      <c r="I112" s="3">
        <v>24840</v>
      </c>
      <c r="J112" s="3">
        <v>24030</v>
      </c>
      <c r="K112" s="3">
        <v>24050</v>
      </c>
      <c r="L112" s="3">
        <v>23480</v>
      </c>
      <c r="M112" s="3">
        <v>23960</v>
      </c>
      <c r="N112" s="3">
        <v>24350</v>
      </c>
      <c r="O112" s="3">
        <v>24950</v>
      </c>
      <c r="P112" s="3">
        <v>25180</v>
      </c>
      <c r="Q112" s="3">
        <v>26050</v>
      </c>
      <c r="R112" s="3">
        <v>26380</v>
      </c>
      <c r="S112" s="3">
        <v>26780</v>
      </c>
      <c r="T112" s="3">
        <v>27700</v>
      </c>
      <c r="U112" s="3">
        <v>28730</v>
      </c>
      <c r="V112" s="3">
        <v>30060</v>
      </c>
      <c r="W112" s="3">
        <v>31720</v>
      </c>
      <c r="X112" s="3">
        <v>33240</v>
      </c>
      <c r="Y112" s="3">
        <v>34700</v>
      </c>
      <c r="Z112" s="3">
        <v>34480</v>
      </c>
      <c r="AA112" s="1">
        <v>34710</v>
      </c>
      <c r="AB112" s="1">
        <v>34520</v>
      </c>
      <c r="AC112" s="1">
        <v>34750</v>
      </c>
      <c r="AD112" s="1">
        <v>34750</v>
      </c>
      <c r="AE112" s="1">
        <v>33910</v>
      </c>
      <c r="AF112" s="1">
        <v>33540</v>
      </c>
      <c r="AG112" s="1">
        <v>32910</v>
      </c>
      <c r="AH112" s="1">
        <v>33600</v>
      </c>
      <c r="AI112" s="1">
        <v>32850</v>
      </c>
      <c r="AJ112" s="1">
        <v>31440</v>
      </c>
      <c r="AK112" s="1">
        <v>31630</v>
      </c>
      <c r="AL112" s="1">
        <v>32100</v>
      </c>
      <c r="AM112" s="1">
        <v>31870</v>
      </c>
      <c r="AN112" s="1">
        <v>32290</v>
      </c>
      <c r="AO112" s="1">
        <v>33680</v>
      </c>
      <c r="AP112" s="1">
        <v>34800</v>
      </c>
      <c r="AQ112" s="1">
        <v>35000</v>
      </c>
      <c r="AR112" s="1">
        <v>35080</v>
      </c>
      <c r="AS112" s="1">
        <v>34260</v>
      </c>
      <c r="AT112" s="1">
        <v>33780</v>
      </c>
      <c r="AU112" s="1">
        <v>33300</v>
      </c>
    </row>
    <row r="113" spans="1:47" x14ac:dyDescent="0.2">
      <c r="A113" s="1">
        <v>48</v>
      </c>
      <c r="B113" s="3">
        <v>26800</v>
      </c>
      <c r="C113" s="3">
        <v>27200</v>
      </c>
      <c r="D113" s="3">
        <v>27550</v>
      </c>
      <c r="E113" s="3">
        <v>27300</v>
      </c>
      <c r="F113" s="3">
        <v>27900</v>
      </c>
      <c r="G113" s="3">
        <v>27550</v>
      </c>
      <c r="H113" s="3">
        <v>26570</v>
      </c>
      <c r="I113" s="3">
        <v>25780</v>
      </c>
      <c r="J113" s="3">
        <v>24720</v>
      </c>
      <c r="K113" s="3">
        <v>23910</v>
      </c>
      <c r="L113" s="3">
        <v>23930</v>
      </c>
      <c r="M113" s="3">
        <v>23370</v>
      </c>
      <c r="N113" s="3">
        <v>23850</v>
      </c>
      <c r="O113" s="3">
        <v>24230</v>
      </c>
      <c r="P113" s="3">
        <v>24830</v>
      </c>
      <c r="Q113" s="3">
        <v>25070</v>
      </c>
      <c r="R113" s="3">
        <v>25940</v>
      </c>
      <c r="S113" s="3">
        <v>26260</v>
      </c>
      <c r="T113" s="3">
        <v>26660</v>
      </c>
      <c r="U113" s="3">
        <v>27580</v>
      </c>
      <c r="V113" s="3">
        <v>28610</v>
      </c>
      <c r="W113" s="3">
        <v>29940</v>
      </c>
      <c r="X113" s="3">
        <v>31590</v>
      </c>
      <c r="Y113" s="3">
        <v>33100</v>
      </c>
      <c r="Z113" s="3">
        <v>34560</v>
      </c>
      <c r="AA113" s="1">
        <v>34340</v>
      </c>
      <c r="AB113" s="1">
        <v>34570</v>
      </c>
      <c r="AC113" s="1">
        <v>34390</v>
      </c>
      <c r="AD113" s="1">
        <v>34620</v>
      </c>
      <c r="AE113" s="1">
        <v>34620</v>
      </c>
      <c r="AF113" s="1">
        <v>33780</v>
      </c>
      <c r="AG113" s="1">
        <v>33410</v>
      </c>
      <c r="AH113" s="1">
        <v>32790</v>
      </c>
      <c r="AI113" s="1">
        <v>33470</v>
      </c>
      <c r="AJ113" s="1">
        <v>32720</v>
      </c>
      <c r="AK113" s="1">
        <v>31320</v>
      </c>
      <c r="AL113" s="1">
        <v>31510</v>
      </c>
      <c r="AM113" s="1">
        <v>31980</v>
      </c>
      <c r="AN113" s="1">
        <v>31750</v>
      </c>
      <c r="AO113" s="1">
        <v>32170</v>
      </c>
      <c r="AP113" s="1">
        <v>33560</v>
      </c>
      <c r="AQ113" s="1">
        <v>34680</v>
      </c>
      <c r="AR113" s="1">
        <v>34880</v>
      </c>
      <c r="AS113" s="1">
        <v>34960</v>
      </c>
      <c r="AT113" s="1">
        <v>34140</v>
      </c>
      <c r="AU113" s="1">
        <v>33660</v>
      </c>
    </row>
    <row r="114" spans="1:47" x14ac:dyDescent="0.2">
      <c r="A114" s="1">
        <v>49</v>
      </c>
      <c r="B114" s="3">
        <v>26860</v>
      </c>
      <c r="C114" s="3">
        <v>26730</v>
      </c>
      <c r="D114" s="3">
        <v>27070</v>
      </c>
      <c r="E114" s="3">
        <v>27410</v>
      </c>
      <c r="F114" s="3">
        <v>27170</v>
      </c>
      <c r="G114" s="3">
        <v>27770</v>
      </c>
      <c r="H114" s="3">
        <v>27420</v>
      </c>
      <c r="I114" s="3">
        <v>26440</v>
      </c>
      <c r="J114" s="3">
        <v>25660</v>
      </c>
      <c r="K114" s="3">
        <v>24600</v>
      </c>
      <c r="L114" s="3">
        <v>23800</v>
      </c>
      <c r="M114" s="3">
        <v>23820</v>
      </c>
      <c r="N114" s="3">
        <v>23260</v>
      </c>
      <c r="O114" s="3">
        <v>23740</v>
      </c>
      <c r="P114" s="3">
        <v>24130</v>
      </c>
      <c r="Q114" s="3">
        <v>24720</v>
      </c>
      <c r="R114" s="3">
        <v>24960</v>
      </c>
      <c r="S114" s="3">
        <v>25820</v>
      </c>
      <c r="T114" s="3">
        <v>26150</v>
      </c>
      <c r="U114" s="3">
        <v>26550</v>
      </c>
      <c r="V114" s="3">
        <v>27470</v>
      </c>
      <c r="W114" s="3">
        <v>28490</v>
      </c>
      <c r="X114" s="3">
        <v>29820</v>
      </c>
      <c r="Y114" s="3">
        <v>31470</v>
      </c>
      <c r="Z114" s="3">
        <v>32980</v>
      </c>
      <c r="AA114" s="1">
        <v>34430</v>
      </c>
      <c r="AB114" s="1">
        <v>34220</v>
      </c>
      <c r="AC114" s="1">
        <v>34440</v>
      </c>
      <c r="AD114" s="1">
        <v>34260</v>
      </c>
      <c r="AE114" s="1">
        <v>34490</v>
      </c>
      <c r="AF114" s="1">
        <v>34490</v>
      </c>
      <c r="AG114" s="1">
        <v>33660</v>
      </c>
      <c r="AH114" s="1">
        <v>33290</v>
      </c>
      <c r="AI114" s="1">
        <v>32670</v>
      </c>
      <c r="AJ114" s="1">
        <v>33360</v>
      </c>
      <c r="AK114" s="1">
        <v>32610</v>
      </c>
      <c r="AL114" s="1">
        <v>31210</v>
      </c>
      <c r="AM114" s="1">
        <v>31400</v>
      </c>
      <c r="AN114" s="1">
        <v>31870</v>
      </c>
      <c r="AO114" s="1">
        <v>31650</v>
      </c>
      <c r="AP114" s="1">
        <v>32060</v>
      </c>
      <c r="AQ114" s="1">
        <v>33450</v>
      </c>
      <c r="AR114" s="1">
        <v>34570</v>
      </c>
      <c r="AS114" s="1">
        <v>34770</v>
      </c>
      <c r="AT114" s="1">
        <v>34850</v>
      </c>
      <c r="AU114" s="1">
        <v>34030</v>
      </c>
    </row>
    <row r="115" spans="1:47" x14ac:dyDescent="0.2">
      <c r="A115" s="1">
        <v>50</v>
      </c>
      <c r="B115" s="3">
        <v>27120</v>
      </c>
      <c r="C115" s="3">
        <v>26810</v>
      </c>
      <c r="D115" s="3">
        <v>26620</v>
      </c>
      <c r="E115" s="3">
        <v>26960</v>
      </c>
      <c r="F115" s="3">
        <v>27310</v>
      </c>
      <c r="G115" s="3">
        <v>27070</v>
      </c>
      <c r="H115" s="3">
        <v>27660</v>
      </c>
      <c r="I115" s="3">
        <v>27310</v>
      </c>
      <c r="J115" s="3">
        <v>26340</v>
      </c>
      <c r="K115" s="3">
        <v>25560</v>
      </c>
      <c r="L115" s="3">
        <v>24510</v>
      </c>
      <c r="M115" s="3">
        <v>23710</v>
      </c>
      <c r="N115" s="3">
        <v>23730</v>
      </c>
      <c r="O115" s="3">
        <v>23170</v>
      </c>
      <c r="P115" s="3">
        <v>23660</v>
      </c>
      <c r="Q115" s="3">
        <v>24040</v>
      </c>
      <c r="R115" s="3">
        <v>24630</v>
      </c>
      <c r="S115" s="3">
        <v>24870</v>
      </c>
      <c r="T115" s="3">
        <v>25740</v>
      </c>
      <c r="U115" s="3">
        <v>26060</v>
      </c>
      <c r="V115" s="3">
        <v>26460</v>
      </c>
      <c r="W115" s="3">
        <v>27380</v>
      </c>
      <c r="X115" s="3">
        <v>28410</v>
      </c>
      <c r="Y115" s="3">
        <v>29730</v>
      </c>
      <c r="Z115" s="3">
        <v>31380</v>
      </c>
      <c r="AA115" s="1">
        <v>32890</v>
      </c>
      <c r="AB115" s="1">
        <v>34340</v>
      </c>
      <c r="AC115" s="1">
        <v>34130</v>
      </c>
      <c r="AD115" s="1">
        <v>34350</v>
      </c>
      <c r="AE115" s="1">
        <v>34170</v>
      </c>
      <c r="AF115" s="1">
        <v>34410</v>
      </c>
      <c r="AG115" s="1">
        <v>34410</v>
      </c>
      <c r="AH115" s="1">
        <v>33580</v>
      </c>
      <c r="AI115" s="1">
        <v>33210</v>
      </c>
      <c r="AJ115" s="1">
        <v>32590</v>
      </c>
      <c r="AK115" s="1">
        <v>33280</v>
      </c>
      <c r="AL115" s="1">
        <v>32530</v>
      </c>
      <c r="AM115" s="1">
        <v>31140</v>
      </c>
      <c r="AN115" s="1">
        <v>31320</v>
      </c>
      <c r="AO115" s="1">
        <v>31790</v>
      </c>
      <c r="AP115" s="1">
        <v>31570</v>
      </c>
      <c r="AQ115" s="1">
        <v>31990</v>
      </c>
      <c r="AR115" s="1">
        <v>33370</v>
      </c>
      <c r="AS115" s="1">
        <v>34490</v>
      </c>
      <c r="AT115" s="1">
        <v>34690</v>
      </c>
      <c r="AU115" s="1">
        <v>34770</v>
      </c>
    </row>
    <row r="116" spans="1:47" x14ac:dyDescent="0.2">
      <c r="A116" s="1">
        <v>51</v>
      </c>
      <c r="B116" s="3">
        <v>27920</v>
      </c>
      <c r="C116" s="3">
        <v>27010</v>
      </c>
      <c r="D116" s="3">
        <v>26640</v>
      </c>
      <c r="E116" s="3">
        <v>26450</v>
      </c>
      <c r="F116" s="3">
        <v>26790</v>
      </c>
      <c r="G116" s="3">
        <v>27140</v>
      </c>
      <c r="H116" s="3">
        <v>26900</v>
      </c>
      <c r="I116" s="3">
        <v>27490</v>
      </c>
      <c r="J116" s="3">
        <v>27150</v>
      </c>
      <c r="K116" s="3">
        <v>26180</v>
      </c>
      <c r="L116" s="3">
        <v>25400</v>
      </c>
      <c r="M116" s="3">
        <v>24360</v>
      </c>
      <c r="N116" s="3">
        <v>23570</v>
      </c>
      <c r="O116" s="3">
        <v>23590</v>
      </c>
      <c r="P116" s="3">
        <v>23030</v>
      </c>
      <c r="Q116" s="3">
        <v>23520</v>
      </c>
      <c r="R116" s="3">
        <v>23900</v>
      </c>
      <c r="S116" s="3">
        <v>24490</v>
      </c>
      <c r="T116" s="3">
        <v>24730</v>
      </c>
      <c r="U116" s="3">
        <v>25590</v>
      </c>
      <c r="V116" s="3">
        <v>25920</v>
      </c>
      <c r="W116" s="3">
        <v>26320</v>
      </c>
      <c r="X116" s="3">
        <v>27230</v>
      </c>
      <c r="Y116" s="3">
        <v>28260</v>
      </c>
      <c r="Z116" s="3">
        <v>29580</v>
      </c>
      <c r="AA116" s="1">
        <v>31220</v>
      </c>
      <c r="AB116" s="1">
        <v>32720</v>
      </c>
      <c r="AC116" s="1">
        <v>34170</v>
      </c>
      <c r="AD116" s="1">
        <v>33960</v>
      </c>
      <c r="AE116" s="1">
        <v>34190</v>
      </c>
      <c r="AF116" s="1">
        <v>34010</v>
      </c>
      <c r="AG116" s="1">
        <v>34240</v>
      </c>
      <c r="AH116" s="1">
        <v>34240</v>
      </c>
      <c r="AI116" s="1">
        <v>33420</v>
      </c>
      <c r="AJ116" s="1">
        <v>33050</v>
      </c>
      <c r="AK116" s="1">
        <v>32430</v>
      </c>
      <c r="AL116" s="1">
        <v>33120</v>
      </c>
      <c r="AM116" s="1">
        <v>32380</v>
      </c>
      <c r="AN116" s="1">
        <v>30990</v>
      </c>
      <c r="AO116" s="1">
        <v>31180</v>
      </c>
      <c r="AP116" s="1">
        <v>31650</v>
      </c>
      <c r="AQ116" s="1">
        <v>31420</v>
      </c>
      <c r="AR116" s="1">
        <v>31840</v>
      </c>
      <c r="AS116" s="1">
        <v>33220</v>
      </c>
      <c r="AT116" s="1">
        <v>34340</v>
      </c>
      <c r="AU116" s="1">
        <v>34540</v>
      </c>
    </row>
    <row r="117" spans="1:47" x14ac:dyDescent="0.2">
      <c r="A117" s="1">
        <v>52</v>
      </c>
      <c r="B117" s="3">
        <v>27990</v>
      </c>
      <c r="C117" s="3">
        <v>27750</v>
      </c>
      <c r="D117" s="3">
        <v>26790</v>
      </c>
      <c r="E117" s="3">
        <v>26430</v>
      </c>
      <c r="F117" s="3">
        <v>26240</v>
      </c>
      <c r="G117" s="3">
        <v>26580</v>
      </c>
      <c r="H117" s="3">
        <v>26930</v>
      </c>
      <c r="I117" s="3">
        <v>26690</v>
      </c>
      <c r="J117" s="3">
        <v>27280</v>
      </c>
      <c r="K117" s="3">
        <v>26940</v>
      </c>
      <c r="L117" s="3">
        <v>25980</v>
      </c>
      <c r="M117" s="3">
        <v>25210</v>
      </c>
      <c r="N117" s="3">
        <v>24170</v>
      </c>
      <c r="O117" s="3">
        <v>23390</v>
      </c>
      <c r="P117" s="3">
        <v>23410</v>
      </c>
      <c r="Q117" s="3">
        <v>22860</v>
      </c>
      <c r="R117" s="3">
        <v>23340</v>
      </c>
      <c r="S117" s="3">
        <v>23720</v>
      </c>
      <c r="T117" s="3">
        <v>24310</v>
      </c>
      <c r="U117" s="3">
        <v>24550</v>
      </c>
      <c r="V117" s="3">
        <v>25410</v>
      </c>
      <c r="W117" s="3">
        <v>25730</v>
      </c>
      <c r="X117" s="3">
        <v>26130</v>
      </c>
      <c r="Y117" s="3">
        <v>27050</v>
      </c>
      <c r="Z117" s="3">
        <v>28060</v>
      </c>
      <c r="AA117" s="1">
        <v>29380</v>
      </c>
      <c r="AB117" s="1">
        <v>31010</v>
      </c>
      <c r="AC117" s="1">
        <v>32510</v>
      </c>
      <c r="AD117" s="1">
        <v>33950</v>
      </c>
      <c r="AE117" s="1">
        <v>33740</v>
      </c>
      <c r="AF117" s="1">
        <v>33970</v>
      </c>
      <c r="AG117" s="1">
        <v>33790</v>
      </c>
      <c r="AH117" s="1">
        <v>34030</v>
      </c>
      <c r="AI117" s="1">
        <v>34030</v>
      </c>
      <c r="AJ117" s="1">
        <v>33210</v>
      </c>
      <c r="AK117" s="1">
        <v>32840</v>
      </c>
      <c r="AL117" s="1">
        <v>32230</v>
      </c>
      <c r="AM117" s="1">
        <v>32920</v>
      </c>
      <c r="AN117" s="1">
        <v>32180</v>
      </c>
      <c r="AO117" s="1">
        <v>30800</v>
      </c>
      <c r="AP117" s="1">
        <v>30990</v>
      </c>
      <c r="AQ117" s="1">
        <v>31450</v>
      </c>
      <c r="AR117" s="1">
        <v>31230</v>
      </c>
      <c r="AS117" s="1">
        <v>31650</v>
      </c>
      <c r="AT117" s="1">
        <v>33020</v>
      </c>
      <c r="AU117" s="1">
        <v>34130</v>
      </c>
    </row>
    <row r="118" spans="1:47" x14ac:dyDescent="0.2">
      <c r="A118" s="1">
        <v>53</v>
      </c>
      <c r="B118" s="3">
        <v>28010</v>
      </c>
      <c r="C118" s="3">
        <v>27810</v>
      </c>
      <c r="D118" s="3">
        <v>27530</v>
      </c>
      <c r="E118" s="3">
        <v>26570</v>
      </c>
      <c r="F118" s="3">
        <v>26210</v>
      </c>
      <c r="G118" s="3">
        <v>26030</v>
      </c>
      <c r="H118" s="3">
        <v>26370</v>
      </c>
      <c r="I118" s="3">
        <v>26710</v>
      </c>
      <c r="J118" s="3">
        <v>26480</v>
      </c>
      <c r="K118" s="3">
        <v>27070</v>
      </c>
      <c r="L118" s="3">
        <v>26730</v>
      </c>
      <c r="M118" s="3">
        <v>25780</v>
      </c>
      <c r="N118" s="3">
        <v>25020</v>
      </c>
      <c r="O118" s="3">
        <v>23990</v>
      </c>
      <c r="P118" s="3">
        <v>23210</v>
      </c>
      <c r="Q118" s="3">
        <v>23230</v>
      </c>
      <c r="R118" s="3">
        <v>22680</v>
      </c>
      <c r="S118" s="3">
        <v>23160</v>
      </c>
      <c r="T118" s="3">
        <v>23540</v>
      </c>
      <c r="U118" s="3">
        <v>24130</v>
      </c>
      <c r="V118" s="3">
        <v>24370</v>
      </c>
      <c r="W118" s="3">
        <v>25230</v>
      </c>
      <c r="X118" s="3">
        <v>25550</v>
      </c>
      <c r="Y118" s="3">
        <v>25950</v>
      </c>
      <c r="Z118" s="3">
        <v>26860</v>
      </c>
      <c r="AA118" s="1">
        <v>27870</v>
      </c>
      <c r="AB118" s="1">
        <v>29180</v>
      </c>
      <c r="AC118" s="1">
        <v>30800</v>
      </c>
      <c r="AD118" s="1">
        <v>32300</v>
      </c>
      <c r="AE118" s="1">
        <v>33730</v>
      </c>
      <c r="AF118" s="1">
        <v>33520</v>
      </c>
      <c r="AG118" s="1">
        <v>33750</v>
      </c>
      <c r="AH118" s="1">
        <v>33580</v>
      </c>
      <c r="AI118" s="1">
        <v>33810</v>
      </c>
      <c r="AJ118" s="1">
        <v>33810</v>
      </c>
      <c r="AK118" s="1">
        <v>33000</v>
      </c>
      <c r="AL118" s="1">
        <v>32640</v>
      </c>
      <c r="AM118" s="1">
        <v>32030</v>
      </c>
      <c r="AN118" s="1">
        <v>32710</v>
      </c>
      <c r="AO118" s="1">
        <v>31980</v>
      </c>
      <c r="AP118" s="1">
        <v>30600</v>
      </c>
      <c r="AQ118" s="1">
        <v>30790</v>
      </c>
      <c r="AR118" s="1">
        <v>31260</v>
      </c>
      <c r="AS118" s="1">
        <v>31040</v>
      </c>
      <c r="AT118" s="1">
        <v>31450</v>
      </c>
      <c r="AU118" s="1">
        <v>32820</v>
      </c>
    </row>
    <row r="119" spans="1:47" x14ac:dyDescent="0.2">
      <c r="A119" s="1">
        <v>54</v>
      </c>
      <c r="B119" s="3">
        <v>27150</v>
      </c>
      <c r="C119" s="3">
        <v>27790</v>
      </c>
      <c r="D119" s="3">
        <v>27560</v>
      </c>
      <c r="E119" s="3">
        <v>27270</v>
      </c>
      <c r="F119" s="3">
        <v>26320</v>
      </c>
      <c r="G119" s="3">
        <v>25970</v>
      </c>
      <c r="H119" s="3">
        <v>25790</v>
      </c>
      <c r="I119" s="3">
        <v>26130</v>
      </c>
      <c r="J119" s="3">
        <v>26470</v>
      </c>
      <c r="K119" s="3">
        <v>26250</v>
      </c>
      <c r="L119" s="3">
        <v>26830</v>
      </c>
      <c r="M119" s="3">
        <v>26500</v>
      </c>
      <c r="N119" s="3">
        <v>25560</v>
      </c>
      <c r="O119" s="3">
        <v>24800</v>
      </c>
      <c r="P119" s="3">
        <v>23780</v>
      </c>
      <c r="Q119" s="3">
        <v>23010</v>
      </c>
      <c r="R119" s="3">
        <v>23030</v>
      </c>
      <c r="S119" s="3">
        <v>22490</v>
      </c>
      <c r="T119" s="3">
        <v>22970</v>
      </c>
      <c r="U119" s="3">
        <v>23350</v>
      </c>
      <c r="V119" s="3">
        <v>23930</v>
      </c>
      <c r="W119" s="3">
        <v>24170</v>
      </c>
      <c r="X119" s="3">
        <v>25020</v>
      </c>
      <c r="Y119" s="3">
        <v>25340</v>
      </c>
      <c r="Z119" s="3">
        <v>25740</v>
      </c>
      <c r="AA119" s="1">
        <v>26640</v>
      </c>
      <c r="AB119" s="1">
        <v>27650</v>
      </c>
      <c r="AC119" s="1">
        <v>28950</v>
      </c>
      <c r="AD119" s="1">
        <v>30570</v>
      </c>
      <c r="AE119" s="1">
        <v>32050</v>
      </c>
      <c r="AF119" s="1">
        <v>33480</v>
      </c>
      <c r="AG119" s="1">
        <v>33280</v>
      </c>
      <c r="AH119" s="1">
        <v>33500</v>
      </c>
      <c r="AI119" s="1">
        <v>33330</v>
      </c>
      <c r="AJ119" s="1">
        <v>33570</v>
      </c>
      <c r="AK119" s="1">
        <v>33570</v>
      </c>
      <c r="AL119" s="1">
        <v>32760</v>
      </c>
      <c r="AM119" s="1">
        <v>32400</v>
      </c>
      <c r="AN119" s="1">
        <v>31800</v>
      </c>
      <c r="AO119" s="1">
        <v>32480</v>
      </c>
      <c r="AP119" s="1">
        <v>31750</v>
      </c>
      <c r="AQ119" s="1">
        <v>30390</v>
      </c>
      <c r="AR119" s="1">
        <v>30570</v>
      </c>
      <c r="AS119" s="1">
        <v>31040</v>
      </c>
      <c r="AT119" s="1">
        <v>30820</v>
      </c>
      <c r="AU119" s="1">
        <v>31230</v>
      </c>
    </row>
    <row r="120" spans="1:47" x14ac:dyDescent="0.2">
      <c r="A120" s="1">
        <v>55</v>
      </c>
      <c r="B120" s="3">
        <v>25960</v>
      </c>
      <c r="C120" s="3">
        <v>26890</v>
      </c>
      <c r="D120" s="3">
        <v>27480</v>
      </c>
      <c r="E120" s="3">
        <v>27250</v>
      </c>
      <c r="F120" s="3">
        <v>26970</v>
      </c>
      <c r="G120" s="3">
        <v>26030</v>
      </c>
      <c r="H120" s="3">
        <v>25690</v>
      </c>
      <c r="I120" s="3">
        <v>25510</v>
      </c>
      <c r="J120" s="3">
        <v>25850</v>
      </c>
      <c r="K120" s="3">
        <v>26190</v>
      </c>
      <c r="L120" s="3">
        <v>25970</v>
      </c>
      <c r="M120" s="3">
        <v>26550</v>
      </c>
      <c r="N120" s="3">
        <v>26220</v>
      </c>
      <c r="O120" s="3">
        <v>25290</v>
      </c>
      <c r="P120" s="3">
        <v>24540</v>
      </c>
      <c r="Q120" s="3">
        <v>23530</v>
      </c>
      <c r="R120" s="3">
        <v>22770</v>
      </c>
      <c r="S120" s="3">
        <v>22790</v>
      </c>
      <c r="T120" s="3">
        <v>22260</v>
      </c>
      <c r="U120" s="3">
        <v>22730</v>
      </c>
      <c r="V120" s="3">
        <v>23110</v>
      </c>
      <c r="W120" s="3">
        <v>23690</v>
      </c>
      <c r="X120" s="3">
        <v>23930</v>
      </c>
      <c r="Y120" s="3">
        <v>24770</v>
      </c>
      <c r="Z120" s="3">
        <v>25090</v>
      </c>
      <c r="AA120" s="1">
        <v>25490</v>
      </c>
      <c r="AB120" s="1">
        <v>26390</v>
      </c>
      <c r="AC120" s="1">
        <v>27390</v>
      </c>
      <c r="AD120" s="1">
        <v>28680</v>
      </c>
      <c r="AE120" s="1">
        <v>30280</v>
      </c>
      <c r="AF120" s="1">
        <v>31760</v>
      </c>
      <c r="AG120" s="1">
        <v>33170</v>
      </c>
      <c r="AH120" s="1">
        <v>32970</v>
      </c>
      <c r="AI120" s="1">
        <v>33200</v>
      </c>
      <c r="AJ120" s="1">
        <v>33030</v>
      </c>
      <c r="AK120" s="1">
        <v>33260</v>
      </c>
      <c r="AL120" s="1">
        <v>33270</v>
      </c>
      <c r="AM120" s="1">
        <v>32460</v>
      </c>
      <c r="AN120" s="1">
        <v>32110</v>
      </c>
      <c r="AO120" s="1">
        <v>31510</v>
      </c>
      <c r="AP120" s="1">
        <v>32190</v>
      </c>
      <c r="AQ120" s="1">
        <v>31470</v>
      </c>
      <c r="AR120" s="1">
        <v>30120</v>
      </c>
      <c r="AS120" s="1">
        <v>30300</v>
      </c>
      <c r="AT120" s="1">
        <v>30760</v>
      </c>
      <c r="AU120" s="1">
        <v>30550</v>
      </c>
    </row>
    <row r="121" spans="1:47" x14ac:dyDescent="0.2">
      <c r="A121" s="1">
        <v>56</v>
      </c>
      <c r="B121" s="3">
        <v>25330</v>
      </c>
      <c r="C121" s="3">
        <v>25660</v>
      </c>
      <c r="D121" s="3">
        <v>26550</v>
      </c>
      <c r="E121" s="3">
        <v>27150</v>
      </c>
      <c r="F121" s="3">
        <v>26920</v>
      </c>
      <c r="G121" s="3">
        <v>26660</v>
      </c>
      <c r="H121" s="3">
        <v>25740</v>
      </c>
      <c r="I121" s="3">
        <v>25410</v>
      </c>
      <c r="J121" s="3">
        <v>25240</v>
      </c>
      <c r="K121" s="3">
        <v>25580</v>
      </c>
      <c r="L121" s="3">
        <v>25930</v>
      </c>
      <c r="M121" s="3">
        <v>25710</v>
      </c>
      <c r="N121" s="3">
        <v>26290</v>
      </c>
      <c r="O121" s="3">
        <v>25980</v>
      </c>
      <c r="P121" s="3">
        <v>25060</v>
      </c>
      <c r="Q121" s="3">
        <v>24320</v>
      </c>
      <c r="R121" s="3">
        <v>23320</v>
      </c>
      <c r="S121" s="3">
        <v>22570</v>
      </c>
      <c r="T121" s="3">
        <v>22600</v>
      </c>
      <c r="U121" s="3">
        <v>22070</v>
      </c>
      <c r="V121" s="3">
        <v>22540</v>
      </c>
      <c r="W121" s="3">
        <v>22920</v>
      </c>
      <c r="X121" s="3">
        <v>23500</v>
      </c>
      <c r="Y121" s="3">
        <v>23740</v>
      </c>
      <c r="Z121" s="3">
        <v>24580</v>
      </c>
      <c r="AA121" s="1">
        <v>24900</v>
      </c>
      <c r="AB121" s="1">
        <v>25300</v>
      </c>
      <c r="AC121" s="1">
        <v>26190</v>
      </c>
      <c r="AD121" s="1">
        <v>27180</v>
      </c>
      <c r="AE121" s="1">
        <v>28470</v>
      </c>
      <c r="AF121" s="1">
        <v>30070</v>
      </c>
      <c r="AG121" s="1">
        <v>31530</v>
      </c>
      <c r="AH121" s="1">
        <v>32940</v>
      </c>
      <c r="AI121" s="1">
        <v>32740</v>
      </c>
      <c r="AJ121" s="1">
        <v>32970</v>
      </c>
      <c r="AK121" s="1">
        <v>32800</v>
      </c>
      <c r="AL121" s="1">
        <v>33040</v>
      </c>
      <c r="AM121" s="1">
        <v>33040</v>
      </c>
      <c r="AN121" s="1">
        <v>32250</v>
      </c>
      <c r="AO121" s="1">
        <v>31900</v>
      </c>
      <c r="AP121" s="1">
        <v>31310</v>
      </c>
      <c r="AQ121" s="1">
        <v>31980</v>
      </c>
      <c r="AR121" s="1">
        <v>31260</v>
      </c>
      <c r="AS121" s="1">
        <v>29920</v>
      </c>
      <c r="AT121" s="1">
        <v>30110</v>
      </c>
      <c r="AU121" s="1">
        <v>30570</v>
      </c>
    </row>
    <row r="122" spans="1:47" x14ac:dyDescent="0.2">
      <c r="A122" s="1">
        <v>57</v>
      </c>
      <c r="B122" s="3">
        <v>23790</v>
      </c>
      <c r="C122" s="3">
        <v>25030</v>
      </c>
      <c r="D122" s="3">
        <v>25330</v>
      </c>
      <c r="E122" s="3">
        <v>26230</v>
      </c>
      <c r="F122" s="3">
        <v>26830</v>
      </c>
      <c r="G122" s="3">
        <v>26630</v>
      </c>
      <c r="H122" s="3">
        <v>26380</v>
      </c>
      <c r="I122" s="3">
        <v>25480</v>
      </c>
      <c r="J122" s="3">
        <v>25160</v>
      </c>
      <c r="K122" s="3">
        <v>25010</v>
      </c>
      <c r="L122" s="3">
        <v>25350</v>
      </c>
      <c r="M122" s="3">
        <v>25700</v>
      </c>
      <c r="N122" s="3">
        <v>25500</v>
      </c>
      <c r="O122" s="3">
        <v>26090</v>
      </c>
      <c r="P122" s="3">
        <v>25780</v>
      </c>
      <c r="Q122" s="3">
        <v>24870</v>
      </c>
      <c r="R122" s="3">
        <v>24150</v>
      </c>
      <c r="S122" s="3">
        <v>23160</v>
      </c>
      <c r="T122" s="3">
        <v>22420</v>
      </c>
      <c r="U122" s="3">
        <v>22450</v>
      </c>
      <c r="V122" s="3">
        <v>21930</v>
      </c>
      <c r="W122" s="3">
        <v>22410</v>
      </c>
      <c r="X122" s="3">
        <v>22790</v>
      </c>
      <c r="Y122" s="3">
        <v>23370</v>
      </c>
      <c r="Z122" s="3">
        <v>23610</v>
      </c>
      <c r="AA122" s="1">
        <v>24450</v>
      </c>
      <c r="AB122" s="1">
        <v>24770</v>
      </c>
      <c r="AC122" s="1">
        <v>25170</v>
      </c>
      <c r="AD122" s="1">
        <v>26060</v>
      </c>
      <c r="AE122" s="1">
        <v>27050</v>
      </c>
      <c r="AF122" s="1">
        <v>28340</v>
      </c>
      <c r="AG122" s="1">
        <v>29930</v>
      </c>
      <c r="AH122" s="1">
        <v>31390</v>
      </c>
      <c r="AI122" s="1">
        <v>32790</v>
      </c>
      <c r="AJ122" s="1">
        <v>32600</v>
      </c>
      <c r="AK122" s="1">
        <v>32830</v>
      </c>
      <c r="AL122" s="1">
        <v>32670</v>
      </c>
      <c r="AM122" s="1">
        <v>32900</v>
      </c>
      <c r="AN122" s="1">
        <v>32910</v>
      </c>
      <c r="AO122" s="1">
        <v>32120</v>
      </c>
      <c r="AP122" s="1">
        <v>31770</v>
      </c>
      <c r="AQ122" s="1">
        <v>31180</v>
      </c>
      <c r="AR122" s="1">
        <v>31850</v>
      </c>
      <c r="AS122" s="1">
        <v>31140</v>
      </c>
      <c r="AT122" s="1">
        <v>29810</v>
      </c>
      <c r="AU122" s="1">
        <v>29990</v>
      </c>
    </row>
    <row r="123" spans="1:47" x14ac:dyDescent="0.2">
      <c r="A123" s="1">
        <v>58</v>
      </c>
      <c r="B123" s="3">
        <v>23410</v>
      </c>
      <c r="C123" s="3">
        <v>23450</v>
      </c>
      <c r="D123" s="3">
        <v>24640</v>
      </c>
      <c r="E123" s="3">
        <v>24950</v>
      </c>
      <c r="F123" s="3">
        <v>25850</v>
      </c>
      <c r="G123" s="3">
        <v>26460</v>
      </c>
      <c r="H123" s="3">
        <v>26270</v>
      </c>
      <c r="I123" s="3">
        <v>26040</v>
      </c>
      <c r="J123" s="3">
        <v>25170</v>
      </c>
      <c r="K123" s="3">
        <v>24860</v>
      </c>
      <c r="L123" s="3">
        <v>24720</v>
      </c>
      <c r="M123" s="3">
        <v>25070</v>
      </c>
      <c r="N123" s="3">
        <v>25430</v>
      </c>
      <c r="O123" s="3">
        <v>25240</v>
      </c>
      <c r="P123" s="3">
        <v>25830</v>
      </c>
      <c r="Q123" s="3">
        <v>25530</v>
      </c>
      <c r="R123" s="3">
        <v>24650</v>
      </c>
      <c r="S123" s="3">
        <v>23930</v>
      </c>
      <c r="T123" s="3">
        <v>22960</v>
      </c>
      <c r="U123" s="3">
        <v>22230</v>
      </c>
      <c r="V123" s="3">
        <v>22270</v>
      </c>
      <c r="W123" s="3">
        <v>21760</v>
      </c>
      <c r="X123" s="3">
        <v>22240</v>
      </c>
      <c r="Y123" s="3">
        <v>22620</v>
      </c>
      <c r="Z123" s="3">
        <v>23200</v>
      </c>
      <c r="AA123" s="1">
        <v>23440</v>
      </c>
      <c r="AB123" s="1">
        <v>24280</v>
      </c>
      <c r="AC123" s="1">
        <v>24600</v>
      </c>
      <c r="AD123" s="1">
        <v>25000</v>
      </c>
      <c r="AE123" s="1">
        <v>25890</v>
      </c>
      <c r="AF123" s="1">
        <v>26870</v>
      </c>
      <c r="AG123" s="1">
        <v>28150</v>
      </c>
      <c r="AH123" s="1">
        <v>29740</v>
      </c>
      <c r="AI123" s="1">
        <v>31190</v>
      </c>
      <c r="AJ123" s="1">
        <v>32590</v>
      </c>
      <c r="AK123" s="1">
        <v>32400</v>
      </c>
      <c r="AL123" s="1">
        <v>32630</v>
      </c>
      <c r="AM123" s="1">
        <v>32470</v>
      </c>
      <c r="AN123" s="1">
        <v>32700</v>
      </c>
      <c r="AO123" s="1">
        <v>32710</v>
      </c>
      <c r="AP123" s="1">
        <v>31930</v>
      </c>
      <c r="AQ123" s="1">
        <v>31590</v>
      </c>
      <c r="AR123" s="1">
        <v>31000</v>
      </c>
      <c r="AS123" s="1">
        <v>31670</v>
      </c>
      <c r="AT123" s="1">
        <v>30960</v>
      </c>
      <c r="AU123" s="1">
        <v>29640</v>
      </c>
    </row>
    <row r="124" spans="1:47" x14ac:dyDescent="0.2">
      <c r="A124" s="1">
        <v>59</v>
      </c>
      <c r="B124" s="3">
        <v>22350</v>
      </c>
      <c r="C124" s="3">
        <v>23000</v>
      </c>
      <c r="D124" s="3">
        <v>23000</v>
      </c>
      <c r="E124" s="3">
        <v>24190</v>
      </c>
      <c r="F124" s="3">
        <v>24510</v>
      </c>
      <c r="G124" s="3">
        <v>25410</v>
      </c>
      <c r="H124" s="3">
        <v>26020</v>
      </c>
      <c r="I124" s="3">
        <v>25850</v>
      </c>
      <c r="J124" s="3">
        <v>25640</v>
      </c>
      <c r="K124" s="3">
        <v>24790</v>
      </c>
      <c r="L124" s="3">
        <v>24500</v>
      </c>
      <c r="M124" s="3">
        <v>24380</v>
      </c>
      <c r="N124" s="3">
        <v>24730</v>
      </c>
      <c r="O124" s="3">
        <v>25100</v>
      </c>
      <c r="P124" s="3">
        <v>24910</v>
      </c>
      <c r="Q124" s="3">
        <v>25500</v>
      </c>
      <c r="R124" s="3">
        <v>25220</v>
      </c>
      <c r="S124" s="3">
        <v>24350</v>
      </c>
      <c r="T124" s="3">
        <v>23650</v>
      </c>
      <c r="U124" s="3">
        <v>22700</v>
      </c>
      <c r="V124" s="3">
        <v>21980</v>
      </c>
      <c r="W124" s="3">
        <v>22020</v>
      </c>
      <c r="X124" s="3">
        <v>21520</v>
      </c>
      <c r="Y124" s="3">
        <v>22000</v>
      </c>
      <c r="Z124" s="3">
        <v>22380</v>
      </c>
      <c r="AA124" s="1">
        <v>22960</v>
      </c>
      <c r="AB124" s="1">
        <v>23200</v>
      </c>
      <c r="AC124" s="1">
        <v>24030</v>
      </c>
      <c r="AD124" s="1">
        <v>24350</v>
      </c>
      <c r="AE124" s="1">
        <v>24750</v>
      </c>
      <c r="AF124" s="1">
        <v>25630</v>
      </c>
      <c r="AG124" s="1">
        <v>26610</v>
      </c>
      <c r="AH124" s="1">
        <v>27880</v>
      </c>
      <c r="AI124" s="1">
        <v>29450</v>
      </c>
      <c r="AJ124" s="1">
        <v>30890</v>
      </c>
      <c r="AK124" s="1">
        <v>32280</v>
      </c>
      <c r="AL124" s="1">
        <v>32090</v>
      </c>
      <c r="AM124" s="1">
        <v>32320</v>
      </c>
      <c r="AN124" s="1">
        <v>32170</v>
      </c>
      <c r="AO124" s="1">
        <v>32400</v>
      </c>
      <c r="AP124" s="1">
        <v>32410</v>
      </c>
      <c r="AQ124" s="1">
        <v>31640</v>
      </c>
      <c r="AR124" s="1">
        <v>31300</v>
      </c>
      <c r="AS124" s="1">
        <v>30720</v>
      </c>
      <c r="AT124" s="1">
        <v>31390</v>
      </c>
      <c r="AU124" s="1">
        <v>30690</v>
      </c>
    </row>
    <row r="125" spans="1:47" x14ac:dyDescent="0.2">
      <c r="A125" s="1">
        <v>60</v>
      </c>
      <c r="B125" s="3">
        <v>21040</v>
      </c>
      <c r="C125" s="3">
        <v>21890</v>
      </c>
      <c r="D125" s="3">
        <v>22500</v>
      </c>
      <c r="E125" s="3">
        <v>22530</v>
      </c>
      <c r="F125" s="3">
        <v>23700</v>
      </c>
      <c r="G125" s="3">
        <v>24040</v>
      </c>
      <c r="H125" s="3">
        <v>24930</v>
      </c>
      <c r="I125" s="3">
        <v>25550</v>
      </c>
      <c r="J125" s="3">
        <v>25400</v>
      </c>
      <c r="K125" s="3">
        <v>25200</v>
      </c>
      <c r="L125" s="3">
        <v>24390</v>
      </c>
      <c r="M125" s="3">
        <v>24110</v>
      </c>
      <c r="N125" s="3">
        <v>24000</v>
      </c>
      <c r="O125" s="3">
        <v>24360</v>
      </c>
      <c r="P125" s="3">
        <v>24730</v>
      </c>
      <c r="Q125" s="3">
        <v>24560</v>
      </c>
      <c r="R125" s="3">
        <v>25150</v>
      </c>
      <c r="S125" s="3">
        <v>24880</v>
      </c>
      <c r="T125" s="3">
        <v>24030</v>
      </c>
      <c r="U125" s="3">
        <v>23350</v>
      </c>
      <c r="V125" s="3">
        <v>22410</v>
      </c>
      <c r="W125" s="3">
        <v>21710</v>
      </c>
      <c r="X125" s="3">
        <v>21760</v>
      </c>
      <c r="Y125" s="3">
        <v>21270</v>
      </c>
      <c r="Z125" s="3">
        <v>21740</v>
      </c>
      <c r="AA125" s="1">
        <v>22120</v>
      </c>
      <c r="AB125" s="1">
        <v>22700</v>
      </c>
      <c r="AC125" s="1">
        <v>22940</v>
      </c>
      <c r="AD125" s="1">
        <v>23770</v>
      </c>
      <c r="AE125" s="1">
        <v>24090</v>
      </c>
      <c r="AF125" s="1">
        <v>24480</v>
      </c>
      <c r="AG125" s="1">
        <v>25360</v>
      </c>
      <c r="AH125" s="1">
        <v>26330</v>
      </c>
      <c r="AI125" s="1">
        <v>27580</v>
      </c>
      <c r="AJ125" s="1">
        <v>29140</v>
      </c>
      <c r="AK125" s="1">
        <v>30570</v>
      </c>
      <c r="AL125" s="1">
        <v>31940</v>
      </c>
      <c r="AM125" s="1">
        <v>31760</v>
      </c>
      <c r="AN125" s="1">
        <v>31990</v>
      </c>
      <c r="AO125" s="1">
        <v>31830</v>
      </c>
      <c r="AP125" s="1">
        <v>32070</v>
      </c>
      <c r="AQ125" s="1">
        <v>32080</v>
      </c>
      <c r="AR125" s="1">
        <v>31320</v>
      </c>
      <c r="AS125" s="1">
        <v>30980</v>
      </c>
      <c r="AT125" s="1">
        <v>30410</v>
      </c>
      <c r="AU125" s="1">
        <v>31070</v>
      </c>
    </row>
    <row r="126" spans="1:47" x14ac:dyDescent="0.2">
      <c r="A126" s="1">
        <v>61</v>
      </c>
      <c r="B126" s="3">
        <v>20170</v>
      </c>
      <c r="C126" s="3">
        <v>20680</v>
      </c>
      <c r="D126" s="3">
        <v>21480</v>
      </c>
      <c r="E126" s="3">
        <v>22100</v>
      </c>
      <c r="F126" s="3">
        <v>22140</v>
      </c>
      <c r="G126" s="3">
        <v>23300</v>
      </c>
      <c r="H126" s="3">
        <v>23650</v>
      </c>
      <c r="I126" s="3">
        <v>24540</v>
      </c>
      <c r="J126" s="3">
        <v>25160</v>
      </c>
      <c r="K126" s="3">
        <v>25030</v>
      </c>
      <c r="L126" s="3">
        <v>24840</v>
      </c>
      <c r="M126" s="3">
        <v>24050</v>
      </c>
      <c r="N126" s="3">
        <v>23790</v>
      </c>
      <c r="O126" s="3">
        <v>23690</v>
      </c>
      <c r="P126" s="3">
        <v>24050</v>
      </c>
      <c r="Q126" s="3">
        <v>24420</v>
      </c>
      <c r="R126" s="3">
        <v>24260</v>
      </c>
      <c r="S126" s="3">
        <v>24850</v>
      </c>
      <c r="T126" s="3">
        <v>24590</v>
      </c>
      <c r="U126" s="3">
        <v>23760</v>
      </c>
      <c r="V126" s="3">
        <v>23090</v>
      </c>
      <c r="W126" s="3">
        <v>22170</v>
      </c>
      <c r="X126" s="3">
        <v>21480</v>
      </c>
      <c r="Y126" s="3">
        <v>21530</v>
      </c>
      <c r="Z126" s="3">
        <v>21050</v>
      </c>
      <c r="AA126" s="1">
        <v>21520</v>
      </c>
      <c r="AB126" s="1">
        <v>21900</v>
      </c>
      <c r="AC126" s="1">
        <v>22470</v>
      </c>
      <c r="AD126" s="1">
        <v>22720</v>
      </c>
      <c r="AE126" s="1">
        <v>23540</v>
      </c>
      <c r="AF126" s="1">
        <v>23860</v>
      </c>
      <c r="AG126" s="1">
        <v>24250</v>
      </c>
      <c r="AH126" s="1">
        <v>25120</v>
      </c>
      <c r="AI126" s="1">
        <v>26080</v>
      </c>
      <c r="AJ126" s="1">
        <v>27320</v>
      </c>
      <c r="AK126" s="1">
        <v>28860</v>
      </c>
      <c r="AL126" s="1">
        <v>30280</v>
      </c>
      <c r="AM126" s="1">
        <v>31640</v>
      </c>
      <c r="AN126" s="1">
        <v>31460</v>
      </c>
      <c r="AO126" s="1">
        <v>31690</v>
      </c>
      <c r="AP126" s="1">
        <v>31540</v>
      </c>
      <c r="AQ126" s="1">
        <v>31770</v>
      </c>
      <c r="AR126" s="1">
        <v>31790</v>
      </c>
      <c r="AS126" s="1">
        <v>31040</v>
      </c>
      <c r="AT126" s="1">
        <v>30710</v>
      </c>
      <c r="AU126" s="1">
        <v>30150</v>
      </c>
    </row>
    <row r="127" spans="1:47" x14ac:dyDescent="0.2">
      <c r="A127" s="1">
        <v>62</v>
      </c>
      <c r="B127" s="3">
        <v>18890</v>
      </c>
      <c r="C127" s="3">
        <v>19630</v>
      </c>
      <c r="D127" s="3">
        <v>20090</v>
      </c>
      <c r="E127" s="3">
        <v>20900</v>
      </c>
      <c r="F127" s="3">
        <v>21510</v>
      </c>
      <c r="G127" s="3">
        <v>21560</v>
      </c>
      <c r="H127" s="3">
        <v>22720</v>
      </c>
      <c r="I127" s="3">
        <v>23070</v>
      </c>
      <c r="J127" s="3">
        <v>23960</v>
      </c>
      <c r="K127" s="3">
        <v>24580</v>
      </c>
      <c r="L127" s="3">
        <v>24460</v>
      </c>
      <c r="M127" s="3">
        <v>24290</v>
      </c>
      <c r="N127" s="3">
        <v>23530</v>
      </c>
      <c r="O127" s="3">
        <v>23290</v>
      </c>
      <c r="P127" s="3">
        <v>23200</v>
      </c>
      <c r="Q127" s="3">
        <v>23570</v>
      </c>
      <c r="R127" s="3">
        <v>23940</v>
      </c>
      <c r="S127" s="3">
        <v>23790</v>
      </c>
      <c r="T127" s="3">
        <v>24380</v>
      </c>
      <c r="U127" s="3">
        <v>24130</v>
      </c>
      <c r="V127" s="3">
        <v>23320</v>
      </c>
      <c r="W127" s="3">
        <v>22670</v>
      </c>
      <c r="X127" s="3">
        <v>21780</v>
      </c>
      <c r="Y127" s="3">
        <v>21100</v>
      </c>
      <c r="Z127" s="3">
        <v>21160</v>
      </c>
      <c r="AA127" s="1">
        <v>20690</v>
      </c>
      <c r="AB127" s="1">
        <v>21160</v>
      </c>
      <c r="AC127" s="1">
        <v>21530</v>
      </c>
      <c r="AD127" s="1">
        <v>22100</v>
      </c>
      <c r="AE127" s="1">
        <v>22340</v>
      </c>
      <c r="AF127" s="1">
        <v>23150</v>
      </c>
      <c r="AG127" s="1">
        <v>23460</v>
      </c>
      <c r="AH127" s="1">
        <v>23850</v>
      </c>
      <c r="AI127" s="1">
        <v>24710</v>
      </c>
      <c r="AJ127" s="1">
        <v>25660</v>
      </c>
      <c r="AK127" s="1">
        <v>26880</v>
      </c>
      <c r="AL127" s="1">
        <v>28400</v>
      </c>
      <c r="AM127" s="1">
        <v>29790</v>
      </c>
      <c r="AN127" s="1">
        <v>31130</v>
      </c>
      <c r="AO127" s="1">
        <v>30960</v>
      </c>
      <c r="AP127" s="1">
        <v>31180</v>
      </c>
      <c r="AQ127" s="1">
        <v>31040</v>
      </c>
      <c r="AR127" s="1">
        <v>31270</v>
      </c>
      <c r="AS127" s="1">
        <v>31280</v>
      </c>
      <c r="AT127" s="1">
        <v>30540</v>
      </c>
      <c r="AU127" s="1">
        <v>30220</v>
      </c>
    </row>
    <row r="128" spans="1:47" x14ac:dyDescent="0.2">
      <c r="A128" s="1">
        <v>63</v>
      </c>
      <c r="B128" s="3">
        <v>17850</v>
      </c>
      <c r="C128" s="3">
        <v>18160</v>
      </c>
      <c r="D128" s="3">
        <v>18860</v>
      </c>
      <c r="E128" s="3">
        <v>19330</v>
      </c>
      <c r="F128" s="3">
        <v>20120</v>
      </c>
      <c r="G128" s="3">
        <v>20740</v>
      </c>
      <c r="H128" s="3">
        <v>20810</v>
      </c>
      <c r="I128" s="3">
        <v>21950</v>
      </c>
      <c r="J128" s="3">
        <v>22310</v>
      </c>
      <c r="K128" s="3">
        <v>23180</v>
      </c>
      <c r="L128" s="3">
        <v>23800</v>
      </c>
      <c r="M128" s="3">
        <v>23700</v>
      </c>
      <c r="N128" s="3">
        <v>23560</v>
      </c>
      <c r="O128" s="3">
        <v>22830</v>
      </c>
      <c r="P128" s="3">
        <v>22610</v>
      </c>
      <c r="Q128" s="3">
        <v>22540</v>
      </c>
      <c r="R128" s="3">
        <v>22900</v>
      </c>
      <c r="S128" s="3">
        <v>23280</v>
      </c>
      <c r="T128" s="3">
        <v>23140</v>
      </c>
      <c r="U128" s="3">
        <v>23720</v>
      </c>
      <c r="V128" s="3">
        <v>23490</v>
      </c>
      <c r="W128" s="3">
        <v>22710</v>
      </c>
      <c r="X128" s="3">
        <v>22090</v>
      </c>
      <c r="Y128" s="3">
        <v>21230</v>
      </c>
      <c r="Z128" s="3">
        <v>20580</v>
      </c>
      <c r="AA128" s="1">
        <v>20640</v>
      </c>
      <c r="AB128" s="1">
        <v>20190</v>
      </c>
      <c r="AC128" s="1">
        <v>20650</v>
      </c>
      <c r="AD128" s="1">
        <v>21010</v>
      </c>
      <c r="AE128" s="1">
        <v>21570</v>
      </c>
      <c r="AF128" s="1">
        <v>21810</v>
      </c>
      <c r="AG128" s="1">
        <v>22600</v>
      </c>
      <c r="AH128" s="1">
        <v>22910</v>
      </c>
      <c r="AI128" s="1">
        <v>23290</v>
      </c>
      <c r="AJ128" s="1">
        <v>24120</v>
      </c>
      <c r="AK128" s="1">
        <v>25050</v>
      </c>
      <c r="AL128" s="1">
        <v>26250</v>
      </c>
      <c r="AM128" s="1">
        <v>27730</v>
      </c>
      <c r="AN128" s="1">
        <v>29090</v>
      </c>
      <c r="AO128" s="1">
        <v>30390</v>
      </c>
      <c r="AP128" s="1">
        <v>30230</v>
      </c>
      <c r="AQ128" s="1">
        <v>30450</v>
      </c>
      <c r="AR128" s="1">
        <v>30310</v>
      </c>
      <c r="AS128" s="1">
        <v>30540</v>
      </c>
      <c r="AT128" s="1">
        <v>30560</v>
      </c>
      <c r="AU128" s="1">
        <v>29840</v>
      </c>
    </row>
    <row r="129" spans="1:47" x14ac:dyDescent="0.2">
      <c r="A129" s="1">
        <v>64</v>
      </c>
      <c r="B129" s="3">
        <v>16270</v>
      </c>
      <c r="C129" s="3">
        <v>16600</v>
      </c>
      <c r="D129" s="3">
        <v>16890</v>
      </c>
      <c r="E129" s="3">
        <v>17560</v>
      </c>
      <c r="F129" s="3">
        <v>18020</v>
      </c>
      <c r="G129" s="3">
        <v>18790</v>
      </c>
      <c r="H129" s="3">
        <v>19380</v>
      </c>
      <c r="I129" s="3">
        <v>19480</v>
      </c>
      <c r="J129" s="3">
        <v>20560</v>
      </c>
      <c r="K129" s="3">
        <v>20920</v>
      </c>
      <c r="L129" s="3">
        <v>21750</v>
      </c>
      <c r="M129" s="3">
        <v>22350</v>
      </c>
      <c r="N129" s="3">
        <v>22280</v>
      </c>
      <c r="O129" s="3">
        <v>22160</v>
      </c>
      <c r="P129" s="3">
        <v>21500</v>
      </c>
      <c r="Q129" s="3">
        <v>21310</v>
      </c>
      <c r="R129" s="3">
        <v>21250</v>
      </c>
      <c r="S129" s="3">
        <v>21600</v>
      </c>
      <c r="T129" s="3">
        <v>21970</v>
      </c>
      <c r="U129" s="3">
        <v>21850</v>
      </c>
      <c r="V129" s="3">
        <v>22400</v>
      </c>
      <c r="W129" s="3">
        <v>22190</v>
      </c>
      <c r="X129" s="3">
        <v>21470</v>
      </c>
      <c r="Y129" s="3">
        <v>20890</v>
      </c>
      <c r="Z129" s="3">
        <v>20080</v>
      </c>
      <c r="AA129" s="1">
        <v>19480</v>
      </c>
      <c r="AB129" s="1">
        <v>19540</v>
      </c>
      <c r="AC129" s="1">
        <v>19120</v>
      </c>
      <c r="AD129" s="1">
        <v>19550</v>
      </c>
      <c r="AE129" s="1">
        <v>19910</v>
      </c>
      <c r="AF129" s="1">
        <v>20430</v>
      </c>
      <c r="AG129" s="1">
        <v>20660</v>
      </c>
      <c r="AH129" s="1">
        <v>21410</v>
      </c>
      <c r="AI129" s="1">
        <v>21710</v>
      </c>
      <c r="AJ129" s="1">
        <v>22070</v>
      </c>
      <c r="AK129" s="1">
        <v>22870</v>
      </c>
      <c r="AL129" s="1">
        <v>23750</v>
      </c>
      <c r="AM129" s="1">
        <v>24880</v>
      </c>
      <c r="AN129" s="1">
        <v>26280</v>
      </c>
      <c r="AO129" s="1">
        <v>27570</v>
      </c>
      <c r="AP129" s="1">
        <v>28810</v>
      </c>
      <c r="AQ129" s="1">
        <v>28660</v>
      </c>
      <c r="AR129" s="1">
        <v>28870</v>
      </c>
      <c r="AS129" s="1">
        <v>28740</v>
      </c>
      <c r="AT129" s="1">
        <v>28960</v>
      </c>
      <c r="AU129" s="1">
        <v>28970</v>
      </c>
    </row>
    <row r="130" spans="1:47" x14ac:dyDescent="0.2">
      <c r="A130" s="1">
        <v>65</v>
      </c>
      <c r="B130" s="3">
        <v>14300</v>
      </c>
      <c r="C130" s="3">
        <v>14570</v>
      </c>
      <c r="D130" s="3">
        <v>14870</v>
      </c>
      <c r="E130" s="3">
        <v>15150</v>
      </c>
      <c r="F130" s="3">
        <v>15780</v>
      </c>
      <c r="G130" s="3">
        <v>16220</v>
      </c>
      <c r="H130" s="3">
        <v>16930</v>
      </c>
      <c r="I130" s="3">
        <v>17480</v>
      </c>
      <c r="J130" s="3">
        <v>17590</v>
      </c>
      <c r="K130" s="3">
        <v>18580</v>
      </c>
      <c r="L130" s="3">
        <v>18920</v>
      </c>
      <c r="M130" s="3">
        <v>19700</v>
      </c>
      <c r="N130" s="3">
        <v>20260</v>
      </c>
      <c r="O130" s="3">
        <v>20210</v>
      </c>
      <c r="P130" s="3">
        <v>20120</v>
      </c>
      <c r="Q130" s="3">
        <v>19530</v>
      </c>
      <c r="R130" s="3">
        <v>19370</v>
      </c>
      <c r="S130" s="3">
        <v>19320</v>
      </c>
      <c r="T130" s="3">
        <v>19660</v>
      </c>
      <c r="U130" s="3">
        <v>20000</v>
      </c>
      <c r="V130" s="3">
        <v>19900</v>
      </c>
      <c r="W130" s="3">
        <v>20410</v>
      </c>
      <c r="X130" s="3">
        <v>20230</v>
      </c>
      <c r="Y130" s="3">
        <v>19580</v>
      </c>
      <c r="Z130" s="3">
        <v>19050</v>
      </c>
      <c r="AA130" s="1">
        <v>18330</v>
      </c>
      <c r="AB130" s="1">
        <v>17780</v>
      </c>
      <c r="AC130" s="1">
        <v>17840</v>
      </c>
      <c r="AD130" s="1">
        <v>17460</v>
      </c>
      <c r="AE130" s="1">
        <v>17860</v>
      </c>
      <c r="AF130" s="1">
        <v>18190</v>
      </c>
      <c r="AG130" s="1">
        <v>18670</v>
      </c>
      <c r="AH130" s="1">
        <v>18880</v>
      </c>
      <c r="AI130" s="1">
        <v>19570</v>
      </c>
      <c r="AJ130" s="1">
        <v>19840</v>
      </c>
      <c r="AK130" s="1">
        <v>20180</v>
      </c>
      <c r="AL130" s="1">
        <v>20900</v>
      </c>
      <c r="AM130" s="1">
        <v>21710</v>
      </c>
      <c r="AN130" s="1">
        <v>22740</v>
      </c>
      <c r="AO130" s="1">
        <v>24020</v>
      </c>
      <c r="AP130" s="1">
        <v>25200</v>
      </c>
      <c r="AQ130" s="1">
        <v>26330</v>
      </c>
      <c r="AR130" s="1">
        <v>26200</v>
      </c>
      <c r="AS130" s="1">
        <v>26390</v>
      </c>
      <c r="AT130" s="1">
        <v>26280</v>
      </c>
      <c r="AU130" s="1">
        <v>26480</v>
      </c>
    </row>
    <row r="131" spans="1:47" x14ac:dyDescent="0.2">
      <c r="A131" s="1">
        <v>66</v>
      </c>
      <c r="B131" s="3">
        <v>12600</v>
      </c>
      <c r="C131" s="3">
        <v>12790</v>
      </c>
      <c r="D131" s="3">
        <v>13040</v>
      </c>
      <c r="E131" s="3">
        <v>13340</v>
      </c>
      <c r="F131" s="3">
        <v>13620</v>
      </c>
      <c r="G131" s="3">
        <v>14210</v>
      </c>
      <c r="H131" s="3">
        <v>14630</v>
      </c>
      <c r="I131" s="3">
        <v>15290</v>
      </c>
      <c r="J131" s="3">
        <v>15820</v>
      </c>
      <c r="K131" s="3">
        <v>15930</v>
      </c>
      <c r="L131" s="3">
        <v>16850</v>
      </c>
      <c r="M131" s="3">
        <v>17180</v>
      </c>
      <c r="N131" s="3">
        <v>17900</v>
      </c>
      <c r="O131" s="3">
        <v>18430</v>
      </c>
      <c r="P131" s="3">
        <v>18400</v>
      </c>
      <c r="Q131" s="3">
        <v>18330</v>
      </c>
      <c r="R131" s="3">
        <v>17810</v>
      </c>
      <c r="S131" s="3">
        <v>17680</v>
      </c>
      <c r="T131" s="3">
        <v>17650</v>
      </c>
      <c r="U131" s="3">
        <v>17970</v>
      </c>
      <c r="V131" s="3">
        <v>18280</v>
      </c>
      <c r="W131" s="3">
        <v>18210</v>
      </c>
      <c r="X131" s="3">
        <v>18680</v>
      </c>
      <c r="Y131" s="3">
        <v>18520</v>
      </c>
      <c r="Z131" s="3">
        <v>17930</v>
      </c>
      <c r="AA131" s="1">
        <v>17460</v>
      </c>
      <c r="AB131" s="1">
        <v>16800</v>
      </c>
      <c r="AC131" s="1">
        <v>16310</v>
      </c>
      <c r="AD131" s="1">
        <v>16370</v>
      </c>
      <c r="AE131" s="1">
        <v>16020</v>
      </c>
      <c r="AF131" s="1">
        <v>16400</v>
      </c>
      <c r="AG131" s="1">
        <v>16700</v>
      </c>
      <c r="AH131" s="1">
        <v>17140</v>
      </c>
      <c r="AI131" s="1">
        <v>17340</v>
      </c>
      <c r="AJ131" s="1">
        <v>17970</v>
      </c>
      <c r="AK131" s="1">
        <v>18220</v>
      </c>
      <c r="AL131" s="1">
        <v>18530</v>
      </c>
      <c r="AM131" s="1">
        <v>19200</v>
      </c>
      <c r="AN131" s="1">
        <v>19940</v>
      </c>
      <c r="AO131" s="1">
        <v>20890</v>
      </c>
      <c r="AP131" s="1">
        <v>22070</v>
      </c>
      <c r="AQ131" s="1">
        <v>23150</v>
      </c>
      <c r="AR131" s="1">
        <v>24190</v>
      </c>
      <c r="AS131" s="1">
        <v>24070</v>
      </c>
      <c r="AT131" s="1">
        <v>24250</v>
      </c>
      <c r="AU131" s="1">
        <v>24140</v>
      </c>
    </row>
    <row r="132" spans="1:47" x14ac:dyDescent="0.2">
      <c r="A132" s="1">
        <v>67</v>
      </c>
      <c r="B132" s="3">
        <v>11330</v>
      </c>
      <c r="C132" s="3">
        <v>11540</v>
      </c>
      <c r="D132" s="3">
        <v>11720</v>
      </c>
      <c r="E132" s="3">
        <v>11970</v>
      </c>
      <c r="F132" s="3">
        <v>12260</v>
      </c>
      <c r="G132" s="3">
        <v>12530</v>
      </c>
      <c r="H132" s="3">
        <v>13080</v>
      </c>
      <c r="I132" s="3">
        <v>13480</v>
      </c>
      <c r="J132" s="3">
        <v>14110</v>
      </c>
      <c r="K132" s="3">
        <v>14610</v>
      </c>
      <c r="L132" s="3">
        <v>14730</v>
      </c>
      <c r="M132" s="3">
        <v>15590</v>
      </c>
      <c r="N132" s="3">
        <v>15900</v>
      </c>
      <c r="O132" s="3">
        <v>16580</v>
      </c>
      <c r="P132" s="3">
        <v>17080</v>
      </c>
      <c r="Q132" s="3">
        <v>17060</v>
      </c>
      <c r="R132" s="3">
        <v>17010</v>
      </c>
      <c r="S132" s="3">
        <v>16530</v>
      </c>
      <c r="T132" s="3">
        <v>16420</v>
      </c>
      <c r="U132" s="3">
        <v>16400</v>
      </c>
      <c r="V132" s="3">
        <v>16700</v>
      </c>
      <c r="W132" s="3">
        <v>17000</v>
      </c>
      <c r="X132" s="3">
        <v>16930</v>
      </c>
      <c r="Y132" s="3">
        <v>17380</v>
      </c>
      <c r="Z132" s="3">
        <v>17230</v>
      </c>
      <c r="AA132" s="1">
        <v>16690</v>
      </c>
      <c r="AB132" s="1">
        <v>16260</v>
      </c>
      <c r="AC132" s="1">
        <v>15650</v>
      </c>
      <c r="AD132" s="1">
        <v>15190</v>
      </c>
      <c r="AE132" s="1">
        <v>15250</v>
      </c>
      <c r="AF132" s="1">
        <v>14930</v>
      </c>
      <c r="AG132" s="1">
        <v>15280</v>
      </c>
      <c r="AH132" s="1">
        <v>15560</v>
      </c>
      <c r="AI132" s="1">
        <v>15980</v>
      </c>
      <c r="AJ132" s="1">
        <v>16160</v>
      </c>
      <c r="AK132" s="1">
        <v>16750</v>
      </c>
      <c r="AL132" s="1">
        <v>16990</v>
      </c>
      <c r="AM132" s="1">
        <v>17280</v>
      </c>
      <c r="AN132" s="1">
        <v>17900</v>
      </c>
      <c r="AO132" s="1">
        <v>18590</v>
      </c>
      <c r="AP132" s="1">
        <v>19480</v>
      </c>
      <c r="AQ132" s="1">
        <v>20580</v>
      </c>
      <c r="AR132" s="1">
        <v>21590</v>
      </c>
      <c r="AS132" s="1">
        <v>22560</v>
      </c>
      <c r="AT132" s="1">
        <v>22450</v>
      </c>
      <c r="AU132" s="1">
        <v>22620</v>
      </c>
    </row>
    <row r="133" spans="1:47" x14ac:dyDescent="0.2">
      <c r="A133" s="1">
        <v>68</v>
      </c>
      <c r="B133" s="3">
        <v>10450</v>
      </c>
      <c r="C133" s="3">
        <v>10610</v>
      </c>
      <c r="D133" s="3">
        <v>10810</v>
      </c>
      <c r="E133" s="3">
        <v>10990</v>
      </c>
      <c r="F133" s="3">
        <v>11240</v>
      </c>
      <c r="G133" s="3">
        <v>11530</v>
      </c>
      <c r="H133" s="3">
        <v>11790</v>
      </c>
      <c r="I133" s="3">
        <v>12330</v>
      </c>
      <c r="J133" s="3">
        <v>12720</v>
      </c>
      <c r="K133" s="3">
        <v>13320</v>
      </c>
      <c r="L133" s="3">
        <v>13800</v>
      </c>
      <c r="M133" s="3">
        <v>13930</v>
      </c>
      <c r="N133" s="3">
        <v>14750</v>
      </c>
      <c r="O133" s="3">
        <v>15060</v>
      </c>
      <c r="P133" s="3">
        <v>15710</v>
      </c>
      <c r="Q133" s="3">
        <v>16190</v>
      </c>
      <c r="R133" s="3">
        <v>16180</v>
      </c>
      <c r="S133" s="3">
        <v>16140</v>
      </c>
      <c r="T133" s="3">
        <v>15700</v>
      </c>
      <c r="U133" s="3">
        <v>15590</v>
      </c>
      <c r="V133" s="3">
        <v>15580</v>
      </c>
      <c r="W133" s="3">
        <v>15870</v>
      </c>
      <c r="X133" s="3">
        <v>16160</v>
      </c>
      <c r="Y133" s="3">
        <v>16100</v>
      </c>
      <c r="Z133" s="3">
        <v>16530</v>
      </c>
      <c r="AA133" s="1">
        <v>16400</v>
      </c>
      <c r="AB133" s="1">
        <v>15880</v>
      </c>
      <c r="AC133" s="1">
        <v>15480</v>
      </c>
      <c r="AD133" s="1">
        <v>14900</v>
      </c>
      <c r="AE133" s="1">
        <v>14470</v>
      </c>
      <c r="AF133" s="1">
        <v>14520</v>
      </c>
      <c r="AG133" s="1">
        <v>14230</v>
      </c>
      <c r="AH133" s="1">
        <v>14560</v>
      </c>
      <c r="AI133" s="1">
        <v>14830</v>
      </c>
      <c r="AJ133" s="1">
        <v>15230</v>
      </c>
      <c r="AK133" s="1">
        <v>15410</v>
      </c>
      <c r="AL133" s="1">
        <v>15970</v>
      </c>
      <c r="AM133" s="1">
        <v>16200</v>
      </c>
      <c r="AN133" s="1">
        <v>16470</v>
      </c>
      <c r="AO133" s="1">
        <v>17070</v>
      </c>
      <c r="AP133" s="1">
        <v>17730</v>
      </c>
      <c r="AQ133" s="1">
        <v>18570</v>
      </c>
      <c r="AR133" s="1">
        <v>19620</v>
      </c>
      <c r="AS133" s="1">
        <v>20580</v>
      </c>
      <c r="AT133" s="1">
        <v>21510</v>
      </c>
      <c r="AU133" s="1">
        <v>21400</v>
      </c>
    </row>
    <row r="134" spans="1:47" x14ac:dyDescent="0.2">
      <c r="A134" s="1">
        <v>69</v>
      </c>
      <c r="B134" s="3">
        <v>7960</v>
      </c>
      <c r="C134" s="3">
        <v>9650</v>
      </c>
      <c r="D134" s="3">
        <v>9800</v>
      </c>
      <c r="E134" s="3">
        <v>10000</v>
      </c>
      <c r="F134" s="3">
        <v>10180</v>
      </c>
      <c r="G134" s="3">
        <v>10420</v>
      </c>
      <c r="H134" s="3">
        <v>10690</v>
      </c>
      <c r="I134" s="3">
        <v>10950</v>
      </c>
      <c r="J134" s="3">
        <v>11460</v>
      </c>
      <c r="K134" s="3">
        <v>11830</v>
      </c>
      <c r="L134" s="3">
        <v>12400</v>
      </c>
      <c r="M134" s="3">
        <v>12850</v>
      </c>
      <c r="N134" s="3">
        <v>12970</v>
      </c>
      <c r="O134" s="3">
        <v>13750</v>
      </c>
      <c r="P134" s="3">
        <v>14040</v>
      </c>
      <c r="Q134" s="3">
        <v>14650</v>
      </c>
      <c r="R134" s="3">
        <v>15100</v>
      </c>
      <c r="S134" s="3">
        <v>15100</v>
      </c>
      <c r="T134" s="3">
        <v>15070</v>
      </c>
      <c r="U134" s="3">
        <v>14660</v>
      </c>
      <c r="V134" s="3">
        <v>14570</v>
      </c>
      <c r="W134" s="3">
        <v>14560</v>
      </c>
      <c r="X134" s="3">
        <v>14830</v>
      </c>
      <c r="Y134" s="3">
        <v>15110</v>
      </c>
      <c r="Z134" s="3">
        <v>15050</v>
      </c>
      <c r="AA134" s="1">
        <v>15460</v>
      </c>
      <c r="AB134" s="1">
        <v>15340</v>
      </c>
      <c r="AC134" s="1">
        <v>14860</v>
      </c>
      <c r="AD134" s="1">
        <v>14480</v>
      </c>
      <c r="AE134" s="1">
        <v>13950</v>
      </c>
      <c r="AF134" s="1">
        <v>13540</v>
      </c>
      <c r="AG134" s="1">
        <v>13600</v>
      </c>
      <c r="AH134" s="1">
        <v>13320</v>
      </c>
      <c r="AI134" s="1">
        <v>13630</v>
      </c>
      <c r="AJ134" s="1">
        <v>13890</v>
      </c>
      <c r="AK134" s="1">
        <v>14260</v>
      </c>
      <c r="AL134" s="1">
        <v>14430</v>
      </c>
      <c r="AM134" s="1">
        <v>14960</v>
      </c>
      <c r="AN134" s="1">
        <v>15170</v>
      </c>
      <c r="AO134" s="1">
        <v>15430</v>
      </c>
      <c r="AP134" s="1">
        <v>15990</v>
      </c>
      <c r="AQ134" s="1">
        <v>16610</v>
      </c>
      <c r="AR134" s="1">
        <v>17400</v>
      </c>
      <c r="AS134" s="1">
        <v>18390</v>
      </c>
      <c r="AT134" s="1">
        <v>19290</v>
      </c>
      <c r="AU134" s="1">
        <v>20160</v>
      </c>
    </row>
    <row r="135" spans="1:47" x14ac:dyDescent="0.2">
      <c r="A135" s="1">
        <v>70</v>
      </c>
      <c r="B135" s="3">
        <v>6500</v>
      </c>
      <c r="C135" s="3">
        <v>7070</v>
      </c>
      <c r="D135" s="3">
        <v>8580</v>
      </c>
      <c r="E135" s="3">
        <v>8730</v>
      </c>
      <c r="F135" s="3">
        <v>8920</v>
      </c>
      <c r="G135" s="3">
        <v>9090</v>
      </c>
      <c r="H135" s="3">
        <v>9320</v>
      </c>
      <c r="I135" s="3">
        <v>9570</v>
      </c>
      <c r="J135" s="3">
        <v>9810</v>
      </c>
      <c r="K135" s="3">
        <v>10280</v>
      </c>
      <c r="L135" s="3">
        <v>10620</v>
      </c>
      <c r="M135" s="3">
        <v>11130</v>
      </c>
      <c r="N135" s="3">
        <v>11550</v>
      </c>
      <c r="O135" s="3">
        <v>11670</v>
      </c>
      <c r="P135" s="3">
        <v>12370</v>
      </c>
      <c r="Q135" s="3">
        <v>12640</v>
      </c>
      <c r="R135" s="3">
        <v>13190</v>
      </c>
      <c r="S135" s="3">
        <v>13610</v>
      </c>
      <c r="T135" s="3">
        <v>13610</v>
      </c>
      <c r="U135" s="3">
        <v>13590</v>
      </c>
      <c r="V135" s="3">
        <v>13220</v>
      </c>
      <c r="W135" s="3">
        <v>13140</v>
      </c>
      <c r="X135" s="3">
        <v>13140</v>
      </c>
      <c r="Y135" s="3">
        <v>13390</v>
      </c>
      <c r="Z135" s="3">
        <v>13640</v>
      </c>
      <c r="AA135" s="1">
        <v>13600</v>
      </c>
      <c r="AB135" s="1">
        <v>13970</v>
      </c>
      <c r="AC135" s="1">
        <v>13860</v>
      </c>
      <c r="AD135" s="1">
        <v>13430</v>
      </c>
      <c r="AE135" s="1">
        <v>13090</v>
      </c>
      <c r="AF135" s="1">
        <v>12610</v>
      </c>
      <c r="AG135" s="1">
        <v>12250</v>
      </c>
      <c r="AH135" s="1">
        <v>12300</v>
      </c>
      <c r="AI135" s="1">
        <v>12050</v>
      </c>
      <c r="AJ135" s="1">
        <v>12340</v>
      </c>
      <c r="AK135" s="1">
        <v>12570</v>
      </c>
      <c r="AL135" s="1">
        <v>12910</v>
      </c>
      <c r="AM135" s="1">
        <v>13060</v>
      </c>
      <c r="AN135" s="1">
        <v>13540</v>
      </c>
      <c r="AO135" s="1">
        <v>13740</v>
      </c>
      <c r="AP135" s="1">
        <v>13970</v>
      </c>
      <c r="AQ135" s="1">
        <v>14480</v>
      </c>
      <c r="AR135" s="1">
        <v>15040</v>
      </c>
      <c r="AS135" s="1">
        <v>15760</v>
      </c>
      <c r="AT135" s="1">
        <v>16650</v>
      </c>
      <c r="AU135" s="1">
        <v>17470</v>
      </c>
    </row>
    <row r="136" spans="1:47" x14ac:dyDescent="0.2">
      <c r="A136" s="1">
        <v>71</v>
      </c>
      <c r="B136" s="3">
        <v>5450</v>
      </c>
      <c r="C136" s="3">
        <v>5800</v>
      </c>
      <c r="D136" s="3">
        <v>6310</v>
      </c>
      <c r="E136" s="3">
        <v>7670</v>
      </c>
      <c r="F136" s="3">
        <v>7800</v>
      </c>
      <c r="G136" s="3">
        <v>7980</v>
      </c>
      <c r="H136" s="3">
        <v>8140</v>
      </c>
      <c r="I136" s="3">
        <v>8350</v>
      </c>
      <c r="J136" s="3">
        <v>8590</v>
      </c>
      <c r="K136" s="3">
        <v>8810</v>
      </c>
      <c r="L136" s="3">
        <v>9230</v>
      </c>
      <c r="M136" s="3">
        <v>9550</v>
      </c>
      <c r="N136" s="3">
        <v>10020</v>
      </c>
      <c r="O136" s="3">
        <v>10400</v>
      </c>
      <c r="P136" s="3">
        <v>10510</v>
      </c>
      <c r="Q136" s="3">
        <v>11140</v>
      </c>
      <c r="R136" s="3">
        <v>11390</v>
      </c>
      <c r="S136" s="3">
        <v>11900</v>
      </c>
      <c r="T136" s="3">
        <v>12270</v>
      </c>
      <c r="U136" s="3">
        <v>12280</v>
      </c>
      <c r="V136" s="3">
        <v>12260</v>
      </c>
      <c r="W136" s="3">
        <v>11940</v>
      </c>
      <c r="X136" s="3">
        <v>11870</v>
      </c>
      <c r="Y136" s="3">
        <v>11870</v>
      </c>
      <c r="Z136" s="3">
        <v>12100</v>
      </c>
      <c r="AA136" s="1">
        <v>12330</v>
      </c>
      <c r="AB136" s="1">
        <v>12290</v>
      </c>
      <c r="AC136" s="1">
        <v>12630</v>
      </c>
      <c r="AD136" s="1">
        <v>12530</v>
      </c>
      <c r="AE136" s="1">
        <v>12150</v>
      </c>
      <c r="AF136" s="1">
        <v>11840</v>
      </c>
      <c r="AG136" s="1">
        <v>11410</v>
      </c>
      <c r="AH136" s="1">
        <v>11080</v>
      </c>
      <c r="AI136" s="1">
        <v>11130</v>
      </c>
      <c r="AJ136" s="1">
        <v>10910</v>
      </c>
      <c r="AK136" s="1">
        <v>11170</v>
      </c>
      <c r="AL136" s="1">
        <v>11380</v>
      </c>
      <c r="AM136" s="1">
        <v>11690</v>
      </c>
      <c r="AN136" s="1">
        <v>11830</v>
      </c>
      <c r="AO136" s="1">
        <v>12260</v>
      </c>
      <c r="AP136" s="1">
        <v>12440</v>
      </c>
      <c r="AQ136" s="1">
        <v>12660</v>
      </c>
      <c r="AR136" s="1">
        <v>13120</v>
      </c>
      <c r="AS136" s="1">
        <v>13630</v>
      </c>
      <c r="AT136" s="1">
        <v>14280</v>
      </c>
      <c r="AU136" s="1">
        <v>15090</v>
      </c>
    </row>
    <row r="137" spans="1:47" x14ac:dyDescent="0.2">
      <c r="A137" s="1">
        <v>72</v>
      </c>
      <c r="B137" s="3">
        <v>4070</v>
      </c>
      <c r="C137" s="3">
        <v>4770</v>
      </c>
      <c r="D137" s="3">
        <v>5080</v>
      </c>
      <c r="E137" s="3">
        <v>5540</v>
      </c>
      <c r="F137" s="3">
        <v>6740</v>
      </c>
      <c r="G137" s="3">
        <v>6870</v>
      </c>
      <c r="H137" s="3">
        <v>7040</v>
      </c>
      <c r="I137" s="3">
        <v>7190</v>
      </c>
      <c r="J137" s="3">
        <v>7380</v>
      </c>
      <c r="K137" s="3">
        <v>7600</v>
      </c>
      <c r="L137" s="3">
        <v>7800</v>
      </c>
      <c r="M137" s="3">
        <v>8180</v>
      </c>
      <c r="N137" s="3">
        <v>8460</v>
      </c>
      <c r="O137" s="3">
        <v>8890</v>
      </c>
      <c r="P137" s="3">
        <v>9230</v>
      </c>
      <c r="Q137" s="3">
        <v>9330</v>
      </c>
      <c r="R137" s="3">
        <v>9900</v>
      </c>
      <c r="S137" s="3">
        <v>10130</v>
      </c>
      <c r="T137" s="3">
        <v>10580</v>
      </c>
      <c r="U137" s="3">
        <v>10920</v>
      </c>
      <c r="V137" s="3">
        <v>10930</v>
      </c>
      <c r="W137" s="3">
        <v>10920</v>
      </c>
      <c r="X137" s="3">
        <v>10630</v>
      </c>
      <c r="Y137" s="3">
        <v>10580</v>
      </c>
      <c r="Z137" s="3">
        <v>10580</v>
      </c>
      <c r="AA137" s="1">
        <v>10790</v>
      </c>
      <c r="AB137" s="1">
        <v>10990</v>
      </c>
      <c r="AC137" s="1">
        <v>10960</v>
      </c>
      <c r="AD137" s="1">
        <v>11260</v>
      </c>
      <c r="AE137" s="1">
        <v>11180</v>
      </c>
      <c r="AF137" s="1">
        <v>10840</v>
      </c>
      <c r="AG137" s="1">
        <v>10570</v>
      </c>
      <c r="AH137" s="1">
        <v>10190</v>
      </c>
      <c r="AI137" s="1">
        <v>9900</v>
      </c>
      <c r="AJ137" s="1">
        <v>9940</v>
      </c>
      <c r="AK137" s="1">
        <v>9750</v>
      </c>
      <c r="AL137" s="1">
        <v>9980</v>
      </c>
      <c r="AM137" s="1">
        <v>10170</v>
      </c>
      <c r="AN137" s="1">
        <v>10440</v>
      </c>
      <c r="AO137" s="1">
        <v>10570</v>
      </c>
      <c r="AP137" s="1">
        <v>10960</v>
      </c>
      <c r="AQ137" s="1">
        <v>11120</v>
      </c>
      <c r="AR137" s="1">
        <v>11320</v>
      </c>
      <c r="AS137" s="1">
        <v>11730</v>
      </c>
      <c r="AT137" s="1">
        <v>12190</v>
      </c>
      <c r="AU137" s="1">
        <v>12770</v>
      </c>
    </row>
    <row r="138" spans="1:47" x14ac:dyDescent="0.2">
      <c r="A138" s="1">
        <v>73</v>
      </c>
      <c r="B138" s="3">
        <v>3920</v>
      </c>
      <c r="C138" s="3">
        <v>3660</v>
      </c>
      <c r="D138" s="3">
        <v>4280</v>
      </c>
      <c r="E138" s="3">
        <v>4570</v>
      </c>
      <c r="F138" s="3">
        <v>4980</v>
      </c>
      <c r="G138" s="3">
        <v>6060</v>
      </c>
      <c r="H138" s="3">
        <v>6180</v>
      </c>
      <c r="I138" s="3">
        <v>6340</v>
      </c>
      <c r="J138" s="3">
        <v>6470</v>
      </c>
      <c r="K138" s="3">
        <v>6650</v>
      </c>
      <c r="L138" s="3">
        <v>6850</v>
      </c>
      <c r="M138" s="3">
        <v>7030</v>
      </c>
      <c r="N138" s="3">
        <v>7380</v>
      </c>
      <c r="O138" s="3">
        <v>7640</v>
      </c>
      <c r="P138" s="3">
        <v>8020</v>
      </c>
      <c r="Q138" s="3">
        <v>8330</v>
      </c>
      <c r="R138" s="3">
        <v>8430</v>
      </c>
      <c r="S138" s="3">
        <v>8940</v>
      </c>
      <c r="T138" s="3">
        <v>9150</v>
      </c>
      <c r="U138" s="3">
        <v>9560</v>
      </c>
      <c r="V138" s="3">
        <v>9870</v>
      </c>
      <c r="W138" s="3">
        <v>9880</v>
      </c>
      <c r="X138" s="3">
        <v>9870</v>
      </c>
      <c r="Y138" s="3">
        <v>9610</v>
      </c>
      <c r="Z138" s="3">
        <v>9560</v>
      </c>
      <c r="AA138" s="1">
        <v>9570</v>
      </c>
      <c r="AB138" s="1">
        <v>9760</v>
      </c>
      <c r="AC138" s="1">
        <v>9940</v>
      </c>
      <c r="AD138" s="1">
        <v>9920</v>
      </c>
      <c r="AE138" s="1">
        <v>10190</v>
      </c>
      <c r="AF138" s="1">
        <v>10120</v>
      </c>
      <c r="AG138" s="1">
        <v>9810</v>
      </c>
      <c r="AH138" s="1">
        <v>9570</v>
      </c>
      <c r="AI138" s="1">
        <v>9220</v>
      </c>
      <c r="AJ138" s="1">
        <v>8960</v>
      </c>
      <c r="AK138" s="1">
        <v>9000</v>
      </c>
      <c r="AL138" s="1">
        <v>8830</v>
      </c>
      <c r="AM138" s="1">
        <v>9040</v>
      </c>
      <c r="AN138" s="1">
        <v>9210</v>
      </c>
      <c r="AO138" s="1">
        <v>9460</v>
      </c>
      <c r="AP138" s="1">
        <v>9580</v>
      </c>
      <c r="AQ138" s="1">
        <v>9930</v>
      </c>
      <c r="AR138" s="1">
        <v>10080</v>
      </c>
      <c r="AS138" s="1">
        <v>10260</v>
      </c>
      <c r="AT138" s="1">
        <v>10630</v>
      </c>
      <c r="AU138" s="1">
        <v>11050</v>
      </c>
    </row>
    <row r="139" spans="1:47" x14ac:dyDescent="0.2">
      <c r="A139" s="1">
        <v>74</v>
      </c>
      <c r="B139" s="3">
        <v>3290</v>
      </c>
      <c r="C139" s="3">
        <v>3510</v>
      </c>
      <c r="D139" s="3">
        <v>3280</v>
      </c>
      <c r="E139" s="3">
        <v>3840</v>
      </c>
      <c r="F139" s="3">
        <v>4090</v>
      </c>
      <c r="G139" s="3">
        <v>4460</v>
      </c>
      <c r="H139" s="3">
        <v>5430</v>
      </c>
      <c r="I139" s="3">
        <v>5540</v>
      </c>
      <c r="J139" s="3">
        <v>5680</v>
      </c>
      <c r="K139" s="3">
        <v>5800</v>
      </c>
      <c r="L139" s="3">
        <v>5960</v>
      </c>
      <c r="M139" s="3">
        <v>6140</v>
      </c>
      <c r="N139" s="3">
        <v>6310</v>
      </c>
      <c r="O139" s="3">
        <v>6620</v>
      </c>
      <c r="P139" s="3">
        <v>6850</v>
      </c>
      <c r="Q139" s="3">
        <v>7190</v>
      </c>
      <c r="R139" s="3">
        <v>7470</v>
      </c>
      <c r="S139" s="3">
        <v>7560</v>
      </c>
      <c r="T139" s="3">
        <v>8020</v>
      </c>
      <c r="U139" s="3">
        <v>8210</v>
      </c>
      <c r="V139" s="3">
        <v>8580</v>
      </c>
      <c r="W139" s="3">
        <v>8850</v>
      </c>
      <c r="X139" s="3">
        <v>8860</v>
      </c>
      <c r="Y139" s="3">
        <v>8860</v>
      </c>
      <c r="Z139" s="3">
        <v>8630</v>
      </c>
      <c r="AA139" s="1">
        <v>8580</v>
      </c>
      <c r="AB139" s="1">
        <v>8590</v>
      </c>
      <c r="AC139" s="1">
        <v>8760</v>
      </c>
      <c r="AD139" s="1">
        <v>8930</v>
      </c>
      <c r="AE139" s="1">
        <v>8910</v>
      </c>
      <c r="AF139" s="1">
        <v>9150</v>
      </c>
      <c r="AG139" s="1">
        <v>9090</v>
      </c>
      <c r="AH139" s="1">
        <v>8820</v>
      </c>
      <c r="AI139" s="1">
        <v>8600</v>
      </c>
      <c r="AJ139" s="1">
        <v>8290</v>
      </c>
      <c r="AK139" s="1">
        <v>8060</v>
      </c>
      <c r="AL139" s="1">
        <v>8100</v>
      </c>
      <c r="AM139" s="1">
        <v>7940</v>
      </c>
      <c r="AN139" s="1">
        <v>8130</v>
      </c>
      <c r="AO139" s="1">
        <v>8290</v>
      </c>
      <c r="AP139" s="1">
        <v>8510</v>
      </c>
      <c r="AQ139" s="1">
        <v>8620</v>
      </c>
      <c r="AR139" s="1">
        <v>8940</v>
      </c>
      <c r="AS139" s="1">
        <v>9070</v>
      </c>
      <c r="AT139" s="1">
        <v>9230</v>
      </c>
      <c r="AU139" s="1">
        <v>9570</v>
      </c>
    </row>
    <row r="140" spans="1:47" x14ac:dyDescent="0.2">
      <c r="A140" s="1">
        <v>75</v>
      </c>
      <c r="B140" s="3">
        <v>2670</v>
      </c>
      <c r="C140" s="3">
        <v>2980</v>
      </c>
      <c r="D140" s="3">
        <v>3170</v>
      </c>
      <c r="E140" s="3">
        <v>2950</v>
      </c>
      <c r="F140" s="3">
        <v>3440</v>
      </c>
      <c r="G140" s="3">
        <v>3660</v>
      </c>
      <c r="H140" s="3">
        <v>3990</v>
      </c>
      <c r="I140" s="3">
        <v>4840</v>
      </c>
      <c r="J140" s="3">
        <v>4930</v>
      </c>
      <c r="K140" s="3">
        <v>5040</v>
      </c>
      <c r="L140" s="3">
        <v>5150</v>
      </c>
      <c r="M140" s="3">
        <v>5280</v>
      </c>
      <c r="N140" s="3">
        <v>5440</v>
      </c>
      <c r="O140" s="3">
        <v>5580</v>
      </c>
      <c r="P140" s="3">
        <v>5850</v>
      </c>
      <c r="Q140" s="3">
        <v>6050</v>
      </c>
      <c r="R140" s="3">
        <v>6350</v>
      </c>
      <c r="S140" s="3">
        <v>6590</v>
      </c>
      <c r="T140" s="3">
        <v>6660</v>
      </c>
      <c r="U140" s="3">
        <v>7070</v>
      </c>
      <c r="V140" s="3">
        <v>7230</v>
      </c>
      <c r="W140" s="3">
        <v>7550</v>
      </c>
      <c r="X140" s="3">
        <v>7790</v>
      </c>
      <c r="Y140" s="3">
        <v>7800</v>
      </c>
      <c r="Z140" s="3">
        <v>7790</v>
      </c>
      <c r="AA140" s="1">
        <v>7590</v>
      </c>
      <c r="AB140" s="1">
        <v>7550</v>
      </c>
      <c r="AC140" s="1">
        <v>7560</v>
      </c>
      <c r="AD140" s="1">
        <v>7700</v>
      </c>
      <c r="AE140" s="1">
        <v>7850</v>
      </c>
      <c r="AF140" s="1">
        <v>7830</v>
      </c>
      <c r="AG140" s="1">
        <v>8050</v>
      </c>
      <c r="AH140" s="1">
        <v>7990</v>
      </c>
      <c r="AI140" s="1">
        <v>7750</v>
      </c>
      <c r="AJ140" s="1">
        <v>7560</v>
      </c>
      <c r="AK140" s="1">
        <v>7290</v>
      </c>
      <c r="AL140" s="1">
        <v>7090</v>
      </c>
      <c r="AM140" s="1">
        <v>7120</v>
      </c>
      <c r="AN140" s="1">
        <v>6980</v>
      </c>
      <c r="AO140" s="1">
        <v>7150</v>
      </c>
      <c r="AP140" s="1">
        <v>7290</v>
      </c>
      <c r="AQ140" s="1">
        <v>7490</v>
      </c>
      <c r="AR140" s="1">
        <v>7590</v>
      </c>
      <c r="AS140" s="1">
        <v>7870</v>
      </c>
      <c r="AT140" s="1">
        <v>7990</v>
      </c>
      <c r="AU140" s="1">
        <v>8130</v>
      </c>
    </row>
    <row r="141" spans="1:47" x14ac:dyDescent="0.2">
      <c r="A141" s="1">
        <v>76</v>
      </c>
      <c r="B141" s="3">
        <v>2060</v>
      </c>
      <c r="C141" s="3">
        <v>2400</v>
      </c>
      <c r="D141" s="3">
        <v>2660</v>
      </c>
      <c r="E141" s="3">
        <v>2820</v>
      </c>
      <c r="F141" s="3">
        <v>2620</v>
      </c>
      <c r="G141" s="3">
        <v>3050</v>
      </c>
      <c r="H141" s="3">
        <v>3230</v>
      </c>
      <c r="I141" s="3">
        <v>3510</v>
      </c>
      <c r="J141" s="3">
        <v>4250</v>
      </c>
      <c r="K141" s="3">
        <v>4320</v>
      </c>
      <c r="L141" s="3">
        <v>4420</v>
      </c>
      <c r="M141" s="3">
        <v>4500</v>
      </c>
      <c r="N141" s="3">
        <v>4620</v>
      </c>
      <c r="O141" s="3">
        <v>4740</v>
      </c>
      <c r="P141" s="3">
        <v>4860</v>
      </c>
      <c r="Q141" s="3">
        <v>5090</v>
      </c>
      <c r="R141" s="3">
        <v>5260</v>
      </c>
      <c r="S141" s="3">
        <v>5520</v>
      </c>
      <c r="T141" s="3">
        <v>5730</v>
      </c>
      <c r="U141" s="3">
        <v>5790</v>
      </c>
      <c r="V141" s="3">
        <v>6140</v>
      </c>
      <c r="W141" s="3">
        <v>6280</v>
      </c>
      <c r="X141" s="3">
        <v>6550</v>
      </c>
      <c r="Y141" s="3">
        <v>6760</v>
      </c>
      <c r="Z141" s="3">
        <v>6770</v>
      </c>
      <c r="AA141" s="1">
        <v>6760</v>
      </c>
      <c r="AB141" s="1">
        <v>6580</v>
      </c>
      <c r="AC141" s="1">
        <v>6550</v>
      </c>
      <c r="AD141" s="1">
        <v>6550</v>
      </c>
      <c r="AE141" s="1">
        <v>6680</v>
      </c>
      <c r="AF141" s="1">
        <v>6810</v>
      </c>
      <c r="AG141" s="1">
        <v>6790</v>
      </c>
      <c r="AH141" s="1">
        <v>6980</v>
      </c>
      <c r="AI141" s="1">
        <v>6930</v>
      </c>
      <c r="AJ141" s="1">
        <v>6730</v>
      </c>
      <c r="AK141" s="1">
        <v>6560</v>
      </c>
      <c r="AL141" s="1">
        <v>6330</v>
      </c>
      <c r="AM141" s="1">
        <v>6150</v>
      </c>
      <c r="AN141" s="1">
        <v>6180</v>
      </c>
      <c r="AO141" s="1">
        <v>6060</v>
      </c>
      <c r="AP141" s="1">
        <v>6210</v>
      </c>
      <c r="AQ141" s="1">
        <v>6330</v>
      </c>
      <c r="AR141" s="1">
        <v>6510</v>
      </c>
      <c r="AS141" s="1">
        <v>6590</v>
      </c>
      <c r="AT141" s="1">
        <v>6840</v>
      </c>
      <c r="AU141" s="1">
        <v>6940</v>
      </c>
    </row>
    <row r="142" spans="1:47" x14ac:dyDescent="0.2">
      <c r="A142" s="1">
        <v>77</v>
      </c>
      <c r="B142" s="3">
        <v>1710</v>
      </c>
      <c r="C142" s="3">
        <v>1840</v>
      </c>
      <c r="D142" s="3">
        <v>2120</v>
      </c>
      <c r="E142" s="3">
        <v>2350</v>
      </c>
      <c r="F142" s="3">
        <v>2480</v>
      </c>
      <c r="G142" s="3">
        <v>2300</v>
      </c>
      <c r="H142" s="3">
        <v>2670</v>
      </c>
      <c r="I142" s="3">
        <v>2830</v>
      </c>
      <c r="J142" s="3">
        <v>3070</v>
      </c>
      <c r="K142" s="3">
        <v>3710</v>
      </c>
      <c r="L142" s="3">
        <v>3770</v>
      </c>
      <c r="M142" s="3">
        <v>3840</v>
      </c>
      <c r="N142" s="3">
        <v>3910</v>
      </c>
      <c r="O142" s="3">
        <v>4010</v>
      </c>
      <c r="P142" s="3">
        <v>4120</v>
      </c>
      <c r="Q142" s="3">
        <v>4220</v>
      </c>
      <c r="R142" s="3">
        <v>4410</v>
      </c>
      <c r="S142" s="3">
        <v>4560</v>
      </c>
      <c r="T142" s="3">
        <v>4780</v>
      </c>
      <c r="U142" s="3">
        <v>4960</v>
      </c>
      <c r="V142" s="3">
        <v>5010</v>
      </c>
      <c r="W142" s="3">
        <v>5310</v>
      </c>
      <c r="X142" s="3">
        <v>5430</v>
      </c>
      <c r="Y142" s="3">
        <v>5670</v>
      </c>
      <c r="Z142" s="3">
        <v>5840</v>
      </c>
      <c r="AA142" s="1">
        <v>5850</v>
      </c>
      <c r="AB142" s="1">
        <v>5840</v>
      </c>
      <c r="AC142" s="1">
        <v>5690</v>
      </c>
      <c r="AD142" s="1">
        <v>5660</v>
      </c>
      <c r="AE142" s="1">
        <v>5660</v>
      </c>
      <c r="AF142" s="1">
        <v>5770</v>
      </c>
      <c r="AG142" s="1">
        <v>5890</v>
      </c>
      <c r="AH142" s="1">
        <v>5870</v>
      </c>
      <c r="AI142" s="1">
        <v>6040</v>
      </c>
      <c r="AJ142" s="1">
        <v>5990</v>
      </c>
      <c r="AK142" s="1">
        <v>5820</v>
      </c>
      <c r="AL142" s="1">
        <v>5680</v>
      </c>
      <c r="AM142" s="1">
        <v>5470</v>
      </c>
      <c r="AN142" s="1">
        <v>5320</v>
      </c>
      <c r="AO142" s="1">
        <v>5350</v>
      </c>
      <c r="AP142" s="1">
        <v>5250</v>
      </c>
      <c r="AQ142" s="1">
        <v>5380</v>
      </c>
      <c r="AR142" s="1">
        <v>5480</v>
      </c>
      <c r="AS142" s="1">
        <v>5640</v>
      </c>
      <c r="AT142" s="1">
        <v>5710</v>
      </c>
      <c r="AU142" s="1">
        <v>5930</v>
      </c>
    </row>
    <row r="143" spans="1:47" x14ac:dyDescent="0.2">
      <c r="A143" s="1">
        <v>78</v>
      </c>
      <c r="B143" s="3">
        <v>1390</v>
      </c>
      <c r="C143" s="3">
        <v>1510</v>
      </c>
      <c r="D143" s="3">
        <v>1610</v>
      </c>
      <c r="E143" s="3">
        <v>1860</v>
      </c>
      <c r="F143" s="3">
        <v>2060</v>
      </c>
      <c r="G143" s="3">
        <v>2170</v>
      </c>
      <c r="H143" s="3">
        <v>2000</v>
      </c>
      <c r="I143" s="3">
        <v>2320</v>
      </c>
      <c r="J143" s="3">
        <v>2460</v>
      </c>
      <c r="K143" s="3">
        <v>2660</v>
      </c>
      <c r="L143" s="3">
        <v>3210</v>
      </c>
      <c r="M143" s="3">
        <v>3260</v>
      </c>
      <c r="N143" s="3">
        <v>3320</v>
      </c>
      <c r="O143" s="3">
        <v>3380</v>
      </c>
      <c r="P143" s="3">
        <v>3460</v>
      </c>
      <c r="Q143" s="3">
        <v>3550</v>
      </c>
      <c r="R143" s="3">
        <v>3640</v>
      </c>
      <c r="S143" s="3">
        <v>3810</v>
      </c>
      <c r="T143" s="3">
        <v>3930</v>
      </c>
      <c r="U143" s="3">
        <v>4120</v>
      </c>
      <c r="V143" s="3">
        <v>4270</v>
      </c>
      <c r="W143" s="3">
        <v>4310</v>
      </c>
      <c r="X143" s="3">
        <v>4570</v>
      </c>
      <c r="Y143" s="3">
        <v>4670</v>
      </c>
      <c r="Z143" s="3">
        <v>4880</v>
      </c>
      <c r="AA143" s="1">
        <v>5030</v>
      </c>
      <c r="AB143" s="1">
        <v>5040</v>
      </c>
      <c r="AC143" s="1">
        <v>5030</v>
      </c>
      <c r="AD143" s="1">
        <v>4900</v>
      </c>
      <c r="AE143" s="1">
        <v>4870</v>
      </c>
      <c r="AF143" s="1">
        <v>4880</v>
      </c>
      <c r="AG143" s="1">
        <v>4970</v>
      </c>
      <c r="AH143" s="1">
        <v>5070</v>
      </c>
      <c r="AI143" s="1">
        <v>5060</v>
      </c>
      <c r="AJ143" s="1">
        <v>5200</v>
      </c>
      <c r="AK143" s="1">
        <v>5170</v>
      </c>
      <c r="AL143" s="1">
        <v>5020</v>
      </c>
      <c r="AM143" s="1">
        <v>4900</v>
      </c>
      <c r="AN143" s="1">
        <v>4720</v>
      </c>
      <c r="AO143" s="1">
        <v>4590</v>
      </c>
      <c r="AP143" s="1">
        <v>4620</v>
      </c>
      <c r="AQ143" s="1">
        <v>4530</v>
      </c>
      <c r="AR143" s="1">
        <v>4640</v>
      </c>
      <c r="AS143" s="1">
        <v>4740</v>
      </c>
      <c r="AT143" s="1">
        <v>4870</v>
      </c>
      <c r="AU143" s="1">
        <v>4940</v>
      </c>
    </row>
    <row r="144" spans="1:47" x14ac:dyDescent="0.2">
      <c r="A144" s="1">
        <v>79</v>
      </c>
      <c r="B144" s="3">
        <v>1110</v>
      </c>
      <c r="C144" s="3">
        <v>1220</v>
      </c>
      <c r="D144" s="3">
        <v>1320</v>
      </c>
      <c r="E144" s="3">
        <v>1400</v>
      </c>
      <c r="F144" s="3">
        <v>1620</v>
      </c>
      <c r="G144" s="3">
        <v>1780</v>
      </c>
      <c r="H144" s="3">
        <v>1870</v>
      </c>
      <c r="I144" s="3">
        <v>1730</v>
      </c>
      <c r="J144" s="3">
        <v>2000</v>
      </c>
      <c r="K144" s="3">
        <v>2120</v>
      </c>
      <c r="L144" s="3">
        <v>2290</v>
      </c>
      <c r="M144" s="3">
        <v>2770</v>
      </c>
      <c r="N144" s="3">
        <v>2800</v>
      </c>
      <c r="O144" s="3">
        <v>2860</v>
      </c>
      <c r="P144" s="3">
        <v>2910</v>
      </c>
      <c r="Q144" s="3">
        <v>2970</v>
      </c>
      <c r="R144" s="3">
        <v>3050</v>
      </c>
      <c r="S144" s="3">
        <v>3120</v>
      </c>
      <c r="T144" s="3">
        <v>3270</v>
      </c>
      <c r="U144" s="3">
        <v>3370</v>
      </c>
      <c r="V144" s="3">
        <v>3530</v>
      </c>
      <c r="W144" s="3">
        <v>3660</v>
      </c>
      <c r="X144" s="3">
        <v>3700</v>
      </c>
      <c r="Y144" s="3">
        <v>3920</v>
      </c>
      <c r="Z144" s="3">
        <v>4010</v>
      </c>
      <c r="AA144" s="1">
        <v>4190</v>
      </c>
      <c r="AB144" s="1">
        <v>4320</v>
      </c>
      <c r="AC144" s="1">
        <v>4320</v>
      </c>
      <c r="AD144" s="1">
        <v>4320</v>
      </c>
      <c r="AE144" s="1">
        <v>4210</v>
      </c>
      <c r="AF144" s="1">
        <v>4190</v>
      </c>
      <c r="AG144" s="1">
        <v>4190</v>
      </c>
      <c r="AH144" s="1">
        <v>4270</v>
      </c>
      <c r="AI144" s="1">
        <v>4360</v>
      </c>
      <c r="AJ144" s="1">
        <v>4350</v>
      </c>
      <c r="AK144" s="1">
        <v>4470</v>
      </c>
      <c r="AL144" s="1">
        <v>4440</v>
      </c>
      <c r="AM144" s="1">
        <v>4310</v>
      </c>
      <c r="AN144" s="1">
        <v>4210</v>
      </c>
      <c r="AO144" s="1">
        <v>4060</v>
      </c>
      <c r="AP144" s="1">
        <v>3950</v>
      </c>
      <c r="AQ144" s="1">
        <v>3980</v>
      </c>
      <c r="AR144" s="1">
        <v>3900</v>
      </c>
      <c r="AS144" s="1">
        <v>4000</v>
      </c>
      <c r="AT144" s="1">
        <v>4080</v>
      </c>
      <c r="AU144" s="1">
        <v>4200</v>
      </c>
    </row>
    <row r="145" spans="1:47" x14ac:dyDescent="0.2">
      <c r="A145" s="1" t="s">
        <v>77</v>
      </c>
      <c r="B145" s="3">
        <v>4200</v>
      </c>
      <c r="C145" s="3">
        <v>4500</v>
      </c>
      <c r="D145" s="3">
        <v>4800</v>
      </c>
      <c r="E145" s="3">
        <v>5100</v>
      </c>
      <c r="F145" s="3">
        <v>5500</v>
      </c>
      <c r="G145" s="3">
        <v>6000</v>
      </c>
      <c r="H145" s="3">
        <v>6600</v>
      </c>
      <c r="I145" s="3">
        <v>7100</v>
      </c>
      <c r="J145" s="3">
        <v>7400</v>
      </c>
      <c r="K145" s="3">
        <v>7900</v>
      </c>
      <c r="L145" s="3">
        <v>8500</v>
      </c>
      <c r="M145" s="3">
        <v>9000</v>
      </c>
      <c r="N145" s="3">
        <v>9900</v>
      </c>
      <c r="O145" s="3">
        <v>10700</v>
      </c>
      <c r="P145" s="3">
        <v>11400</v>
      </c>
      <c r="Q145" s="3">
        <v>12100</v>
      </c>
      <c r="R145" s="3">
        <v>12700</v>
      </c>
      <c r="S145" s="3">
        <v>13300</v>
      </c>
      <c r="T145" s="3">
        <v>13800</v>
      </c>
      <c r="U145" s="3">
        <v>14400</v>
      </c>
      <c r="V145" s="3">
        <v>15000</v>
      </c>
      <c r="W145" s="3">
        <v>15600</v>
      </c>
      <c r="X145" s="3">
        <v>16300</v>
      </c>
      <c r="Y145" s="3">
        <v>16900</v>
      </c>
      <c r="Z145" s="3">
        <v>17500</v>
      </c>
      <c r="AA145" s="1">
        <v>18200</v>
      </c>
      <c r="AB145" s="1">
        <v>18900</v>
      </c>
      <c r="AC145" s="1">
        <v>19600</v>
      </c>
      <c r="AD145" s="1">
        <v>20300</v>
      </c>
      <c r="AE145" s="1">
        <v>20800</v>
      </c>
      <c r="AF145" s="1">
        <v>21100</v>
      </c>
      <c r="AG145" s="1">
        <v>21400</v>
      </c>
      <c r="AH145" s="1">
        <v>21700</v>
      </c>
      <c r="AI145" s="1">
        <v>22000</v>
      </c>
      <c r="AJ145" s="1">
        <v>22300</v>
      </c>
      <c r="AK145" s="1">
        <v>22600</v>
      </c>
      <c r="AL145" s="1">
        <v>23000</v>
      </c>
      <c r="AM145" s="1">
        <v>23200</v>
      </c>
      <c r="AN145" s="1">
        <v>23400</v>
      </c>
      <c r="AO145" s="1">
        <v>23400</v>
      </c>
      <c r="AP145" s="1">
        <v>23300</v>
      </c>
      <c r="AQ145" s="1">
        <v>23200</v>
      </c>
      <c r="AR145" s="1">
        <v>23100</v>
      </c>
      <c r="AS145" s="1">
        <v>22900</v>
      </c>
      <c r="AT145" s="1">
        <v>22900</v>
      </c>
      <c r="AU145" s="1">
        <v>22900</v>
      </c>
    </row>
    <row r="146" spans="1:47" ht="15" x14ac:dyDescent="0.25">
      <c r="A146" s="2" t="s">
        <v>12</v>
      </c>
      <c r="B146" s="3">
        <f t="shared" ref="B146:AG146" si="5">SUM(B$80:B$145)</f>
        <v>1309750</v>
      </c>
      <c r="C146" s="3">
        <f t="shared" si="5"/>
        <v>1333160</v>
      </c>
      <c r="D146" s="3">
        <f t="shared" si="5"/>
        <v>1347950</v>
      </c>
      <c r="E146" s="3">
        <f t="shared" si="5"/>
        <v>1362110</v>
      </c>
      <c r="F146" s="3">
        <f t="shared" si="5"/>
        <v>1375510</v>
      </c>
      <c r="G146" s="3">
        <f t="shared" si="5"/>
        <v>1388280</v>
      </c>
      <c r="H146" s="3">
        <f t="shared" si="5"/>
        <v>1400760</v>
      </c>
      <c r="I146" s="3">
        <f t="shared" si="5"/>
        <v>1412990</v>
      </c>
      <c r="J146" s="3">
        <f t="shared" si="5"/>
        <v>1425090</v>
      </c>
      <c r="K146" s="3">
        <f t="shared" si="5"/>
        <v>1437250</v>
      </c>
      <c r="L146" s="3">
        <f t="shared" si="5"/>
        <v>1449510</v>
      </c>
      <c r="M146" s="3">
        <f t="shared" si="5"/>
        <v>1461170</v>
      </c>
      <c r="N146" s="3">
        <f t="shared" si="5"/>
        <v>1472440</v>
      </c>
      <c r="O146" s="3">
        <f t="shared" si="5"/>
        <v>1483200</v>
      </c>
      <c r="P146" s="3">
        <f t="shared" si="5"/>
        <v>1493350</v>
      </c>
      <c r="Q146" s="3">
        <f t="shared" si="5"/>
        <v>1503070</v>
      </c>
      <c r="R146" s="3">
        <f t="shared" si="5"/>
        <v>1512290</v>
      </c>
      <c r="S146" s="3">
        <f t="shared" si="5"/>
        <v>1521190</v>
      </c>
      <c r="T146" s="3">
        <f t="shared" si="5"/>
        <v>1529780</v>
      </c>
      <c r="U146" s="3">
        <f t="shared" si="5"/>
        <v>1538290</v>
      </c>
      <c r="V146" s="3">
        <f t="shared" si="5"/>
        <v>1546660</v>
      </c>
      <c r="W146" s="3">
        <f t="shared" si="5"/>
        <v>1554930</v>
      </c>
      <c r="X146" s="3">
        <f t="shared" si="5"/>
        <v>1563260</v>
      </c>
      <c r="Y146" s="3">
        <f t="shared" si="5"/>
        <v>1571730</v>
      </c>
      <c r="Z146" s="3">
        <f t="shared" si="5"/>
        <v>1580200</v>
      </c>
      <c r="AA146" s="3">
        <f t="shared" si="5"/>
        <v>1589050</v>
      </c>
      <c r="AB146" s="3">
        <f t="shared" si="5"/>
        <v>1597980</v>
      </c>
      <c r="AC146" s="3">
        <f t="shared" si="5"/>
        <v>1607000</v>
      </c>
      <c r="AD146" s="3">
        <f t="shared" si="5"/>
        <v>1616190</v>
      </c>
      <c r="AE146" s="3">
        <f t="shared" si="5"/>
        <v>1625350</v>
      </c>
      <c r="AF146" s="3">
        <f t="shared" si="5"/>
        <v>1634420</v>
      </c>
      <c r="AG146" s="3">
        <f t="shared" si="5"/>
        <v>1643490</v>
      </c>
      <c r="AH146" s="3">
        <f t="shared" ref="AH146:AU146" si="6">SUM(AH$80:AH$145)</f>
        <v>1652540</v>
      </c>
      <c r="AI146" s="3">
        <f t="shared" si="6"/>
        <v>1661370</v>
      </c>
      <c r="AJ146" s="3">
        <f t="shared" si="6"/>
        <v>1670050</v>
      </c>
      <c r="AK146" s="3">
        <f t="shared" si="6"/>
        <v>1678560</v>
      </c>
      <c r="AL146" s="3">
        <f t="shared" si="6"/>
        <v>1686900</v>
      </c>
      <c r="AM146" s="3">
        <f t="shared" si="6"/>
        <v>1694710</v>
      </c>
      <c r="AN146" s="3">
        <f t="shared" si="6"/>
        <v>1702230</v>
      </c>
      <c r="AO146" s="3">
        <f t="shared" si="6"/>
        <v>1709330</v>
      </c>
      <c r="AP146" s="3">
        <f t="shared" si="6"/>
        <v>1715860</v>
      </c>
      <c r="AQ146" s="3">
        <f t="shared" si="6"/>
        <v>1722070</v>
      </c>
      <c r="AR146" s="3">
        <f t="shared" si="6"/>
        <v>1727810</v>
      </c>
      <c r="AS146" s="3">
        <f t="shared" si="6"/>
        <v>1733120</v>
      </c>
      <c r="AT146" s="3">
        <f t="shared" si="6"/>
        <v>1738140</v>
      </c>
      <c r="AU146" s="3">
        <f t="shared" si="6"/>
        <v>1742650</v>
      </c>
    </row>
    <row r="147" spans="1:47" ht="15" x14ac:dyDescent="0.25">
      <c r="A147" s="2" t="s">
        <v>79</v>
      </c>
      <c r="B147" s="10">
        <v>73.400000000000006</v>
      </c>
      <c r="C147" s="10">
        <v>73.400000000000006</v>
      </c>
      <c r="D147" s="10">
        <v>73.400000000000006</v>
      </c>
      <c r="E147" s="10">
        <v>73.3</v>
      </c>
      <c r="F147" s="10">
        <v>73.2</v>
      </c>
      <c r="G147" s="10">
        <v>73.099999999999994</v>
      </c>
      <c r="H147" s="10">
        <v>73</v>
      </c>
      <c r="I147" s="10">
        <v>72.8</v>
      </c>
      <c r="J147" s="10">
        <v>72.599999999999994</v>
      </c>
      <c r="K147" s="10">
        <v>72.400000000000006</v>
      </c>
      <c r="L147" s="10">
        <v>72.2</v>
      </c>
      <c r="M147" s="10">
        <v>72.099999999999994</v>
      </c>
      <c r="N147" s="10">
        <v>71.900000000000006</v>
      </c>
      <c r="O147" s="10">
        <v>71.7</v>
      </c>
      <c r="P147" s="10">
        <v>71.599999999999994</v>
      </c>
      <c r="Q147" s="10">
        <v>71.5</v>
      </c>
      <c r="R147" s="10">
        <v>71.3</v>
      </c>
      <c r="S147" s="10">
        <v>71.2</v>
      </c>
      <c r="T147" s="10">
        <v>71</v>
      </c>
      <c r="U147" s="10">
        <v>70.900000000000006</v>
      </c>
      <c r="V147" s="10">
        <v>70.7</v>
      </c>
      <c r="W147" s="10">
        <v>70.599999999999994</v>
      </c>
      <c r="X147" s="10">
        <v>70.400000000000006</v>
      </c>
      <c r="Y147" s="10">
        <v>70.3</v>
      </c>
      <c r="Z147" s="10">
        <v>70.2</v>
      </c>
      <c r="AA147" s="10">
        <v>70.099999999999994</v>
      </c>
      <c r="AB147" s="10">
        <v>70</v>
      </c>
      <c r="AC147" s="10">
        <v>69.900000000000006</v>
      </c>
      <c r="AD147" s="10">
        <v>69.900000000000006</v>
      </c>
      <c r="AE147" s="10">
        <v>69.8</v>
      </c>
      <c r="AF147" s="10">
        <v>69.8</v>
      </c>
      <c r="AG147" s="10">
        <v>69.8</v>
      </c>
      <c r="AH147" s="10">
        <v>69.8</v>
      </c>
      <c r="AI147" s="10">
        <v>69.8</v>
      </c>
      <c r="AJ147" s="10">
        <v>69.7</v>
      </c>
      <c r="AK147" s="10">
        <v>69.7</v>
      </c>
      <c r="AL147" s="10">
        <v>69.7</v>
      </c>
      <c r="AM147" s="10">
        <v>69.7</v>
      </c>
      <c r="AN147" s="10">
        <v>69.7</v>
      </c>
      <c r="AO147" s="10">
        <v>69.599999999999994</v>
      </c>
      <c r="AP147" s="10">
        <v>69.599999999999994</v>
      </c>
      <c r="AQ147" s="10">
        <v>69.5</v>
      </c>
      <c r="AR147" s="10">
        <v>69.400000000000006</v>
      </c>
      <c r="AS147" s="10">
        <v>69.3</v>
      </c>
      <c r="AT147" s="10">
        <v>69.2</v>
      </c>
      <c r="AU147" s="10">
        <v>69</v>
      </c>
    </row>
    <row r="150" spans="1:47" x14ac:dyDescent="0.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row>
  </sheetData>
  <hyperlinks>
    <hyperlink ref="E2"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82"/>
  <sheetViews>
    <sheetView zoomScaleNormal="100" workbookViewId="0">
      <pane xSplit="1" ySplit="5" topLeftCell="B6" activePane="bottomRight" state="frozen"/>
      <selection pane="topRight" activeCell="B1" sqref="B1"/>
      <selection pane="bottomLeft" activeCell="A6" sqref="A6"/>
      <selection pane="bottomRight" activeCell="L76" sqref="L76"/>
    </sheetView>
  </sheetViews>
  <sheetFormatPr defaultRowHeight="14.25" x14ac:dyDescent="0.2"/>
  <cols>
    <col min="1" max="1" width="60.7109375" style="1" customWidth="1"/>
    <col min="2" max="55" width="10.7109375" style="1" customWidth="1"/>
    <col min="56" max="56" width="9.5703125" style="1" bestFit="1" customWidth="1"/>
    <col min="57" max="16384" width="9.140625" style="1"/>
  </cols>
  <sheetData>
    <row r="1" spans="1:56" ht="15" x14ac:dyDescent="0.25">
      <c r="A1" s="2" t="s">
        <v>80</v>
      </c>
    </row>
    <row r="2" spans="1:56" x14ac:dyDescent="0.2">
      <c r="A2" s="1" t="s">
        <v>107</v>
      </c>
    </row>
    <row r="4" spans="1:56" ht="15" x14ac:dyDescent="0.25">
      <c r="A4" s="2" t="s">
        <v>13</v>
      </c>
      <c r="B4" s="6" t="s">
        <v>14</v>
      </c>
      <c r="C4" s="6" t="s">
        <v>15</v>
      </c>
      <c r="D4" s="6" t="s">
        <v>16</v>
      </c>
      <c r="E4" s="6" t="s">
        <v>17</v>
      </c>
      <c r="F4" s="6" t="s">
        <v>19</v>
      </c>
      <c r="G4" s="6" t="s">
        <v>18</v>
      </c>
      <c r="H4" s="6" t="s">
        <v>20</v>
      </c>
      <c r="I4" s="6" t="s">
        <v>21</v>
      </c>
      <c r="J4" s="6" t="s">
        <v>22</v>
      </c>
      <c r="K4" s="6" t="s">
        <v>23</v>
      </c>
      <c r="L4" s="6" t="s">
        <v>25</v>
      </c>
      <c r="M4" s="6" t="s">
        <v>26</v>
      </c>
      <c r="N4" s="6" t="s">
        <v>27</v>
      </c>
      <c r="O4" s="6" t="s">
        <v>28</v>
      </c>
      <c r="P4" s="6" t="s">
        <v>29</v>
      </c>
      <c r="Q4" s="6" t="s">
        <v>30</v>
      </c>
      <c r="R4" s="6" t="s">
        <v>31</v>
      </c>
      <c r="S4" s="6" t="s">
        <v>32</v>
      </c>
      <c r="T4" s="6" t="s">
        <v>33</v>
      </c>
      <c r="U4" s="6" t="s">
        <v>34</v>
      </c>
      <c r="V4" s="6" t="s">
        <v>35</v>
      </c>
      <c r="W4" s="6" t="s">
        <v>36</v>
      </c>
      <c r="X4" s="6" t="s">
        <v>37</v>
      </c>
      <c r="Y4" s="6" t="s">
        <v>38</v>
      </c>
      <c r="Z4" s="6" t="s">
        <v>39</v>
      </c>
      <c r="AA4" s="6" t="s">
        <v>40</v>
      </c>
      <c r="AB4" s="6" t="s">
        <v>41</v>
      </c>
      <c r="AC4" s="6" t="s">
        <v>42</v>
      </c>
      <c r="AD4" s="6" t="s">
        <v>43</v>
      </c>
      <c r="AE4" s="6" t="s">
        <v>44</v>
      </c>
      <c r="AF4" s="6" t="s">
        <v>45</v>
      </c>
      <c r="AG4" s="6" t="s">
        <v>46</v>
      </c>
      <c r="AH4" s="6" t="s">
        <v>47</v>
      </c>
      <c r="AI4" s="6" t="s">
        <v>48</v>
      </c>
      <c r="AJ4" s="6" t="s">
        <v>49</v>
      </c>
      <c r="AK4" s="6" t="s">
        <v>50</v>
      </c>
      <c r="AL4" s="6" t="s">
        <v>51</v>
      </c>
      <c r="AM4" s="6" t="s">
        <v>52</v>
      </c>
      <c r="AN4" s="6" t="s">
        <v>53</v>
      </c>
      <c r="AO4" s="6" t="s">
        <v>54</v>
      </c>
      <c r="AP4" s="6" t="s">
        <v>55</v>
      </c>
      <c r="AQ4" s="6" t="s">
        <v>56</v>
      </c>
      <c r="AR4" s="6" t="s">
        <v>57</v>
      </c>
      <c r="AS4" s="6" t="s">
        <v>58</v>
      </c>
      <c r="AT4" s="6" t="s">
        <v>59</v>
      </c>
      <c r="AU4" s="6" t="s">
        <v>60</v>
      </c>
      <c r="AV4" s="6" t="s">
        <v>61</v>
      </c>
      <c r="AW4" s="6" t="s">
        <v>62</v>
      </c>
      <c r="AX4" s="6" t="s">
        <v>63</v>
      </c>
      <c r="AY4" s="6" t="s">
        <v>64</v>
      </c>
      <c r="AZ4" s="6" t="s">
        <v>65</v>
      </c>
      <c r="BA4" s="6" t="s">
        <v>66</v>
      </c>
      <c r="BB4" s="6" t="s">
        <v>67</v>
      </c>
      <c r="BC4" s="6" t="s">
        <v>68</v>
      </c>
      <c r="BD4" s="6" t="s">
        <v>69</v>
      </c>
    </row>
    <row r="5" spans="1:56" ht="15" x14ac:dyDescent="0.25">
      <c r="B5" s="2">
        <v>2006</v>
      </c>
      <c r="C5" s="2">
        <v>2007</v>
      </c>
      <c r="D5" s="2">
        <v>2008</v>
      </c>
      <c r="E5" s="2">
        <v>2009</v>
      </c>
      <c r="F5" s="2">
        <v>2010</v>
      </c>
      <c r="G5" s="2">
        <v>2011</v>
      </c>
      <c r="H5" s="2">
        <v>2012</v>
      </c>
      <c r="I5" s="2">
        <v>2013</v>
      </c>
      <c r="J5" s="2">
        <v>2014</v>
      </c>
      <c r="K5" s="2">
        <v>2015</v>
      </c>
      <c r="L5" s="2">
        <v>2016</v>
      </c>
      <c r="M5" s="2">
        <v>2017</v>
      </c>
      <c r="N5" s="2">
        <v>2018</v>
      </c>
      <c r="O5" s="2">
        <v>2019</v>
      </c>
      <c r="P5" s="2">
        <v>2020</v>
      </c>
      <c r="Q5" s="2">
        <v>2021</v>
      </c>
      <c r="R5" s="2">
        <v>2022</v>
      </c>
      <c r="S5" s="2">
        <v>2023</v>
      </c>
      <c r="T5" s="2">
        <v>2024</v>
      </c>
      <c r="U5" s="2">
        <v>2025</v>
      </c>
      <c r="V5" s="2">
        <v>2026</v>
      </c>
      <c r="W5" s="2">
        <v>2027</v>
      </c>
      <c r="X5" s="2">
        <v>2028</v>
      </c>
      <c r="Y5" s="2">
        <v>2029</v>
      </c>
      <c r="Z5" s="2">
        <v>2030</v>
      </c>
      <c r="AA5" s="2">
        <v>2031</v>
      </c>
      <c r="AB5" s="2">
        <v>2032</v>
      </c>
      <c r="AC5" s="2">
        <v>2033</v>
      </c>
      <c r="AD5" s="2">
        <v>2034</v>
      </c>
      <c r="AE5" s="2">
        <v>2035</v>
      </c>
      <c r="AF5" s="2">
        <v>2036</v>
      </c>
      <c r="AG5" s="2">
        <v>2037</v>
      </c>
      <c r="AH5" s="2">
        <v>2038</v>
      </c>
      <c r="AI5" s="2">
        <v>2039</v>
      </c>
      <c r="AJ5" s="2">
        <v>2040</v>
      </c>
      <c r="AK5" s="2">
        <v>2041</v>
      </c>
      <c r="AL5" s="2">
        <v>2042</v>
      </c>
      <c r="AM5" s="2">
        <v>2043</v>
      </c>
      <c r="AN5" s="2">
        <v>2044</v>
      </c>
      <c r="AO5" s="2">
        <v>2045</v>
      </c>
      <c r="AP5" s="2">
        <v>2046</v>
      </c>
      <c r="AQ5" s="2">
        <v>2047</v>
      </c>
      <c r="AR5" s="2">
        <v>2048</v>
      </c>
      <c r="AS5" s="2">
        <v>2049</v>
      </c>
      <c r="AT5" s="2">
        <v>2050</v>
      </c>
      <c r="AU5" s="2">
        <v>2051</v>
      </c>
      <c r="AV5" s="2">
        <v>2052</v>
      </c>
      <c r="AW5" s="2">
        <v>2053</v>
      </c>
      <c r="AX5" s="2">
        <v>2054</v>
      </c>
      <c r="AY5" s="2">
        <v>2055</v>
      </c>
      <c r="AZ5" s="2">
        <v>2056</v>
      </c>
      <c r="BA5" s="2">
        <v>2057</v>
      </c>
      <c r="BB5" s="2">
        <v>2058</v>
      </c>
      <c r="BC5" s="2">
        <v>2059</v>
      </c>
      <c r="BD5" s="2">
        <v>2060</v>
      </c>
    </row>
    <row r="6" spans="1:56" ht="15" x14ac:dyDescent="0.25">
      <c r="A6" s="2" t="s">
        <v>81</v>
      </c>
      <c r="B6" s="2" t="s">
        <v>82</v>
      </c>
      <c r="C6" s="2"/>
      <c r="D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row>
    <row r="7" spans="1:56" ht="15" x14ac:dyDescent="0.25">
      <c r="A7" s="1" t="s">
        <v>83</v>
      </c>
      <c r="B7" s="8"/>
      <c r="C7" s="7">
        <f>0.436+1.313--0.052</f>
        <v>1.8009999999999999</v>
      </c>
      <c r="D7" s="7">
        <f>0.385+-0.995-0.034</f>
        <v>-0.64400000000000002</v>
      </c>
      <c r="E7" s="7">
        <f>0.383+-3.495--0.323</f>
        <v>-2.7890000000000001</v>
      </c>
      <c r="F7" s="7">
        <f>0.433+1.75-0.502</f>
        <v>1.6809999999999998</v>
      </c>
      <c r="G7" s="7">
        <f>0.518+3.518-0.169</f>
        <v>3.8669999999999995</v>
      </c>
      <c r="H7" s="7">
        <f>0.539+-0.204-0.132</f>
        <v>0.20300000000000007</v>
      </c>
      <c r="I7" s="7">
        <f>0.595+4.374-0.165</f>
        <v>4.8039999999999994</v>
      </c>
      <c r="J7" s="7">
        <f>0.767+3.735-0.164</f>
        <v>4.3380000000000001</v>
      </c>
      <c r="K7" s="7">
        <f>0.76+3.156-0.198</f>
        <v>3.7180000000000004</v>
      </c>
      <c r="L7" s="7">
        <v>-0.38200000000000001</v>
      </c>
      <c r="M7" s="7">
        <v>2.5570000000000004</v>
      </c>
      <c r="N7" s="7">
        <v>2.734</v>
      </c>
      <c r="O7" s="7">
        <v>2.9279999999999999</v>
      </c>
      <c r="P7" s="7">
        <v>3.1359999999999997</v>
      </c>
      <c r="Q7" s="7">
        <v>2.7233787472465294</v>
      </c>
      <c r="R7" s="7">
        <v>3.1600670406275055</v>
      </c>
      <c r="S7" s="7">
        <v>3.6323263578033185</v>
      </c>
      <c r="T7" s="7">
        <v>4.1396301142377432</v>
      </c>
      <c r="U7" s="7">
        <v>4.6524121201845414</v>
      </c>
      <c r="V7" s="7">
        <v>5.094611576117499</v>
      </c>
      <c r="W7" s="7">
        <v>5.5406335645103848</v>
      </c>
      <c r="X7" s="7">
        <v>5.9886471477153878</v>
      </c>
      <c r="Y7" s="7">
        <v>6.4384731149354826</v>
      </c>
      <c r="Z7" s="7">
        <v>6.8916997730294689</v>
      </c>
      <c r="AA7" s="7">
        <v>7.3502742157236112</v>
      </c>
      <c r="AB7" s="7">
        <v>7.814359451148511</v>
      </c>
      <c r="AC7" s="7">
        <v>8.2831709302839442</v>
      </c>
      <c r="AD7" s="7">
        <v>8.7558299079775495</v>
      </c>
      <c r="AE7" s="7">
        <v>9.2324026510573223</v>
      </c>
      <c r="AF7" s="7">
        <v>9.712208546436699</v>
      </c>
      <c r="AG7" s="7">
        <v>10.195265905400763</v>
      </c>
      <c r="AH7" s="7">
        <v>10.685638964719494</v>
      </c>
      <c r="AI7" s="7">
        <v>11.189502835891057</v>
      </c>
      <c r="AJ7" s="7">
        <v>11.714564465767738</v>
      </c>
      <c r="AK7" s="7">
        <v>12.26980133490018</v>
      </c>
      <c r="AL7" s="7">
        <v>12.862446634505122</v>
      </c>
      <c r="AM7" s="7">
        <v>13.498723337279996</v>
      </c>
      <c r="AN7" s="7">
        <v>14.183831122028458</v>
      </c>
      <c r="AO7" s="7">
        <v>14.921398893690087</v>
      </c>
      <c r="AP7" s="7">
        <v>15.716074212886758</v>
      </c>
      <c r="AQ7" s="7">
        <v>16.571932676933404</v>
      </c>
      <c r="AR7" s="7">
        <v>17.49178843974029</v>
      </c>
      <c r="AS7" s="7">
        <v>18.478397732412184</v>
      </c>
      <c r="AT7" s="7">
        <v>19.535813645244236</v>
      </c>
      <c r="AU7" s="7">
        <v>20.666525624669283</v>
      </c>
      <c r="AV7" s="7">
        <v>21.87050853673513</v>
      </c>
      <c r="AW7" s="7">
        <v>23.144205077439693</v>
      </c>
      <c r="AX7" s="7">
        <v>24.481683112213602</v>
      </c>
      <c r="AY7" s="7">
        <v>25.874888877574918</v>
      </c>
      <c r="AZ7" s="7">
        <v>27.313508754672583</v>
      </c>
      <c r="BA7" s="7">
        <v>28.793703935170857</v>
      </c>
      <c r="BB7" s="7">
        <v>30.316430717858513</v>
      </c>
      <c r="BC7" s="7">
        <v>31.882004115458994</v>
      </c>
      <c r="BD7" s="7">
        <v>33.490161490244773</v>
      </c>
    </row>
    <row r="8" spans="1:56" x14ac:dyDescent="0.2">
      <c r="A8" s="4" t="s">
        <v>84</v>
      </c>
      <c r="B8" s="7"/>
      <c r="C8" s="7">
        <v>0.70699999999999996</v>
      </c>
      <c r="D8" s="7">
        <v>0.23699999999999999</v>
      </c>
      <c r="E8" s="7">
        <v>4.0000000000000001E-3</v>
      </c>
      <c r="F8" s="7">
        <v>-2.7E-2</v>
      </c>
      <c r="G8" s="7">
        <v>0.872</v>
      </c>
      <c r="H8" s="7">
        <v>0.16</v>
      </c>
      <c r="I8" s="7">
        <v>0.98299999999999998</v>
      </c>
      <c r="J8" s="7">
        <v>1.0740000000000001</v>
      </c>
      <c r="K8" s="7">
        <v>4.5999999999999999E-2</v>
      </c>
      <c r="L8" s="7">
        <v>0.128</v>
      </c>
      <c r="M8" s="7">
        <v>0.61</v>
      </c>
      <c r="N8" s="7">
        <v>0.65400000000000003</v>
      </c>
      <c r="O8" s="7">
        <v>0.70099999999999996</v>
      </c>
      <c r="P8" s="7">
        <v>0.752</v>
      </c>
      <c r="Q8" s="7">
        <v>0.65361089933916705</v>
      </c>
      <c r="R8" s="7">
        <v>0.75841608975060126</v>
      </c>
      <c r="S8" s="7">
        <v>0.87175832587279645</v>
      </c>
      <c r="T8" s="7">
        <v>0.99351122741705833</v>
      </c>
      <c r="U8" s="7">
        <v>1.1165789088442899</v>
      </c>
      <c r="V8" s="7">
        <v>1.2227067782681997</v>
      </c>
      <c r="W8" s="7">
        <v>1.3297520554824922</v>
      </c>
      <c r="X8" s="7">
        <v>1.4372753154516931</v>
      </c>
      <c r="Y8" s="7">
        <v>1.5452335475845158</v>
      </c>
      <c r="Z8" s="7">
        <v>1.6540079455270724</v>
      </c>
      <c r="AA8" s="7">
        <v>1.7640658117736667</v>
      </c>
      <c r="AB8" s="7">
        <v>1.8754462682756425</v>
      </c>
      <c r="AC8" s="7">
        <v>1.9879610232681466</v>
      </c>
      <c r="AD8" s="7">
        <v>2.1013991779146117</v>
      </c>
      <c r="AE8" s="7">
        <v>2.2157766362537572</v>
      </c>
      <c r="AF8" s="7">
        <v>2.3309300511448074</v>
      </c>
      <c r="AG8" s="7">
        <v>2.4468638172961832</v>
      </c>
      <c r="AH8" s="7">
        <v>2.5645533515326786</v>
      </c>
      <c r="AI8" s="7">
        <v>2.6854806806138534</v>
      </c>
      <c r="AJ8" s="7">
        <v>2.8114954717842573</v>
      </c>
      <c r="AK8" s="7">
        <v>2.9447523203760428</v>
      </c>
      <c r="AL8" s="7">
        <v>3.0869871922812293</v>
      </c>
      <c r="AM8" s="7">
        <v>3.239693600947199</v>
      </c>
      <c r="AN8" s="7">
        <v>3.40411946928683</v>
      </c>
      <c r="AO8" s="7">
        <v>3.5811357344856209</v>
      </c>
      <c r="AP8" s="7">
        <v>3.7718578110928216</v>
      </c>
      <c r="AQ8" s="7">
        <v>3.977263842464017</v>
      </c>
      <c r="AR8" s="7">
        <v>4.1980292255376694</v>
      </c>
      <c r="AS8" s="7">
        <v>4.4348154557789234</v>
      </c>
      <c r="AT8" s="7">
        <v>4.6885952748586162</v>
      </c>
      <c r="AU8" s="7">
        <v>4.9599661499206276</v>
      </c>
      <c r="AV8" s="7">
        <v>5.2489220488164312</v>
      </c>
      <c r="AW8" s="7">
        <v>5.5546092185855258</v>
      </c>
      <c r="AX8" s="7">
        <v>5.875603946931264</v>
      </c>
      <c r="AY8" s="7">
        <v>6.2099733306179798</v>
      </c>
      <c r="AZ8" s="7">
        <v>6.5552421011214195</v>
      </c>
      <c r="BA8" s="7">
        <v>6.9104889444410054</v>
      </c>
      <c r="BB8" s="7">
        <v>7.2759433722860427</v>
      </c>
      <c r="BC8" s="7">
        <v>7.6516809877101579</v>
      </c>
      <c r="BD8" s="7">
        <v>8.0376387576587458</v>
      </c>
    </row>
    <row r="9" spans="1:56" x14ac:dyDescent="0.2">
      <c r="A9" s="1" t="s">
        <v>85</v>
      </c>
      <c r="B9" s="7"/>
      <c r="C9" s="7">
        <v>2.048</v>
      </c>
      <c r="D9" s="7">
        <v>2.1040000000000001</v>
      </c>
      <c r="E9" s="7">
        <v>2.2429999999999999</v>
      </c>
      <c r="F9" s="7">
        <v>0.25</v>
      </c>
      <c r="G9" s="7">
        <v>0</v>
      </c>
      <c r="H9" s="7">
        <v>0</v>
      </c>
      <c r="I9" s="7">
        <v>0</v>
      </c>
      <c r="J9" s="7">
        <v>0</v>
      </c>
      <c r="K9" s="7">
        <v>0</v>
      </c>
      <c r="L9" s="7">
        <v>0</v>
      </c>
      <c r="M9" s="7">
        <v>0</v>
      </c>
      <c r="N9" s="7">
        <v>0</v>
      </c>
      <c r="O9" s="7">
        <v>0</v>
      </c>
      <c r="P9" s="7">
        <v>0</v>
      </c>
      <c r="Q9" s="7">
        <v>2.964</v>
      </c>
      <c r="R9" s="7">
        <v>2.8650000000000002</v>
      </c>
      <c r="S9" s="7">
        <v>2.7120000000000002</v>
      </c>
      <c r="T9" s="7">
        <v>2.5110000000000001</v>
      </c>
      <c r="U9" s="7">
        <v>2.2930000000000001</v>
      </c>
      <c r="V9" s="7">
        <v>2.0219999999999998</v>
      </c>
      <c r="W9" s="7">
        <v>1.71</v>
      </c>
      <c r="X9" s="7">
        <v>1.387</v>
      </c>
      <c r="Y9" s="7">
        <v>1.0680000000000001</v>
      </c>
      <c r="Z9" s="7">
        <v>0.78500000000000003</v>
      </c>
      <c r="AA9" s="7">
        <v>0.51</v>
      </c>
      <c r="AB9" s="7">
        <v>0.222</v>
      </c>
      <c r="AC9" s="7">
        <v>-8.2000000000000003E-2</v>
      </c>
      <c r="AD9" s="7">
        <v>-0.4</v>
      </c>
      <c r="AE9" s="7">
        <v>-0.70699999999999996</v>
      </c>
      <c r="AF9" s="7">
        <v>-1.0509999999999999</v>
      </c>
      <c r="AG9" s="7">
        <v>-1.359</v>
      </c>
      <c r="AH9" s="7">
        <v>-1.601</v>
      </c>
      <c r="AI9" s="7">
        <v>-1.7589999999999999</v>
      </c>
      <c r="AJ9" s="7">
        <v>-1.821</v>
      </c>
      <c r="AK9" s="7">
        <v>-1.778</v>
      </c>
      <c r="AL9" s="7">
        <v>-1.702</v>
      </c>
      <c r="AM9" s="7">
        <v>-1.5529999999999999</v>
      </c>
      <c r="AN9" s="7">
        <v>-1.413</v>
      </c>
      <c r="AO9" s="7">
        <v>-1.2430000000000001</v>
      </c>
      <c r="AP9" s="7">
        <v>-1.0640000000000001</v>
      </c>
      <c r="AQ9" s="7">
        <v>-0.876</v>
      </c>
      <c r="AR9" s="7">
        <v>-0.72</v>
      </c>
      <c r="AS9" s="7">
        <v>-0.55700000000000005</v>
      </c>
      <c r="AT9" s="7">
        <v>-0.39900000000000002</v>
      </c>
      <c r="AU9" s="7">
        <v>-0.28199999999999997</v>
      </c>
      <c r="AV9" s="7">
        <v>-0.23899999999999999</v>
      </c>
      <c r="AW9" s="7">
        <v>-0.33</v>
      </c>
      <c r="AX9" s="7">
        <v>-0.54800000000000004</v>
      </c>
      <c r="AY9" s="7">
        <v>-0.94899999999999995</v>
      </c>
      <c r="AZ9" s="7">
        <v>-1.52</v>
      </c>
      <c r="BA9" s="7">
        <v>-2.0819999999999999</v>
      </c>
      <c r="BB9" s="7">
        <v>-2.6949999999999998</v>
      </c>
      <c r="BC9" s="7">
        <v>-3.3119999999999998</v>
      </c>
      <c r="BD9" s="7">
        <v>-4.0010000000000003</v>
      </c>
    </row>
    <row r="10" spans="1:56" x14ac:dyDescent="0.2">
      <c r="A10" s="1" t="s">
        <v>86</v>
      </c>
      <c r="B10" s="7"/>
      <c r="C10" s="7">
        <v>-2.4E-2</v>
      </c>
      <c r="D10" s="7">
        <v>1.6E-2</v>
      </c>
      <c r="E10" s="7">
        <v>2.5999999999999999E-2</v>
      </c>
      <c r="F10" s="7">
        <v>0.01</v>
      </c>
      <c r="G10" s="7">
        <v>1E-3</v>
      </c>
      <c r="H10" s="7">
        <v>8.0000000000000002E-3</v>
      </c>
      <c r="I10" s="7">
        <v>2.5000000000000001E-2</v>
      </c>
      <c r="J10" s="7">
        <v>-4.0000000000000001E-3</v>
      </c>
      <c r="K10" s="7">
        <v>4.1000000000000002E-2</v>
      </c>
      <c r="L10" s="7">
        <v>0.03</v>
      </c>
      <c r="M10" s="7">
        <v>1.7000000000000001E-2</v>
      </c>
      <c r="N10" s="7">
        <v>2.2000000000000002E-2</v>
      </c>
      <c r="O10" s="7">
        <v>2.5000000000000001E-2</v>
      </c>
      <c r="P10" s="7">
        <v>2.8999999999999998E-2</v>
      </c>
      <c r="Q10" s="7">
        <v>2.5184306017267011E-2</v>
      </c>
      <c r="R10" s="7">
        <v>2.9222558730292621E-2</v>
      </c>
      <c r="S10" s="7">
        <v>3.3589752671012829E-2</v>
      </c>
      <c r="T10" s="7">
        <v>3.8281018275795456E-2</v>
      </c>
      <c r="U10" s="7">
        <v>4.3022943713441231E-2</v>
      </c>
      <c r="V10" s="7">
        <v>4.7112160620984528E-2</v>
      </c>
      <c r="W10" s="7">
        <v>5.1236726202423845E-2</v>
      </c>
      <c r="X10" s="7">
        <v>5.5379708955276233E-2</v>
      </c>
      <c r="Y10" s="7">
        <v>5.9539451636839616E-2</v>
      </c>
      <c r="Z10" s="7">
        <v>6.373064203375467E-2</v>
      </c>
      <c r="AA10" s="7">
        <v>6.7971285795913508E-2</v>
      </c>
      <c r="AB10" s="7">
        <v>7.2262890332687138E-2</v>
      </c>
      <c r="AC10" s="7">
        <v>7.6598200567039046E-2</v>
      </c>
      <c r="AD10" s="7">
        <v>8.09690903480067E-2</v>
      </c>
      <c r="AE10" s="7">
        <v>8.5376172474701029E-2</v>
      </c>
      <c r="AF10" s="7">
        <v>8.98131530123292E-2</v>
      </c>
      <c r="AG10" s="7">
        <v>9.4280201293565763E-2</v>
      </c>
      <c r="AH10" s="7">
        <v>9.8814901140582084E-2</v>
      </c>
      <c r="AI10" s="7">
        <v>0.10347435658190074</v>
      </c>
      <c r="AJ10" s="7">
        <v>0.10832983721532669</v>
      </c>
      <c r="AK10" s="7">
        <v>0.11346436183421724</v>
      </c>
      <c r="AL10" s="7">
        <v>0.11894481900530886</v>
      </c>
      <c r="AM10" s="7">
        <v>0.12482875535112242</v>
      </c>
      <c r="AN10" s="7">
        <v>0.13116425463610501</v>
      </c>
      <c r="AO10" s="7">
        <v>0.13798487497353717</v>
      </c>
      <c r="AP10" s="7">
        <v>0.14533359444314925</v>
      </c>
      <c r="AQ10" s="7">
        <v>0.15324810192317243</v>
      </c>
      <c r="AR10" s="7">
        <v>0.16175442115831265</v>
      </c>
      <c r="AS10" s="7">
        <v>0.17087804025508718</v>
      </c>
      <c r="AT10" s="7">
        <v>0.1806564399592101</v>
      </c>
      <c r="AU10" s="7">
        <v>0.19111264129955652</v>
      </c>
      <c r="AV10" s="7">
        <v>0.20224641185118583</v>
      </c>
      <c r="AW10" s="7">
        <v>0.2140248556268339</v>
      </c>
      <c r="AX10" s="7">
        <v>0.22639311551473038</v>
      </c>
      <c r="AY10" s="7">
        <v>0.23927671474798234</v>
      </c>
      <c r="AZ10" s="7">
        <v>0.25258027866246968</v>
      </c>
      <c r="BA10" s="7">
        <v>0.26626830807396518</v>
      </c>
      <c r="BB10" s="7">
        <v>0.28034964630672726</v>
      </c>
      <c r="BC10" s="7">
        <v>0.29482720642484395</v>
      </c>
      <c r="BD10" s="7">
        <v>0.30969855969932975</v>
      </c>
    </row>
    <row r="11" spans="1:56" ht="15" x14ac:dyDescent="0.25">
      <c r="A11" s="2" t="s">
        <v>87</v>
      </c>
      <c r="B11" s="8">
        <v>9.8549999999999986</v>
      </c>
      <c r="C11" s="8">
        <v>12.972999999999999</v>
      </c>
      <c r="D11" s="8">
        <v>14.211999999999998</v>
      </c>
      <c r="E11" s="8">
        <v>13.687999999999997</v>
      </c>
      <c r="F11" s="8">
        <v>15.655999999999997</v>
      </c>
      <c r="G11" s="8">
        <v>18.651999999999997</v>
      </c>
      <c r="H11" s="8">
        <v>18.702999999999996</v>
      </c>
      <c r="I11" s="8">
        <v>22.548999999999992</v>
      </c>
      <c r="J11" s="8">
        <v>25.80899999999999</v>
      </c>
      <c r="K11" s="8">
        <v>29.521999999999991</v>
      </c>
      <c r="L11" s="8">
        <v>29.041999999999991</v>
      </c>
      <c r="M11" s="8">
        <v>31.00599999999999</v>
      </c>
      <c r="N11" s="8">
        <v>33.10799999999999</v>
      </c>
      <c r="O11" s="8">
        <v>35.359999999999985</v>
      </c>
      <c r="P11" s="8">
        <v>37.772999999999989</v>
      </c>
      <c r="Q11" s="8">
        <v>42.831952153924618</v>
      </c>
      <c r="R11" s="8">
        <v>48.127825663531816</v>
      </c>
      <c r="S11" s="8">
        <v>53.633983448133357</v>
      </c>
      <c r="T11" s="8">
        <v>59.329383353229844</v>
      </c>
      <c r="U11" s="8">
        <v>65.201239508283535</v>
      </c>
      <c r="V11" s="8">
        <v>71.142256466753821</v>
      </c>
      <c r="W11" s="8">
        <v>77.114374701984119</v>
      </c>
      <c r="X11" s="8">
        <v>83.108126243203088</v>
      </c>
      <c r="Y11" s="8">
        <v>89.128905262190884</v>
      </c>
      <c r="Z11" s="8">
        <v>95.215327731727044</v>
      </c>
      <c r="AA11" s="8">
        <v>101.37950742147291</v>
      </c>
      <c r="AB11" s="8">
        <v>107.61268349467845</v>
      </c>
      <c r="AC11" s="8">
        <v>113.90249160226129</v>
      </c>
      <c r="AD11" s="8">
        <v>120.23789142267223</v>
      </c>
      <c r="AE11" s="8">
        <v>126.6328936099505</v>
      </c>
      <c r="AF11" s="8">
        <v>133.05298525825472</v>
      </c>
      <c r="AG11" s="8">
        <v>139.53666754765285</v>
      </c>
      <c r="AH11" s="8">
        <v>146.15556806198023</v>
      </c>
      <c r="AI11" s="8">
        <v>153.00406457383934</v>
      </c>
      <c r="AJ11" s="8">
        <v>160.19446340503816</v>
      </c>
      <c r="AK11" s="8">
        <v>167.85497678139652</v>
      </c>
      <c r="AL11" s="8">
        <v>176.04738104262574</v>
      </c>
      <c r="AM11" s="8">
        <v>184.87823953430967</v>
      </c>
      <c r="AN11" s="8">
        <v>194.3761154416874</v>
      </c>
      <c r="AO11" s="8">
        <v>204.6113634758654</v>
      </c>
      <c r="AP11" s="8">
        <v>215.63691347210249</v>
      </c>
      <c r="AQ11" s="8">
        <v>227.50883040849504</v>
      </c>
      <c r="AR11" s="8">
        <v>240.24434404385599</v>
      </c>
      <c r="AS11" s="8">
        <v>253.90180436074434</v>
      </c>
      <c r="AT11" s="8">
        <v>268.53067917108916</v>
      </c>
      <c r="AU11" s="8">
        <v>284.14635128713741</v>
      </c>
      <c r="AV11" s="8">
        <v>300.73118418690734</v>
      </c>
      <c r="AW11" s="8">
        <v>318.2048049013884</v>
      </c>
      <c r="AX11" s="8">
        <v>336.48927718218545</v>
      </c>
      <c r="AY11" s="8">
        <v>355.44446944389034</v>
      </c>
      <c r="AZ11" s="8">
        <v>374.93531637610403</v>
      </c>
      <c r="BA11" s="8">
        <v>395.00279967490786</v>
      </c>
      <c r="BB11" s="8">
        <v>415.62863666678703</v>
      </c>
      <c r="BC11" s="8">
        <v>436.84178700096066</v>
      </c>
      <c r="BD11" s="8">
        <v>458.60300829324603</v>
      </c>
    </row>
    <row r="12" spans="1:56" x14ac:dyDescent="0.2">
      <c r="B12" s="3"/>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row>
    <row r="13" spans="1:56" ht="15" x14ac:dyDescent="0.25">
      <c r="A13" s="2" t="s">
        <v>88</v>
      </c>
      <c r="B13" s="2" t="s">
        <v>82</v>
      </c>
    </row>
    <row r="14" spans="1:56" x14ac:dyDescent="0.2">
      <c r="A14" s="1" t="s">
        <v>89</v>
      </c>
      <c r="C14" s="7">
        <v>1.1759999999999999</v>
      </c>
      <c r="D14" s="7">
        <v>1.2010000000000001</v>
      </c>
      <c r="E14" s="7">
        <v>1.35</v>
      </c>
      <c r="F14" s="7">
        <v>1.5249999999999999</v>
      </c>
      <c r="G14" s="7">
        <v>1.5640000000000001</v>
      </c>
      <c r="H14" s="7">
        <v>1.5860000000000001</v>
      </c>
      <c r="I14" s="7">
        <v>1.4810000000000001</v>
      </c>
      <c r="J14" s="7">
        <v>1.512</v>
      </c>
      <c r="K14" s="7">
        <v>1.518</v>
      </c>
      <c r="L14" s="7">
        <v>1.5389999999999999</v>
      </c>
      <c r="M14" s="7">
        <v>1.58</v>
      </c>
      <c r="N14" s="7">
        <v>1.6140000000000001</v>
      </c>
      <c r="O14" s="7">
        <v>1.619</v>
      </c>
      <c r="P14" s="7">
        <v>1.6459999999999999</v>
      </c>
      <c r="Q14" s="7">
        <v>1.6859999999999999</v>
      </c>
      <c r="R14" s="7">
        <v>1.736</v>
      </c>
      <c r="S14" s="7">
        <v>1.7909999999999999</v>
      </c>
      <c r="T14" s="7">
        <v>1.85</v>
      </c>
      <c r="U14" s="7">
        <v>1.911</v>
      </c>
      <c r="V14" s="7">
        <v>1.9730000000000001</v>
      </c>
      <c r="W14" s="7">
        <v>2.0390000000000001</v>
      </c>
      <c r="X14" s="7">
        <v>2.1070000000000002</v>
      </c>
      <c r="Y14" s="7">
        <v>2.173</v>
      </c>
      <c r="Z14" s="7">
        <v>2.238</v>
      </c>
      <c r="AA14" s="7">
        <v>2.3039999999999998</v>
      </c>
      <c r="AB14" s="7">
        <v>2.367</v>
      </c>
      <c r="AC14" s="7">
        <v>2.427</v>
      </c>
      <c r="AD14" s="7">
        <v>2.4889999999999999</v>
      </c>
      <c r="AE14" s="7">
        <v>2.5509999999999997</v>
      </c>
      <c r="AF14" s="7">
        <v>2.6169999999999995</v>
      </c>
      <c r="AG14" s="7">
        <v>2.6899999999999995</v>
      </c>
      <c r="AH14" s="7">
        <v>2.7689999999999997</v>
      </c>
      <c r="AI14" s="7">
        <v>2.8559999999999999</v>
      </c>
      <c r="AJ14" s="7">
        <v>2.948</v>
      </c>
      <c r="AK14" s="7">
        <v>3.0430000000000001</v>
      </c>
      <c r="AL14" s="7">
        <v>3.1420000000000003</v>
      </c>
      <c r="AM14" s="7">
        <v>3.2430000000000003</v>
      </c>
      <c r="AN14" s="7">
        <v>3.3450000000000002</v>
      </c>
      <c r="AO14" s="7">
        <v>3.45</v>
      </c>
      <c r="AP14" s="7">
        <v>3.5550000000000002</v>
      </c>
      <c r="AQ14" s="7">
        <v>3.661</v>
      </c>
      <c r="AR14" s="7">
        <v>3.766</v>
      </c>
      <c r="AS14" s="7">
        <v>3.8730000000000002</v>
      </c>
      <c r="AT14" s="7">
        <v>3.9810000000000003</v>
      </c>
      <c r="AU14" s="7">
        <v>4.0920000000000005</v>
      </c>
      <c r="AV14" s="7">
        <v>4.2070000000000007</v>
      </c>
      <c r="AW14" s="7">
        <v>4.3250000000000011</v>
      </c>
      <c r="AX14" s="7">
        <v>4.4490000000000007</v>
      </c>
      <c r="AY14" s="7">
        <v>4.5770000000000008</v>
      </c>
      <c r="AZ14" s="7">
        <v>4.7040000000000006</v>
      </c>
      <c r="BA14" s="7">
        <v>4.8330000000000002</v>
      </c>
      <c r="BB14" s="7">
        <v>4.9649999999999999</v>
      </c>
      <c r="BC14" s="7">
        <v>5.1020000000000003</v>
      </c>
      <c r="BD14" s="7">
        <v>5.2410000000000005</v>
      </c>
    </row>
    <row r="15" spans="1:56" x14ac:dyDescent="0.2">
      <c r="A15" s="4" t="s">
        <v>90</v>
      </c>
      <c r="C15" s="7">
        <v>0.48799999999999999</v>
      </c>
      <c r="D15" s="7">
        <v>0.48699999999999999</v>
      </c>
      <c r="E15" s="7">
        <v>0.53200000000000003</v>
      </c>
      <c r="F15" s="7">
        <v>0.72799999999999998</v>
      </c>
      <c r="G15" s="7">
        <v>0.71299999999999997</v>
      </c>
      <c r="H15" s="7">
        <v>0.70099999999999996</v>
      </c>
      <c r="I15" s="7">
        <v>0.53600000000000003</v>
      </c>
      <c r="J15" s="7">
        <v>0.63</v>
      </c>
      <c r="K15" s="7">
        <v>0.60199999999999998</v>
      </c>
      <c r="L15" s="7">
        <v>0.67</v>
      </c>
      <c r="M15" s="7">
        <v>0.68899999999999995</v>
      </c>
      <c r="N15" s="7">
        <v>0.70299999999999996</v>
      </c>
      <c r="O15" s="7">
        <v>0.70599999999999996</v>
      </c>
      <c r="P15" s="7">
        <v>0.71699999999999997</v>
      </c>
      <c r="Q15" s="7">
        <v>0.72199999999999998</v>
      </c>
      <c r="R15" s="7">
        <v>0.72699999999999998</v>
      </c>
      <c r="S15" s="7">
        <v>0.74099999999999999</v>
      </c>
      <c r="T15" s="7">
        <v>0.755</v>
      </c>
      <c r="U15" s="7">
        <v>0.78</v>
      </c>
      <c r="V15" s="7">
        <v>0.80200000000000005</v>
      </c>
      <c r="W15" s="7">
        <v>0.82699999999999996</v>
      </c>
      <c r="X15" s="7">
        <v>0.85199999999999998</v>
      </c>
      <c r="Y15" s="7">
        <v>0.874</v>
      </c>
      <c r="Z15" s="7">
        <v>0.89600000000000002</v>
      </c>
      <c r="AA15" s="7">
        <v>0.92200000000000004</v>
      </c>
      <c r="AB15" s="7">
        <v>0.94500000000000006</v>
      </c>
      <c r="AC15" s="7">
        <v>0.96700000000000008</v>
      </c>
      <c r="AD15" s="7">
        <v>0.9890000000000001</v>
      </c>
      <c r="AE15" s="7">
        <v>1.0110000000000001</v>
      </c>
      <c r="AF15" s="7">
        <v>1.0350000000000001</v>
      </c>
      <c r="AG15" s="7">
        <v>1.0640000000000001</v>
      </c>
      <c r="AH15" s="7">
        <v>1.0920000000000001</v>
      </c>
      <c r="AI15" s="7">
        <v>1.125</v>
      </c>
      <c r="AJ15" s="7">
        <v>1.1619999999999999</v>
      </c>
      <c r="AK15" s="7">
        <v>1.1949999999999998</v>
      </c>
      <c r="AL15" s="7">
        <v>1.2299999999999998</v>
      </c>
      <c r="AM15" s="7">
        <v>1.2629999999999997</v>
      </c>
      <c r="AN15" s="7">
        <v>1.2969999999999997</v>
      </c>
      <c r="AO15" s="7">
        <v>1.3399999999999996</v>
      </c>
      <c r="AP15" s="7">
        <v>1.3819999999999997</v>
      </c>
      <c r="AQ15" s="7">
        <v>1.4199999999999997</v>
      </c>
      <c r="AR15" s="7">
        <v>1.4539999999999997</v>
      </c>
      <c r="AS15" s="7">
        <v>1.4869999999999997</v>
      </c>
      <c r="AT15" s="7">
        <v>1.5179999999999996</v>
      </c>
      <c r="AU15" s="7">
        <v>1.5549999999999995</v>
      </c>
      <c r="AV15" s="7">
        <v>1.5919999999999994</v>
      </c>
      <c r="AW15" s="7">
        <v>1.6259999999999994</v>
      </c>
      <c r="AX15" s="7">
        <v>1.6659999999999995</v>
      </c>
      <c r="AY15" s="7">
        <v>1.7039999999999995</v>
      </c>
      <c r="AZ15" s="7">
        <v>1.7419999999999995</v>
      </c>
      <c r="BA15" s="7">
        <v>1.7829999999999995</v>
      </c>
      <c r="BB15" s="7">
        <v>1.8249999999999995</v>
      </c>
      <c r="BC15" s="7">
        <v>1.8739999999999994</v>
      </c>
      <c r="BD15" s="7">
        <v>1.9149999999999994</v>
      </c>
    </row>
    <row r="16" spans="1:56" x14ac:dyDescent="0.2">
      <c r="A16" s="4" t="s">
        <v>91</v>
      </c>
      <c r="C16" s="7">
        <v>0.55500000000000005</v>
      </c>
      <c r="D16" s="7">
        <v>0.629</v>
      </c>
      <c r="E16" s="7">
        <v>0.71</v>
      </c>
      <c r="F16" s="7">
        <v>0.754</v>
      </c>
      <c r="G16" s="7">
        <v>0.80200000000000005</v>
      </c>
      <c r="H16" s="7">
        <v>0.877</v>
      </c>
      <c r="I16" s="7">
        <v>1.054</v>
      </c>
      <c r="J16" s="7">
        <v>1.032</v>
      </c>
      <c r="K16" s="7">
        <v>1.1140000000000001</v>
      </c>
      <c r="L16" s="7">
        <v>1.1910000000000001</v>
      </c>
      <c r="M16" s="7">
        <v>1.2470000000000001</v>
      </c>
      <c r="N16" s="7">
        <v>1.3029999999999999</v>
      </c>
      <c r="O16" s="7">
        <v>1.3779999999999999</v>
      </c>
      <c r="P16" s="7">
        <v>1.419</v>
      </c>
      <c r="Q16" s="7">
        <v>1.3839999999999999</v>
      </c>
      <c r="R16" s="7">
        <v>1.4590000000000001</v>
      </c>
      <c r="S16" s="7">
        <v>1.5269999999999999</v>
      </c>
      <c r="T16" s="7">
        <v>1.589</v>
      </c>
      <c r="U16" s="7">
        <v>1.6479999999999999</v>
      </c>
      <c r="V16" s="7">
        <v>1.7050000000000001</v>
      </c>
      <c r="W16" s="7">
        <v>1.756</v>
      </c>
      <c r="X16" s="7">
        <v>1.8140000000000001</v>
      </c>
      <c r="Y16" s="7">
        <v>1.871</v>
      </c>
      <c r="Z16" s="7">
        <v>1.93</v>
      </c>
      <c r="AA16" s="7">
        <v>1.9909999999999999</v>
      </c>
      <c r="AB16" s="7">
        <v>2.0419999999999998</v>
      </c>
      <c r="AC16" s="7">
        <v>2.0979999999999999</v>
      </c>
      <c r="AD16" s="7">
        <v>2.1559999999999997</v>
      </c>
      <c r="AE16" s="7">
        <v>2.2259999999999995</v>
      </c>
      <c r="AF16" s="7">
        <v>2.2939999999999996</v>
      </c>
      <c r="AG16" s="7">
        <v>2.3609999999999998</v>
      </c>
      <c r="AH16" s="7">
        <v>2.4149999999999996</v>
      </c>
      <c r="AI16" s="7">
        <v>2.4789999999999996</v>
      </c>
      <c r="AJ16" s="7">
        <v>2.5419999999999998</v>
      </c>
      <c r="AK16" s="7">
        <v>2.6139999999999999</v>
      </c>
      <c r="AL16" s="7">
        <v>2.6789999999999998</v>
      </c>
      <c r="AM16" s="7">
        <v>2.7439999999999998</v>
      </c>
      <c r="AN16" s="7">
        <v>2.831</v>
      </c>
      <c r="AO16" s="7">
        <v>2.9289999999999998</v>
      </c>
      <c r="AP16" s="7">
        <v>3.0369999999999999</v>
      </c>
      <c r="AQ16" s="7">
        <v>3.13</v>
      </c>
      <c r="AR16" s="7">
        <v>3.222</v>
      </c>
      <c r="AS16" s="7">
        <v>3.3290000000000002</v>
      </c>
      <c r="AT16" s="7">
        <v>3.4340000000000002</v>
      </c>
      <c r="AU16" s="7">
        <v>3.5609999999999999</v>
      </c>
      <c r="AV16" s="7">
        <v>3.6619999999999999</v>
      </c>
      <c r="AW16" s="7">
        <v>3.7759999999999998</v>
      </c>
      <c r="AX16" s="7">
        <v>3.8979999999999997</v>
      </c>
      <c r="AY16" s="7">
        <v>4.0190000000000001</v>
      </c>
      <c r="AZ16" s="7">
        <v>4.1230000000000002</v>
      </c>
      <c r="BA16" s="7">
        <v>4.2560000000000002</v>
      </c>
      <c r="BB16" s="7">
        <v>4.3959999999999999</v>
      </c>
      <c r="BC16" s="7">
        <v>4.5169999999999995</v>
      </c>
      <c r="BD16" s="7">
        <v>4.6259999999999994</v>
      </c>
    </row>
    <row r="17" spans="1:56" x14ac:dyDescent="0.2">
      <c r="A17" s="1" t="s">
        <v>92</v>
      </c>
      <c r="C17" s="7">
        <v>0.36</v>
      </c>
      <c r="D17" s="7">
        <v>0.40699999999999997</v>
      </c>
      <c r="E17" s="7">
        <v>0.46500000000000002</v>
      </c>
      <c r="F17" s="7">
        <v>0.46300000000000002</v>
      </c>
      <c r="G17" s="7">
        <v>0.48399999999999999</v>
      </c>
      <c r="H17" s="7">
        <v>0.52600000000000002</v>
      </c>
      <c r="I17" s="7">
        <v>0.59</v>
      </c>
      <c r="J17" s="7">
        <v>0.57899999999999996</v>
      </c>
      <c r="K17" s="7">
        <v>0.60399999999999998</v>
      </c>
      <c r="L17" s="7">
        <v>0.59399999999999997</v>
      </c>
      <c r="M17" s="7">
        <v>0.60799999999999998</v>
      </c>
      <c r="N17" s="7">
        <v>0.61699999999999999</v>
      </c>
      <c r="O17" s="7">
        <v>0.622</v>
      </c>
      <c r="P17" s="7">
        <v>0.625</v>
      </c>
      <c r="Q17" s="7">
        <v>0.63900000000000001</v>
      </c>
      <c r="R17" s="7">
        <v>0.66400000000000003</v>
      </c>
      <c r="S17" s="7">
        <v>0.68400000000000005</v>
      </c>
      <c r="T17" s="7">
        <v>0.71099999999999997</v>
      </c>
      <c r="U17" s="7">
        <v>0.72899999999999998</v>
      </c>
      <c r="V17" s="7">
        <v>0.746</v>
      </c>
      <c r="W17" s="7">
        <v>0.76300000000000001</v>
      </c>
      <c r="X17" s="7">
        <v>0.78500000000000003</v>
      </c>
      <c r="Y17" s="7">
        <v>0.80400000000000005</v>
      </c>
      <c r="Z17" s="7">
        <v>0.82599999999999996</v>
      </c>
      <c r="AA17" s="7">
        <v>0.85</v>
      </c>
      <c r="AB17" s="7">
        <v>0.87</v>
      </c>
      <c r="AC17" s="7">
        <v>0.89300000000000002</v>
      </c>
      <c r="AD17" s="7">
        <v>0.91600000000000004</v>
      </c>
      <c r="AE17" s="7">
        <v>0.94100000000000006</v>
      </c>
      <c r="AF17" s="7">
        <v>0.96400000000000008</v>
      </c>
      <c r="AG17" s="7">
        <v>0.9890000000000001</v>
      </c>
      <c r="AH17" s="7">
        <v>1.012</v>
      </c>
      <c r="AI17" s="7">
        <v>1.0409999999999999</v>
      </c>
      <c r="AJ17" s="7">
        <v>1.0669999999999999</v>
      </c>
      <c r="AK17" s="7">
        <v>1.0979999999999999</v>
      </c>
      <c r="AL17" s="7">
        <v>1.1299999999999999</v>
      </c>
      <c r="AM17" s="7">
        <v>1.1619999999999999</v>
      </c>
      <c r="AN17" s="7">
        <v>1.2009999999999998</v>
      </c>
      <c r="AO17" s="7">
        <v>1.2369999999999999</v>
      </c>
      <c r="AP17" s="7">
        <v>1.2749999999999999</v>
      </c>
      <c r="AQ17" s="7">
        <v>1.3129999999999999</v>
      </c>
      <c r="AR17" s="7">
        <v>1.3499999999999999</v>
      </c>
      <c r="AS17" s="7">
        <v>1.3939999999999999</v>
      </c>
      <c r="AT17" s="7">
        <v>1.4309999999999998</v>
      </c>
      <c r="AU17" s="7">
        <v>1.4729999999999999</v>
      </c>
      <c r="AV17" s="7">
        <v>1.5119999999999998</v>
      </c>
      <c r="AW17" s="7">
        <v>1.5539999999999998</v>
      </c>
      <c r="AX17" s="7">
        <v>1.5929999999999997</v>
      </c>
      <c r="AY17" s="7">
        <v>1.6349999999999998</v>
      </c>
      <c r="AZ17" s="7">
        <v>1.6749999999999998</v>
      </c>
      <c r="BA17" s="7">
        <v>1.7189999999999999</v>
      </c>
      <c r="BB17" s="7">
        <v>1.7599999999999998</v>
      </c>
      <c r="BC17" s="7">
        <v>1.7989999999999997</v>
      </c>
      <c r="BD17" s="7">
        <v>1.8419999999999996</v>
      </c>
    </row>
    <row r="18" spans="1:56" x14ac:dyDescent="0.2">
      <c r="A18" s="4" t="s">
        <v>93</v>
      </c>
      <c r="C18" s="7">
        <v>0.151</v>
      </c>
      <c r="D18" s="7">
        <v>-0.23100000000000001</v>
      </c>
      <c r="E18" s="7">
        <v>0.77900000000000003</v>
      </c>
      <c r="F18" s="7">
        <v>0.28000000000000003</v>
      </c>
      <c r="G18" s="7">
        <v>-0.125</v>
      </c>
      <c r="H18" s="7">
        <v>-0.28599999999999998</v>
      </c>
      <c r="I18" s="7">
        <v>0.48399999999999999</v>
      </c>
      <c r="J18" s="7">
        <v>1.2E-2</v>
      </c>
      <c r="K18" s="7">
        <v>0.26900000000000002</v>
      </c>
      <c r="L18" s="7">
        <v>4.9000000000000002E-2</v>
      </c>
      <c r="M18" s="7">
        <v>0.1</v>
      </c>
      <c r="N18" s="7">
        <v>0.1</v>
      </c>
      <c r="O18" s="7">
        <v>0.1</v>
      </c>
      <c r="P18" s="7">
        <v>0.1</v>
      </c>
      <c r="Q18" s="7">
        <v>0</v>
      </c>
      <c r="R18" s="7">
        <v>0</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v>0</v>
      </c>
      <c r="AU18" s="7">
        <v>0</v>
      </c>
      <c r="AV18" s="7">
        <v>0</v>
      </c>
      <c r="AW18" s="7">
        <v>0</v>
      </c>
      <c r="AX18" s="7">
        <v>0</v>
      </c>
      <c r="AY18" s="7">
        <v>0</v>
      </c>
      <c r="AZ18" s="7">
        <v>0</v>
      </c>
      <c r="BA18" s="7">
        <v>0</v>
      </c>
      <c r="BB18" s="7">
        <v>0</v>
      </c>
      <c r="BC18" s="7">
        <v>0</v>
      </c>
      <c r="BD18" s="7">
        <v>0</v>
      </c>
    </row>
    <row r="19" spans="1:56" x14ac:dyDescent="0.2">
      <c r="A19" s="1" t="s">
        <v>94</v>
      </c>
      <c r="C19" s="7">
        <v>0.1</v>
      </c>
      <c r="D19" s="7">
        <v>7.0000000000000001E-3</v>
      </c>
      <c r="E19" s="7">
        <v>1.7999999999999999E-2</v>
      </c>
      <c r="F19" s="7">
        <v>1.0999999999999999E-2</v>
      </c>
      <c r="G19" s="7">
        <v>1.2E-2</v>
      </c>
      <c r="H19" s="7">
        <v>1.0999999999999999E-2</v>
      </c>
      <c r="I19" s="7">
        <v>0</v>
      </c>
      <c r="J19" s="7">
        <v>1.0999999999999999E-2</v>
      </c>
      <c r="K19" s="7">
        <v>1.0999999999999999E-2</v>
      </c>
      <c r="L19" s="7">
        <v>0.01</v>
      </c>
      <c r="M19" s="7">
        <v>1.0999999999999999E-2</v>
      </c>
      <c r="N19" s="7">
        <v>0.01</v>
      </c>
      <c r="O19" s="7">
        <v>1.0999999999999999E-2</v>
      </c>
      <c r="P19" s="7">
        <v>0.01</v>
      </c>
      <c r="Q19" s="7">
        <v>1.0999999999999999E-2</v>
      </c>
      <c r="R19" s="7">
        <v>0.01</v>
      </c>
      <c r="S19" s="7">
        <v>1.0999999999999999E-2</v>
      </c>
      <c r="T19" s="7">
        <v>0.01</v>
      </c>
      <c r="U19" s="7">
        <v>8.9999999999999993E-3</v>
      </c>
      <c r="V19" s="7">
        <v>1.0999999999999999E-2</v>
      </c>
      <c r="W19" s="7">
        <v>1.0999999999999999E-2</v>
      </c>
      <c r="X19" s="7">
        <v>1.0999999999999999E-2</v>
      </c>
      <c r="Y19" s="7">
        <v>1.0999999999999999E-2</v>
      </c>
      <c r="Z19" s="7">
        <v>0.01</v>
      </c>
      <c r="AA19" s="7">
        <v>1.0999999999999999E-2</v>
      </c>
      <c r="AB19" s="7">
        <v>1.133E-2</v>
      </c>
      <c r="AC19" s="7">
        <v>1.16699E-2</v>
      </c>
      <c r="AD19" s="7">
        <v>1.2019997000000001E-2</v>
      </c>
      <c r="AE19" s="7">
        <v>1.2380596910000001E-2</v>
      </c>
      <c r="AF19" s="7">
        <v>1.2752014817300001E-2</v>
      </c>
      <c r="AG19" s="7">
        <v>1.3134575261819001E-2</v>
      </c>
      <c r="AH19" s="7">
        <v>1.3528612519673572E-2</v>
      </c>
      <c r="AI19" s="7">
        <v>1.3934470895263779E-2</v>
      </c>
      <c r="AJ19" s="7">
        <v>1.4352505022121693E-2</v>
      </c>
      <c r="AK19" s="7">
        <v>1.4783080172785344E-2</v>
      </c>
      <c r="AL19" s="7">
        <v>1.5226572577968904E-2</v>
      </c>
      <c r="AM19" s="7">
        <v>1.5683369755307972E-2</v>
      </c>
      <c r="AN19" s="7">
        <v>1.6153870847967211E-2</v>
      </c>
      <c r="AO19" s="7">
        <v>1.6638486973406228E-2</v>
      </c>
      <c r="AP19" s="7">
        <v>1.7137641582608415E-2</v>
      </c>
      <c r="AQ19" s="7">
        <v>1.7651770830086667E-2</v>
      </c>
      <c r="AR19" s="7">
        <v>1.8181323954989267E-2</v>
      </c>
      <c r="AS19" s="7">
        <v>1.8726763673638947E-2</v>
      </c>
      <c r="AT19" s="7">
        <v>1.9288566583848116E-2</v>
      </c>
      <c r="AU19" s="7">
        <v>1.9867223581363561E-2</v>
      </c>
      <c r="AV19" s="7">
        <v>2.0463240288804467E-2</v>
      </c>
      <c r="AW19" s="7">
        <v>2.10771374974686E-2</v>
      </c>
      <c r="AX19" s="7">
        <v>2.1709451622392659E-2</v>
      </c>
      <c r="AY19" s="7">
        <v>2.236073517106444E-2</v>
      </c>
      <c r="AZ19" s="7">
        <v>2.3031557226196375E-2</v>
      </c>
      <c r="BA19" s="7">
        <v>2.3722503942982268E-2</v>
      </c>
      <c r="BB19" s="7">
        <v>2.4434179061271738E-2</v>
      </c>
      <c r="BC19" s="7">
        <v>2.516720443310989E-2</v>
      </c>
      <c r="BD19" s="7">
        <v>2.5922220566103188E-2</v>
      </c>
    </row>
    <row r="20" spans="1:56" ht="15" x14ac:dyDescent="0.25">
      <c r="A20" s="2" t="s">
        <v>87</v>
      </c>
      <c r="B20" s="8">
        <v>5.569</v>
      </c>
      <c r="C20" s="8">
        <v>6.0110000000000001</v>
      </c>
      <c r="D20" s="8">
        <v>6.7409999999999997</v>
      </c>
      <c r="E20" s="8">
        <v>6.552999999999999</v>
      </c>
      <c r="F20" s="8">
        <v>6.79</v>
      </c>
      <c r="G20" s="8">
        <v>7.4599999999999982</v>
      </c>
      <c r="H20" s="8">
        <v>8.2909999999999968</v>
      </c>
      <c r="I20" s="8">
        <v>8.2879999999999967</v>
      </c>
      <c r="J20" s="8">
        <v>8.7159999999999958</v>
      </c>
      <c r="K20" s="8">
        <v>8.8639999999999937</v>
      </c>
      <c r="L20" s="8">
        <v>9.0969999999999995</v>
      </c>
      <c r="M20" s="8">
        <v>9.26</v>
      </c>
      <c r="N20" s="8">
        <v>9.3949999999999996</v>
      </c>
      <c r="O20" s="8">
        <v>9.4629999999999992</v>
      </c>
      <c r="P20" s="8">
        <v>9.5079999999999991</v>
      </c>
      <c r="Q20" s="8">
        <v>9.7379999999999995</v>
      </c>
      <c r="R20" s="8">
        <v>9.9619999999999997</v>
      </c>
      <c r="S20" s="8">
        <v>10.18</v>
      </c>
      <c r="T20" s="8">
        <v>10.407</v>
      </c>
      <c r="U20" s="8">
        <v>10.628</v>
      </c>
      <c r="V20" s="8">
        <v>10.851000000000001</v>
      </c>
      <c r="W20" s="8">
        <v>11.081</v>
      </c>
      <c r="X20" s="8">
        <v>11.318</v>
      </c>
      <c r="Y20" s="8">
        <v>11.561</v>
      </c>
      <c r="Z20" s="8">
        <v>11.808999999999999</v>
      </c>
      <c r="AA20" s="8">
        <v>12.061</v>
      </c>
      <c r="AB20" s="8">
        <v>12.321999999999999</v>
      </c>
      <c r="AC20" s="8">
        <v>12.589</v>
      </c>
      <c r="AD20" s="8">
        <v>12.861000000000001</v>
      </c>
      <c r="AE20" s="8">
        <v>13.128</v>
      </c>
      <c r="AF20" s="8">
        <v>13.393000000000001</v>
      </c>
      <c r="AG20" s="8">
        <v>13.66</v>
      </c>
      <c r="AH20" s="8">
        <v>13.948</v>
      </c>
      <c r="AI20" s="8">
        <v>14.255000000000001</v>
      </c>
      <c r="AJ20" s="8">
        <v>14.58</v>
      </c>
      <c r="AK20" s="8">
        <v>14.927</v>
      </c>
      <c r="AL20" s="8">
        <v>15.305</v>
      </c>
      <c r="AM20" s="8">
        <v>15.718999999999999</v>
      </c>
      <c r="AN20" s="8">
        <v>16.152999999999999</v>
      </c>
      <c r="AO20" s="8">
        <v>16.588000000000001</v>
      </c>
      <c r="AP20" s="8">
        <v>17.015999999999998</v>
      </c>
      <c r="AQ20" s="8">
        <v>17.457999999999998</v>
      </c>
      <c r="AR20" s="8">
        <v>17.916</v>
      </c>
      <c r="AS20" s="8">
        <v>18.385999999999999</v>
      </c>
      <c r="AT20" s="8">
        <v>18.864999999999998</v>
      </c>
      <c r="AU20" s="8">
        <v>19.334</v>
      </c>
      <c r="AV20" s="8">
        <v>19.818999999999999</v>
      </c>
      <c r="AW20" s="8">
        <v>20.317</v>
      </c>
      <c r="AX20" s="8">
        <v>20.817</v>
      </c>
      <c r="AY20" s="8">
        <v>21.327999999999999</v>
      </c>
      <c r="AZ20" s="8">
        <v>21.864999999999998</v>
      </c>
      <c r="BA20" s="8">
        <v>22.402000000000001</v>
      </c>
      <c r="BB20" s="8">
        <v>22.93</v>
      </c>
      <c r="BC20" s="8">
        <v>23.465</v>
      </c>
      <c r="BD20" s="8">
        <v>24.033000000000001</v>
      </c>
    </row>
    <row r="21" spans="1:56" x14ac:dyDescent="0.2">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row>
    <row r="22" spans="1:56" ht="15" x14ac:dyDescent="0.25">
      <c r="A22" s="2" t="s">
        <v>95</v>
      </c>
      <c r="B22" s="2" t="s">
        <v>82</v>
      </c>
    </row>
    <row r="23" spans="1:56" x14ac:dyDescent="0.2">
      <c r="A23" s="1" t="s">
        <v>96</v>
      </c>
      <c r="L23" s="7">
        <v>3.8734403041776111</v>
      </c>
      <c r="M23" s="7">
        <v>3.910206006509739</v>
      </c>
      <c r="N23" s="7">
        <v>4.1755762635296456</v>
      </c>
      <c r="O23" s="7">
        <v>4.4175083068739411</v>
      </c>
      <c r="P23" s="7">
        <v>4.4936212487112179</v>
      </c>
      <c r="Q23" s="7">
        <v>5.0468375306744528</v>
      </c>
      <c r="R23" s="7">
        <v>5.1946989261504406</v>
      </c>
      <c r="S23" s="7">
        <v>5.3771748407881681</v>
      </c>
      <c r="T23" s="7">
        <v>5.585024024470111</v>
      </c>
      <c r="U23" s="7">
        <v>5.8017890769285758</v>
      </c>
      <c r="V23" s="7">
        <v>6.0832745428886916</v>
      </c>
      <c r="W23" s="7">
        <v>6.2757152871420274</v>
      </c>
      <c r="X23" s="7">
        <v>6.4914176690770118</v>
      </c>
      <c r="Y23" s="7">
        <v>6.7245276558850868</v>
      </c>
      <c r="Z23" s="7">
        <v>6.9560178690561152</v>
      </c>
      <c r="AA23" s="7">
        <v>7.2085684743807255</v>
      </c>
      <c r="AB23" s="7">
        <v>7.4668609229873359</v>
      </c>
      <c r="AC23" s="7">
        <v>7.7386683579196509</v>
      </c>
      <c r="AD23" s="7">
        <v>8.0236167132472733</v>
      </c>
      <c r="AE23" s="7">
        <v>8.3203575339309985</v>
      </c>
      <c r="AF23" s="7">
        <v>8.6094045286816367</v>
      </c>
      <c r="AG23" s="7">
        <v>8.9443607713602447</v>
      </c>
      <c r="AH23" s="7">
        <v>9.290244110863572</v>
      </c>
      <c r="AI23" s="7">
        <v>9.6451085878543612</v>
      </c>
      <c r="AJ23" s="7">
        <v>10.011578382295532</v>
      </c>
      <c r="AK23" s="7">
        <v>10.428246703833834</v>
      </c>
      <c r="AL23" s="7">
        <v>10.85472266857599</v>
      </c>
      <c r="AM23" s="7">
        <v>11.283884635986748</v>
      </c>
      <c r="AN23" s="7">
        <v>11.753694533557823</v>
      </c>
      <c r="AO23" s="7">
        <v>12.234812649008962</v>
      </c>
      <c r="AP23" s="7">
        <v>12.719543209146826</v>
      </c>
      <c r="AQ23" s="7">
        <v>13.249867161252759</v>
      </c>
      <c r="AR23" s="7">
        <v>13.802543966381286</v>
      </c>
      <c r="AS23" s="7">
        <v>14.37859472494298</v>
      </c>
      <c r="AT23" s="7">
        <v>14.979105959465798</v>
      </c>
      <c r="AU23" s="7">
        <v>15.605155983836783</v>
      </c>
      <c r="AV23" s="7">
        <v>16.257852655711918</v>
      </c>
      <c r="AW23" s="7">
        <v>16.938425464351525</v>
      </c>
      <c r="AX23" s="7">
        <v>17.648125625540867</v>
      </c>
      <c r="AY23" s="7">
        <v>18.399865002743034</v>
      </c>
      <c r="AZ23" s="7">
        <v>19.207071904522497</v>
      </c>
      <c r="BA23" s="7">
        <f>AZ$23*AVERAGE($AW$23/$AV$23,$AX$23/$AW$23,$AY$23/$AX$23,$AZ$23/$AY$23)</f>
        <v>20.024458877993837</v>
      </c>
      <c r="BB23" s="7">
        <f t="shared" ref="BB23:BD23" si="0">BA$23*AVERAGE($AW$23/$AV$23,$AX$23/$AW$23,$AY$23/$AX$23,$AZ$23/$AY$23)</f>
        <v>20.876631032034179</v>
      </c>
      <c r="BC23" s="7">
        <f t="shared" si="0"/>
        <v>21.765068704386223</v>
      </c>
      <c r="BD23" s="7">
        <f t="shared" si="0"/>
        <v>22.691315230879681</v>
      </c>
    </row>
    <row r="24" spans="1:56" x14ac:dyDescent="0.2">
      <c r="A24" s="1" t="s">
        <v>98</v>
      </c>
      <c r="L24" s="7">
        <v>1.0911766161621212</v>
      </c>
      <c r="M24" s="7">
        <v>1.2050045446867061</v>
      </c>
      <c r="N24" s="7">
        <v>1.309537588938908</v>
      </c>
      <c r="O24" s="7">
        <v>1.4165126594321282</v>
      </c>
      <c r="P24" s="7">
        <v>1.4165126594321282</v>
      </c>
      <c r="Q24" s="7">
        <v>1.8200506205062863</v>
      </c>
      <c r="R24" s="7">
        <v>1.8186788553843682</v>
      </c>
      <c r="S24" s="7">
        <v>1.838998004154573</v>
      </c>
      <c r="T24" s="7">
        <v>1.8887069506653527</v>
      </c>
      <c r="U24" s="7">
        <v>1.9382254926245477</v>
      </c>
      <c r="V24" s="7">
        <v>2.0461478139751907</v>
      </c>
      <c r="W24" s="7">
        <v>2.0523469851977887</v>
      </c>
      <c r="X24" s="7">
        <v>2.0931139614124339</v>
      </c>
      <c r="Y24" s="7">
        <v>2.1343984027545639</v>
      </c>
      <c r="Z24" s="7">
        <v>2.1752445102841209</v>
      </c>
      <c r="AA24" s="7">
        <v>2.2156254545592575</v>
      </c>
      <c r="AB24" s="7">
        <v>2.2555404824728758</v>
      </c>
      <c r="AC24" s="7">
        <v>2.2949895728851613</v>
      </c>
      <c r="AD24" s="7">
        <v>2.3339727252026674</v>
      </c>
      <c r="AE24" s="7">
        <v>2.3724899394087688</v>
      </c>
      <c r="AF24" s="7">
        <v>2.4105412155029819</v>
      </c>
      <c r="AG24" s="7">
        <v>2.4481265534853107</v>
      </c>
      <c r="AH24" s="7">
        <v>2.4852459533557458</v>
      </c>
      <c r="AI24" s="7">
        <v>2.5218994151142802</v>
      </c>
      <c r="AJ24" s="7">
        <v>2.558086938760928</v>
      </c>
      <c r="AK24" s="7">
        <v>2.5938085242956754</v>
      </c>
      <c r="AL24" s="7">
        <v>2.6290641717185368</v>
      </c>
      <c r="AM24" s="7">
        <v>2.6638538810295129</v>
      </c>
      <c r="AN24" s="7">
        <v>2.698177652228587</v>
      </c>
      <c r="AO24" s="7">
        <v>2.7320354853157607</v>
      </c>
      <c r="AP24" s="7">
        <v>2.765427380291047</v>
      </c>
      <c r="AQ24" s="7">
        <v>2.7983533371544334</v>
      </c>
      <c r="AR24" s="7">
        <v>2.8308133559059345</v>
      </c>
      <c r="AS24" s="7">
        <v>2.8628074365455407</v>
      </c>
      <c r="AT24" s="7">
        <v>2.8943355790732466</v>
      </c>
      <c r="AU24" s="7">
        <v>2.9253977834890668</v>
      </c>
      <c r="AV24" s="7">
        <v>2.9559940497929857</v>
      </c>
      <c r="AW24" s="7">
        <v>2.9861243779850195</v>
      </c>
      <c r="AX24" s="7">
        <v>3.0157887680651676</v>
      </c>
      <c r="AY24" s="7">
        <v>3.044987220033414</v>
      </c>
      <c r="AZ24" s="7">
        <v>3.0737197338897579</v>
      </c>
      <c r="BA24" s="7">
        <f>AZ$24*AVERAGE($AW$24/$AV$24,$AX$24/$AW$24,$AY$24/$AX$24,$AZ$24/$AY$24)</f>
        <v>3.1038766929035404</v>
      </c>
      <c r="BB24" s="7">
        <f>BA$24*AVERAGE($AW$24/$AV$24,$AX$24/$AW$24,$AY$24/$AX$24,$AZ$24/$AY$24)</f>
        <v>3.1343295286581108</v>
      </c>
      <c r="BC24" s="7">
        <f>BB$24*AVERAGE($AW$24/$AV$24,$AX$24/$AW$24,$AY$24/$AX$24,$AZ$24/$AY$24)</f>
        <v>3.1650811440670452</v>
      </c>
      <c r="BD24" s="7">
        <f>BC$24*AVERAGE($AW$24/$AV$24,$AX$24/$AW$24,$AY$24/$AX$24,$AZ$24/$AY$24)</f>
        <v>3.1961344705250614</v>
      </c>
    </row>
    <row r="25" spans="1:56" x14ac:dyDescent="0.2">
      <c r="A25" s="1" t="s">
        <v>97</v>
      </c>
      <c r="L25" s="7">
        <v>3.928072957073439</v>
      </c>
      <c r="M25" s="7">
        <v>4.1714332698286363</v>
      </c>
      <c r="N25" s="7">
        <v>4.3999853460330591</v>
      </c>
      <c r="O25" s="7">
        <v>4.6421996430643251</v>
      </c>
      <c r="P25" s="7">
        <v>4.8511713144337882</v>
      </c>
      <c r="Q25" s="7">
        <v>5.0680093330955964</v>
      </c>
      <c r="R25" s="7">
        <v>5.3045600874412377</v>
      </c>
      <c r="S25" s="7">
        <v>5.5462247147220376</v>
      </c>
      <c r="T25" s="7">
        <v>5.8115178904847342</v>
      </c>
      <c r="U25" s="7">
        <v>6.0544790973547649</v>
      </c>
      <c r="V25" s="7">
        <v>6.3087279935611367</v>
      </c>
      <c r="W25" s="7">
        <v>6.5570842829193081</v>
      </c>
      <c r="X25" s="7">
        <v>6.8129593813090565</v>
      </c>
      <c r="Y25" s="7">
        <v>7.0766804524805718</v>
      </c>
      <c r="Z25" s="7">
        <v>7.3485892678783529</v>
      </c>
      <c r="AA25" s="7">
        <v>7.6290428726417758</v>
      </c>
      <c r="AB25" s="7">
        <v>7.9184142825149921</v>
      </c>
      <c r="AC25" s="7">
        <v>8.2170932131233787</v>
      </c>
      <c r="AD25" s="7">
        <v>8.5254868431439323</v>
      </c>
      <c r="AE25" s="7">
        <v>8.8440206129696914</v>
      </c>
      <c r="AF25" s="7">
        <v>9.1731390605451271</v>
      </c>
      <c r="AG25" s="7">
        <v>9.5133066961298578</v>
      </c>
      <c r="AH25" s="7">
        <v>9.8650089178322915</v>
      </c>
      <c r="AI25" s="7">
        <v>10.228752969843161</v>
      </c>
      <c r="AJ25" s="7">
        <v>10.605068945391741</v>
      </c>
      <c r="AK25" s="7">
        <v>10.994510836544574</v>
      </c>
      <c r="AL25" s="7">
        <v>11.397657633068764</v>
      </c>
      <c r="AM25" s="7">
        <v>11.81511447268838</v>
      </c>
      <c r="AN25" s="7">
        <v>12.247513845175293</v>
      </c>
      <c r="AO25" s="7">
        <v>12.695516852832741</v>
      </c>
      <c r="AP25" s="7">
        <v>13.15981453005363</v>
      </c>
      <c r="AQ25" s="7">
        <v>13.641129224765118</v>
      </c>
      <c r="AR25" s="7">
        <v>14.140216044706367</v>
      </c>
      <c r="AS25" s="7">
        <v>14.657864371628989</v>
      </c>
      <c r="AT25" s="7">
        <v>15.194899446659075</v>
      </c>
      <c r="AU25" s="7">
        <v>15.752184030216261</v>
      </c>
      <c r="AV25" s="7">
        <v>16.330620140049621</v>
      </c>
      <c r="AW25" s="7">
        <v>16.931150871122775</v>
      </c>
      <c r="AX25" s="7">
        <v>17.554762301261395</v>
      </c>
      <c r="AY25" s="7">
        <v>18.202485486665832</v>
      </c>
      <c r="AZ25" s="7">
        <v>18.875398551591264</v>
      </c>
      <c r="BA25" s="7">
        <f>AZ$25*AVERAGE($AW$25/$AV$25,$AX$25/$AW$25,$AY$25/$AX$25,$AZ$25/$AY$25)</f>
        <v>19.571291924758171</v>
      </c>
      <c r="BB25" s="7">
        <f>BA$25*AVERAGE($AW$25/$AV$25,$AX$25/$AW$25,$AY$25/$AX$25,$AZ$25/$AY$25)</f>
        <v>20.292841317081123</v>
      </c>
      <c r="BC25" s="7">
        <f>BB$25*AVERAGE($AW$25/$AV$25,$AX$25/$AW$25,$AY$25/$AX$25,$AZ$25/$AY$25)</f>
        <v>21.040992608122014</v>
      </c>
      <c r="BD25" s="7">
        <f>BC$25*AVERAGE($AW$25/$AV$25,$AX$25/$AW$25,$AY$25/$AX$25,$AZ$25/$AY$25)</f>
        <v>21.816726549888852</v>
      </c>
    </row>
    <row r="26" spans="1:56" x14ac:dyDescent="0.2">
      <c r="A26" s="1" t="s">
        <v>99</v>
      </c>
      <c r="L26" s="7">
        <v>1.110445858186718</v>
      </c>
      <c r="M26" s="7">
        <v>1.1877393241778593</v>
      </c>
      <c r="N26" s="7">
        <v>1.2556494190861835</v>
      </c>
      <c r="O26" s="7">
        <v>1.3354183438600151</v>
      </c>
      <c r="P26" s="7">
        <v>1.400077051475983</v>
      </c>
      <c r="Q26" s="7">
        <v>1.4691427403627966</v>
      </c>
      <c r="R26" s="7">
        <v>1.5458142780959074</v>
      </c>
      <c r="S26" s="7">
        <v>1.6209674346095473</v>
      </c>
      <c r="T26" s="7">
        <v>1.7114280756645355</v>
      </c>
      <c r="U26" s="7">
        <v>1.7881698063860858</v>
      </c>
      <c r="V26" s="7">
        <v>1.8709767051703992</v>
      </c>
      <c r="W26" s="7">
        <v>1.9406853806129563</v>
      </c>
      <c r="X26" s="7">
        <v>2.0103940560555045</v>
      </c>
      <c r="Y26" s="7">
        <v>2.0801027314980582</v>
      </c>
      <c r="Z26" s="7">
        <v>2.149811406940616</v>
      </c>
      <c r="AA26" s="7">
        <v>2.2195200823831613</v>
      </c>
      <c r="AB26" s="7">
        <v>2.2892287578257169</v>
      </c>
      <c r="AC26" s="7">
        <v>2.3589374332682729</v>
      </c>
      <c r="AD26" s="7">
        <v>2.4286461087108213</v>
      </c>
      <c r="AE26" s="7">
        <v>2.4983547841533698</v>
      </c>
      <c r="AF26" s="7">
        <v>2.5680634595959253</v>
      </c>
      <c r="AG26" s="7">
        <v>2.6377721350384751</v>
      </c>
      <c r="AH26" s="7">
        <v>2.7074808104810284</v>
      </c>
      <c r="AI26" s="7">
        <v>2.7771894859235835</v>
      </c>
      <c r="AJ26" s="7">
        <v>2.8468981613661408</v>
      </c>
      <c r="AK26" s="7">
        <v>2.9166068368086862</v>
      </c>
      <c r="AL26" s="7">
        <v>2.9863155122512439</v>
      </c>
      <c r="AM26" s="7">
        <v>3.0560241876937977</v>
      </c>
      <c r="AN26" s="7">
        <v>3.1257328631363372</v>
      </c>
      <c r="AO26" s="7">
        <v>3.1954415385788946</v>
      </c>
      <c r="AP26" s="7">
        <v>3.2651502140214501</v>
      </c>
      <c r="AQ26" s="7">
        <v>3.3348588894639972</v>
      </c>
      <c r="AR26" s="7">
        <v>3.4045675649065537</v>
      </c>
      <c r="AS26" s="7">
        <v>3.4742762403491092</v>
      </c>
      <c r="AT26" s="7">
        <v>3.5439849157916563</v>
      </c>
      <c r="AU26" s="7">
        <v>3.6136935912342119</v>
      </c>
      <c r="AV26" s="7">
        <v>3.6834022666767687</v>
      </c>
      <c r="AW26" s="7">
        <v>3.7531109421193083</v>
      </c>
      <c r="AX26" s="7">
        <v>3.8228196175618625</v>
      </c>
      <c r="AY26" s="7">
        <v>3.8925282930044198</v>
      </c>
      <c r="AZ26" s="7">
        <v>3.9622369684469652</v>
      </c>
      <c r="BA26" s="7">
        <f>AZ$26*AVERAGE($AW$26/$AV$26,$AX$26/$AW$26,$AY$26/$AX$26,$AZ$26/$AY$26)</f>
        <v>4.0351835966280163</v>
      </c>
      <c r="BB26" s="7">
        <f>BA$26*AVERAGE($AW$26/$AV$26,$AX$26/$AW$26,$AY$26/$AX$26,$AZ$26/$AY$26)</f>
        <v>4.1094732062120878</v>
      </c>
      <c r="BC26" s="7">
        <f>BB$26*AVERAGE($AW$26/$AV$26,$AX$26/$AW$26,$AY$26/$AX$26,$AZ$26/$AY$26)</f>
        <v>4.185130522112364</v>
      </c>
      <c r="BD26" s="7">
        <f>BC$26*AVERAGE($AW$26/$AV$26,$AX$26/$AW$26,$AY$26/$AX$26,$AZ$26/$AY$26)</f>
        <v>4.2621807244391974</v>
      </c>
    </row>
    <row r="27" spans="1:56" x14ac:dyDescent="0.2">
      <c r="A27" s="1" t="s">
        <v>100</v>
      </c>
      <c r="L27" s="7">
        <v>1.4989541388184615</v>
      </c>
      <c r="M27" s="7">
        <v>1.5711149604916601</v>
      </c>
      <c r="N27" s="7">
        <v>1.6378855173678601</v>
      </c>
      <c r="O27" s="7">
        <v>1.7086456694384553</v>
      </c>
      <c r="P27" s="7">
        <v>1.780365382622118</v>
      </c>
      <c r="Q27" s="7">
        <v>1.8613922077760958</v>
      </c>
      <c r="R27" s="7">
        <v>1.9533236241720935</v>
      </c>
      <c r="S27" s="7">
        <v>2.0462310864710265</v>
      </c>
      <c r="T27" s="7">
        <v>2.1419688274120814</v>
      </c>
      <c r="U27" s="7">
        <v>2.2386050339984438</v>
      </c>
      <c r="V27" s="7">
        <v>2.3380511006105502</v>
      </c>
      <c r="W27" s="7">
        <v>2.4428432646674922</v>
      </c>
      <c r="X27" s="7">
        <v>2.5508987471806788</v>
      </c>
      <c r="Y27" s="7">
        <v>2.6614225709042212</v>
      </c>
      <c r="Z27" s="7">
        <v>2.7753453433143265</v>
      </c>
      <c r="AA27" s="7">
        <v>2.8931036969010862</v>
      </c>
      <c r="AB27" s="7">
        <v>3.0150627709899616</v>
      </c>
      <c r="AC27" s="7">
        <v>3.1415248272978662</v>
      </c>
      <c r="AD27" s="7">
        <v>3.2728913809151527</v>
      </c>
      <c r="AE27" s="7">
        <v>3.4094444923916063</v>
      </c>
      <c r="AF27" s="7">
        <v>3.5511393028248683</v>
      </c>
      <c r="AG27" s="7">
        <v>3.6985735337408818</v>
      </c>
      <c r="AH27" s="7">
        <v>3.8527036779161961</v>
      </c>
      <c r="AI27" s="7">
        <v>4.013858138905313</v>
      </c>
      <c r="AJ27" s="7">
        <v>4.1823636264593071</v>
      </c>
      <c r="AK27" s="7">
        <v>4.3592836005798086</v>
      </c>
      <c r="AL27" s="7">
        <v>4.5457761902866878</v>
      </c>
      <c r="AM27" s="7">
        <v>4.742074142714972</v>
      </c>
      <c r="AN27" s="7">
        <v>4.9489211929865329</v>
      </c>
      <c r="AO27" s="7">
        <v>5.1673166197914489</v>
      </c>
      <c r="AP27" s="7">
        <v>5.3974793752055588</v>
      </c>
      <c r="AQ27" s="7">
        <v>5.6402844164459776</v>
      </c>
      <c r="AR27" s="7">
        <v>5.8970953572045284</v>
      </c>
      <c r="AS27" s="7">
        <v>6.1688525026442269</v>
      </c>
      <c r="AT27" s="7">
        <v>6.4564999713826214</v>
      </c>
      <c r="AU27" s="7">
        <v>6.7610412908098532</v>
      </c>
      <c r="AV27" s="7">
        <v>7.083540019274233</v>
      </c>
      <c r="AW27" s="7">
        <v>7.4251195366319482</v>
      </c>
      <c r="AX27" s="7">
        <v>7.7869695019347054</v>
      </c>
      <c r="AY27" s="7">
        <v>8.170604711157381</v>
      </c>
      <c r="AZ27" s="7">
        <v>8.5781717224849832</v>
      </c>
      <c r="BA27" s="7">
        <f>AZ$27*AVERAGE($AW$27/$AV$27,$AX$27/$AW$27,$AY$27/$AX$27,$AZ$27/$AY$27)</f>
        <v>8.9987234890120487</v>
      </c>
      <c r="BB27" s="7">
        <f>BA$27*AVERAGE($AW$27/$AV$27,$AX$27/$AW$27,$AY$27/$AX$27,$AZ$27/$AY$27)</f>
        <v>9.4398931440648752</v>
      </c>
      <c r="BC27" s="7">
        <f>BB$27*AVERAGE($AW$27/$AV$27,$AX$27/$AW$27,$AY$27/$AX$27,$AZ$27/$AY$27)</f>
        <v>9.9026914962075825</v>
      </c>
      <c r="BD27" s="7">
        <f>BC$27*AVERAGE($AW$27/$AV$27,$AX$27/$AW$27,$AY$27/$AX$27,$AZ$27/$AY$27)</f>
        <v>10.38817890970695</v>
      </c>
    </row>
    <row r="28" spans="1:56" x14ac:dyDescent="0.2">
      <c r="A28" s="1" t="s">
        <v>101</v>
      </c>
      <c r="L28" s="7">
        <v>33.274214647141378</v>
      </c>
      <c r="M28" s="7">
        <v>34.584102344314132</v>
      </c>
      <c r="N28" s="7">
        <v>35.997578779178582</v>
      </c>
      <c r="O28" s="7">
        <v>37.481533112426654</v>
      </c>
      <c r="P28" s="7">
        <v>38.904348429326205</v>
      </c>
      <c r="Q28" s="7">
        <v>40.744568834681154</v>
      </c>
      <c r="R28" s="7">
        <v>42.588031297562452</v>
      </c>
      <c r="S28" s="7">
        <v>44.465212510099605</v>
      </c>
      <c r="T28" s="7">
        <v>46.380687471497055</v>
      </c>
      <c r="U28" s="7">
        <v>48.366602485069315</v>
      </c>
      <c r="V28" s="7">
        <v>50.479200135007432</v>
      </c>
      <c r="W28" s="7">
        <v>52.640674404897638</v>
      </c>
      <c r="X28" s="7">
        <v>54.870031441846265</v>
      </c>
      <c r="Y28" s="7">
        <v>57.179301219155015</v>
      </c>
      <c r="Z28" s="7">
        <v>59.562075167647102</v>
      </c>
      <c r="AA28" s="7">
        <v>62.034704471287135</v>
      </c>
      <c r="AB28" s="7">
        <v>64.598213888749441</v>
      </c>
      <c r="AC28" s="7">
        <v>67.261313867843583</v>
      </c>
      <c r="AD28" s="7">
        <v>70.032335126862066</v>
      </c>
      <c r="AE28" s="7">
        <v>72.918116549215</v>
      </c>
      <c r="AF28" s="7">
        <v>75.905521330176356</v>
      </c>
      <c r="AG28" s="7">
        <v>79.035148950147644</v>
      </c>
      <c r="AH28" s="7">
        <v>82.313087833095125</v>
      </c>
      <c r="AI28" s="7">
        <v>85.743301603011631</v>
      </c>
      <c r="AJ28" s="7">
        <v>89.33217468037472</v>
      </c>
      <c r="AK28" s="7">
        <v>93.125194163243762</v>
      </c>
      <c r="AL28" s="7">
        <v>97.128035405037693</v>
      </c>
      <c r="AM28" s="7">
        <v>101.33887972805104</v>
      </c>
      <c r="AN28" s="7">
        <v>105.7939816274201</v>
      </c>
      <c r="AO28" s="7">
        <v>110.50059406238778</v>
      </c>
      <c r="AP28" s="7">
        <v>115.45780213668651</v>
      </c>
      <c r="AQ28" s="7">
        <v>120.70682451062015</v>
      </c>
      <c r="AR28" s="7">
        <v>126.26624781149957</v>
      </c>
      <c r="AS28" s="7">
        <v>132.15583069045778</v>
      </c>
      <c r="AT28" s="7">
        <v>138.39653719864717</v>
      </c>
      <c r="AU28" s="7">
        <v>145.01055046807753</v>
      </c>
      <c r="AV28" s="7">
        <v>152.02132302901404</v>
      </c>
      <c r="AW28" s="7">
        <v>159.45371718587475</v>
      </c>
      <c r="AX28" s="7">
        <v>167.33405004008895</v>
      </c>
      <c r="AY28" s="7">
        <v>175.70203429632352</v>
      </c>
      <c r="AZ28" s="7">
        <v>184.61187940173974</v>
      </c>
      <c r="BA28" s="7">
        <f>AZ$28*AVERAGE($AW$28/$AV$28,$AX$28/$AW$28,$AY$28/$AX$28,$AZ$28/$AY$28)</f>
        <v>193.79765509015186</v>
      </c>
      <c r="BB28" s="7">
        <f>BA$28*AVERAGE($AW$28/$AV$28,$AX$28/$AW$28,$AY$28/$AX$28,$AZ$28/$AY$28)</f>
        <v>203.44048952944863</v>
      </c>
      <c r="BC28" s="7">
        <f>BB$28*AVERAGE($AW$28/$AV$28,$AX$28/$AW$28,$AY$28/$AX$28,$AZ$28/$AY$28)</f>
        <v>213.56312469688336</v>
      </c>
      <c r="BD28" s="7">
        <f>BC$28*AVERAGE($AW$28/$AV$28,$AX$28/$AW$28,$AY$28/$AX$28,$AZ$28/$AY$28)</f>
        <v>224.18943414749543</v>
      </c>
    </row>
    <row r="29" spans="1:56" x14ac:dyDescent="0.2">
      <c r="A29" s="1" t="s">
        <v>102</v>
      </c>
      <c r="L29" s="7">
        <v>34.799859471064067</v>
      </c>
      <c r="M29" s="7">
        <v>36.278018069792772</v>
      </c>
      <c r="N29" s="7">
        <v>37.789062317377955</v>
      </c>
      <c r="O29" s="7">
        <v>39.340907877977465</v>
      </c>
      <c r="P29" s="7">
        <v>40.978560290817406</v>
      </c>
      <c r="Q29" s="7">
        <v>42.705437591638734</v>
      </c>
      <c r="R29" s="7">
        <v>44.518302012460175</v>
      </c>
      <c r="S29" s="7">
        <v>46.414703067525437</v>
      </c>
      <c r="T29" s="7">
        <v>48.381101897472945</v>
      </c>
      <c r="U29" s="7">
        <v>50.451703031977523</v>
      </c>
      <c r="V29" s="7">
        <v>52.532167806931042</v>
      </c>
      <c r="W29" s="7">
        <v>54.683859036343193</v>
      </c>
      <c r="X29" s="7">
        <v>56.888229651006661</v>
      </c>
      <c r="Y29" s="7">
        <v>59.150360741304148</v>
      </c>
      <c r="Z29" s="7">
        <v>61.495163844094066</v>
      </c>
      <c r="AA29" s="7">
        <v>63.926573468290876</v>
      </c>
      <c r="AB29" s="7">
        <v>66.44399180936189</v>
      </c>
      <c r="AC29" s="7">
        <v>69.046263945610448</v>
      </c>
      <c r="AD29" s="7">
        <v>71.726801452382503</v>
      </c>
      <c r="AE29" s="7">
        <v>74.505170462072996</v>
      </c>
      <c r="AF29" s="7">
        <v>77.392935449149476</v>
      </c>
      <c r="AG29" s="7">
        <v>80.392009329473254</v>
      </c>
      <c r="AH29" s="7">
        <v>83.504726361883243</v>
      </c>
      <c r="AI29" s="7">
        <v>86.730852431417674</v>
      </c>
      <c r="AJ29" s="7">
        <v>90.096735241736724</v>
      </c>
      <c r="AK29" s="7">
        <v>93.646838429461624</v>
      </c>
      <c r="AL29" s="7">
        <v>97.395504507181386</v>
      </c>
      <c r="AM29" s="7">
        <v>101.30807963433924</v>
      </c>
      <c r="AN29" s="7">
        <v>105.37542637562521</v>
      </c>
      <c r="AO29" s="7">
        <v>109.60519719171549</v>
      </c>
      <c r="AP29" s="7">
        <v>114.00544496170504</v>
      </c>
      <c r="AQ29" s="7">
        <v>118.58464528791094</v>
      </c>
      <c r="AR29" s="7">
        <v>123.35172012230201</v>
      </c>
      <c r="AS29" s="7">
        <v>128.3160627972467</v>
      </c>
      <c r="AT29" s="7">
        <v>133.48756454867862</v>
      </c>
      <c r="AU29" s="7">
        <v>138.87664262554287</v>
      </c>
      <c r="AV29" s="7">
        <v>144.494270085544</v>
      </c>
      <c r="AW29" s="7">
        <v>150.35200738379447</v>
      </c>
      <c r="AX29" s="7">
        <v>156.46203586797785</v>
      </c>
      <c r="AY29" s="7">
        <v>162.83719330113638</v>
      </c>
      <c r="AZ29" s="7">
        <v>169.49101154120103</v>
      </c>
      <c r="BA29" s="7">
        <f>AZ$29*AVERAGE($AW$29/$AV$29,$AX$29/$AW$29,$AY$29/$AX$29,$AZ$29/$AY$29)</f>
        <v>176.38867018277335</v>
      </c>
      <c r="BB29" s="7">
        <f>BA$29*AVERAGE($AW$29/$AV$29,$AX$29/$AW$29,$AY$29/$AX$29,$AZ$29/$AY$29)</f>
        <v>183.56703807437037</v>
      </c>
      <c r="BC29" s="7">
        <f>BB$29*AVERAGE($AW$29/$AV$29,$AX$29/$AW$29,$AY$29/$AX$29,$AZ$29/$AY$29)</f>
        <v>191.03753904647485</v>
      </c>
      <c r="BD29" s="7">
        <f>BC$29*AVERAGE($AW$29/$AV$29,$AX$29/$AW$29,$AY$29/$AX$29,$AZ$29/$AY$29)</f>
        <v>198.81206183730913</v>
      </c>
    </row>
    <row r="31" spans="1:56" ht="15" x14ac:dyDescent="0.25">
      <c r="A31" s="2" t="s">
        <v>103</v>
      </c>
      <c r="B31" s="2" t="s">
        <v>82</v>
      </c>
    </row>
    <row r="32" spans="1:56" x14ac:dyDescent="0.2">
      <c r="A32" s="1" t="s">
        <v>104</v>
      </c>
      <c r="L32" s="7">
        <v>0.40600000000000003</v>
      </c>
      <c r="M32" s="7">
        <v>0.433</v>
      </c>
      <c r="N32" s="7">
        <v>0.44800000000000001</v>
      </c>
      <c r="O32" s="7">
        <v>0.45</v>
      </c>
      <c r="P32" s="7">
        <v>0.44</v>
      </c>
      <c r="Q32" s="7">
        <v>0.42799999999999999</v>
      </c>
      <c r="R32" s="7">
        <v>0.41299999999999998</v>
      </c>
      <c r="S32" s="7">
        <v>0.40600000000000003</v>
      </c>
      <c r="T32" s="7">
        <v>0.40899999999999997</v>
      </c>
      <c r="U32" s="7">
        <v>0.41099999999999998</v>
      </c>
      <c r="V32" s="7">
        <v>0.41299999999999998</v>
      </c>
      <c r="W32" s="7">
        <v>0.41399999999999998</v>
      </c>
      <c r="X32" s="7">
        <v>0.40899999999999997</v>
      </c>
      <c r="Y32" s="7">
        <v>0.39300000000000002</v>
      </c>
      <c r="Z32" s="7">
        <v>0.378</v>
      </c>
      <c r="AA32" s="7">
        <v>0.36099999999999999</v>
      </c>
      <c r="AB32" s="7">
        <v>0.34399999999999997</v>
      </c>
      <c r="AC32" s="7">
        <v>0.32700000000000001</v>
      </c>
      <c r="AD32" s="7">
        <v>0.31</v>
      </c>
      <c r="AE32" s="7">
        <v>0.29199999999999998</v>
      </c>
      <c r="AF32" s="7">
        <v>0.27600000000000002</v>
      </c>
      <c r="AG32" s="7">
        <v>0.26</v>
      </c>
      <c r="AH32" s="7">
        <v>0.24299999999999999</v>
      </c>
      <c r="AI32" s="7">
        <v>0.22600000000000001</v>
      </c>
      <c r="AJ32" s="7">
        <v>0.21099999999999999</v>
      </c>
      <c r="AK32" s="7">
        <v>0.19600000000000001</v>
      </c>
      <c r="AL32" s="7">
        <v>0.18099999999999999</v>
      </c>
      <c r="AM32" s="7">
        <v>0.16700000000000001</v>
      </c>
      <c r="AN32" s="7">
        <v>0.152</v>
      </c>
      <c r="AO32" s="7">
        <v>0.14000000000000001</v>
      </c>
      <c r="AP32" s="7">
        <v>0.127</v>
      </c>
      <c r="AQ32" s="7">
        <v>0.115</v>
      </c>
      <c r="AR32" s="7">
        <v>0.104</v>
      </c>
      <c r="AS32" s="7">
        <v>9.4E-2</v>
      </c>
      <c r="AT32" s="7">
        <v>8.4000000000000005E-2</v>
      </c>
      <c r="AU32" s="7">
        <v>7.4999999999999997E-2</v>
      </c>
      <c r="AV32" s="7">
        <v>6.7000000000000004E-2</v>
      </c>
      <c r="AW32" s="7">
        <v>0.06</v>
      </c>
      <c r="AX32" s="7">
        <v>5.2999999999999999E-2</v>
      </c>
      <c r="AY32" s="7">
        <v>4.5999999999999999E-2</v>
      </c>
      <c r="AZ32" s="7">
        <v>0.04</v>
      </c>
      <c r="BA32" s="7">
        <v>3.5000000000000003E-2</v>
      </c>
      <c r="BB32" s="7">
        <v>3.1E-2</v>
      </c>
      <c r="BC32" s="7">
        <v>2.5999999999999999E-2</v>
      </c>
      <c r="BD32" s="7">
        <v>2.3E-2</v>
      </c>
    </row>
    <row r="33" spans="1:56" x14ac:dyDescent="0.2">
      <c r="A33" s="1" t="s">
        <v>101</v>
      </c>
      <c r="L33" s="7">
        <v>3.2450000000000001</v>
      </c>
      <c r="M33" s="7">
        <v>3.2749999999999999</v>
      </c>
      <c r="N33" s="7">
        <v>3.2650000000000001</v>
      </c>
      <c r="O33" s="7">
        <v>3.246</v>
      </c>
      <c r="P33" s="7">
        <v>3.2149999999999999</v>
      </c>
      <c r="Q33" s="7">
        <v>3.1739999999999999</v>
      </c>
      <c r="R33" s="7">
        <v>3.1240000000000001</v>
      </c>
      <c r="S33" s="7">
        <v>3.0649999999999999</v>
      </c>
      <c r="T33" s="7">
        <v>2.9990000000000001</v>
      </c>
      <c r="U33" s="7">
        <v>2.9239999999999999</v>
      </c>
      <c r="V33" s="7">
        <v>2.843</v>
      </c>
      <c r="W33" s="7">
        <v>2.7570000000000001</v>
      </c>
      <c r="X33" s="7">
        <v>2.6659999999999999</v>
      </c>
      <c r="Y33" s="7">
        <v>2.5710000000000002</v>
      </c>
      <c r="Z33" s="7">
        <v>2.4729999999999999</v>
      </c>
      <c r="AA33" s="7">
        <v>2.371</v>
      </c>
      <c r="AB33" s="7">
        <v>2.2669999999999999</v>
      </c>
      <c r="AC33" s="7">
        <v>2.16</v>
      </c>
      <c r="AD33" s="7">
        <v>2.052</v>
      </c>
      <c r="AE33" s="7">
        <v>1.9419999999999999</v>
      </c>
      <c r="AF33" s="7">
        <v>1.8360000000000001</v>
      </c>
      <c r="AG33" s="7">
        <v>1.73</v>
      </c>
      <c r="AH33" s="7">
        <v>1.6259999999999999</v>
      </c>
      <c r="AI33" s="7">
        <v>1.5229999999999999</v>
      </c>
      <c r="AJ33" s="7">
        <v>1.4219999999999999</v>
      </c>
      <c r="AK33" s="7">
        <v>1.323</v>
      </c>
      <c r="AL33" s="7">
        <v>1.228</v>
      </c>
      <c r="AM33" s="7">
        <v>1.135</v>
      </c>
      <c r="AN33" s="7">
        <v>1.046</v>
      </c>
      <c r="AO33" s="7">
        <v>0.96</v>
      </c>
      <c r="AP33" s="7">
        <v>0.878</v>
      </c>
      <c r="AQ33" s="7">
        <v>0.8</v>
      </c>
      <c r="AR33" s="7">
        <v>0.72599999999999998</v>
      </c>
      <c r="AS33" s="7">
        <v>0.65600000000000003</v>
      </c>
      <c r="AT33" s="7">
        <v>0.59099999999999997</v>
      </c>
      <c r="AU33" s="7">
        <v>0.53</v>
      </c>
      <c r="AV33" s="7">
        <v>0.47299999999999998</v>
      </c>
      <c r="AW33" s="7">
        <v>0.42099999999999999</v>
      </c>
      <c r="AX33" s="7">
        <v>0.373</v>
      </c>
      <c r="AY33" s="7">
        <v>0.32800000000000001</v>
      </c>
      <c r="AZ33" s="7">
        <v>0.28799999999999998</v>
      </c>
      <c r="BA33" s="7">
        <v>0.251</v>
      </c>
      <c r="BB33" s="7">
        <v>0.218</v>
      </c>
      <c r="BC33" s="7">
        <v>0.188</v>
      </c>
      <c r="BD33" s="7">
        <v>0.16200000000000001</v>
      </c>
    </row>
    <row r="34" spans="1:56" x14ac:dyDescent="0.2">
      <c r="A34" s="1" t="s">
        <v>102</v>
      </c>
      <c r="L34" s="7">
        <v>13.744999999999999</v>
      </c>
      <c r="M34" s="7">
        <v>13.493</v>
      </c>
      <c r="N34" s="7">
        <v>13.244999999999999</v>
      </c>
      <c r="O34" s="7">
        <v>12.984999999999999</v>
      </c>
      <c r="P34" s="7">
        <v>12.689</v>
      </c>
      <c r="Q34" s="7">
        <v>12.366</v>
      </c>
      <c r="R34" s="7">
        <v>12.019</v>
      </c>
      <c r="S34" s="7">
        <v>11.656000000000001</v>
      </c>
      <c r="T34" s="7">
        <v>11.29</v>
      </c>
      <c r="U34" s="7">
        <v>10.92</v>
      </c>
      <c r="V34" s="7">
        <v>10.553000000000001</v>
      </c>
      <c r="W34" s="7">
        <v>10.186999999999999</v>
      </c>
      <c r="X34" s="7">
        <v>9.8190000000000008</v>
      </c>
      <c r="Y34" s="7">
        <v>9.44</v>
      </c>
      <c r="Z34" s="7">
        <v>9.0530000000000008</v>
      </c>
      <c r="AA34" s="7">
        <v>8.6560000000000006</v>
      </c>
      <c r="AB34" s="7">
        <v>8.2539999999999996</v>
      </c>
      <c r="AC34" s="7">
        <v>7.843</v>
      </c>
      <c r="AD34" s="7">
        <v>7.4290000000000003</v>
      </c>
      <c r="AE34" s="7">
        <v>7.0140000000000002</v>
      </c>
      <c r="AF34" s="7">
        <v>6.6130000000000004</v>
      </c>
      <c r="AG34" s="7">
        <v>6.2169999999999996</v>
      </c>
      <c r="AH34" s="7">
        <v>5.827</v>
      </c>
      <c r="AI34" s="7">
        <v>5.444</v>
      </c>
      <c r="AJ34" s="7">
        <v>5.0709999999999997</v>
      </c>
      <c r="AK34" s="7">
        <v>4.7069999999999999</v>
      </c>
      <c r="AL34" s="7">
        <v>4.3550000000000004</v>
      </c>
      <c r="AM34" s="7">
        <v>4.016</v>
      </c>
      <c r="AN34" s="7">
        <v>3.6909999999999998</v>
      </c>
      <c r="AO34" s="7">
        <v>3.379</v>
      </c>
      <c r="AP34" s="7">
        <v>3.0830000000000002</v>
      </c>
      <c r="AQ34" s="7">
        <v>2.8010000000000002</v>
      </c>
      <c r="AR34" s="7">
        <v>2.536</v>
      </c>
      <c r="AS34" s="7">
        <v>2.2869999999999999</v>
      </c>
      <c r="AT34" s="7">
        <v>2.0539999999999998</v>
      </c>
      <c r="AU34" s="7">
        <v>1.8380000000000001</v>
      </c>
      <c r="AV34" s="7">
        <v>1.637</v>
      </c>
      <c r="AW34" s="7">
        <v>1.452</v>
      </c>
      <c r="AX34" s="7">
        <v>1.282</v>
      </c>
      <c r="AY34" s="7">
        <v>1.1259999999999999</v>
      </c>
      <c r="AZ34" s="7">
        <v>0.98399999999999999</v>
      </c>
      <c r="BA34" s="7">
        <v>0.85599999999999998</v>
      </c>
      <c r="BB34" s="7">
        <v>0.74099999999999999</v>
      </c>
      <c r="BC34" s="7">
        <v>0.63900000000000001</v>
      </c>
      <c r="BD34" s="7">
        <v>0.54800000000000004</v>
      </c>
    </row>
    <row r="36" spans="1:56" ht="15" x14ac:dyDescent="0.25">
      <c r="A36" s="2" t="s">
        <v>105</v>
      </c>
      <c r="B36" s="2" t="s">
        <v>82</v>
      </c>
      <c r="D36" s="7">
        <v>1.1020000000000001</v>
      </c>
      <c r="E36" s="7">
        <v>1.2809999999999999</v>
      </c>
      <c r="F36" s="7">
        <v>1.024</v>
      </c>
      <c r="G36" s="7">
        <v>1.0409999999999999</v>
      </c>
      <c r="H36" s="7">
        <v>0.68899999999999995</v>
      </c>
      <c r="I36" s="7">
        <v>0.72299999999999998</v>
      </c>
      <c r="J36" s="7">
        <v>0.80400000000000005</v>
      </c>
      <c r="K36" s="7">
        <v>0.85499999999999998</v>
      </c>
      <c r="L36" s="7">
        <v>0.70099999999999996</v>
      </c>
      <c r="M36" s="7">
        <v>0.73799999999999999</v>
      </c>
      <c r="N36" s="7">
        <v>0.76900000000000002</v>
      </c>
      <c r="O36" s="7">
        <v>0.80100000000000005</v>
      </c>
      <c r="P36" s="7">
        <v>0.84</v>
      </c>
      <c r="Q36" s="7">
        <v>0.873</v>
      </c>
      <c r="R36" s="7">
        <v>0.90800000000000003</v>
      </c>
    </row>
    <row r="37" spans="1:56" ht="15" x14ac:dyDescent="0.25">
      <c r="A37" s="2"/>
      <c r="B37" s="2"/>
      <c r="D37" s="7"/>
      <c r="E37" s="7"/>
      <c r="F37" s="7"/>
      <c r="G37" s="7"/>
      <c r="H37" s="7"/>
      <c r="I37" s="7"/>
      <c r="J37" s="7"/>
      <c r="K37" s="7"/>
      <c r="L37" s="7"/>
      <c r="M37" s="7"/>
      <c r="N37" s="7"/>
      <c r="O37" s="7"/>
      <c r="P37" s="7"/>
      <c r="Q37" s="7"/>
      <c r="R37" s="7"/>
    </row>
    <row r="38" spans="1:56" ht="15" x14ac:dyDescent="0.25">
      <c r="A38" s="2" t="s">
        <v>561</v>
      </c>
      <c r="B38" s="2" t="s">
        <v>562</v>
      </c>
      <c r="C38" s="7">
        <v>2.4790000000000001</v>
      </c>
      <c r="D38" s="7">
        <v>0.70099999999999996</v>
      </c>
      <c r="E38" s="7">
        <v>1.6539999999999999</v>
      </c>
      <c r="F38" s="7">
        <v>0.59</v>
      </c>
      <c r="G38" s="7">
        <v>1.01</v>
      </c>
      <c r="H38" s="7">
        <v>1.0029999999999999</v>
      </c>
      <c r="I38" s="7">
        <v>0.92500000000000004</v>
      </c>
      <c r="J38" s="7">
        <v>1.069</v>
      </c>
      <c r="K38" s="7">
        <v>0.873</v>
      </c>
      <c r="L38" s="7">
        <v>1.0029999999999999</v>
      </c>
      <c r="M38" s="7">
        <v>1.093</v>
      </c>
      <c r="N38" s="7">
        <v>1.1240000000000001</v>
      </c>
      <c r="O38" s="7">
        <v>1.121</v>
      </c>
      <c r="P38" s="7">
        <v>1.119</v>
      </c>
      <c r="R38" s="7"/>
    </row>
    <row r="40" spans="1:56" ht="15" x14ac:dyDescent="0.25">
      <c r="A40" s="2" t="s">
        <v>470</v>
      </c>
    </row>
    <row r="41" spans="1:56" x14ac:dyDescent="0.2">
      <c r="A41" s="1" t="s">
        <v>471</v>
      </c>
      <c r="B41" s="48">
        <v>0.05</v>
      </c>
      <c r="D41" s="1" t="s">
        <v>480</v>
      </c>
      <c r="I41" s="48">
        <v>0.03</v>
      </c>
      <c r="K41" s="1" t="s">
        <v>486</v>
      </c>
      <c r="P41" s="48">
        <v>0.02</v>
      </c>
    </row>
    <row r="42" spans="1:56" x14ac:dyDescent="0.2">
      <c r="A42" s="1" t="s">
        <v>472</v>
      </c>
      <c r="B42" s="48">
        <v>0.25</v>
      </c>
      <c r="D42" s="1" t="s">
        <v>482</v>
      </c>
      <c r="I42" s="48">
        <v>0.23</v>
      </c>
      <c r="K42" s="1" t="s">
        <v>487</v>
      </c>
      <c r="P42" s="48">
        <v>0.41</v>
      </c>
    </row>
    <row r="43" spans="1:56" x14ac:dyDescent="0.2">
      <c r="A43" s="1" t="s">
        <v>473</v>
      </c>
      <c r="B43" s="48">
        <v>0.25</v>
      </c>
      <c r="D43" s="1" t="s">
        <v>483</v>
      </c>
      <c r="I43" s="48">
        <v>0.21</v>
      </c>
      <c r="K43" s="1" t="s">
        <v>488</v>
      </c>
      <c r="P43" s="48">
        <v>0.4</v>
      </c>
    </row>
    <row r="44" spans="1:56" x14ac:dyDescent="0.2">
      <c r="A44" s="1" t="s">
        <v>476</v>
      </c>
      <c r="B44" s="48">
        <v>0.21</v>
      </c>
      <c r="D44" s="1" t="s">
        <v>484</v>
      </c>
      <c r="I44" s="48">
        <v>0.31</v>
      </c>
      <c r="K44" s="1" t="s">
        <v>489</v>
      </c>
      <c r="P44" s="48">
        <v>0.09</v>
      </c>
    </row>
    <row r="45" spans="1:56" x14ac:dyDescent="0.2">
      <c r="A45" s="1" t="s">
        <v>475</v>
      </c>
      <c r="B45" s="48">
        <v>0.2</v>
      </c>
      <c r="D45" s="1" t="s">
        <v>485</v>
      </c>
      <c r="I45" s="48">
        <v>0.19</v>
      </c>
      <c r="K45" s="1" t="s">
        <v>490</v>
      </c>
      <c r="P45" s="48">
        <v>0.08</v>
      </c>
    </row>
    <row r="46" spans="1:56" x14ac:dyDescent="0.2">
      <c r="A46" s="1" t="s">
        <v>474</v>
      </c>
      <c r="B46" s="48">
        <v>0.04</v>
      </c>
      <c r="D46" s="1" t="s">
        <v>481</v>
      </c>
      <c r="I46" s="48">
        <v>0.03</v>
      </c>
      <c r="K46" s="1" t="s">
        <v>491</v>
      </c>
      <c r="P46" s="48">
        <v>0</v>
      </c>
    </row>
    <row r="47" spans="1:56" ht="15" x14ac:dyDescent="0.25">
      <c r="B47" s="49">
        <f>SUM($B$41:$B$46)</f>
        <v>1</v>
      </c>
      <c r="I47" s="49">
        <f>SUM($I$41:$I$46)</f>
        <v>1</v>
      </c>
      <c r="P47" s="49">
        <f>SUM($P$41:$P$46)</f>
        <v>1</v>
      </c>
    </row>
    <row r="48" spans="1:56" ht="15" x14ac:dyDescent="0.25">
      <c r="B48" s="49"/>
      <c r="I48" s="49"/>
      <c r="P48" s="49"/>
    </row>
    <row r="49" spans="1:23" ht="15" x14ac:dyDescent="0.25">
      <c r="A49" s="2" t="s">
        <v>899</v>
      </c>
      <c r="B49" s="2" t="s">
        <v>847</v>
      </c>
      <c r="C49" s="2" t="s">
        <v>848</v>
      </c>
      <c r="I49" s="49"/>
      <c r="P49" s="49"/>
    </row>
    <row r="50" spans="1:23" ht="15" x14ac:dyDescent="0.25">
      <c r="A50" s="1" t="s">
        <v>900</v>
      </c>
      <c r="B50" s="23">
        <v>0.06</v>
      </c>
      <c r="C50" s="23">
        <v>7.0000000000000007E-2</v>
      </c>
      <c r="I50" s="49"/>
      <c r="P50" s="49"/>
    </row>
    <row r="51" spans="1:23" ht="15" x14ac:dyDescent="0.25">
      <c r="A51" s="1" t="s">
        <v>901</v>
      </c>
      <c r="B51" s="23">
        <v>4.4999999999999998E-2</v>
      </c>
      <c r="C51" s="23">
        <v>3.5000000000000003E-2</v>
      </c>
      <c r="I51" s="49"/>
      <c r="P51" s="49"/>
    </row>
    <row r="52" spans="1:23" ht="15" x14ac:dyDescent="0.25">
      <c r="A52" s="1" t="s">
        <v>902</v>
      </c>
      <c r="B52" s="23">
        <v>0.12</v>
      </c>
      <c r="C52" s="23">
        <v>7.0000000000000007E-2</v>
      </c>
      <c r="I52" s="49"/>
      <c r="P52" s="49"/>
    </row>
    <row r="53" spans="1:23" ht="15" x14ac:dyDescent="0.25">
      <c r="A53" s="1" t="s">
        <v>903</v>
      </c>
      <c r="B53" s="23">
        <v>0.11</v>
      </c>
      <c r="C53" s="23">
        <v>0.11</v>
      </c>
      <c r="I53" s="49"/>
      <c r="P53" s="49"/>
    </row>
    <row r="54" spans="1:23" ht="15" x14ac:dyDescent="0.25">
      <c r="A54" s="1" t="s">
        <v>904</v>
      </c>
      <c r="B54" s="23">
        <v>0.15</v>
      </c>
      <c r="C54" s="23">
        <v>0.14000000000000001</v>
      </c>
      <c r="I54" s="49"/>
      <c r="P54" s="49"/>
    </row>
    <row r="55" spans="1:23" ht="15" x14ac:dyDescent="0.25">
      <c r="A55" s="1" t="s">
        <v>905</v>
      </c>
      <c r="B55" s="23">
        <v>6.5000000000000002E-2</v>
      </c>
      <c r="C55" s="23">
        <v>2.5000000000000001E-2</v>
      </c>
      <c r="I55" s="49"/>
      <c r="P55" s="49"/>
    </row>
    <row r="56" spans="1:23" ht="15" x14ac:dyDescent="0.25">
      <c r="B56" s="75">
        <f>SUM($B$50:$B$55)</f>
        <v>0.55000000000000004</v>
      </c>
      <c r="C56" s="75">
        <f>SUM($C$50:$C$55)</f>
        <v>0.45000000000000007</v>
      </c>
      <c r="I56" s="49"/>
      <c r="P56" s="49"/>
    </row>
    <row r="58" spans="1:23" ht="15" x14ac:dyDescent="0.25">
      <c r="A58" s="2" t="s">
        <v>898</v>
      </c>
      <c r="B58" s="2" t="s">
        <v>847</v>
      </c>
      <c r="C58" s="2" t="s">
        <v>848</v>
      </c>
      <c r="H58" s="2" t="s">
        <v>847</v>
      </c>
      <c r="I58" s="2" t="s">
        <v>848</v>
      </c>
      <c r="O58" s="2" t="s">
        <v>847</v>
      </c>
      <c r="P58" s="2" t="s">
        <v>848</v>
      </c>
      <c r="V58" s="2" t="s">
        <v>847</v>
      </c>
      <c r="W58" s="2" t="s">
        <v>848</v>
      </c>
    </row>
    <row r="59" spans="1:23" x14ac:dyDescent="0.2">
      <c r="A59" s="1" t="s">
        <v>843</v>
      </c>
      <c r="B59" s="23">
        <v>2.5000000000000001E-2</v>
      </c>
      <c r="C59" s="23">
        <v>2.5000000000000001E-2</v>
      </c>
      <c r="E59" s="1" t="s">
        <v>865</v>
      </c>
      <c r="H59" s="23">
        <v>0.06</v>
      </c>
      <c r="I59" s="23">
        <v>0.06</v>
      </c>
      <c r="K59" s="1" t="s">
        <v>874</v>
      </c>
      <c r="O59" s="23">
        <v>5.5E-2</v>
      </c>
      <c r="P59" s="23">
        <v>5.5E-2</v>
      </c>
      <c r="R59" s="1" t="s">
        <v>881</v>
      </c>
      <c r="V59" s="23">
        <v>0.02</v>
      </c>
      <c r="W59" s="23">
        <v>0.02</v>
      </c>
    </row>
    <row r="60" spans="1:23" x14ac:dyDescent="0.2">
      <c r="A60" s="1" t="s">
        <v>844</v>
      </c>
      <c r="B60" s="23">
        <v>6.5000000000000002E-2</v>
      </c>
      <c r="C60" s="23">
        <v>6.5000000000000002E-2</v>
      </c>
      <c r="E60" s="1" t="s">
        <v>866</v>
      </c>
      <c r="H60" s="23">
        <v>0.06</v>
      </c>
      <c r="I60" s="23">
        <v>0.06</v>
      </c>
      <c r="K60" s="1" t="s">
        <v>875</v>
      </c>
      <c r="O60" s="23">
        <v>0.115</v>
      </c>
      <c r="P60" s="23">
        <v>0.115</v>
      </c>
      <c r="R60" s="1" t="s">
        <v>882</v>
      </c>
      <c r="V60" s="23">
        <v>0.12</v>
      </c>
      <c r="W60" s="23">
        <v>0.1</v>
      </c>
    </row>
    <row r="61" spans="1:23" x14ac:dyDescent="0.2">
      <c r="A61" s="1" t="s">
        <v>845</v>
      </c>
      <c r="B61" s="23">
        <v>9.5000000000000001E-2</v>
      </c>
      <c r="C61" s="23">
        <v>9.5000000000000001E-2</v>
      </c>
      <c r="E61" s="1" t="s">
        <v>867</v>
      </c>
      <c r="H61" s="23">
        <v>0.06</v>
      </c>
      <c r="I61" s="23">
        <v>0.06</v>
      </c>
      <c r="K61" s="1" t="s">
        <v>876</v>
      </c>
      <c r="O61" s="23">
        <v>0.115</v>
      </c>
      <c r="P61" s="23">
        <v>0.115</v>
      </c>
      <c r="R61" s="1" t="s">
        <v>883</v>
      </c>
      <c r="V61" s="23">
        <v>0.17499999999999999</v>
      </c>
      <c r="W61" s="23">
        <v>0.14499999999999999</v>
      </c>
    </row>
    <row r="62" spans="1:23" x14ac:dyDescent="0.2">
      <c r="A62" s="1" t="s">
        <v>846</v>
      </c>
      <c r="B62" s="23">
        <v>0.15</v>
      </c>
      <c r="C62" s="23">
        <v>0.15</v>
      </c>
      <c r="E62" s="1" t="s">
        <v>868</v>
      </c>
      <c r="H62" s="23">
        <v>0.06</v>
      </c>
      <c r="I62" s="23">
        <v>0.06</v>
      </c>
      <c r="K62" s="1" t="s">
        <v>877</v>
      </c>
      <c r="O62" s="23">
        <v>0.105</v>
      </c>
      <c r="P62" s="23">
        <v>0.105</v>
      </c>
      <c r="R62" s="1" t="s">
        <v>884</v>
      </c>
      <c r="V62" s="23">
        <v>0.14499999999999999</v>
      </c>
      <c r="W62" s="23">
        <v>9.5000000000000001E-2</v>
      </c>
    </row>
    <row r="63" spans="1:23" x14ac:dyDescent="0.2">
      <c r="A63" s="1" t="s">
        <v>849</v>
      </c>
      <c r="B63" s="23">
        <v>0.16</v>
      </c>
      <c r="C63" s="23">
        <v>0.16</v>
      </c>
      <c r="E63" s="1" t="s">
        <v>869</v>
      </c>
      <c r="H63" s="23">
        <v>0.06</v>
      </c>
      <c r="I63" s="23">
        <v>0.06</v>
      </c>
      <c r="K63" s="1" t="s">
        <v>878</v>
      </c>
      <c r="O63" s="23">
        <v>0.08</v>
      </c>
      <c r="P63" s="23">
        <v>0.08</v>
      </c>
      <c r="R63" s="1" t="s">
        <v>1208</v>
      </c>
      <c r="V63" s="23">
        <v>0.12</v>
      </c>
      <c r="W63" s="23">
        <v>0.06</v>
      </c>
    </row>
    <row r="64" spans="1:23" ht="15" x14ac:dyDescent="0.25">
      <c r="A64" s="1" t="s">
        <v>850</v>
      </c>
      <c r="B64" s="23">
        <v>5.0000000000000001E-3</v>
      </c>
      <c r="C64" s="23">
        <v>5.0000000000000001E-3</v>
      </c>
      <c r="E64" s="1" t="s">
        <v>870</v>
      </c>
      <c r="H64" s="23">
        <v>0.06</v>
      </c>
      <c r="I64" s="23">
        <v>0.06</v>
      </c>
      <c r="K64" s="1" t="s">
        <v>879</v>
      </c>
      <c r="O64" s="23">
        <v>0.02</v>
      </c>
      <c r="P64" s="23">
        <v>0.02</v>
      </c>
      <c r="V64" s="75">
        <f>SUM($V$59:$V$63)</f>
        <v>0.57999999999999996</v>
      </c>
      <c r="W64" s="75">
        <f>SUM($W$59:$W$63)</f>
        <v>0.42</v>
      </c>
    </row>
    <row r="65" spans="1:56" ht="15" x14ac:dyDescent="0.25">
      <c r="B65" s="75">
        <f>SUM($B$59:$B$64)</f>
        <v>0.5</v>
      </c>
      <c r="C65" s="75">
        <f>SUM($C$59:$C$64)</f>
        <v>0.5</v>
      </c>
      <c r="E65" s="1" t="s">
        <v>871</v>
      </c>
      <c r="H65" s="23">
        <v>0.06</v>
      </c>
      <c r="I65" s="23">
        <v>0.06</v>
      </c>
      <c r="K65" s="1" t="s">
        <v>880</v>
      </c>
      <c r="O65" s="23">
        <v>0.01</v>
      </c>
      <c r="P65" s="23">
        <v>0.01</v>
      </c>
    </row>
    <row r="66" spans="1:56" ht="15" x14ac:dyDescent="0.25">
      <c r="E66" s="1" t="s">
        <v>872</v>
      </c>
      <c r="H66" s="23">
        <v>0.06</v>
      </c>
      <c r="I66" s="23">
        <v>0.06</v>
      </c>
      <c r="O66" s="75">
        <f>SUM($O$59:$O$65)</f>
        <v>0.5</v>
      </c>
      <c r="P66" s="75">
        <f>SUM($P$59:$P$65)</f>
        <v>0.5</v>
      </c>
    </row>
    <row r="67" spans="1:56" x14ac:dyDescent="0.2">
      <c r="E67" s="1" t="s">
        <v>873</v>
      </c>
      <c r="H67" s="23">
        <v>0.02</v>
      </c>
      <c r="I67" s="23">
        <v>0.02</v>
      </c>
    </row>
    <row r="68" spans="1:56" ht="15" x14ac:dyDescent="0.25">
      <c r="H68" s="75">
        <f>SUM($H$59:$H$67)</f>
        <v>0.5</v>
      </c>
      <c r="I68" s="75">
        <f>SUM($I$59:$I$67)</f>
        <v>0.5</v>
      </c>
    </row>
    <row r="69" spans="1:56" ht="15" x14ac:dyDescent="0.25">
      <c r="H69" s="75"/>
      <c r="I69" s="75"/>
    </row>
    <row r="70" spans="1:56" ht="15" x14ac:dyDescent="0.25">
      <c r="A70" s="2" t="s">
        <v>1192</v>
      </c>
      <c r="N70" s="1" t="s">
        <v>1193</v>
      </c>
    </row>
    <row r="71" spans="1:56" x14ac:dyDescent="0.2">
      <c r="A71" s="1" t="s">
        <v>1196</v>
      </c>
      <c r="C71" s="1" t="s">
        <v>1191</v>
      </c>
      <c r="N71" s="23">
        <v>0.105</v>
      </c>
      <c r="P71" s="87">
        <v>14000</v>
      </c>
      <c r="Q71" s="87">
        <f>ROUND(P$71*1.02,0)</f>
        <v>14280</v>
      </c>
      <c r="R71" s="87">
        <f>ROUND(Q$71*1.02,0)</f>
        <v>14566</v>
      </c>
      <c r="S71" s="87">
        <f t="shared" ref="S71:AE71" si="1">ROUND(R$71*1.02,0)</f>
        <v>14857</v>
      </c>
      <c r="T71" s="87">
        <f t="shared" si="1"/>
        <v>15154</v>
      </c>
      <c r="U71" s="87">
        <f t="shared" si="1"/>
        <v>15457</v>
      </c>
      <c r="V71" s="87">
        <f t="shared" si="1"/>
        <v>15766</v>
      </c>
      <c r="W71" s="87">
        <f t="shared" si="1"/>
        <v>16081</v>
      </c>
      <c r="X71" s="87">
        <f t="shared" si="1"/>
        <v>16403</v>
      </c>
      <c r="Y71" s="87">
        <f t="shared" si="1"/>
        <v>16731</v>
      </c>
      <c r="Z71" s="87">
        <f t="shared" si="1"/>
        <v>17066</v>
      </c>
      <c r="AA71" s="87">
        <f t="shared" si="1"/>
        <v>17407</v>
      </c>
      <c r="AB71" s="87">
        <f t="shared" si="1"/>
        <v>17755</v>
      </c>
      <c r="AC71" s="87">
        <f t="shared" si="1"/>
        <v>18110</v>
      </c>
      <c r="AD71" s="87">
        <f t="shared" si="1"/>
        <v>18472</v>
      </c>
      <c r="AE71" s="87">
        <f t="shared" si="1"/>
        <v>18841</v>
      </c>
      <c r="AF71" s="87">
        <f t="shared" ref="AF71:AM71" si="2">ROUND(AE$71*1.02,0)</f>
        <v>19218</v>
      </c>
      <c r="AG71" s="87">
        <f t="shared" si="2"/>
        <v>19602</v>
      </c>
      <c r="AH71" s="87">
        <f t="shared" si="2"/>
        <v>19994</v>
      </c>
      <c r="AI71" s="87">
        <f t="shared" si="2"/>
        <v>20394</v>
      </c>
      <c r="AJ71" s="87">
        <f t="shared" si="2"/>
        <v>20802</v>
      </c>
      <c r="AK71" s="87">
        <f t="shared" si="2"/>
        <v>21218</v>
      </c>
      <c r="AL71" s="87">
        <f t="shared" si="2"/>
        <v>21642</v>
      </c>
      <c r="AM71" s="87">
        <f t="shared" si="2"/>
        <v>22075</v>
      </c>
      <c r="AN71" s="87">
        <f t="shared" ref="AN71:BD71" si="3">ROUND(AM$71*1.02,0)</f>
        <v>22517</v>
      </c>
      <c r="AO71" s="87">
        <f t="shared" si="3"/>
        <v>22967</v>
      </c>
      <c r="AP71" s="87">
        <f t="shared" si="3"/>
        <v>23426</v>
      </c>
      <c r="AQ71" s="87">
        <f t="shared" si="3"/>
        <v>23895</v>
      </c>
      <c r="AR71" s="87">
        <f t="shared" si="3"/>
        <v>24373</v>
      </c>
      <c r="AS71" s="87">
        <f t="shared" si="3"/>
        <v>24860</v>
      </c>
      <c r="AT71" s="87">
        <f t="shared" si="3"/>
        <v>25357</v>
      </c>
      <c r="AU71" s="87">
        <f t="shared" si="3"/>
        <v>25864</v>
      </c>
      <c r="AV71" s="87">
        <f t="shared" si="3"/>
        <v>26381</v>
      </c>
      <c r="AW71" s="87">
        <f t="shared" si="3"/>
        <v>26909</v>
      </c>
      <c r="AX71" s="87">
        <f t="shared" si="3"/>
        <v>27447</v>
      </c>
      <c r="AY71" s="87">
        <f t="shared" si="3"/>
        <v>27996</v>
      </c>
      <c r="AZ71" s="87">
        <f t="shared" si="3"/>
        <v>28556</v>
      </c>
      <c r="BA71" s="87">
        <f t="shared" si="3"/>
        <v>29127</v>
      </c>
      <c r="BB71" s="87">
        <f t="shared" si="3"/>
        <v>29710</v>
      </c>
      <c r="BC71" s="87">
        <f t="shared" si="3"/>
        <v>30304</v>
      </c>
      <c r="BD71" s="87">
        <f t="shared" si="3"/>
        <v>30910</v>
      </c>
    </row>
    <row r="72" spans="1:56" x14ac:dyDescent="0.2">
      <c r="A72" s="1" t="s">
        <v>1197</v>
      </c>
      <c r="B72" s="1" t="s">
        <v>1193</v>
      </c>
      <c r="C72" s="1" t="s">
        <v>1194</v>
      </c>
      <c r="N72" s="23">
        <v>0.17499999999999999</v>
      </c>
      <c r="P72" s="87">
        <v>48000</v>
      </c>
      <c r="Q72" s="87">
        <f>ROUND(P$72*1.02,0)</f>
        <v>48960</v>
      </c>
      <c r="R72" s="87">
        <f>ROUND(Q$72*1.02,0)</f>
        <v>49939</v>
      </c>
      <c r="S72" s="87">
        <f t="shared" ref="S72:AE72" si="4">ROUND(R$72*1.02,0)</f>
        <v>50938</v>
      </c>
      <c r="T72" s="87">
        <f t="shared" si="4"/>
        <v>51957</v>
      </c>
      <c r="U72" s="87">
        <f t="shared" si="4"/>
        <v>52996</v>
      </c>
      <c r="V72" s="87">
        <f t="shared" si="4"/>
        <v>54056</v>
      </c>
      <c r="W72" s="87">
        <f t="shared" si="4"/>
        <v>55137</v>
      </c>
      <c r="X72" s="87">
        <f t="shared" si="4"/>
        <v>56240</v>
      </c>
      <c r="Y72" s="87">
        <f t="shared" si="4"/>
        <v>57365</v>
      </c>
      <c r="Z72" s="87">
        <f t="shared" si="4"/>
        <v>58512</v>
      </c>
      <c r="AA72" s="87">
        <f t="shared" si="4"/>
        <v>59682</v>
      </c>
      <c r="AB72" s="87">
        <f t="shared" si="4"/>
        <v>60876</v>
      </c>
      <c r="AC72" s="87">
        <f t="shared" si="4"/>
        <v>62094</v>
      </c>
      <c r="AD72" s="87">
        <f t="shared" si="4"/>
        <v>63336</v>
      </c>
      <c r="AE72" s="87">
        <f t="shared" si="4"/>
        <v>64603</v>
      </c>
      <c r="AF72" s="87">
        <f t="shared" ref="AF72:AM72" si="5">ROUND(AE$72*1.02,0)</f>
        <v>65895</v>
      </c>
      <c r="AG72" s="87">
        <f t="shared" si="5"/>
        <v>67213</v>
      </c>
      <c r="AH72" s="87">
        <f t="shared" si="5"/>
        <v>68557</v>
      </c>
      <c r="AI72" s="87">
        <f t="shared" si="5"/>
        <v>69928</v>
      </c>
      <c r="AJ72" s="87">
        <f t="shared" si="5"/>
        <v>71327</v>
      </c>
      <c r="AK72" s="87">
        <f t="shared" si="5"/>
        <v>72754</v>
      </c>
      <c r="AL72" s="87">
        <f t="shared" si="5"/>
        <v>74209</v>
      </c>
      <c r="AM72" s="87">
        <f t="shared" si="5"/>
        <v>75693</v>
      </c>
      <c r="AN72" s="87">
        <f t="shared" ref="AN72:BD72" si="6">ROUND(AM$72*1.02,0)</f>
        <v>77207</v>
      </c>
      <c r="AO72" s="87">
        <f t="shared" si="6"/>
        <v>78751</v>
      </c>
      <c r="AP72" s="87">
        <f t="shared" si="6"/>
        <v>80326</v>
      </c>
      <c r="AQ72" s="87">
        <f t="shared" si="6"/>
        <v>81933</v>
      </c>
      <c r="AR72" s="87">
        <f t="shared" si="6"/>
        <v>83572</v>
      </c>
      <c r="AS72" s="87">
        <f t="shared" si="6"/>
        <v>85243</v>
      </c>
      <c r="AT72" s="87">
        <f t="shared" si="6"/>
        <v>86948</v>
      </c>
      <c r="AU72" s="87">
        <f t="shared" si="6"/>
        <v>88687</v>
      </c>
      <c r="AV72" s="87">
        <f t="shared" si="6"/>
        <v>90461</v>
      </c>
      <c r="AW72" s="87">
        <f t="shared" si="6"/>
        <v>92270</v>
      </c>
      <c r="AX72" s="87">
        <f t="shared" si="6"/>
        <v>94115</v>
      </c>
      <c r="AY72" s="87">
        <f t="shared" si="6"/>
        <v>95997</v>
      </c>
      <c r="AZ72" s="87">
        <f t="shared" si="6"/>
        <v>97917</v>
      </c>
      <c r="BA72" s="87">
        <f t="shared" si="6"/>
        <v>99875</v>
      </c>
      <c r="BB72" s="87">
        <f t="shared" si="6"/>
        <v>101873</v>
      </c>
      <c r="BC72" s="87">
        <f t="shared" si="6"/>
        <v>103910</v>
      </c>
      <c r="BD72" s="87">
        <f t="shared" si="6"/>
        <v>105988</v>
      </c>
    </row>
    <row r="73" spans="1:56" x14ac:dyDescent="0.2">
      <c r="A73" s="1" t="s">
        <v>1198</v>
      </c>
      <c r="B73" s="23">
        <v>0.105</v>
      </c>
      <c r="C73" s="87">
        <v>14000</v>
      </c>
      <c r="N73" s="23">
        <v>0.3</v>
      </c>
      <c r="P73" s="87">
        <v>70000</v>
      </c>
      <c r="Q73" s="87">
        <f>ROUND(P$73*1.02,0)</f>
        <v>71400</v>
      </c>
      <c r="R73" s="87">
        <f>ROUND(Q$73*1.02,0)</f>
        <v>72828</v>
      </c>
      <c r="S73" s="87">
        <f t="shared" ref="S73:AE73" si="7">ROUND(R$73*1.02,0)</f>
        <v>74285</v>
      </c>
      <c r="T73" s="87">
        <f t="shared" si="7"/>
        <v>75771</v>
      </c>
      <c r="U73" s="87">
        <f t="shared" si="7"/>
        <v>77286</v>
      </c>
      <c r="V73" s="87">
        <f t="shared" si="7"/>
        <v>78832</v>
      </c>
      <c r="W73" s="87">
        <f t="shared" si="7"/>
        <v>80409</v>
      </c>
      <c r="X73" s="87">
        <f t="shared" si="7"/>
        <v>82017</v>
      </c>
      <c r="Y73" s="87">
        <f t="shared" si="7"/>
        <v>83657</v>
      </c>
      <c r="Z73" s="87">
        <f t="shared" si="7"/>
        <v>85330</v>
      </c>
      <c r="AA73" s="87">
        <f t="shared" si="7"/>
        <v>87037</v>
      </c>
      <c r="AB73" s="87">
        <f t="shared" si="7"/>
        <v>88778</v>
      </c>
      <c r="AC73" s="87">
        <f t="shared" si="7"/>
        <v>90554</v>
      </c>
      <c r="AD73" s="87">
        <f t="shared" si="7"/>
        <v>92365</v>
      </c>
      <c r="AE73" s="87">
        <f t="shared" si="7"/>
        <v>94212</v>
      </c>
      <c r="AF73" s="87">
        <f t="shared" ref="AF73:AM73" si="8">ROUND(AE$73*1.02,0)</f>
        <v>96096</v>
      </c>
      <c r="AG73" s="87">
        <f t="shared" si="8"/>
        <v>98018</v>
      </c>
      <c r="AH73" s="87">
        <f t="shared" si="8"/>
        <v>99978</v>
      </c>
      <c r="AI73" s="87">
        <f t="shared" si="8"/>
        <v>101978</v>
      </c>
      <c r="AJ73" s="87">
        <f t="shared" si="8"/>
        <v>104018</v>
      </c>
      <c r="AK73" s="87">
        <f t="shared" si="8"/>
        <v>106098</v>
      </c>
      <c r="AL73" s="87">
        <f t="shared" si="8"/>
        <v>108220</v>
      </c>
      <c r="AM73" s="87">
        <f t="shared" si="8"/>
        <v>110384</v>
      </c>
      <c r="AN73" s="87">
        <f t="shared" ref="AN73:BD73" si="9">ROUND(AM$73*1.02,0)</f>
        <v>112592</v>
      </c>
      <c r="AO73" s="87">
        <f t="shared" si="9"/>
        <v>114844</v>
      </c>
      <c r="AP73" s="87">
        <f t="shared" si="9"/>
        <v>117141</v>
      </c>
      <c r="AQ73" s="87">
        <f t="shared" si="9"/>
        <v>119484</v>
      </c>
      <c r="AR73" s="87">
        <f t="shared" si="9"/>
        <v>121874</v>
      </c>
      <c r="AS73" s="87">
        <f t="shared" si="9"/>
        <v>124311</v>
      </c>
      <c r="AT73" s="87">
        <f t="shared" si="9"/>
        <v>126797</v>
      </c>
      <c r="AU73" s="87">
        <f t="shared" si="9"/>
        <v>129333</v>
      </c>
      <c r="AV73" s="87">
        <f t="shared" si="9"/>
        <v>131920</v>
      </c>
      <c r="AW73" s="87">
        <f t="shared" si="9"/>
        <v>134558</v>
      </c>
      <c r="AX73" s="87">
        <f t="shared" si="9"/>
        <v>137249</v>
      </c>
      <c r="AY73" s="87">
        <f t="shared" si="9"/>
        <v>139994</v>
      </c>
      <c r="AZ73" s="87">
        <f t="shared" si="9"/>
        <v>142794</v>
      </c>
      <c r="BA73" s="87">
        <f t="shared" si="9"/>
        <v>145650</v>
      </c>
      <c r="BB73" s="87">
        <f t="shared" si="9"/>
        <v>148563</v>
      </c>
      <c r="BC73" s="87">
        <f t="shared" si="9"/>
        <v>151534</v>
      </c>
      <c r="BD73" s="87">
        <f t="shared" si="9"/>
        <v>154565</v>
      </c>
    </row>
    <row r="74" spans="1:56" x14ac:dyDescent="0.2">
      <c r="A74" s="1" t="s">
        <v>1199</v>
      </c>
      <c r="B74" s="23">
        <v>0.17499999999999999</v>
      </c>
      <c r="C74" s="87">
        <v>48000</v>
      </c>
      <c r="N74" s="23">
        <v>0.33</v>
      </c>
      <c r="P74" s="87">
        <f t="shared" ref="P74:BD74" si="10">P$71*(1-$N$71)</f>
        <v>12530</v>
      </c>
      <c r="Q74" s="87">
        <f t="shared" si="10"/>
        <v>12780.6</v>
      </c>
      <c r="R74" s="87">
        <f t="shared" si="10"/>
        <v>13036.57</v>
      </c>
      <c r="S74" s="87">
        <f t="shared" si="10"/>
        <v>13297.014999999999</v>
      </c>
      <c r="T74" s="87">
        <f t="shared" si="10"/>
        <v>13562.83</v>
      </c>
      <c r="U74" s="87">
        <f t="shared" si="10"/>
        <v>13834.014999999999</v>
      </c>
      <c r="V74" s="87">
        <f t="shared" si="10"/>
        <v>14110.57</v>
      </c>
      <c r="W74" s="87">
        <f t="shared" si="10"/>
        <v>14392.495000000001</v>
      </c>
      <c r="X74" s="87">
        <f t="shared" si="10"/>
        <v>14680.684999999999</v>
      </c>
      <c r="Y74" s="87">
        <f t="shared" si="10"/>
        <v>14974.245000000001</v>
      </c>
      <c r="Z74" s="87">
        <f t="shared" si="10"/>
        <v>15274.07</v>
      </c>
      <c r="AA74" s="87">
        <f t="shared" si="10"/>
        <v>15579.264999999999</v>
      </c>
      <c r="AB74" s="87">
        <f t="shared" si="10"/>
        <v>15890.725</v>
      </c>
      <c r="AC74" s="87">
        <f t="shared" si="10"/>
        <v>16208.45</v>
      </c>
      <c r="AD74" s="87">
        <f t="shared" si="10"/>
        <v>16532.439999999999</v>
      </c>
      <c r="AE74" s="87">
        <f t="shared" si="10"/>
        <v>16862.695</v>
      </c>
      <c r="AF74" s="87">
        <f t="shared" si="10"/>
        <v>17200.11</v>
      </c>
      <c r="AG74" s="87">
        <f t="shared" si="10"/>
        <v>17543.79</v>
      </c>
      <c r="AH74" s="87">
        <f t="shared" si="10"/>
        <v>17894.63</v>
      </c>
      <c r="AI74" s="87">
        <f t="shared" si="10"/>
        <v>18252.63</v>
      </c>
      <c r="AJ74" s="87">
        <f t="shared" si="10"/>
        <v>18617.79</v>
      </c>
      <c r="AK74" s="87">
        <f t="shared" si="10"/>
        <v>18990.11</v>
      </c>
      <c r="AL74" s="87">
        <f t="shared" si="10"/>
        <v>19369.59</v>
      </c>
      <c r="AM74" s="87">
        <f t="shared" si="10"/>
        <v>19757.125</v>
      </c>
      <c r="AN74" s="87">
        <f t="shared" si="10"/>
        <v>20152.715</v>
      </c>
      <c r="AO74" s="87">
        <f t="shared" si="10"/>
        <v>20555.465</v>
      </c>
      <c r="AP74" s="87">
        <f t="shared" si="10"/>
        <v>20966.27</v>
      </c>
      <c r="AQ74" s="87">
        <f t="shared" si="10"/>
        <v>21386.025000000001</v>
      </c>
      <c r="AR74" s="87">
        <f t="shared" si="10"/>
        <v>21813.834999999999</v>
      </c>
      <c r="AS74" s="87">
        <f t="shared" si="10"/>
        <v>22249.7</v>
      </c>
      <c r="AT74" s="87">
        <f t="shared" si="10"/>
        <v>22694.514999999999</v>
      </c>
      <c r="AU74" s="87">
        <f t="shared" si="10"/>
        <v>23148.28</v>
      </c>
      <c r="AV74" s="87">
        <f t="shared" si="10"/>
        <v>23610.994999999999</v>
      </c>
      <c r="AW74" s="87">
        <f t="shared" si="10"/>
        <v>24083.555</v>
      </c>
      <c r="AX74" s="87">
        <f t="shared" si="10"/>
        <v>24565.064999999999</v>
      </c>
      <c r="AY74" s="87">
        <f t="shared" si="10"/>
        <v>25056.420000000002</v>
      </c>
      <c r="AZ74" s="87">
        <f t="shared" si="10"/>
        <v>25557.62</v>
      </c>
      <c r="BA74" s="87">
        <f t="shared" si="10"/>
        <v>26068.665000000001</v>
      </c>
      <c r="BB74" s="87">
        <f t="shared" si="10"/>
        <v>26590.45</v>
      </c>
      <c r="BC74" s="87">
        <f t="shared" si="10"/>
        <v>27122.080000000002</v>
      </c>
      <c r="BD74" s="87">
        <f t="shared" si="10"/>
        <v>27664.45</v>
      </c>
    </row>
    <row r="75" spans="1:56" x14ac:dyDescent="0.2">
      <c r="A75" s="1" t="s">
        <v>1200</v>
      </c>
      <c r="B75" s="23">
        <v>0.3</v>
      </c>
      <c r="C75" s="87">
        <v>70000</v>
      </c>
      <c r="L75" s="1" t="s">
        <v>1195</v>
      </c>
      <c r="N75" s="14">
        <v>1.3899999999999999E-2</v>
      </c>
      <c r="P75" s="87">
        <f t="shared" ref="P75:BD75" si="11">(P$72-P$71)*(1-$N$72)+P$71*(1-$N$71)</f>
        <v>40580</v>
      </c>
      <c r="Q75" s="87">
        <f t="shared" si="11"/>
        <v>41391.599999999999</v>
      </c>
      <c r="R75" s="87">
        <f t="shared" si="11"/>
        <v>42219.294999999998</v>
      </c>
      <c r="S75" s="87">
        <f t="shared" si="11"/>
        <v>43063.839999999997</v>
      </c>
      <c r="T75" s="87">
        <f t="shared" si="11"/>
        <v>43925.305</v>
      </c>
      <c r="U75" s="87">
        <f t="shared" si="11"/>
        <v>44803.69</v>
      </c>
      <c r="V75" s="87">
        <f t="shared" si="11"/>
        <v>45699.82</v>
      </c>
      <c r="W75" s="87">
        <f t="shared" si="11"/>
        <v>46613.695</v>
      </c>
      <c r="X75" s="87">
        <f t="shared" si="11"/>
        <v>47546.21</v>
      </c>
      <c r="Y75" s="87">
        <f t="shared" si="11"/>
        <v>48497.294999999998</v>
      </c>
      <c r="Z75" s="87">
        <f t="shared" si="11"/>
        <v>49467.02</v>
      </c>
      <c r="AA75" s="87">
        <f t="shared" si="11"/>
        <v>50456.14</v>
      </c>
      <c r="AB75" s="87">
        <f t="shared" si="11"/>
        <v>51465.549999999996</v>
      </c>
      <c r="AC75" s="87">
        <f t="shared" si="11"/>
        <v>52495.25</v>
      </c>
      <c r="AD75" s="87">
        <f t="shared" si="11"/>
        <v>53545.239999999991</v>
      </c>
      <c r="AE75" s="87">
        <f t="shared" si="11"/>
        <v>54616.345000000001</v>
      </c>
      <c r="AF75" s="87">
        <f t="shared" si="11"/>
        <v>55708.635000000002</v>
      </c>
      <c r="AG75" s="87">
        <f t="shared" si="11"/>
        <v>56822.864999999998</v>
      </c>
      <c r="AH75" s="87">
        <f t="shared" si="11"/>
        <v>57959.104999999996</v>
      </c>
      <c r="AI75" s="87">
        <f t="shared" si="11"/>
        <v>59118.179999999993</v>
      </c>
      <c r="AJ75" s="87">
        <f t="shared" si="11"/>
        <v>60300.915000000001</v>
      </c>
      <c r="AK75" s="87">
        <f t="shared" si="11"/>
        <v>61507.31</v>
      </c>
      <c r="AL75" s="87">
        <f t="shared" si="11"/>
        <v>62737.364999999991</v>
      </c>
      <c r="AM75" s="87">
        <f t="shared" si="11"/>
        <v>63991.974999999999</v>
      </c>
      <c r="AN75" s="87">
        <f t="shared" si="11"/>
        <v>65271.964999999997</v>
      </c>
      <c r="AO75" s="87">
        <f t="shared" si="11"/>
        <v>66577.264999999999</v>
      </c>
      <c r="AP75" s="87">
        <f t="shared" si="11"/>
        <v>67908.77</v>
      </c>
      <c r="AQ75" s="87">
        <f t="shared" si="11"/>
        <v>69267.375</v>
      </c>
      <c r="AR75" s="87">
        <f t="shared" si="11"/>
        <v>70653.009999999995</v>
      </c>
      <c r="AS75" s="87">
        <f t="shared" si="11"/>
        <v>72065.675000000003</v>
      </c>
      <c r="AT75" s="87">
        <f t="shared" si="11"/>
        <v>73507.09</v>
      </c>
      <c r="AU75" s="87">
        <f t="shared" si="11"/>
        <v>74977.255000000005</v>
      </c>
      <c r="AV75" s="87">
        <f t="shared" si="11"/>
        <v>76476.994999999995</v>
      </c>
      <c r="AW75" s="87">
        <f t="shared" si="11"/>
        <v>78006.38</v>
      </c>
      <c r="AX75" s="87">
        <f t="shared" si="11"/>
        <v>79566.164999999994</v>
      </c>
      <c r="AY75" s="87">
        <f t="shared" si="11"/>
        <v>81157.244999999995</v>
      </c>
      <c r="AZ75" s="87">
        <f t="shared" si="11"/>
        <v>82780.444999999992</v>
      </c>
      <c r="BA75" s="87">
        <f t="shared" si="11"/>
        <v>84435.764999999999</v>
      </c>
      <c r="BB75" s="87">
        <f t="shared" si="11"/>
        <v>86124.925000000003</v>
      </c>
      <c r="BC75" s="87">
        <f t="shared" si="11"/>
        <v>87847.03</v>
      </c>
      <c r="BD75" s="87">
        <f t="shared" si="11"/>
        <v>89603.8</v>
      </c>
    </row>
    <row r="76" spans="1:56" x14ac:dyDescent="0.2">
      <c r="A76" s="1" t="s">
        <v>1201</v>
      </c>
      <c r="B76" s="23">
        <v>0.33</v>
      </c>
      <c r="C76" s="87"/>
      <c r="P76" s="87">
        <f t="shared" ref="P76:BD76" si="12">(P$73-P$72)*(1-$N$73)+(P$72-P$71)*(1-$N$72)+P$71*(1-$N$71)</f>
        <v>55980</v>
      </c>
      <c r="Q76" s="87">
        <f t="shared" si="12"/>
        <v>57099.6</v>
      </c>
      <c r="R76" s="87">
        <f t="shared" si="12"/>
        <v>58241.594999999994</v>
      </c>
      <c r="S76" s="87">
        <f t="shared" si="12"/>
        <v>59406.74</v>
      </c>
      <c r="T76" s="87">
        <f t="shared" si="12"/>
        <v>60595.104999999996</v>
      </c>
      <c r="U76" s="87">
        <f t="shared" si="12"/>
        <v>61806.69</v>
      </c>
      <c r="V76" s="87">
        <f t="shared" si="12"/>
        <v>63043.02</v>
      </c>
      <c r="W76" s="87">
        <f t="shared" si="12"/>
        <v>64304.094999999994</v>
      </c>
      <c r="X76" s="87">
        <f t="shared" si="12"/>
        <v>65590.11</v>
      </c>
      <c r="Y76" s="87">
        <f t="shared" si="12"/>
        <v>66901.694999999992</v>
      </c>
      <c r="Z76" s="87">
        <f t="shared" si="12"/>
        <v>68239.62</v>
      </c>
      <c r="AA76" s="87">
        <f t="shared" si="12"/>
        <v>69604.639999999999</v>
      </c>
      <c r="AB76" s="87">
        <f t="shared" si="12"/>
        <v>70996.95</v>
      </c>
      <c r="AC76" s="87">
        <f t="shared" si="12"/>
        <v>72417.25</v>
      </c>
      <c r="AD76" s="87">
        <f t="shared" si="12"/>
        <v>73865.539999999994</v>
      </c>
      <c r="AE76" s="87">
        <f t="shared" si="12"/>
        <v>75342.64499999999</v>
      </c>
      <c r="AF76" s="87">
        <f t="shared" si="12"/>
        <v>76849.334999999992</v>
      </c>
      <c r="AG76" s="87">
        <f t="shared" si="12"/>
        <v>78386.364999999991</v>
      </c>
      <c r="AH76" s="87">
        <f t="shared" si="12"/>
        <v>79953.804999999993</v>
      </c>
      <c r="AI76" s="87">
        <f t="shared" si="12"/>
        <v>81553.179999999993</v>
      </c>
      <c r="AJ76" s="87">
        <f t="shared" si="12"/>
        <v>83184.614999999991</v>
      </c>
      <c r="AK76" s="87">
        <f t="shared" si="12"/>
        <v>84848.11</v>
      </c>
      <c r="AL76" s="87">
        <f t="shared" si="12"/>
        <v>86545.064999999988</v>
      </c>
      <c r="AM76" s="87">
        <f t="shared" si="12"/>
        <v>88275.674999999988</v>
      </c>
      <c r="AN76" s="87">
        <f t="shared" si="12"/>
        <v>90041.464999999997</v>
      </c>
      <c r="AO76" s="87">
        <f t="shared" si="12"/>
        <v>91842.364999999991</v>
      </c>
      <c r="AP76" s="87">
        <f t="shared" si="12"/>
        <v>93679.27</v>
      </c>
      <c r="AQ76" s="87">
        <f t="shared" si="12"/>
        <v>95553.074999999983</v>
      </c>
      <c r="AR76" s="87">
        <f t="shared" si="12"/>
        <v>97464.41</v>
      </c>
      <c r="AS76" s="87">
        <f t="shared" si="12"/>
        <v>99413.274999999994</v>
      </c>
      <c r="AT76" s="87">
        <f t="shared" si="12"/>
        <v>101401.39</v>
      </c>
      <c r="AU76" s="87">
        <f t="shared" si="12"/>
        <v>103429.45499999999</v>
      </c>
      <c r="AV76" s="87">
        <f t="shared" si="12"/>
        <v>105498.295</v>
      </c>
      <c r="AW76" s="87">
        <f t="shared" si="12"/>
        <v>107607.97999999998</v>
      </c>
      <c r="AX76" s="87">
        <f t="shared" si="12"/>
        <v>109759.965</v>
      </c>
      <c r="AY76" s="87">
        <f t="shared" si="12"/>
        <v>111955.14499999999</v>
      </c>
      <c r="AZ76" s="87">
        <f t="shared" si="12"/>
        <v>114194.34499999999</v>
      </c>
      <c r="BA76" s="87">
        <f t="shared" si="12"/>
        <v>116478.26499999998</v>
      </c>
      <c r="BB76" s="87">
        <f t="shared" si="12"/>
        <v>118807.92499999999</v>
      </c>
      <c r="BC76" s="87">
        <f t="shared" si="12"/>
        <v>121183.83</v>
      </c>
      <c r="BD76" s="87">
        <f t="shared" si="12"/>
        <v>123607.7</v>
      </c>
    </row>
    <row r="77" spans="1:56" x14ac:dyDescent="0.2">
      <c r="A77" s="1" t="s">
        <v>1202</v>
      </c>
      <c r="B77" s="14">
        <v>1.3899999999999999E-2</v>
      </c>
      <c r="P77" s="87">
        <f t="shared" ref="P77:BD77" si="13">P$71-P$74</f>
        <v>1470</v>
      </c>
      <c r="Q77" s="87">
        <f t="shared" si="13"/>
        <v>1499.3999999999996</v>
      </c>
      <c r="R77" s="87">
        <f t="shared" si="13"/>
        <v>1529.4300000000003</v>
      </c>
      <c r="S77" s="87">
        <f t="shared" si="13"/>
        <v>1559.9850000000006</v>
      </c>
      <c r="T77" s="87">
        <f t="shared" si="13"/>
        <v>1591.17</v>
      </c>
      <c r="U77" s="87">
        <f t="shared" si="13"/>
        <v>1622.9850000000006</v>
      </c>
      <c r="V77" s="87">
        <f t="shared" si="13"/>
        <v>1655.4300000000003</v>
      </c>
      <c r="W77" s="87">
        <f t="shared" si="13"/>
        <v>1688.5049999999992</v>
      </c>
      <c r="X77" s="87">
        <f t="shared" si="13"/>
        <v>1722.3150000000005</v>
      </c>
      <c r="Y77" s="87">
        <f t="shared" si="13"/>
        <v>1756.7549999999992</v>
      </c>
      <c r="Z77" s="87">
        <f t="shared" si="13"/>
        <v>1791.9300000000003</v>
      </c>
      <c r="AA77" s="87">
        <f t="shared" si="13"/>
        <v>1827.7350000000006</v>
      </c>
      <c r="AB77" s="87">
        <f t="shared" si="13"/>
        <v>1864.2749999999996</v>
      </c>
      <c r="AC77" s="87">
        <f t="shared" si="13"/>
        <v>1901.5499999999993</v>
      </c>
      <c r="AD77" s="87">
        <f t="shared" si="13"/>
        <v>1939.5600000000013</v>
      </c>
      <c r="AE77" s="87">
        <f t="shared" si="13"/>
        <v>1978.3050000000003</v>
      </c>
      <c r="AF77" s="87">
        <f t="shared" si="13"/>
        <v>2017.8899999999994</v>
      </c>
      <c r="AG77" s="87">
        <f t="shared" si="13"/>
        <v>2058.2099999999991</v>
      </c>
      <c r="AH77" s="87">
        <f t="shared" si="13"/>
        <v>2099.369999999999</v>
      </c>
      <c r="AI77" s="87">
        <f t="shared" si="13"/>
        <v>2141.369999999999</v>
      </c>
      <c r="AJ77" s="87">
        <f t="shared" si="13"/>
        <v>2184.2099999999991</v>
      </c>
      <c r="AK77" s="87">
        <f t="shared" si="13"/>
        <v>2227.8899999999994</v>
      </c>
      <c r="AL77" s="87">
        <f t="shared" si="13"/>
        <v>2272.41</v>
      </c>
      <c r="AM77" s="87">
        <f t="shared" si="13"/>
        <v>2317.875</v>
      </c>
      <c r="AN77" s="87">
        <f t="shared" si="13"/>
        <v>2364.2849999999999</v>
      </c>
      <c r="AO77" s="87">
        <f t="shared" si="13"/>
        <v>2411.5349999999999</v>
      </c>
      <c r="AP77" s="87">
        <f t="shared" si="13"/>
        <v>2459.7299999999996</v>
      </c>
      <c r="AQ77" s="87">
        <f t="shared" si="13"/>
        <v>2508.9749999999985</v>
      </c>
      <c r="AR77" s="87">
        <f t="shared" si="13"/>
        <v>2559.1650000000009</v>
      </c>
      <c r="AS77" s="87">
        <f t="shared" si="13"/>
        <v>2610.2999999999993</v>
      </c>
      <c r="AT77" s="87">
        <f t="shared" si="13"/>
        <v>2662.4850000000006</v>
      </c>
      <c r="AU77" s="87">
        <f t="shared" si="13"/>
        <v>2715.7200000000012</v>
      </c>
      <c r="AV77" s="87">
        <f t="shared" si="13"/>
        <v>2770.005000000001</v>
      </c>
      <c r="AW77" s="87">
        <f t="shared" si="13"/>
        <v>2825.4449999999997</v>
      </c>
      <c r="AX77" s="87">
        <f t="shared" si="13"/>
        <v>2881.9350000000013</v>
      </c>
      <c r="AY77" s="87">
        <f t="shared" si="13"/>
        <v>2939.5799999999981</v>
      </c>
      <c r="AZ77" s="87">
        <f t="shared" si="13"/>
        <v>2998.380000000001</v>
      </c>
      <c r="BA77" s="87">
        <f t="shared" si="13"/>
        <v>3058.3349999999991</v>
      </c>
      <c r="BB77" s="87">
        <f t="shared" si="13"/>
        <v>3119.5499999999993</v>
      </c>
      <c r="BC77" s="87">
        <f t="shared" si="13"/>
        <v>3181.9199999999983</v>
      </c>
      <c r="BD77" s="87">
        <f t="shared" si="13"/>
        <v>3245.5499999999993</v>
      </c>
    </row>
    <row r="78" spans="1:56" x14ac:dyDescent="0.2">
      <c r="A78" s="1" t="s">
        <v>1203</v>
      </c>
      <c r="P78" s="87">
        <f t="shared" ref="P78:BD78" si="14">P$72-P$75</f>
        <v>7420</v>
      </c>
      <c r="Q78" s="87">
        <f t="shared" si="14"/>
        <v>7568.4000000000015</v>
      </c>
      <c r="R78" s="87">
        <f t="shared" si="14"/>
        <v>7719.7050000000017</v>
      </c>
      <c r="S78" s="87">
        <f t="shared" si="14"/>
        <v>7874.1600000000035</v>
      </c>
      <c r="T78" s="87">
        <f t="shared" si="14"/>
        <v>8031.6949999999997</v>
      </c>
      <c r="U78" s="87">
        <f t="shared" si="14"/>
        <v>8192.3099999999977</v>
      </c>
      <c r="V78" s="87">
        <f t="shared" si="14"/>
        <v>8356.18</v>
      </c>
      <c r="W78" s="87">
        <f t="shared" si="14"/>
        <v>8523.3050000000003</v>
      </c>
      <c r="X78" s="87">
        <f t="shared" si="14"/>
        <v>8693.7900000000009</v>
      </c>
      <c r="Y78" s="87">
        <f t="shared" si="14"/>
        <v>8867.7050000000017</v>
      </c>
      <c r="Z78" s="87">
        <f t="shared" si="14"/>
        <v>9044.9800000000032</v>
      </c>
      <c r="AA78" s="87">
        <f t="shared" si="14"/>
        <v>9225.86</v>
      </c>
      <c r="AB78" s="87">
        <f t="shared" si="14"/>
        <v>9410.4500000000044</v>
      </c>
      <c r="AC78" s="87">
        <f t="shared" si="14"/>
        <v>9598.75</v>
      </c>
      <c r="AD78" s="87">
        <f t="shared" si="14"/>
        <v>9790.7600000000093</v>
      </c>
      <c r="AE78" s="87">
        <f t="shared" si="14"/>
        <v>9986.6549999999988</v>
      </c>
      <c r="AF78" s="87">
        <f t="shared" si="14"/>
        <v>10186.364999999998</v>
      </c>
      <c r="AG78" s="87">
        <f t="shared" si="14"/>
        <v>10390.135000000002</v>
      </c>
      <c r="AH78" s="87">
        <f t="shared" si="14"/>
        <v>10597.895000000004</v>
      </c>
      <c r="AI78" s="87">
        <f t="shared" si="14"/>
        <v>10809.820000000007</v>
      </c>
      <c r="AJ78" s="87">
        <f t="shared" si="14"/>
        <v>11026.084999999999</v>
      </c>
      <c r="AK78" s="87">
        <f t="shared" si="14"/>
        <v>11246.690000000002</v>
      </c>
      <c r="AL78" s="87">
        <f t="shared" si="14"/>
        <v>11471.635000000009</v>
      </c>
      <c r="AM78" s="87">
        <f t="shared" si="14"/>
        <v>11701.025000000001</v>
      </c>
      <c r="AN78" s="87">
        <f t="shared" si="14"/>
        <v>11935.035000000003</v>
      </c>
      <c r="AO78" s="87">
        <f t="shared" si="14"/>
        <v>12173.735000000001</v>
      </c>
      <c r="AP78" s="87">
        <f t="shared" si="14"/>
        <v>12417.229999999996</v>
      </c>
      <c r="AQ78" s="87">
        <f t="shared" si="14"/>
        <v>12665.625</v>
      </c>
      <c r="AR78" s="87">
        <f t="shared" si="14"/>
        <v>12918.990000000005</v>
      </c>
      <c r="AS78" s="87">
        <f t="shared" si="14"/>
        <v>13177.324999999997</v>
      </c>
      <c r="AT78" s="87">
        <f t="shared" si="14"/>
        <v>13440.910000000003</v>
      </c>
      <c r="AU78" s="87">
        <f t="shared" si="14"/>
        <v>13709.744999999995</v>
      </c>
      <c r="AV78" s="87">
        <f t="shared" si="14"/>
        <v>13984.005000000005</v>
      </c>
      <c r="AW78" s="87">
        <f t="shared" si="14"/>
        <v>14263.619999999995</v>
      </c>
      <c r="AX78" s="87">
        <f t="shared" si="14"/>
        <v>14548.835000000006</v>
      </c>
      <c r="AY78" s="87">
        <f t="shared" si="14"/>
        <v>14839.755000000005</v>
      </c>
      <c r="AZ78" s="87">
        <f t="shared" si="14"/>
        <v>15136.555000000008</v>
      </c>
      <c r="BA78" s="87">
        <f t="shared" si="14"/>
        <v>15439.235000000001</v>
      </c>
      <c r="BB78" s="87">
        <f t="shared" si="14"/>
        <v>15748.074999999997</v>
      </c>
      <c r="BC78" s="87">
        <f t="shared" si="14"/>
        <v>16062.970000000001</v>
      </c>
      <c r="BD78" s="87">
        <f t="shared" si="14"/>
        <v>16384.199999999997</v>
      </c>
    </row>
    <row r="79" spans="1:56" x14ac:dyDescent="0.2">
      <c r="A79" s="1" t="s">
        <v>1204</v>
      </c>
      <c r="P79" s="87">
        <f t="shared" ref="P79:BD79" si="15">P$73-P$76</f>
        <v>14020</v>
      </c>
      <c r="Q79" s="87">
        <f t="shared" si="15"/>
        <v>14300.400000000001</v>
      </c>
      <c r="R79" s="87">
        <f t="shared" si="15"/>
        <v>14586.405000000006</v>
      </c>
      <c r="S79" s="87">
        <f t="shared" si="15"/>
        <v>14878.260000000002</v>
      </c>
      <c r="T79" s="87">
        <f t="shared" si="15"/>
        <v>15175.895000000004</v>
      </c>
      <c r="U79" s="87">
        <f t="shared" si="15"/>
        <v>15479.309999999998</v>
      </c>
      <c r="V79" s="87">
        <f t="shared" si="15"/>
        <v>15788.980000000003</v>
      </c>
      <c r="W79" s="87">
        <f t="shared" si="15"/>
        <v>16104.905000000006</v>
      </c>
      <c r="X79" s="87">
        <f t="shared" si="15"/>
        <v>16426.89</v>
      </c>
      <c r="Y79" s="87">
        <f t="shared" si="15"/>
        <v>16755.305000000008</v>
      </c>
      <c r="Z79" s="87">
        <f t="shared" si="15"/>
        <v>17090.380000000005</v>
      </c>
      <c r="AA79" s="87">
        <f t="shared" si="15"/>
        <v>17432.36</v>
      </c>
      <c r="AB79" s="87">
        <f t="shared" si="15"/>
        <v>17781.050000000003</v>
      </c>
      <c r="AC79" s="87">
        <f t="shared" si="15"/>
        <v>18136.75</v>
      </c>
      <c r="AD79" s="87">
        <f t="shared" si="15"/>
        <v>18499.460000000006</v>
      </c>
      <c r="AE79" s="87">
        <f t="shared" si="15"/>
        <v>18869.35500000001</v>
      </c>
      <c r="AF79" s="87">
        <f t="shared" si="15"/>
        <v>19246.665000000008</v>
      </c>
      <c r="AG79" s="87">
        <f t="shared" si="15"/>
        <v>19631.635000000009</v>
      </c>
      <c r="AH79" s="87">
        <f t="shared" si="15"/>
        <v>20024.195000000007</v>
      </c>
      <c r="AI79" s="87">
        <f t="shared" si="15"/>
        <v>20424.820000000007</v>
      </c>
      <c r="AJ79" s="87">
        <f t="shared" si="15"/>
        <v>20833.385000000009</v>
      </c>
      <c r="AK79" s="87">
        <f t="shared" si="15"/>
        <v>21249.89</v>
      </c>
      <c r="AL79" s="87">
        <f t="shared" si="15"/>
        <v>21674.935000000012</v>
      </c>
      <c r="AM79" s="87">
        <f t="shared" si="15"/>
        <v>22108.325000000012</v>
      </c>
      <c r="AN79" s="87">
        <f t="shared" si="15"/>
        <v>22550.535000000003</v>
      </c>
      <c r="AO79" s="87">
        <f t="shared" si="15"/>
        <v>23001.635000000009</v>
      </c>
      <c r="AP79" s="87">
        <f t="shared" si="15"/>
        <v>23461.729999999996</v>
      </c>
      <c r="AQ79" s="87">
        <f t="shared" si="15"/>
        <v>23930.925000000017</v>
      </c>
      <c r="AR79" s="87">
        <f t="shared" si="15"/>
        <v>24409.589999999997</v>
      </c>
      <c r="AS79" s="87">
        <f t="shared" si="15"/>
        <v>24897.725000000006</v>
      </c>
      <c r="AT79" s="87">
        <f t="shared" si="15"/>
        <v>25395.61</v>
      </c>
      <c r="AU79" s="87">
        <f t="shared" si="15"/>
        <v>25903.545000000013</v>
      </c>
      <c r="AV79" s="87">
        <f t="shared" si="15"/>
        <v>26421.705000000002</v>
      </c>
      <c r="AW79" s="87">
        <f t="shared" si="15"/>
        <v>26950.020000000019</v>
      </c>
      <c r="AX79" s="87">
        <f t="shared" si="15"/>
        <v>27489.035000000003</v>
      </c>
      <c r="AY79" s="87">
        <f t="shared" si="15"/>
        <v>28038.85500000001</v>
      </c>
      <c r="AZ79" s="87">
        <f t="shared" si="15"/>
        <v>28599.655000000013</v>
      </c>
      <c r="BA79" s="87">
        <f t="shared" si="15"/>
        <v>29171.735000000015</v>
      </c>
      <c r="BB79" s="87">
        <f t="shared" si="15"/>
        <v>29755.075000000012</v>
      </c>
      <c r="BC79" s="87">
        <f t="shared" si="15"/>
        <v>30350.17</v>
      </c>
      <c r="BD79" s="87">
        <f t="shared" si="15"/>
        <v>30957.300000000003</v>
      </c>
    </row>
    <row r="80" spans="1:56" x14ac:dyDescent="0.2">
      <c r="A80" s="1" t="s">
        <v>1205</v>
      </c>
      <c r="P80" s="87">
        <f t="shared" ref="P80:BD80" si="16">P$71*($N$72-$N$71)</f>
        <v>979.99999999999989</v>
      </c>
      <c r="Q80" s="87">
        <f t="shared" si="16"/>
        <v>999.59999999999991</v>
      </c>
      <c r="R80" s="87">
        <f t="shared" si="16"/>
        <v>1019.6199999999999</v>
      </c>
      <c r="S80" s="87">
        <f t="shared" si="16"/>
        <v>1039.9899999999998</v>
      </c>
      <c r="T80" s="87">
        <f t="shared" si="16"/>
        <v>1060.78</v>
      </c>
      <c r="U80" s="87">
        <f t="shared" si="16"/>
        <v>1081.9899999999998</v>
      </c>
      <c r="V80" s="87">
        <f t="shared" si="16"/>
        <v>1103.6199999999999</v>
      </c>
      <c r="W80" s="87">
        <f t="shared" si="16"/>
        <v>1125.6699999999998</v>
      </c>
      <c r="X80" s="87">
        <f t="shared" si="16"/>
        <v>1148.2099999999998</v>
      </c>
      <c r="Y80" s="87">
        <f t="shared" si="16"/>
        <v>1171.1699999999998</v>
      </c>
      <c r="Z80" s="87">
        <f t="shared" si="16"/>
        <v>1194.6199999999999</v>
      </c>
      <c r="AA80" s="87">
        <f t="shared" si="16"/>
        <v>1218.4899999999998</v>
      </c>
      <c r="AB80" s="87">
        <f t="shared" si="16"/>
        <v>1242.8499999999999</v>
      </c>
      <c r="AC80" s="87">
        <f t="shared" si="16"/>
        <v>1267.6999999999998</v>
      </c>
      <c r="AD80" s="87">
        <f t="shared" si="16"/>
        <v>1293.04</v>
      </c>
      <c r="AE80" s="87">
        <f t="shared" si="16"/>
        <v>1318.87</v>
      </c>
      <c r="AF80" s="87">
        <f t="shared" si="16"/>
        <v>1345.2599999999998</v>
      </c>
      <c r="AG80" s="87">
        <f t="shared" si="16"/>
        <v>1372.1399999999999</v>
      </c>
      <c r="AH80" s="87">
        <f t="shared" si="16"/>
        <v>1399.58</v>
      </c>
      <c r="AI80" s="87">
        <f t="shared" si="16"/>
        <v>1427.58</v>
      </c>
      <c r="AJ80" s="87">
        <f t="shared" si="16"/>
        <v>1456.1399999999999</v>
      </c>
      <c r="AK80" s="87">
        <f t="shared" si="16"/>
        <v>1485.2599999999998</v>
      </c>
      <c r="AL80" s="87">
        <f t="shared" si="16"/>
        <v>1514.9399999999998</v>
      </c>
      <c r="AM80" s="87">
        <f t="shared" si="16"/>
        <v>1545.2499999999998</v>
      </c>
      <c r="AN80" s="87">
        <f t="shared" si="16"/>
        <v>1576.1899999999998</v>
      </c>
      <c r="AO80" s="87">
        <f t="shared" si="16"/>
        <v>1607.6899999999998</v>
      </c>
      <c r="AP80" s="87">
        <f t="shared" si="16"/>
        <v>1639.82</v>
      </c>
      <c r="AQ80" s="87">
        <f t="shared" si="16"/>
        <v>1672.6499999999999</v>
      </c>
      <c r="AR80" s="87">
        <f t="shared" si="16"/>
        <v>1706.11</v>
      </c>
      <c r="AS80" s="87">
        <f t="shared" si="16"/>
        <v>1740.1999999999998</v>
      </c>
      <c r="AT80" s="87">
        <f t="shared" si="16"/>
        <v>1774.9899999999998</v>
      </c>
      <c r="AU80" s="87">
        <f t="shared" si="16"/>
        <v>1810.4799999999998</v>
      </c>
      <c r="AV80" s="87">
        <f t="shared" si="16"/>
        <v>1846.6699999999998</v>
      </c>
      <c r="AW80" s="87">
        <f t="shared" si="16"/>
        <v>1883.6299999999999</v>
      </c>
      <c r="AX80" s="87">
        <f t="shared" si="16"/>
        <v>1921.2899999999997</v>
      </c>
      <c r="AY80" s="87">
        <f t="shared" si="16"/>
        <v>1959.7199999999998</v>
      </c>
      <c r="AZ80" s="87">
        <f t="shared" si="16"/>
        <v>1998.9199999999998</v>
      </c>
      <c r="BA80" s="87">
        <f t="shared" si="16"/>
        <v>2038.8899999999999</v>
      </c>
      <c r="BB80" s="87">
        <f t="shared" si="16"/>
        <v>2079.6999999999998</v>
      </c>
      <c r="BC80" s="87">
        <f t="shared" si="16"/>
        <v>2121.2799999999997</v>
      </c>
      <c r="BD80" s="87">
        <f t="shared" si="16"/>
        <v>2163.6999999999998</v>
      </c>
    </row>
    <row r="81" spans="1:56" x14ac:dyDescent="0.2">
      <c r="A81" s="1" t="s">
        <v>1206</v>
      </c>
      <c r="P81" s="87">
        <f t="shared" ref="P81:BD81" si="17">P$72*($N$73-$N$72)+P$71*($N$72-$N$71)</f>
        <v>6980</v>
      </c>
      <c r="Q81" s="87">
        <f t="shared" si="17"/>
        <v>7119.6</v>
      </c>
      <c r="R81" s="87">
        <f t="shared" si="17"/>
        <v>7261.9949999999999</v>
      </c>
      <c r="S81" s="87">
        <f t="shared" si="17"/>
        <v>7407.24</v>
      </c>
      <c r="T81" s="87">
        <f t="shared" si="17"/>
        <v>7555.4049999999997</v>
      </c>
      <c r="U81" s="87">
        <f t="shared" si="17"/>
        <v>7706.49</v>
      </c>
      <c r="V81" s="87">
        <f t="shared" si="17"/>
        <v>7860.62</v>
      </c>
      <c r="W81" s="87">
        <f t="shared" si="17"/>
        <v>8017.7950000000001</v>
      </c>
      <c r="X81" s="87">
        <f t="shared" si="17"/>
        <v>8178.21</v>
      </c>
      <c r="Y81" s="87">
        <f t="shared" si="17"/>
        <v>8341.7950000000001</v>
      </c>
      <c r="Z81" s="87">
        <f t="shared" si="17"/>
        <v>8508.619999999999</v>
      </c>
      <c r="AA81" s="87">
        <f t="shared" si="17"/>
        <v>8678.74</v>
      </c>
      <c r="AB81" s="87">
        <f t="shared" si="17"/>
        <v>8852.35</v>
      </c>
      <c r="AC81" s="87">
        <f t="shared" si="17"/>
        <v>9029.4500000000007</v>
      </c>
      <c r="AD81" s="87">
        <f t="shared" si="17"/>
        <v>9210.0400000000009</v>
      </c>
      <c r="AE81" s="87">
        <f t="shared" si="17"/>
        <v>9394.244999999999</v>
      </c>
      <c r="AF81" s="87">
        <f t="shared" si="17"/>
        <v>9582.1350000000002</v>
      </c>
      <c r="AG81" s="87">
        <f t="shared" si="17"/>
        <v>9773.7649999999994</v>
      </c>
      <c r="AH81" s="87">
        <f t="shared" si="17"/>
        <v>9969.2049999999999</v>
      </c>
      <c r="AI81" s="87">
        <f t="shared" si="17"/>
        <v>10168.58</v>
      </c>
      <c r="AJ81" s="87">
        <f t="shared" si="17"/>
        <v>10372.014999999999</v>
      </c>
      <c r="AK81" s="87">
        <f t="shared" si="17"/>
        <v>10579.51</v>
      </c>
      <c r="AL81" s="87">
        <f t="shared" si="17"/>
        <v>10791.065000000001</v>
      </c>
      <c r="AM81" s="87">
        <f t="shared" si="17"/>
        <v>11006.875</v>
      </c>
      <c r="AN81" s="87">
        <f t="shared" si="17"/>
        <v>11227.065000000001</v>
      </c>
      <c r="AO81" s="87">
        <f t="shared" si="17"/>
        <v>11451.565000000001</v>
      </c>
      <c r="AP81" s="87">
        <f t="shared" si="17"/>
        <v>11680.57</v>
      </c>
      <c r="AQ81" s="87">
        <f t="shared" si="17"/>
        <v>11914.275</v>
      </c>
      <c r="AR81" s="87">
        <f t="shared" si="17"/>
        <v>12152.61</v>
      </c>
      <c r="AS81" s="87">
        <f t="shared" si="17"/>
        <v>12395.575000000001</v>
      </c>
      <c r="AT81" s="87">
        <f t="shared" si="17"/>
        <v>12643.49</v>
      </c>
      <c r="AU81" s="87">
        <f t="shared" si="17"/>
        <v>12896.355</v>
      </c>
      <c r="AV81" s="87">
        <f t="shared" si="17"/>
        <v>13154.295</v>
      </c>
      <c r="AW81" s="87">
        <f t="shared" si="17"/>
        <v>13417.38</v>
      </c>
      <c r="AX81" s="87">
        <f t="shared" si="17"/>
        <v>13685.664999999999</v>
      </c>
      <c r="AY81" s="87">
        <f t="shared" si="17"/>
        <v>13959.344999999999</v>
      </c>
      <c r="AZ81" s="87">
        <f t="shared" si="17"/>
        <v>14238.545</v>
      </c>
      <c r="BA81" s="87">
        <f t="shared" si="17"/>
        <v>14523.264999999999</v>
      </c>
      <c r="BB81" s="87">
        <f t="shared" si="17"/>
        <v>14813.825000000001</v>
      </c>
      <c r="BC81" s="87">
        <f t="shared" si="17"/>
        <v>15110.029999999999</v>
      </c>
      <c r="BD81" s="87">
        <f t="shared" si="17"/>
        <v>15412.2</v>
      </c>
    </row>
    <row r="82" spans="1:56" x14ac:dyDescent="0.2">
      <c r="A82" s="1" t="s">
        <v>1207</v>
      </c>
      <c r="P82" s="87">
        <f t="shared" ref="P82:BD82" si="18">P$73*($N$74-$N$73)+P$72*($N$73-$N$72)+P$71*($N$72-$N$71)</f>
        <v>9080.0000000000018</v>
      </c>
      <c r="Q82" s="87">
        <f t="shared" si="18"/>
        <v>9261.6000000000022</v>
      </c>
      <c r="R82" s="87">
        <f t="shared" si="18"/>
        <v>9446.8350000000028</v>
      </c>
      <c r="S82" s="87">
        <f t="shared" si="18"/>
        <v>9635.7900000000027</v>
      </c>
      <c r="T82" s="87">
        <f t="shared" si="18"/>
        <v>9828.5350000000017</v>
      </c>
      <c r="U82" s="87">
        <f t="shared" si="18"/>
        <v>10025.070000000002</v>
      </c>
      <c r="V82" s="87">
        <f t="shared" si="18"/>
        <v>10225.580000000002</v>
      </c>
      <c r="W82" s="87">
        <f t="shared" si="18"/>
        <v>10430.065000000002</v>
      </c>
      <c r="X82" s="87">
        <f t="shared" si="18"/>
        <v>10638.720000000001</v>
      </c>
      <c r="Y82" s="87">
        <f t="shared" si="18"/>
        <v>10851.505000000003</v>
      </c>
      <c r="Z82" s="87">
        <f t="shared" si="18"/>
        <v>11068.52</v>
      </c>
      <c r="AA82" s="87">
        <f t="shared" si="18"/>
        <v>11289.850000000002</v>
      </c>
      <c r="AB82" s="87">
        <f t="shared" si="18"/>
        <v>11515.690000000002</v>
      </c>
      <c r="AC82" s="87">
        <f t="shared" si="18"/>
        <v>11746.070000000003</v>
      </c>
      <c r="AD82" s="87">
        <f t="shared" si="18"/>
        <v>11980.990000000002</v>
      </c>
      <c r="AE82" s="87">
        <f t="shared" si="18"/>
        <v>12220.605000000003</v>
      </c>
      <c r="AF82" s="87">
        <f t="shared" si="18"/>
        <v>12465.015000000003</v>
      </c>
      <c r="AG82" s="87">
        <f t="shared" si="18"/>
        <v>12714.305000000002</v>
      </c>
      <c r="AH82" s="87">
        <f t="shared" si="18"/>
        <v>12968.545000000004</v>
      </c>
      <c r="AI82" s="87">
        <f t="shared" si="18"/>
        <v>13227.920000000004</v>
      </c>
      <c r="AJ82" s="87">
        <f t="shared" si="18"/>
        <v>13492.555000000002</v>
      </c>
      <c r="AK82" s="87">
        <f t="shared" si="18"/>
        <v>13762.450000000003</v>
      </c>
      <c r="AL82" s="87">
        <f t="shared" si="18"/>
        <v>14037.665000000003</v>
      </c>
      <c r="AM82" s="87">
        <f t="shared" si="18"/>
        <v>14318.395000000004</v>
      </c>
      <c r="AN82" s="87">
        <f t="shared" si="18"/>
        <v>14604.825000000003</v>
      </c>
      <c r="AO82" s="87">
        <f t="shared" si="18"/>
        <v>14896.885000000004</v>
      </c>
      <c r="AP82" s="87">
        <f t="shared" si="18"/>
        <v>15194.800000000003</v>
      </c>
      <c r="AQ82" s="87">
        <f t="shared" si="18"/>
        <v>15498.795000000004</v>
      </c>
      <c r="AR82" s="87">
        <f t="shared" si="18"/>
        <v>15808.830000000004</v>
      </c>
      <c r="AS82" s="87">
        <f t="shared" si="18"/>
        <v>16124.905000000002</v>
      </c>
      <c r="AT82" s="87">
        <f t="shared" si="18"/>
        <v>16447.400000000001</v>
      </c>
      <c r="AU82" s="87">
        <f t="shared" si="18"/>
        <v>16776.345000000005</v>
      </c>
      <c r="AV82" s="87">
        <f t="shared" si="18"/>
        <v>17111.895000000004</v>
      </c>
      <c r="AW82" s="87">
        <f t="shared" si="18"/>
        <v>17454.120000000003</v>
      </c>
      <c r="AX82" s="87">
        <f t="shared" si="18"/>
        <v>17803.135000000006</v>
      </c>
      <c r="AY82" s="87">
        <f t="shared" si="18"/>
        <v>18159.165000000005</v>
      </c>
      <c r="AZ82" s="87">
        <f t="shared" si="18"/>
        <v>18522.365000000002</v>
      </c>
      <c r="BA82" s="87">
        <f t="shared" si="18"/>
        <v>18892.765000000003</v>
      </c>
      <c r="BB82" s="87">
        <f t="shared" si="18"/>
        <v>19270.715000000004</v>
      </c>
      <c r="BC82" s="87">
        <f t="shared" si="18"/>
        <v>19656.050000000003</v>
      </c>
      <c r="BD82" s="87">
        <f t="shared" si="18"/>
        <v>20049.150000000005</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2"/>
  <sheetViews>
    <sheetView zoomScaleNormal="100" workbookViewId="0">
      <pane xSplit="1" ySplit="10" topLeftCell="D11" activePane="bottomRight" state="frozen"/>
      <selection pane="topRight" activeCell="B1" sqref="B1"/>
      <selection pane="bottomLeft" activeCell="A11" sqref="A11"/>
      <selection pane="bottomRight" activeCell="L10" sqref="L10"/>
    </sheetView>
  </sheetViews>
  <sheetFormatPr defaultRowHeight="14.25" x14ac:dyDescent="0.2"/>
  <cols>
    <col min="1" max="1" width="85.7109375" style="1" customWidth="1"/>
    <col min="2" max="12" width="10.7109375" style="1" customWidth="1"/>
    <col min="13" max="16384" width="9.140625" style="1"/>
  </cols>
  <sheetData>
    <row r="1" spans="1:12" ht="15" x14ac:dyDescent="0.25">
      <c r="A1" s="2" t="s">
        <v>788</v>
      </c>
      <c r="B1" s="6"/>
      <c r="C1" s="6"/>
      <c r="D1" s="4"/>
    </row>
    <row r="2" spans="1:12" x14ac:dyDescent="0.2">
      <c r="A2" s="1" t="s">
        <v>775</v>
      </c>
    </row>
    <row r="3" spans="1:12" x14ac:dyDescent="0.2">
      <c r="A3" s="1" t="s">
        <v>776</v>
      </c>
    </row>
    <row r="4" spans="1:12" x14ac:dyDescent="0.2">
      <c r="A4" s="1" t="s">
        <v>1223</v>
      </c>
    </row>
    <row r="5" spans="1:12" x14ac:dyDescent="0.2">
      <c r="A5" s="1" t="s">
        <v>789</v>
      </c>
    </row>
    <row r="6" spans="1:12" x14ac:dyDescent="0.2">
      <c r="A6" s="1" t="s">
        <v>128</v>
      </c>
      <c r="I6" s="28"/>
    </row>
    <row r="7" spans="1:12" ht="15" x14ac:dyDescent="0.25">
      <c r="A7" s="17" t="s">
        <v>129</v>
      </c>
      <c r="B7" s="6" t="s">
        <v>774</v>
      </c>
      <c r="C7" s="6" t="s">
        <v>14</v>
      </c>
      <c r="D7" s="6" t="s">
        <v>15</v>
      </c>
      <c r="E7" s="6" t="s">
        <v>16</v>
      </c>
      <c r="F7" s="6" t="s">
        <v>17</v>
      </c>
      <c r="G7" s="6" t="s">
        <v>19</v>
      </c>
      <c r="H7" s="6" t="s">
        <v>18</v>
      </c>
      <c r="I7" s="6" t="s">
        <v>20</v>
      </c>
      <c r="J7" s="6" t="s">
        <v>21</v>
      </c>
      <c r="K7" s="6" t="s">
        <v>22</v>
      </c>
      <c r="L7" s="6" t="s">
        <v>23</v>
      </c>
    </row>
    <row r="8" spans="1:12" ht="15" x14ac:dyDescent="0.25">
      <c r="A8" s="17"/>
      <c r="B8" s="2">
        <v>2005</v>
      </c>
      <c r="C8" s="2">
        <v>2006</v>
      </c>
      <c r="D8" s="2">
        <v>2007</v>
      </c>
      <c r="E8" s="2">
        <v>2008</v>
      </c>
      <c r="F8" s="2">
        <v>2009</v>
      </c>
      <c r="G8" s="2">
        <v>2010</v>
      </c>
      <c r="H8" s="2">
        <v>2011</v>
      </c>
      <c r="I8" s="2">
        <v>2012</v>
      </c>
      <c r="J8" s="2">
        <v>2013</v>
      </c>
      <c r="K8" s="2">
        <v>2014</v>
      </c>
      <c r="L8" s="2">
        <v>2015</v>
      </c>
    </row>
    <row r="9" spans="1:12" ht="15" x14ac:dyDescent="0.25">
      <c r="A9" s="2" t="s">
        <v>790</v>
      </c>
      <c r="B9" s="7">
        <f>Economic!C$7</f>
        <v>156.76</v>
      </c>
      <c r="C9" s="7">
        <f>Economic!D$7</f>
        <v>164.614</v>
      </c>
      <c r="D9" s="7">
        <f>Economic!E$7</f>
        <v>175.36699999999999</v>
      </c>
      <c r="E9" s="7">
        <f>Economic!F$7</f>
        <v>189.09800000000001</v>
      </c>
      <c r="F9" s="7">
        <f>Economic!G$7</f>
        <v>189.483</v>
      </c>
      <c r="G9" s="7">
        <f>Economic!H$7</f>
        <v>196.70099999999999</v>
      </c>
      <c r="H9" s="7">
        <f>Economic!I$7</f>
        <v>205.833</v>
      </c>
      <c r="I9" s="7">
        <f>Economic!J$7</f>
        <v>215.37200000000001</v>
      </c>
      <c r="J9" s="7">
        <f>Economic!K$7</f>
        <v>218.827</v>
      </c>
      <c r="K9" s="7">
        <f>Economic!L$7</f>
        <v>234.96899999999999</v>
      </c>
      <c r="L9" s="7">
        <f>Economic!M$7</f>
        <v>241.58</v>
      </c>
    </row>
    <row r="10" spans="1:12" ht="15" x14ac:dyDescent="0.25">
      <c r="A10" s="4" t="s">
        <v>132</v>
      </c>
      <c r="B10" s="2"/>
      <c r="C10" s="14">
        <f t="shared" ref="C10:D10" si="0">C$9/B$9-1</f>
        <v>5.0102066853789262E-2</v>
      </c>
      <c r="D10" s="14">
        <f t="shared" si="0"/>
        <v>6.5322512058512583E-2</v>
      </c>
      <c r="E10" s="14">
        <f t="shared" ref="E10:L10" si="1">E$9/D$9-1</f>
        <v>7.829865368056721E-2</v>
      </c>
      <c r="F10" s="14">
        <f t="shared" si="1"/>
        <v>2.0359813430073093E-3</v>
      </c>
      <c r="G10" s="14">
        <f t="shared" si="1"/>
        <v>3.8093127087918122E-2</v>
      </c>
      <c r="H10" s="14">
        <f t="shared" si="1"/>
        <v>4.6425793463175102E-2</v>
      </c>
      <c r="I10" s="14">
        <f t="shared" si="1"/>
        <v>4.6343394888088918E-2</v>
      </c>
      <c r="J10" s="14">
        <f t="shared" si="1"/>
        <v>1.6042011032074699E-2</v>
      </c>
      <c r="K10" s="14">
        <f t="shared" si="1"/>
        <v>7.3766034355906784E-2</v>
      </c>
      <c r="L10" s="14">
        <f t="shared" si="1"/>
        <v>2.8135626401780689E-2</v>
      </c>
    </row>
    <row r="11" spans="1:12" ht="15" x14ac:dyDescent="0.25">
      <c r="A11" s="2"/>
      <c r="B11" s="2"/>
      <c r="C11" s="2"/>
      <c r="D11" s="21"/>
      <c r="E11" s="21"/>
      <c r="F11" s="21"/>
      <c r="G11" s="21"/>
      <c r="H11" s="21"/>
      <c r="I11" s="21"/>
      <c r="J11" s="21"/>
      <c r="K11" s="21"/>
      <c r="L11" s="21"/>
    </row>
    <row r="12" spans="1:12" ht="16.5" x14ac:dyDescent="0.25">
      <c r="A12" s="63" t="s">
        <v>777</v>
      </c>
      <c r="B12" s="2"/>
      <c r="C12" s="2"/>
    </row>
    <row r="13" spans="1:12" ht="15" x14ac:dyDescent="0.25">
      <c r="A13" s="2" t="s">
        <v>762</v>
      </c>
      <c r="B13" s="8">
        <v>7.0750000000000002</v>
      </c>
      <c r="C13" s="8">
        <v>7.090999999999994</v>
      </c>
      <c r="D13" s="8">
        <v>5.8599999999999994</v>
      </c>
      <c r="E13" s="8">
        <v>5.6370000000000005</v>
      </c>
      <c r="F13" s="8">
        <v>-3.8930000000000007</v>
      </c>
      <c r="G13" s="8">
        <v>-6.3149999999999977</v>
      </c>
      <c r="H13" s="8">
        <v>-18.396000000000001</v>
      </c>
      <c r="I13" s="8">
        <v>-9.2399999999999949</v>
      </c>
      <c r="J13" s="8">
        <v>-4.4139999999999899</v>
      </c>
      <c r="K13" s="8">
        <v>-2.8020000000000005</v>
      </c>
      <c r="L13" s="8">
        <v>0.41400000000001386</v>
      </c>
    </row>
    <row r="14" spans="1:12" x14ac:dyDescent="0.2">
      <c r="A14" s="4" t="s">
        <v>778</v>
      </c>
      <c r="B14" s="23">
        <f t="shared" ref="B14:L14" si="2">B$13/B$9</f>
        <v>4.5132686909926008E-2</v>
      </c>
      <c r="C14" s="23">
        <f t="shared" si="2"/>
        <v>4.3076530550256925E-2</v>
      </c>
      <c r="D14" s="23">
        <f t="shared" si="2"/>
        <v>3.3415636921427634E-2</v>
      </c>
      <c r="E14" s="23">
        <f t="shared" si="2"/>
        <v>2.9809939819564459E-2</v>
      </c>
      <c r="F14" s="23">
        <f t="shared" si="2"/>
        <v>-2.0545378741100788E-2</v>
      </c>
      <c r="G14" s="23">
        <f t="shared" si="2"/>
        <v>-3.210456479631521E-2</v>
      </c>
      <c r="H14" s="23">
        <f t="shared" si="2"/>
        <v>-8.9373424086516745E-2</v>
      </c>
      <c r="I14" s="23">
        <f t="shared" si="2"/>
        <v>-4.2902512861467575E-2</v>
      </c>
      <c r="J14" s="23">
        <f t="shared" si="2"/>
        <v>-2.0171185457004803E-2</v>
      </c>
      <c r="K14" s="23">
        <f t="shared" si="2"/>
        <v>-1.1924977337436004E-2</v>
      </c>
      <c r="L14" s="23">
        <f t="shared" si="2"/>
        <v>1.7137180230152075E-3</v>
      </c>
    </row>
    <row r="15" spans="1:12" ht="15" x14ac:dyDescent="0.25">
      <c r="A15" s="2" t="s">
        <v>764</v>
      </c>
      <c r="B15" s="8">
        <v>19.879000000000001</v>
      </c>
      <c r="C15" s="8">
        <v>16.163</v>
      </c>
      <c r="D15" s="8">
        <v>13.196000000000002</v>
      </c>
      <c r="E15" s="8">
        <v>10.257999999999996</v>
      </c>
      <c r="F15" s="8">
        <v>17.119</v>
      </c>
      <c r="G15" s="8">
        <v>26.737999999999996</v>
      </c>
      <c r="H15" s="8">
        <v>40.128</v>
      </c>
      <c r="I15" s="8">
        <v>50.671000000000006</v>
      </c>
      <c r="J15" s="8">
        <v>55.834999999999994</v>
      </c>
      <c r="K15" s="8">
        <v>59.931000000000012</v>
      </c>
      <c r="L15" s="8">
        <v>60.631000000000007</v>
      </c>
    </row>
    <row r="16" spans="1:12" x14ac:dyDescent="0.2">
      <c r="A16" s="4" t="str">
        <f>$A$14</f>
        <v>As percentage of nominal GDP</v>
      </c>
      <c r="B16" s="23">
        <f t="shared" ref="B16:L16" si="3">B$15/B$9</f>
        <v>0.12681168665475889</v>
      </c>
      <c r="C16" s="23">
        <f t="shared" si="3"/>
        <v>9.8187274472402108E-2</v>
      </c>
      <c r="D16" s="23">
        <f t="shared" si="3"/>
        <v>7.5247908671528863E-2</v>
      </c>
      <c r="E16" s="23">
        <f t="shared" si="3"/>
        <v>5.4247004198880976E-2</v>
      </c>
      <c r="F16" s="23">
        <f t="shared" si="3"/>
        <v>9.0345835774185548E-2</v>
      </c>
      <c r="G16" s="23">
        <f t="shared" si="3"/>
        <v>0.13593220166648873</v>
      </c>
      <c r="H16" s="23">
        <f t="shared" si="3"/>
        <v>0.19495416186908804</v>
      </c>
      <c r="I16" s="23">
        <f t="shared" si="3"/>
        <v>0.23527199450253516</v>
      </c>
      <c r="J16" s="23">
        <f t="shared" si="3"/>
        <v>0.25515589940912226</v>
      </c>
      <c r="K16" s="23">
        <f t="shared" si="3"/>
        <v>0.25505917801922812</v>
      </c>
      <c r="L16" s="23">
        <f t="shared" si="3"/>
        <v>0.25097690206142892</v>
      </c>
    </row>
    <row r="17" spans="1:12" ht="15" x14ac:dyDescent="0.25">
      <c r="A17" s="2" t="s">
        <v>705</v>
      </c>
      <c r="B17" s="8">
        <v>3.1040000000000001</v>
      </c>
      <c r="C17" s="8">
        <v>2.9849999999999999</v>
      </c>
      <c r="D17" s="8">
        <v>2.7930000000000001</v>
      </c>
      <c r="E17" s="8">
        <v>2.0569999999999999</v>
      </c>
      <c r="F17" s="8">
        <v>-8.6389999999999993</v>
      </c>
      <c r="G17" s="8">
        <v>-9</v>
      </c>
      <c r="H17" s="8">
        <v>-13.343</v>
      </c>
      <c r="I17" s="8">
        <v>-10.644</v>
      </c>
      <c r="J17" s="8">
        <v>-5.742</v>
      </c>
      <c r="K17" s="8">
        <v>-4.109</v>
      </c>
      <c r="L17" s="8">
        <v>-1.827</v>
      </c>
    </row>
    <row r="18" spans="1:12" x14ac:dyDescent="0.2">
      <c r="A18" s="4" t="str">
        <f>$A$14</f>
        <v>As percentage of nominal GDP</v>
      </c>
      <c r="B18" s="23">
        <f t="shared" ref="B18:L18" si="4">B$17/B$9</f>
        <v>1.9800969635111E-2</v>
      </c>
      <c r="C18" s="23">
        <f t="shared" si="4"/>
        <v>1.813333009343069E-2</v>
      </c>
      <c r="D18" s="23">
        <f t="shared" si="4"/>
        <v>1.5926599645315256E-2</v>
      </c>
      <c r="E18" s="23">
        <f t="shared" si="4"/>
        <v>1.0877957461210588E-2</v>
      </c>
      <c r="F18" s="23">
        <f t="shared" si="4"/>
        <v>-4.559248059192645E-2</v>
      </c>
      <c r="G18" s="23">
        <f t="shared" si="4"/>
        <v>-4.57547241752711E-2</v>
      </c>
      <c r="H18" s="23">
        <f t="shared" si="4"/>
        <v>-6.4824396476755433E-2</v>
      </c>
      <c r="I18" s="23">
        <f t="shared" si="4"/>
        <v>-4.9421466114443841E-2</v>
      </c>
      <c r="J18" s="23">
        <f t="shared" si="4"/>
        <v>-2.6239906410086507E-2</v>
      </c>
      <c r="K18" s="23">
        <f t="shared" si="4"/>
        <v>-1.7487413233235022E-2</v>
      </c>
      <c r="L18" s="23">
        <f t="shared" si="4"/>
        <v>-7.5627121450451192E-3</v>
      </c>
    </row>
    <row r="19" spans="1:12" ht="15" x14ac:dyDescent="0.25">
      <c r="A19" s="2" t="s">
        <v>763</v>
      </c>
      <c r="B19" s="8">
        <v>35.478000000000002</v>
      </c>
      <c r="C19" s="8">
        <v>35.866999999999997</v>
      </c>
      <c r="D19" s="8">
        <v>36.805</v>
      </c>
      <c r="E19" s="8">
        <v>37.744999999999997</v>
      </c>
      <c r="F19" s="8">
        <v>50.972999999999999</v>
      </c>
      <c r="G19" s="8">
        <v>58.890999999999998</v>
      </c>
      <c r="H19" s="8">
        <v>77.290000000000006</v>
      </c>
      <c r="I19" s="8">
        <v>84.168000000000006</v>
      </c>
      <c r="J19" s="8">
        <v>84.286000000000001</v>
      </c>
      <c r="K19" s="8">
        <v>88.468000000000004</v>
      </c>
      <c r="L19" s="8">
        <v>93.156000000000006</v>
      </c>
    </row>
    <row r="20" spans="1:12" x14ac:dyDescent="0.2">
      <c r="A20" s="4" t="str">
        <f>$A$14</f>
        <v>As percentage of nominal GDP</v>
      </c>
      <c r="B20" s="23">
        <f t="shared" ref="B20:L20" si="5">B$19/B$9</f>
        <v>0.2263204899208982</v>
      </c>
      <c r="C20" s="23">
        <f t="shared" si="5"/>
        <v>0.21788547754139986</v>
      </c>
      <c r="D20" s="23">
        <f t="shared" si="5"/>
        <v>0.20987414964046827</v>
      </c>
      <c r="E20" s="23">
        <f t="shared" si="5"/>
        <v>0.19960549556314713</v>
      </c>
      <c r="F20" s="23">
        <f t="shared" si="5"/>
        <v>0.26901094029543549</v>
      </c>
      <c r="G20" s="23">
        <f t="shared" si="5"/>
        <v>0.2993934957117656</v>
      </c>
      <c r="H20" s="23">
        <f t="shared" si="5"/>
        <v>0.37549858380337459</v>
      </c>
      <c r="I20" s="23">
        <f t="shared" si="5"/>
        <v>0.39080288988355033</v>
      </c>
      <c r="J20" s="23">
        <f t="shared" si="5"/>
        <v>0.3851718480809041</v>
      </c>
      <c r="K20" s="23">
        <f t="shared" si="5"/>
        <v>0.3765092416446425</v>
      </c>
      <c r="L20" s="23">
        <f t="shared" si="5"/>
        <v>0.385611391671496</v>
      </c>
    </row>
    <row r="21" spans="1:12" ht="15" x14ac:dyDescent="0.25">
      <c r="A21" s="2" t="s">
        <v>266</v>
      </c>
      <c r="B21" s="8">
        <v>50.808999999999997</v>
      </c>
      <c r="C21" s="8">
        <v>55.499000000000002</v>
      </c>
      <c r="D21" s="8">
        <v>57.970999999999997</v>
      </c>
      <c r="E21" s="8">
        <v>61.575000000000003</v>
      </c>
      <c r="F21" s="8">
        <v>59.191000000000003</v>
      </c>
      <c r="G21" s="8">
        <v>55.756999999999998</v>
      </c>
      <c r="H21" s="8">
        <v>57.198999999999998</v>
      </c>
      <c r="I21" s="8">
        <v>60.427999999999997</v>
      </c>
      <c r="J21" s="8">
        <v>63.805</v>
      </c>
      <c r="K21" s="8">
        <v>67.093000000000004</v>
      </c>
      <c r="L21" s="8">
        <v>72.212999999999994</v>
      </c>
    </row>
    <row r="22" spans="1:12" x14ac:dyDescent="0.2">
      <c r="A22" s="4" t="str">
        <f>$A$14</f>
        <v>As percentage of nominal GDP</v>
      </c>
      <c r="B22" s="23">
        <f t="shared" ref="B22:L22" si="6">B$21/B$9</f>
        <v>0.3241196733860679</v>
      </c>
      <c r="C22" s="23">
        <f t="shared" si="6"/>
        <v>0.33714629375387273</v>
      </c>
      <c r="D22" s="23">
        <f t="shared" si="6"/>
        <v>0.33056960545598657</v>
      </c>
      <c r="E22" s="23">
        <f t="shared" si="6"/>
        <v>0.32562480830045798</v>
      </c>
      <c r="F22" s="23">
        <f t="shared" si="6"/>
        <v>0.31238158568314839</v>
      </c>
      <c r="G22" s="23">
        <f t="shared" si="6"/>
        <v>0.28346068398228785</v>
      </c>
      <c r="H22" s="23">
        <f t="shared" si="6"/>
        <v>0.2778903285673337</v>
      </c>
      <c r="I22" s="23">
        <f t="shared" si="6"/>
        <v>0.28057500510744199</v>
      </c>
      <c r="J22" s="23">
        <f t="shared" si="6"/>
        <v>0.29157736476760182</v>
      </c>
      <c r="K22" s="23">
        <f t="shared" si="6"/>
        <v>0.28553979461120405</v>
      </c>
      <c r="L22" s="23">
        <f t="shared" si="6"/>
        <v>0.29891961255070781</v>
      </c>
    </row>
    <row r="23" spans="1:12" ht="15" x14ac:dyDescent="0.25">
      <c r="A23" s="2" t="s">
        <v>268</v>
      </c>
      <c r="B23" s="8">
        <v>44.660000000000011</v>
      </c>
      <c r="C23" s="8">
        <v>49.08400000000001</v>
      </c>
      <c r="D23" s="8">
        <v>53.76400000000001</v>
      </c>
      <c r="E23" s="8">
        <v>56.752999999999993</v>
      </c>
      <c r="F23" s="8">
        <v>63.710999999999991</v>
      </c>
      <c r="G23" s="8">
        <v>63.553999999999995</v>
      </c>
      <c r="H23" s="8">
        <v>70.099000000000004</v>
      </c>
      <c r="I23" s="8">
        <v>68.938999999999993</v>
      </c>
      <c r="J23" s="8">
        <v>69.962000000000003</v>
      </c>
      <c r="K23" s="8">
        <v>71.173999999999992</v>
      </c>
      <c r="L23" s="8">
        <v>72.362999999999985</v>
      </c>
    </row>
    <row r="24" spans="1:12" x14ac:dyDescent="0.2">
      <c r="A24" s="4" t="str">
        <f>$A$14</f>
        <v>As percentage of nominal GDP</v>
      </c>
      <c r="B24" s="23">
        <f t="shared" ref="B24:L24" si="7">B$23/B$9</f>
        <v>0.28489410563919376</v>
      </c>
      <c r="C24" s="23">
        <f t="shared" si="7"/>
        <v>0.29817633980098901</v>
      </c>
      <c r="D24" s="23">
        <f t="shared" si="7"/>
        <v>0.3065799152634191</v>
      </c>
      <c r="E24" s="23">
        <f t="shared" si="7"/>
        <v>0.30012480301219469</v>
      </c>
      <c r="F24" s="23">
        <f t="shared" si="7"/>
        <v>0.33623596839822034</v>
      </c>
      <c r="G24" s="23">
        <f t="shared" si="7"/>
        <v>0.32309952669279768</v>
      </c>
      <c r="H24" s="23">
        <f t="shared" si="7"/>
        <v>0.34056249483804835</v>
      </c>
      <c r="I24" s="23">
        <f t="shared" si="7"/>
        <v>0.32009267685678727</v>
      </c>
      <c r="J24" s="23">
        <f t="shared" si="7"/>
        <v>0.31971374647552636</v>
      </c>
      <c r="K24" s="23">
        <f t="shared" si="7"/>
        <v>0.30290804318867592</v>
      </c>
      <c r="L24" s="23">
        <f t="shared" si="7"/>
        <v>0.29954052487788718</v>
      </c>
    </row>
    <row r="25" spans="1:12" ht="15" x14ac:dyDescent="0.25">
      <c r="A25" s="2" t="s">
        <v>284</v>
      </c>
      <c r="B25" s="8">
        <v>5.8310000000000004</v>
      </c>
      <c r="C25" s="8">
        <v>7.4610000000000003</v>
      </c>
      <c r="D25" s="8">
        <v>6.51</v>
      </c>
      <c r="E25" s="8">
        <v>3.891</v>
      </c>
      <c r="F25" s="8">
        <v>5.8620000000000001</v>
      </c>
      <c r="G25" s="8">
        <v>7</v>
      </c>
      <c r="H25" s="8">
        <v>9.2669999999999995</v>
      </c>
      <c r="I25" s="8">
        <v>11.670999999999999</v>
      </c>
      <c r="J25" s="8">
        <v>0.371</v>
      </c>
      <c r="K25" s="8">
        <v>0.29199999999999998</v>
      </c>
      <c r="L25" s="8">
        <v>3.879</v>
      </c>
    </row>
    <row r="26" spans="1:12" x14ac:dyDescent="0.2">
      <c r="A26" s="4" t="str">
        <f>$A$14</f>
        <v>As percentage of nominal GDP</v>
      </c>
      <c r="B26" s="23">
        <f t="shared" ref="B26:L26" si="8">B$25/B$9</f>
        <v>3.7196989027813224E-2</v>
      </c>
      <c r="C26" s="23">
        <f t="shared" si="8"/>
        <v>4.5324213007399125E-2</v>
      </c>
      <c r="D26" s="23">
        <f t="shared" si="8"/>
        <v>3.7122149549231043E-2</v>
      </c>
      <c r="E26" s="23">
        <f t="shared" si="8"/>
        <v>2.0576632222445504E-2</v>
      </c>
      <c r="F26" s="23">
        <f t="shared" si="8"/>
        <v>3.0936812273396556E-2</v>
      </c>
      <c r="G26" s="23">
        <f t="shared" si="8"/>
        <v>3.5587007691877517E-2</v>
      </c>
      <c r="H26" s="23">
        <f t="shared" si="8"/>
        <v>4.5021935258194749E-2</v>
      </c>
      <c r="I26" s="23">
        <f t="shared" si="8"/>
        <v>5.4189959697639428E-2</v>
      </c>
      <c r="J26" s="23">
        <f t="shared" si="8"/>
        <v>1.6954032180672403E-3</v>
      </c>
      <c r="K26" s="23">
        <f t="shared" si="8"/>
        <v>1.2427171243866212E-3</v>
      </c>
      <c r="L26" s="23">
        <f t="shared" si="8"/>
        <v>1.6056792780859343E-2</v>
      </c>
    </row>
    <row r="27" spans="1:12" ht="15" x14ac:dyDescent="0.25">
      <c r="A27" s="2" t="s">
        <v>704</v>
      </c>
      <c r="D27" s="8">
        <v>3.955999999999996</v>
      </c>
      <c r="E27" s="8">
        <v>4.9380000000000024</v>
      </c>
      <c r="F27" s="8">
        <v>-3.9630000000000001</v>
      </c>
      <c r="G27" s="8">
        <v>-7.6210000000000022</v>
      </c>
      <c r="H27" s="8">
        <v>-12.003</v>
      </c>
      <c r="I27" s="8">
        <v>-6.7950000000000017</v>
      </c>
      <c r="J27" s="8">
        <v>-4.642000000000003</v>
      </c>
      <c r="K27" s="8">
        <v>-2.7560000000000002</v>
      </c>
      <c r="L27" s="8">
        <v>1.1809999999999974</v>
      </c>
    </row>
    <row r="28" spans="1:12" x14ac:dyDescent="0.2">
      <c r="A28" s="4" t="str">
        <f>$A$14</f>
        <v>As percentage of nominal GDP</v>
      </c>
      <c r="D28" s="23">
        <f t="shared" ref="D28:L28" si="9">D$27/D$9</f>
        <v>2.255840608552348E-2</v>
      </c>
      <c r="E28" s="23">
        <f t="shared" si="9"/>
        <v>2.6113443822779733E-2</v>
      </c>
      <c r="F28" s="23">
        <f t="shared" si="9"/>
        <v>-2.0914805022086414E-2</v>
      </c>
      <c r="G28" s="23">
        <f t="shared" si="9"/>
        <v>-3.8744083659971236E-2</v>
      </c>
      <c r="H28" s="23">
        <f t="shared" si="9"/>
        <v>-5.8314264476541665E-2</v>
      </c>
      <c r="I28" s="23">
        <f t="shared" si="9"/>
        <v>-3.1550062217929914E-2</v>
      </c>
      <c r="J28" s="23">
        <f t="shared" si="9"/>
        <v>-2.1213104415817075E-2</v>
      </c>
      <c r="K28" s="23">
        <f t="shared" si="9"/>
        <v>-1.172920683153948E-2</v>
      </c>
      <c r="L28" s="23">
        <f t="shared" si="9"/>
        <v>4.8886497226591497E-3</v>
      </c>
    </row>
    <row r="29" spans="1:12" ht="15" x14ac:dyDescent="0.25">
      <c r="A29" s="2" t="s">
        <v>765</v>
      </c>
      <c r="B29" s="8">
        <v>65.131</v>
      </c>
      <c r="C29" s="8">
        <v>71.188999999999993</v>
      </c>
      <c r="D29" s="8">
        <v>74.349000000000004</v>
      </c>
      <c r="E29" s="8">
        <v>81.234999999999999</v>
      </c>
      <c r="F29" s="8">
        <v>79.215000000000003</v>
      </c>
      <c r="G29" s="8">
        <v>74.266000000000005</v>
      </c>
      <c r="H29" s="8">
        <v>81.212000000000003</v>
      </c>
      <c r="I29" s="8">
        <v>83.346000000000004</v>
      </c>
      <c r="J29" s="8">
        <v>86.311000000000007</v>
      </c>
      <c r="K29" s="8">
        <v>89.198999999999998</v>
      </c>
      <c r="L29" s="8">
        <v>95.013000000000005</v>
      </c>
    </row>
    <row r="30" spans="1:12" x14ac:dyDescent="0.2">
      <c r="A30" s="4" t="str">
        <f>$A$14</f>
        <v>As percentage of nominal GDP</v>
      </c>
      <c r="B30" s="23">
        <f t="shared" ref="B30:L30" si="10">B$29/B$9</f>
        <v>0.41548226588415416</v>
      </c>
      <c r="C30" s="23">
        <f t="shared" si="10"/>
        <v>0.43246017957160382</v>
      </c>
      <c r="D30" s="23">
        <f t="shared" si="10"/>
        <v>0.42396231902239306</v>
      </c>
      <c r="E30" s="23">
        <f t="shared" si="10"/>
        <v>0.42959206337454647</v>
      </c>
      <c r="F30" s="23">
        <f t="shared" si="10"/>
        <v>0.41805861211823753</v>
      </c>
      <c r="G30" s="23">
        <f t="shared" si="10"/>
        <v>0.37755781617785372</v>
      </c>
      <c r="H30" s="23">
        <f t="shared" si="10"/>
        <v>0.39455286567265696</v>
      </c>
      <c r="I30" s="23">
        <f t="shared" si="10"/>
        <v>0.38698623776535485</v>
      </c>
      <c r="J30" s="23">
        <f t="shared" si="10"/>
        <v>0.39442573357035471</v>
      </c>
      <c r="K30" s="23">
        <f t="shared" si="10"/>
        <v>0.37962029033617201</v>
      </c>
      <c r="L30" s="23">
        <f t="shared" si="10"/>
        <v>0.39329828628197699</v>
      </c>
    </row>
    <row r="31" spans="1:12" ht="15" x14ac:dyDescent="0.25">
      <c r="A31" s="2" t="s">
        <v>766</v>
      </c>
      <c r="B31" s="8">
        <v>58.057000000000002</v>
      </c>
      <c r="C31" s="8">
        <v>64.097999999999999</v>
      </c>
      <c r="D31" s="8">
        <v>68.489000000000004</v>
      </c>
      <c r="E31" s="8">
        <v>75.597999999999999</v>
      </c>
      <c r="F31" s="8">
        <v>83.108000000000004</v>
      </c>
      <c r="G31" s="8">
        <v>80.581000000000003</v>
      </c>
      <c r="H31" s="8">
        <v>99.608000000000004</v>
      </c>
      <c r="I31" s="8">
        <v>92.585999999999999</v>
      </c>
      <c r="J31" s="8">
        <v>90.662999999999997</v>
      </c>
      <c r="K31" s="8">
        <v>91.841999999999999</v>
      </c>
      <c r="L31" s="8">
        <v>94.271999999999991</v>
      </c>
    </row>
    <row r="32" spans="1:12" x14ac:dyDescent="0.2">
      <c r="A32" s="4" t="str">
        <f>$A$14</f>
        <v>As percentage of nominal GDP</v>
      </c>
      <c r="B32" s="23">
        <f t="shared" ref="B32:L32" si="11">B$31/B$9</f>
        <v>0.37035595815258998</v>
      </c>
      <c r="C32" s="23">
        <f t="shared" si="11"/>
        <v>0.38938364902134687</v>
      </c>
      <c r="D32" s="23">
        <f t="shared" si="11"/>
        <v>0.39054668210096544</v>
      </c>
      <c r="E32" s="23">
        <f t="shared" si="11"/>
        <v>0.39978212355498205</v>
      </c>
      <c r="F32" s="23">
        <f t="shared" si="11"/>
        <v>0.43860399085933832</v>
      </c>
      <c r="G32" s="23">
        <f t="shared" si="11"/>
        <v>0.40966238097416896</v>
      </c>
      <c r="H32" s="23">
        <f t="shared" si="11"/>
        <v>0.48392628975917373</v>
      </c>
      <c r="I32" s="23">
        <f t="shared" si="11"/>
        <v>0.42988875062682241</v>
      </c>
      <c r="J32" s="23">
        <f t="shared" si="11"/>
        <v>0.41431359018768249</v>
      </c>
      <c r="K32" s="23">
        <f t="shared" si="11"/>
        <v>0.39086858266409613</v>
      </c>
      <c r="L32" s="23">
        <f t="shared" si="11"/>
        <v>0.39023097938571066</v>
      </c>
    </row>
    <row r="33" spans="1:12" ht="15" x14ac:dyDescent="0.25">
      <c r="A33" s="2" t="s">
        <v>702</v>
      </c>
      <c r="B33" s="8">
        <v>5.931</v>
      </c>
      <c r="C33" s="8">
        <v>9.5419999999999998</v>
      </c>
      <c r="D33" s="8">
        <v>8.0220000000000002</v>
      </c>
      <c r="E33" s="8">
        <v>2.3839999999999999</v>
      </c>
      <c r="F33" s="8">
        <v>-10.505000000000001</v>
      </c>
      <c r="G33" s="8">
        <v>-4.5090000000000003</v>
      </c>
      <c r="H33" s="8">
        <v>-13.36</v>
      </c>
      <c r="I33" s="8">
        <v>-14.897</v>
      </c>
      <c r="J33" s="8">
        <v>6.9249999999999998</v>
      </c>
      <c r="K33" s="8">
        <v>2.9390000000000001</v>
      </c>
      <c r="L33" s="8">
        <v>5.7709999999999999</v>
      </c>
    </row>
    <row r="34" spans="1:12" x14ac:dyDescent="0.2">
      <c r="A34" s="4" t="str">
        <f>$A$14</f>
        <v>As percentage of nominal GDP</v>
      </c>
      <c r="B34" s="23">
        <f t="shared" ref="B34:L34" si="12">B$33/B$9</f>
        <v>3.7834906863995918E-2</v>
      </c>
      <c r="C34" s="23">
        <f t="shared" si="12"/>
        <v>5.7965908124460855E-2</v>
      </c>
      <c r="D34" s="23">
        <f t="shared" si="12"/>
        <v>4.5744068154213738E-2</v>
      </c>
      <c r="E34" s="23">
        <f t="shared" si="12"/>
        <v>1.2607219536959671E-2</v>
      </c>
      <c r="F34" s="23">
        <f t="shared" si="12"/>
        <v>-5.5440329739343375E-2</v>
      </c>
      <c r="G34" s="23">
        <f t="shared" si="12"/>
        <v>-2.292311681181082E-2</v>
      </c>
      <c r="H34" s="23">
        <f t="shared" si="12"/>
        <v>-6.4906987703623811E-2</v>
      </c>
      <c r="I34" s="23">
        <f t="shared" si="12"/>
        <v>-6.9168694166372599E-2</v>
      </c>
      <c r="J34" s="23">
        <f t="shared" si="12"/>
        <v>3.1646003463923558E-2</v>
      </c>
      <c r="K34" s="23">
        <f t="shared" si="12"/>
        <v>1.2508032974562603E-2</v>
      </c>
      <c r="L34" s="23">
        <f t="shared" si="12"/>
        <v>2.3888566934348869E-2</v>
      </c>
    </row>
    <row r="35" spans="1:12" ht="15" x14ac:dyDescent="0.25">
      <c r="A35" s="2" t="s">
        <v>770</v>
      </c>
      <c r="B35" s="8">
        <v>47.468000000000004</v>
      </c>
      <c r="C35" s="8">
        <v>50.972999999999999</v>
      </c>
      <c r="D35" s="8">
        <v>53.476999999999997</v>
      </c>
      <c r="E35" s="8">
        <v>56.747</v>
      </c>
      <c r="F35" s="8">
        <v>54.680999999999997</v>
      </c>
      <c r="G35" s="8">
        <v>50.744</v>
      </c>
      <c r="H35" s="8">
        <v>51.557000000000002</v>
      </c>
      <c r="I35" s="8">
        <v>55.081000000000003</v>
      </c>
      <c r="J35" s="8">
        <v>58.651000000000003</v>
      </c>
      <c r="K35" s="8">
        <v>61.563000000000002</v>
      </c>
      <c r="L35" s="8">
        <v>66.635999999999996</v>
      </c>
    </row>
    <row r="36" spans="1:12" x14ac:dyDescent="0.2">
      <c r="A36" s="4" t="str">
        <f>$A$14</f>
        <v>As percentage of nominal GDP</v>
      </c>
      <c r="B36" s="23">
        <f t="shared" ref="B36:L36" si="13">B$35/B$9</f>
        <v>0.30280683847920392</v>
      </c>
      <c r="C36" s="23">
        <f t="shared" si="13"/>
        <v>0.30965166996731747</v>
      </c>
      <c r="D36" s="23">
        <f t="shared" si="13"/>
        <v>0.30494334738006579</v>
      </c>
      <c r="E36" s="23">
        <f t="shared" si="13"/>
        <v>0.30009307343282315</v>
      </c>
      <c r="F36" s="23">
        <f t="shared" si="13"/>
        <v>0.28857997815107422</v>
      </c>
      <c r="G36" s="23">
        <f t="shared" si="13"/>
        <v>0.25797530261666185</v>
      </c>
      <c r="H36" s="23">
        <f t="shared" si="13"/>
        <v>0.25047975786195609</v>
      </c>
      <c r="I36" s="23">
        <f t="shared" si="13"/>
        <v>0.25574819382278102</v>
      </c>
      <c r="J36" s="23">
        <f t="shared" si="13"/>
        <v>0.26802451251445208</v>
      </c>
      <c r="K36" s="23">
        <f t="shared" si="13"/>
        <v>0.26200477509799169</v>
      </c>
      <c r="L36" s="23">
        <f t="shared" si="13"/>
        <v>0.27583409222617761</v>
      </c>
    </row>
    <row r="37" spans="1:12" ht="15" x14ac:dyDescent="0.25">
      <c r="A37" s="2" t="s">
        <v>769</v>
      </c>
      <c r="B37" s="8">
        <v>46.973999999999997</v>
      </c>
      <c r="C37" s="8">
        <v>50.502000000000002</v>
      </c>
      <c r="D37" s="8">
        <v>53.064</v>
      </c>
      <c r="E37" s="8">
        <v>56.372</v>
      </c>
      <c r="F37" s="8">
        <v>54.145000000000003</v>
      </c>
      <c r="G37" s="8">
        <v>50.347000000000001</v>
      </c>
      <c r="H37" s="8">
        <v>51.128</v>
      </c>
      <c r="I37" s="8">
        <v>54.664999999999999</v>
      </c>
      <c r="J37" s="8">
        <v>58.134</v>
      </c>
      <c r="K37" s="8">
        <v>60.968000000000004</v>
      </c>
      <c r="L37" s="8">
        <v>66.055000000000007</v>
      </c>
    </row>
    <row r="38" spans="1:12" x14ac:dyDescent="0.2">
      <c r="A38" s="4" t="str">
        <f>$A$14</f>
        <v>As percentage of nominal GDP</v>
      </c>
      <c r="B38" s="23">
        <f t="shared" ref="B38:L38" si="14">B$37/B$9</f>
        <v>0.29965552436846132</v>
      </c>
      <c r="C38" s="23">
        <f t="shared" si="14"/>
        <v>0.30679043094755004</v>
      </c>
      <c r="D38" s="23">
        <f t="shared" si="14"/>
        <v>0.30258828627963075</v>
      </c>
      <c r="E38" s="23">
        <f t="shared" si="14"/>
        <v>0.29810997472210177</v>
      </c>
      <c r="F38" s="23">
        <f t="shared" si="14"/>
        <v>0.28575122834238431</v>
      </c>
      <c r="G38" s="23">
        <f t="shared" si="14"/>
        <v>0.25595701089470824</v>
      </c>
      <c r="H38" s="23">
        <f t="shared" si="14"/>
        <v>0.24839554396039509</v>
      </c>
      <c r="I38" s="23">
        <f t="shared" si="14"/>
        <v>0.25381665211819548</v>
      </c>
      <c r="J38" s="23">
        <f t="shared" si="14"/>
        <v>0.26566191557714541</v>
      </c>
      <c r="K38" s="23">
        <f t="shared" si="14"/>
        <v>0.2594725261630258</v>
      </c>
      <c r="L38" s="23">
        <f t="shared" si="14"/>
        <v>0.27342909181223612</v>
      </c>
    </row>
    <row r="39" spans="1:12" ht="15" x14ac:dyDescent="0.25">
      <c r="A39" s="2" t="s">
        <v>712</v>
      </c>
      <c r="B39" s="8">
        <v>54.24</v>
      </c>
      <c r="C39" s="8">
        <v>83.971000000000004</v>
      </c>
      <c r="D39" s="8">
        <v>96.826999999999998</v>
      </c>
      <c r="E39" s="8">
        <v>105.514</v>
      </c>
      <c r="F39" s="8">
        <v>99.515000000000001</v>
      </c>
      <c r="G39" s="8">
        <v>94.988</v>
      </c>
      <c r="H39" s="8">
        <v>80.887</v>
      </c>
      <c r="I39" s="8">
        <v>59.78</v>
      </c>
      <c r="J39" s="8">
        <v>70.010999999999996</v>
      </c>
      <c r="K39" s="8">
        <v>80.697000000000003</v>
      </c>
      <c r="L39" s="8">
        <v>92.236000000000004</v>
      </c>
    </row>
    <row r="40" spans="1:12" x14ac:dyDescent="0.2">
      <c r="A40" s="4" t="str">
        <f>$A$14</f>
        <v>As percentage of nominal GDP</v>
      </c>
      <c r="B40" s="23">
        <f t="shared" ref="B40:L40" si="15">B$39/B$9</f>
        <v>0.34600663434549633</v>
      </c>
      <c r="C40" s="23">
        <f t="shared" si="15"/>
        <v>0.51010849623968801</v>
      </c>
      <c r="D40" s="23">
        <f t="shared" si="15"/>
        <v>0.55213922801895454</v>
      </c>
      <c r="E40" s="23">
        <f t="shared" si="15"/>
        <v>0.55798580630149441</v>
      </c>
      <c r="F40" s="23">
        <f t="shared" si="15"/>
        <v>0.52519223360406997</v>
      </c>
      <c r="G40" s="23">
        <f t="shared" si="15"/>
        <v>0.48290552666229458</v>
      </c>
      <c r="H40" s="23">
        <f t="shared" si="15"/>
        <v>0.39297391574723201</v>
      </c>
      <c r="I40" s="23">
        <f t="shared" si="15"/>
        <v>0.27756625745222219</v>
      </c>
      <c r="J40" s="23">
        <f t="shared" si="15"/>
        <v>0.31993766765527104</v>
      </c>
      <c r="K40" s="23">
        <f t="shared" si="15"/>
        <v>0.34343679378981912</v>
      </c>
      <c r="L40" s="23">
        <f t="shared" si="15"/>
        <v>0.38180312939812899</v>
      </c>
    </row>
    <row r="41" spans="1:12" ht="15" x14ac:dyDescent="0.25">
      <c r="A41" s="2" t="s">
        <v>767</v>
      </c>
      <c r="B41" s="8">
        <v>54.024999999999999</v>
      </c>
      <c r="C41" s="8">
        <v>83.677999999999997</v>
      </c>
      <c r="D41" s="8">
        <v>96.457999999999998</v>
      </c>
      <c r="E41" s="8">
        <v>105.13199999999999</v>
      </c>
      <c r="F41" s="8">
        <v>99.067999999999998</v>
      </c>
      <c r="G41" s="8">
        <v>94.585999999999999</v>
      </c>
      <c r="H41" s="8">
        <v>80.578999999999994</v>
      </c>
      <c r="I41" s="8">
        <v>59.347999999999999</v>
      </c>
      <c r="J41" s="8">
        <v>68.070999999999998</v>
      </c>
      <c r="K41" s="8">
        <v>75.486000000000004</v>
      </c>
      <c r="L41" s="8">
        <v>86.454000000000008</v>
      </c>
    </row>
    <row r="42" spans="1:12" x14ac:dyDescent="0.2">
      <c r="A42" s="4" t="str">
        <f>$A$14</f>
        <v>As percentage of nominal GDP</v>
      </c>
      <c r="B42" s="23">
        <f t="shared" ref="B42:L42" si="16">B$41/B$9</f>
        <v>0.3446351109977035</v>
      </c>
      <c r="C42" s="23">
        <f t="shared" si="16"/>
        <v>0.50832857472632942</v>
      </c>
      <c r="D42" s="23">
        <f t="shared" si="16"/>
        <v>0.55003506931178614</v>
      </c>
      <c r="E42" s="23">
        <f t="shared" si="16"/>
        <v>0.55596568974817284</v>
      </c>
      <c r="F42" s="23">
        <f t="shared" si="16"/>
        <v>0.52283318292406178</v>
      </c>
      <c r="G42" s="23">
        <f t="shared" si="16"/>
        <v>0.48086181564913244</v>
      </c>
      <c r="H42" s="23">
        <f t="shared" si="16"/>
        <v>0.39147755704867537</v>
      </c>
      <c r="I42" s="23">
        <f t="shared" si="16"/>
        <v>0.27556042568207562</v>
      </c>
      <c r="J42" s="23">
        <f t="shared" si="16"/>
        <v>0.31107221686537767</v>
      </c>
      <c r="K42" s="23">
        <f t="shared" si="16"/>
        <v>0.32125940017619348</v>
      </c>
      <c r="L42" s="23">
        <f t="shared" si="16"/>
        <v>0.35786902889312028</v>
      </c>
    </row>
    <row r="43" spans="1:12" ht="15" x14ac:dyDescent="0.25">
      <c r="A43" s="2" t="s">
        <v>291</v>
      </c>
      <c r="D43" s="8">
        <v>50.792999999999999</v>
      </c>
      <c r="E43" s="8">
        <v>56.982999999999997</v>
      </c>
      <c r="F43" s="8">
        <v>53.07</v>
      </c>
      <c r="G43" s="8">
        <v>44.668999999999997</v>
      </c>
      <c r="H43" s="8">
        <v>34.930999999999997</v>
      </c>
      <c r="I43" s="8">
        <v>23.370999999999999</v>
      </c>
      <c r="J43" s="8">
        <v>25.613</v>
      </c>
      <c r="K43" s="8">
        <v>28.675999999999998</v>
      </c>
      <c r="L43" s="8">
        <v>33.402000000000001</v>
      </c>
    </row>
    <row r="44" spans="1:12" x14ac:dyDescent="0.2">
      <c r="A44" s="4" t="str">
        <f>$A$14</f>
        <v>As percentage of nominal GDP</v>
      </c>
      <c r="D44" s="23">
        <f t="shared" ref="D44:L44" si="17">D$43/D$9</f>
        <v>0.2896383013907976</v>
      </c>
      <c r="E44" s="23">
        <f t="shared" si="17"/>
        <v>0.30134110355477051</v>
      </c>
      <c r="F44" s="23">
        <f t="shared" si="17"/>
        <v>0.28007789617010498</v>
      </c>
      <c r="G44" s="23">
        <f t="shared" si="17"/>
        <v>0.22709086379835383</v>
      </c>
      <c r="H44" s="23">
        <f t="shared" si="17"/>
        <v>0.16970553798467689</v>
      </c>
      <c r="I44" s="23">
        <f t="shared" si="17"/>
        <v>0.10851457013910813</v>
      </c>
      <c r="J44" s="23">
        <f t="shared" si="17"/>
        <v>0.11704679952656664</v>
      </c>
      <c r="K44" s="23">
        <f t="shared" si="17"/>
        <v>0.12204163102366695</v>
      </c>
      <c r="L44" s="23">
        <f t="shared" si="17"/>
        <v>0.1382647570163093</v>
      </c>
    </row>
    <row r="45" spans="1:12" ht="15" x14ac:dyDescent="0.25">
      <c r="A45" s="2" t="s">
        <v>768</v>
      </c>
      <c r="B45" s="8">
        <v>37.728000000000002</v>
      </c>
      <c r="C45" s="8">
        <v>40.003999999999998</v>
      </c>
      <c r="D45" s="8">
        <v>41.898000000000003</v>
      </c>
      <c r="E45" s="8">
        <v>46.11</v>
      </c>
      <c r="F45" s="8">
        <v>61.953000000000003</v>
      </c>
      <c r="G45" s="8">
        <v>69.733000000000004</v>
      </c>
      <c r="H45" s="8">
        <v>90.245000000000005</v>
      </c>
      <c r="I45" s="8">
        <v>100.53400000000001</v>
      </c>
      <c r="J45" s="8">
        <v>100.087</v>
      </c>
      <c r="K45" s="8">
        <v>103.419</v>
      </c>
      <c r="L45" s="8">
        <v>112.58</v>
      </c>
    </row>
    <row r="46" spans="1:12" x14ac:dyDescent="0.2">
      <c r="A46" s="4" t="str">
        <f>$A$14</f>
        <v>As percentage of nominal GDP</v>
      </c>
      <c r="B46" s="23">
        <f>B$45/B$9</f>
        <v>0.24067364123500895</v>
      </c>
      <c r="C46" s="23">
        <f t="shared" ref="C46:L46" si="18">C$45/C$9</f>
        <v>0.24301699733922993</v>
      </c>
      <c r="D46" s="23">
        <f t="shared" si="18"/>
        <v>0.23891610166108793</v>
      </c>
      <c r="E46" s="23">
        <f t="shared" si="18"/>
        <v>0.24384181747030639</v>
      </c>
      <c r="F46" s="23">
        <f t="shared" si="18"/>
        <v>0.32695809122718134</v>
      </c>
      <c r="G46" s="23">
        <f t="shared" si="18"/>
        <v>0.35451268676824221</v>
      </c>
      <c r="H46" s="23">
        <f t="shared" si="18"/>
        <v>0.43843795698454574</v>
      </c>
      <c r="I46" s="23">
        <f t="shared" si="18"/>
        <v>0.46679234069424064</v>
      </c>
      <c r="J46" s="23">
        <f t="shared" si="18"/>
        <v>0.45737957381858729</v>
      </c>
      <c r="K46" s="23">
        <f t="shared" si="18"/>
        <v>0.44013891194157528</v>
      </c>
      <c r="L46" s="23">
        <f t="shared" si="18"/>
        <v>0.46601539862571401</v>
      </c>
    </row>
    <row r="48" spans="1:12" ht="16.5" x14ac:dyDescent="0.25">
      <c r="A48" s="63" t="s">
        <v>779</v>
      </c>
      <c r="B48" s="7">
        <f>B64-B49-B51-B52-B63</f>
        <v>11.107999999999997</v>
      </c>
      <c r="C48" s="7">
        <f t="shared" ref="C48:L48" si="19">C64-C49-C51-C52-C63</f>
        <v>11.815999999999995</v>
      </c>
      <c r="D48" s="7">
        <f t="shared" si="19"/>
        <v>15.190000000000012</v>
      </c>
      <c r="E48" s="7">
        <f t="shared" si="19"/>
        <v>15.714999999999996</v>
      </c>
      <c r="F48" s="7">
        <f t="shared" si="19"/>
        <v>18.269999999999985</v>
      </c>
      <c r="G48" s="7">
        <f t="shared" si="19"/>
        <v>15.577000000000002</v>
      </c>
      <c r="H48" s="7">
        <f t="shared" si="19"/>
        <v>19.905999999999988</v>
      </c>
      <c r="I48" s="7">
        <f t="shared" si="19"/>
        <v>17.657999999999994</v>
      </c>
      <c r="J48" s="7">
        <f t="shared" si="19"/>
        <v>16.882000000000005</v>
      </c>
      <c r="K48" s="7">
        <f t="shared" si="19"/>
        <v>17.329999999999998</v>
      </c>
      <c r="L48" s="7">
        <f t="shared" si="19"/>
        <v>17.11999999999999</v>
      </c>
    </row>
    <row r="49" spans="1:12" x14ac:dyDescent="0.2">
      <c r="A49" s="1" t="s">
        <v>173</v>
      </c>
      <c r="B49" s="7">
        <v>14.535</v>
      </c>
      <c r="C49" s="7">
        <v>15.451000000000001</v>
      </c>
      <c r="D49" s="7">
        <v>16.620999999999999</v>
      </c>
      <c r="E49" s="7">
        <v>17.73</v>
      </c>
      <c r="F49" s="7">
        <v>19.189</v>
      </c>
      <c r="G49" s="7">
        <v>20.814</v>
      </c>
      <c r="H49" s="7">
        <v>21.724</v>
      </c>
      <c r="I49" s="7">
        <v>21.956</v>
      </c>
      <c r="J49" s="7">
        <v>22.459</v>
      </c>
      <c r="K49" s="7">
        <v>23.026</v>
      </c>
      <c r="L49" s="7">
        <v>23.523</v>
      </c>
    </row>
    <row r="50" spans="1:12" x14ac:dyDescent="0.2">
      <c r="A50" s="1" t="s">
        <v>174</v>
      </c>
      <c r="B50" s="7">
        <v>0.71799999999999997</v>
      </c>
      <c r="C50" s="7">
        <v>0.76100000000000001</v>
      </c>
      <c r="D50" s="7">
        <v>0.64500000000000002</v>
      </c>
      <c r="E50" s="7">
        <v>0.69</v>
      </c>
      <c r="F50" s="7">
        <v>0.65500000000000003</v>
      </c>
      <c r="G50" s="7">
        <v>0.32800000000000001</v>
      </c>
      <c r="H50" s="7">
        <v>0.30499999999999999</v>
      </c>
      <c r="I50" s="7">
        <v>0.192</v>
      </c>
      <c r="J50" s="7">
        <v>0.27800000000000002</v>
      </c>
      <c r="K50" s="7">
        <v>0.28199999999999997</v>
      </c>
      <c r="L50" s="7">
        <v>0.35799999999999998</v>
      </c>
    </row>
    <row r="51" spans="1:12" x14ac:dyDescent="0.2">
      <c r="A51" s="1" t="s">
        <v>175</v>
      </c>
      <c r="B51" s="7">
        <v>8.8130000000000006</v>
      </c>
      <c r="C51" s="7">
        <v>9.5470000000000006</v>
      </c>
      <c r="D51" s="7">
        <v>10.355</v>
      </c>
      <c r="E51" s="7">
        <v>11.297000000000001</v>
      </c>
      <c r="F51" s="7">
        <v>12.368</v>
      </c>
      <c r="G51" s="7">
        <v>13.128</v>
      </c>
      <c r="H51" s="7">
        <v>13.753</v>
      </c>
      <c r="I51" s="7">
        <v>14.16</v>
      </c>
      <c r="J51" s="7">
        <v>14.497999999999999</v>
      </c>
      <c r="K51" s="7">
        <v>14.898</v>
      </c>
      <c r="L51" s="7">
        <v>15.058</v>
      </c>
    </row>
    <row r="52" spans="1:12" x14ac:dyDescent="0.2">
      <c r="A52" s="1" t="s">
        <v>176</v>
      </c>
      <c r="B52" s="7">
        <v>7.93</v>
      </c>
      <c r="C52" s="7">
        <v>9.9139999999999997</v>
      </c>
      <c r="D52" s="7">
        <v>9.2690000000000001</v>
      </c>
      <c r="E52" s="7">
        <v>9.5510000000000002</v>
      </c>
      <c r="F52" s="7">
        <v>11.455</v>
      </c>
      <c r="G52" s="7">
        <v>11.724</v>
      </c>
      <c r="H52" s="7">
        <v>11.65</v>
      </c>
      <c r="I52" s="7">
        <v>11.654</v>
      </c>
      <c r="J52" s="7">
        <v>12.504</v>
      </c>
      <c r="K52" s="7">
        <v>12.3</v>
      </c>
      <c r="L52" s="7">
        <v>12.879</v>
      </c>
    </row>
    <row r="53" spans="1:12" x14ac:dyDescent="0.2">
      <c r="A53" s="1" t="s">
        <v>177</v>
      </c>
      <c r="B53" s="7">
        <v>2.5670000000000002</v>
      </c>
      <c r="C53" s="7">
        <v>2.5070000000000001</v>
      </c>
      <c r="D53" s="7">
        <v>4.8170000000000002</v>
      </c>
      <c r="E53" s="7">
        <v>3.371</v>
      </c>
      <c r="F53" s="7">
        <v>5.2930000000000001</v>
      </c>
      <c r="G53" s="7">
        <v>2.9740000000000002</v>
      </c>
      <c r="H53" s="7">
        <v>5.5629999999999997</v>
      </c>
      <c r="I53" s="7">
        <v>5.4279999999999999</v>
      </c>
      <c r="J53" s="7">
        <v>4.2939999999999996</v>
      </c>
      <c r="K53" s="7">
        <v>4.5019999999999998</v>
      </c>
      <c r="L53" s="7">
        <v>4.1340000000000003</v>
      </c>
    </row>
    <row r="54" spans="1:12" x14ac:dyDescent="0.2">
      <c r="A54" s="1" t="s">
        <v>178</v>
      </c>
      <c r="B54" s="7">
        <v>1.889</v>
      </c>
      <c r="C54" s="7">
        <v>2.1459999999999999</v>
      </c>
      <c r="D54" s="7">
        <v>2.6059999999999999</v>
      </c>
      <c r="E54" s="7">
        <v>2.7970000000000002</v>
      </c>
      <c r="F54" s="7">
        <v>2.992</v>
      </c>
      <c r="G54" s="7">
        <v>3.1030000000000002</v>
      </c>
      <c r="H54" s="7">
        <v>3.3119999999999998</v>
      </c>
      <c r="I54" s="7">
        <v>3.3380000000000001</v>
      </c>
      <c r="J54" s="7">
        <v>3.3940000000000001</v>
      </c>
      <c r="K54" s="7">
        <v>3.4630000000000001</v>
      </c>
      <c r="L54" s="7">
        <v>3.5150000000000001</v>
      </c>
    </row>
    <row r="55" spans="1:12" x14ac:dyDescent="0.2">
      <c r="A55" s="1" t="s">
        <v>179</v>
      </c>
      <c r="B55" s="7">
        <v>1.2749999999999999</v>
      </c>
      <c r="C55" s="7">
        <v>1.383</v>
      </c>
      <c r="D55" s="7">
        <v>1.5169999999999999</v>
      </c>
      <c r="E55" s="7">
        <v>1.5620000000000001</v>
      </c>
      <c r="F55" s="7">
        <v>1.7569999999999999</v>
      </c>
      <c r="G55" s="7">
        <v>1.8140000000000001</v>
      </c>
      <c r="H55" s="7">
        <v>1.8089999999999999</v>
      </c>
      <c r="I55" s="7">
        <v>1.736</v>
      </c>
      <c r="J55" s="7">
        <v>1.804</v>
      </c>
      <c r="K55" s="7">
        <v>1.8109999999999999</v>
      </c>
      <c r="L55" s="7">
        <v>1.9610000000000001</v>
      </c>
    </row>
    <row r="56" spans="1:12" x14ac:dyDescent="0.2">
      <c r="A56" s="1" t="s">
        <v>180</v>
      </c>
      <c r="B56" s="7">
        <v>1.635</v>
      </c>
      <c r="C56" s="7">
        <v>1.8180000000000001</v>
      </c>
      <c r="D56" s="7">
        <v>2.4049999999999998</v>
      </c>
      <c r="E56" s="7">
        <v>2.2440000000000002</v>
      </c>
      <c r="F56" s="7">
        <v>2.6629999999999998</v>
      </c>
      <c r="G56" s="7">
        <v>2.3450000000000002</v>
      </c>
      <c r="H56" s="7">
        <v>2.2810000000000001</v>
      </c>
      <c r="I56" s="7">
        <v>2.2320000000000002</v>
      </c>
      <c r="J56" s="7">
        <v>2.2549999999999999</v>
      </c>
      <c r="K56" s="7">
        <v>2.2370000000000001</v>
      </c>
      <c r="L56" s="7">
        <v>2.2909999999999999</v>
      </c>
    </row>
    <row r="57" spans="1:12" x14ac:dyDescent="0.2">
      <c r="A57" s="1" t="s">
        <v>181</v>
      </c>
      <c r="B57" s="7">
        <v>1.444</v>
      </c>
      <c r="C57" s="7">
        <v>1.5920000000000001</v>
      </c>
      <c r="D57" s="7">
        <v>1.595</v>
      </c>
      <c r="E57" s="7">
        <v>2.8889999999999998</v>
      </c>
      <c r="F57" s="7">
        <v>2.96</v>
      </c>
      <c r="G57" s="7">
        <v>2.806</v>
      </c>
      <c r="H57" s="7">
        <v>2.5419999999999998</v>
      </c>
      <c r="I57" s="7">
        <v>2.073</v>
      </c>
      <c r="J57" s="7">
        <v>1.978</v>
      </c>
      <c r="K57" s="7">
        <v>2.0579999999999998</v>
      </c>
      <c r="L57" s="7">
        <v>2.2280000000000002</v>
      </c>
    </row>
    <row r="58" spans="1:12" x14ac:dyDescent="0.2">
      <c r="A58" s="1" t="s">
        <v>183</v>
      </c>
      <c r="B58" s="7">
        <v>0.68100000000000005</v>
      </c>
      <c r="C58" s="7">
        <v>0.84899999999999998</v>
      </c>
      <c r="D58" s="7">
        <v>0.52300000000000002</v>
      </c>
      <c r="E58" s="7">
        <v>0.56100000000000005</v>
      </c>
      <c r="F58" s="7">
        <v>0.58599999999999997</v>
      </c>
      <c r="G58" s="7">
        <v>0.63</v>
      </c>
      <c r="H58" s="7">
        <v>0.74099999999999999</v>
      </c>
      <c r="I58" s="7">
        <v>0.86299999999999999</v>
      </c>
      <c r="J58" s="7">
        <v>0.80400000000000005</v>
      </c>
      <c r="K58" s="7">
        <v>0.84199999999999997</v>
      </c>
      <c r="L58" s="7">
        <v>0.77800000000000002</v>
      </c>
    </row>
    <row r="59" spans="1:12" x14ac:dyDescent="0.2">
      <c r="A59" s="1" t="s">
        <v>182</v>
      </c>
      <c r="B59" s="7">
        <v>0.39400000000000002</v>
      </c>
      <c r="C59" s="7">
        <v>0.46700000000000003</v>
      </c>
      <c r="D59" s="7">
        <v>0.438</v>
      </c>
      <c r="E59" s="7">
        <v>0.54100000000000004</v>
      </c>
      <c r="F59" s="7">
        <v>0.53400000000000003</v>
      </c>
      <c r="G59" s="7">
        <v>0.50700000000000001</v>
      </c>
      <c r="H59" s="7">
        <v>0.70599999999999996</v>
      </c>
      <c r="I59" s="7">
        <v>0.64800000000000002</v>
      </c>
      <c r="J59" s="7">
        <v>0.65900000000000003</v>
      </c>
      <c r="K59" s="7">
        <v>0.67600000000000005</v>
      </c>
      <c r="L59" s="7">
        <v>0.66700000000000004</v>
      </c>
    </row>
    <row r="60" spans="1:12" x14ac:dyDescent="0.2">
      <c r="A60" s="1" t="s">
        <v>184</v>
      </c>
      <c r="B60" s="7">
        <v>0.16300000000000001</v>
      </c>
      <c r="C60" s="7">
        <v>0.20200000000000001</v>
      </c>
      <c r="D60" s="7">
        <v>0.255</v>
      </c>
      <c r="E60" s="7">
        <v>0.26</v>
      </c>
      <c r="F60" s="7">
        <v>0.29699999999999999</v>
      </c>
      <c r="G60" s="7">
        <v>0.33900000000000002</v>
      </c>
      <c r="H60" s="7">
        <v>0.94299999999999995</v>
      </c>
      <c r="I60" s="7">
        <v>-4.5999999999999999E-2</v>
      </c>
      <c r="J60" s="7">
        <v>0.28299999999999997</v>
      </c>
      <c r="K60" s="7">
        <v>0.34699999999999998</v>
      </c>
      <c r="L60" s="7">
        <v>0.32</v>
      </c>
    </row>
    <row r="61" spans="1:12" x14ac:dyDescent="0.2">
      <c r="A61" s="1" t="s">
        <v>185</v>
      </c>
      <c r="B61" s="7">
        <v>0.31</v>
      </c>
      <c r="C61" s="7">
        <v>4.2000000000000003E-2</v>
      </c>
      <c r="D61" s="7">
        <v>0.32100000000000001</v>
      </c>
      <c r="E61" s="7">
        <v>0.54600000000000004</v>
      </c>
      <c r="F61" s="7">
        <v>0.41599999999999998</v>
      </c>
      <c r="G61" s="7">
        <v>0.65100000000000002</v>
      </c>
      <c r="H61" s="7">
        <v>1.2250000000000001</v>
      </c>
      <c r="I61" s="7">
        <v>0.76900000000000002</v>
      </c>
      <c r="J61" s="7">
        <v>0.53</v>
      </c>
      <c r="K61" s="7">
        <v>0.53300000000000003</v>
      </c>
      <c r="L61" s="7">
        <v>0.72299999999999998</v>
      </c>
    </row>
    <row r="62" spans="1:12" x14ac:dyDescent="0.2">
      <c r="A62" s="1" t="s">
        <v>186</v>
      </c>
      <c r="B62" s="7">
        <v>3.2000000000000001E-2</v>
      </c>
      <c r="C62" s="7">
        <v>4.9000000000000002E-2</v>
      </c>
      <c r="D62" s="7">
        <v>6.8000000000000005E-2</v>
      </c>
      <c r="E62" s="7">
        <v>0.254</v>
      </c>
      <c r="F62" s="7">
        <v>0.11700000000000001</v>
      </c>
      <c r="G62" s="7">
        <v>0.08</v>
      </c>
      <c r="H62" s="7">
        <v>0.47899999999999998</v>
      </c>
      <c r="I62" s="7">
        <v>0.42499999999999999</v>
      </c>
      <c r="J62" s="7">
        <v>0.60299999999999998</v>
      </c>
      <c r="K62" s="7">
        <v>0.57899999999999996</v>
      </c>
      <c r="L62" s="7">
        <v>0.14499999999999999</v>
      </c>
    </row>
    <row r="63" spans="1:12" x14ac:dyDescent="0.2">
      <c r="A63" s="1" t="s">
        <v>187</v>
      </c>
      <c r="B63" s="7">
        <v>2.274</v>
      </c>
      <c r="C63" s="7">
        <v>2.3559999999999999</v>
      </c>
      <c r="D63" s="7">
        <v>2.3290000000000002</v>
      </c>
      <c r="E63" s="7">
        <v>2.46</v>
      </c>
      <c r="F63" s="7">
        <v>2.4289999999999998</v>
      </c>
      <c r="G63" s="7">
        <v>2.3109999999999999</v>
      </c>
      <c r="H63" s="7">
        <v>3.0659999999999998</v>
      </c>
      <c r="I63" s="7">
        <v>3.5110000000000001</v>
      </c>
      <c r="J63" s="7">
        <v>3.6190000000000002</v>
      </c>
      <c r="K63" s="7">
        <v>3.62</v>
      </c>
      <c r="L63" s="7">
        <v>3.7829999999999999</v>
      </c>
    </row>
    <row r="64" spans="1:12" ht="15" x14ac:dyDescent="0.25">
      <c r="A64" s="2" t="s">
        <v>780</v>
      </c>
      <c r="B64" s="31">
        <f>SUM(B$49:B$63)</f>
        <v>44.66</v>
      </c>
      <c r="C64" s="31">
        <f t="shared" ref="C64:L64" si="20">SUM(C$49:C$63)</f>
        <v>49.083999999999996</v>
      </c>
      <c r="D64" s="31">
        <f t="shared" si="20"/>
        <v>53.76400000000001</v>
      </c>
      <c r="E64" s="31">
        <f t="shared" si="20"/>
        <v>56.752999999999993</v>
      </c>
      <c r="F64" s="31">
        <f t="shared" si="20"/>
        <v>63.710999999999984</v>
      </c>
      <c r="G64" s="31">
        <f t="shared" si="20"/>
        <v>63.554000000000002</v>
      </c>
      <c r="H64" s="31">
        <f t="shared" si="20"/>
        <v>70.09899999999999</v>
      </c>
      <c r="I64" s="31">
        <f t="shared" si="20"/>
        <v>68.938999999999993</v>
      </c>
      <c r="J64" s="31">
        <f t="shared" si="20"/>
        <v>69.962000000000003</v>
      </c>
      <c r="K64" s="31">
        <f t="shared" si="20"/>
        <v>71.173999999999992</v>
      </c>
      <c r="L64" s="31">
        <f t="shared" si="20"/>
        <v>72.362999999999985</v>
      </c>
    </row>
    <row r="65" spans="1:12" x14ac:dyDescent="0.2">
      <c r="A65" s="4" t="str">
        <f>$A$14</f>
        <v>As percentage of nominal GDP</v>
      </c>
      <c r="B65" s="7"/>
      <c r="C65" s="7"/>
      <c r="D65" s="7"/>
      <c r="E65" s="7"/>
      <c r="F65" s="7"/>
      <c r="G65" s="7"/>
      <c r="H65" s="7"/>
      <c r="I65" s="7"/>
      <c r="J65" s="7"/>
      <c r="K65" s="7"/>
      <c r="L65" s="7"/>
    </row>
    <row r="67" spans="1:12" ht="15" x14ac:dyDescent="0.25">
      <c r="A67" s="2" t="s">
        <v>915</v>
      </c>
      <c r="B67" s="76"/>
    </row>
    <row r="68" spans="1:12" x14ac:dyDescent="0.2">
      <c r="A68" s="1" t="s">
        <v>916</v>
      </c>
      <c r="B68" s="7">
        <v>6.0830000000000002</v>
      </c>
      <c r="C68" s="7">
        <v>6.4139999999999997</v>
      </c>
      <c r="D68" s="7">
        <v>6.81</v>
      </c>
      <c r="E68" s="7">
        <v>7.3479999999999999</v>
      </c>
      <c r="F68" s="7">
        <v>7.7439999999999998</v>
      </c>
      <c r="G68" s="7">
        <v>8.2899999999999991</v>
      </c>
      <c r="H68" s="7">
        <v>8.83</v>
      </c>
      <c r="I68" s="7">
        <v>9.5839999999999996</v>
      </c>
      <c r="J68" s="7">
        <v>10.234999999999999</v>
      </c>
      <c r="K68" s="7">
        <v>10.913</v>
      </c>
      <c r="L68" s="7">
        <v>11.590999999999999</v>
      </c>
    </row>
    <row r="69" spans="1:12" x14ac:dyDescent="0.2">
      <c r="A69" s="1" t="s">
        <v>917</v>
      </c>
      <c r="B69" s="7">
        <v>7.2430000000000003</v>
      </c>
      <c r="C69" s="7">
        <v>7.8319999999999999</v>
      </c>
      <c r="D69" s="7">
        <v>8.625</v>
      </c>
      <c r="E69" s="7">
        <v>8.94</v>
      </c>
      <c r="F69" s="7">
        <v>9.6219999999999999</v>
      </c>
      <c r="G69" s="7">
        <v>10.670999999999999</v>
      </c>
      <c r="H69" s="7">
        <v>10.951000000000001</v>
      </c>
      <c r="I69" s="7">
        <v>10.791</v>
      </c>
      <c r="J69" s="7">
        <v>10.554</v>
      </c>
      <c r="K69" s="7">
        <v>10.273999999999999</v>
      </c>
      <c r="L69" s="7">
        <v>10.089</v>
      </c>
    </row>
    <row r="70" spans="1:12" x14ac:dyDescent="0.2">
      <c r="A70" s="1" t="s">
        <v>918</v>
      </c>
      <c r="B70" s="7">
        <v>1.2090000000000001</v>
      </c>
      <c r="C70" s="7">
        <v>1.2050000000000001</v>
      </c>
      <c r="D70" s="7">
        <v>1.1859999999999999</v>
      </c>
      <c r="E70" s="7">
        <v>1.4419999999999999</v>
      </c>
      <c r="F70" s="7">
        <v>1.823</v>
      </c>
      <c r="G70" s="7">
        <v>1.853</v>
      </c>
      <c r="H70" s="7">
        <v>1.9430000000000001</v>
      </c>
      <c r="I70" s="7">
        <v>1.581</v>
      </c>
      <c r="J70" s="7">
        <v>1.67</v>
      </c>
      <c r="K70" s="7">
        <v>1.839</v>
      </c>
      <c r="L70" s="7">
        <v>1.843</v>
      </c>
    </row>
    <row r="71" spans="1:12" ht="15" x14ac:dyDescent="0.25">
      <c r="A71" s="2" t="s">
        <v>919</v>
      </c>
      <c r="B71" s="31">
        <f>SUM(B$68:B$70)</f>
        <v>14.535</v>
      </c>
      <c r="C71" s="31">
        <f t="shared" ref="C71:L71" si="21">SUM(C$68:C$70)</f>
        <v>15.450999999999999</v>
      </c>
      <c r="D71" s="31">
        <f t="shared" si="21"/>
        <v>16.620999999999999</v>
      </c>
      <c r="E71" s="31">
        <f t="shared" si="21"/>
        <v>17.73</v>
      </c>
      <c r="F71" s="31">
        <f t="shared" si="21"/>
        <v>19.189</v>
      </c>
      <c r="G71" s="31">
        <f t="shared" si="21"/>
        <v>20.814</v>
      </c>
      <c r="H71" s="31">
        <f t="shared" si="21"/>
        <v>21.724</v>
      </c>
      <c r="I71" s="31">
        <f t="shared" si="21"/>
        <v>21.956</v>
      </c>
      <c r="J71" s="31">
        <f t="shared" si="21"/>
        <v>22.459000000000003</v>
      </c>
      <c r="K71" s="31">
        <f t="shared" si="21"/>
        <v>23.025999999999996</v>
      </c>
      <c r="L71" s="31">
        <f t="shared" si="21"/>
        <v>23.523</v>
      </c>
    </row>
    <row r="72" spans="1:12" ht="15" x14ac:dyDescent="0.25">
      <c r="A72" s="2"/>
      <c r="B72" s="7"/>
      <c r="C72" s="7"/>
      <c r="D72" s="7"/>
      <c r="E72" s="7"/>
      <c r="F72" s="7"/>
      <c r="G72" s="7"/>
      <c r="H72" s="7"/>
      <c r="I72" s="7"/>
      <c r="J72" s="7"/>
      <c r="K72" s="7"/>
      <c r="L72" s="7"/>
    </row>
    <row r="73" spans="1:12" ht="15" x14ac:dyDescent="0.25">
      <c r="A73" s="2" t="s">
        <v>909</v>
      </c>
      <c r="B73" s="76"/>
    </row>
    <row r="74" spans="1:12" x14ac:dyDescent="0.2">
      <c r="A74" s="1" t="s">
        <v>793</v>
      </c>
      <c r="B74" s="7">
        <v>0.44400000000000001</v>
      </c>
      <c r="C74" s="7">
        <v>0.55500000000000005</v>
      </c>
      <c r="D74" s="7">
        <v>0.61699999999999999</v>
      </c>
      <c r="E74" s="7">
        <v>0.86</v>
      </c>
      <c r="F74" s="7">
        <v>1.03</v>
      </c>
      <c r="G74" s="7">
        <v>1.1839999999999999</v>
      </c>
      <c r="H74" s="7">
        <v>1.34</v>
      </c>
      <c r="I74" s="7">
        <v>1.355</v>
      </c>
      <c r="J74" s="7">
        <v>1.4359999999999999</v>
      </c>
      <c r="K74" s="7">
        <v>1.5449999999999999</v>
      </c>
      <c r="L74" s="7">
        <v>1.6439999999999999</v>
      </c>
    </row>
    <row r="75" spans="1:12" x14ac:dyDescent="0.2">
      <c r="A75" s="1" t="s">
        <v>794</v>
      </c>
      <c r="B75" s="7">
        <v>2.1869999999999998</v>
      </c>
      <c r="C75" s="7">
        <v>2.2989999999999999</v>
      </c>
      <c r="D75" s="7">
        <v>2.3919999999999999</v>
      </c>
      <c r="E75" s="7">
        <v>2.5270000000000001</v>
      </c>
      <c r="F75" s="7">
        <v>2.7610000000000001</v>
      </c>
      <c r="G75" s="7">
        <v>2.9039999999999999</v>
      </c>
      <c r="H75" s="7">
        <v>3.0169999999999999</v>
      </c>
      <c r="I75" s="7">
        <v>3.0649999999999999</v>
      </c>
      <c r="J75" s="7">
        <v>3.1440000000000001</v>
      </c>
      <c r="K75" s="7">
        <v>3.1080000000000001</v>
      </c>
      <c r="L75" s="7">
        <v>3.2320000000000002</v>
      </c>
    </row>
    <row r="76" spans="1:12" x14ac:dyDescent="0.2">
      <c r="A76" s="1" t="s">
        <v>795</v>
      </c>
      <c r="B76" s="7">
        <v>1.7470000000000001</v>
      </c>
      <c r="C76" s="7">
        <v>1.8540000000000001</v>
      </c>
      <c r="D76" s="7">
        <v>1.9330000000000001</v>
      </c>
      <c r="E76" s="7">
        <v>2.0249999999999999</v>
      </c>
      <c r="F76" s="7">
        <v>2.1749999999999998</v>
      </c>
      <c r="G76" s="7">
        <v>2.2530000000000001</v>
      </c>
      <c r="H76" s="7">
        <v>2.3370000000000002</v>
      </c>
      <c r="I76" s="7">
        <v>2.3780000000000001</v>
      </c>
      <c r="J76" s="7">
        <v>2.4460000000000002</v>
      </c>
      <c r="K76" s="7">
        <v>2.4420000000000002</v>
      </c>
      <c r="L76" s="7">
        <v>2.5409999999999999</v>
      </c>
    </row>
    <row r="77" spans="1:12" x14ac:dyDescent="0.2">
      <c r="A77" s="1" t="s">
        <v>796</v>
      </c>
      <c r="B77" s="7">
        <v>1.7150000000000001</v>
      </c>
      <c r="C77" s="7">
        <v>1.9750000000000001</v>
      </c>
      <c r="D77" s="7">
        <v>2.3010000000000002</v>
      </c>
      <c r="E77" s="7">
        <v>2.6240000000000001</v>
      </c>
      <c r="F77" s="7">
        <v>2.8090000000000002</v>
      </c>
      <c r="G77" s="7">
        <v>2.887</v>
      </c>
      <c r="H77" s="7">
        <v>2.7829999999999999</v>
      </c>
      <c r="I77" s="7">
        <v>2.7360000000000002</v>
      </c>
      <c r="J77" s="7">
        <v>2.754</v>
      </c>
      <c r="K77" s="7">
        <v>2.8460000000000001</v>
      </c>
      <c r="L77" s="7">
        <v>2.89</v>
      </c>
    </row>
    <row r="78" spans="1:12" x14ac:dyDescent="0.2">
      <c r="A78" s="1" t="s">
        <v>318</v>
      </c>
      <c r="B78" s="7">
        <v>0.35899999999999999</v>
      </c>
      <c r="C78" s="7">
        <v>0.35399999999999998</v>
      </c>
      <c r="D78" s="7">
        <v>0.38200000000000001</v>
      </c>
      <c r="E78" s="7">
        <v>0.38600000000000001</v>
      </c>
      <c r="F78" s="7">
        <v>0.44400000000000001</v>
      </c>
      <c r="G78" s="7">
        <v>0.56999999999999995</v>
      </c>
      <c r="H78" s="7">
        <v>0.62</v>
      </c>
      <c r="I78" s="7">
        <v>0.64400000000000002</v>
      </c>
      <c r="J78" s="7">
        <v>0.59599999999999997</v>
      </c>
      <c r="K78" s="7">
        <v>0.53900000000000003</v>
      </c>
      <c r="L78" s="7">
        <v>0.51100000000000001</v>
      </c>
    </row>
    <row r="79" spans="1:12" x14ac:dyDescent="0.2">
      <c r="A79" s="1" t="s">
        <v>547</v>
      </c>
      <c r="B79" s="7">
        <v>0.42199999999999999</v>
      </c>
      <c r="C79" s="7">
        <v>1.718</v>
      </c>
      <c r="D79" s="7">
        <v>0.63900000000000001</v>
      </c>
      <c r="E79" s="7">
        <v>0.25600000000000001</v>
      </c>
      <c r="F79" s="7">
        <v>1.3109999999999999</v>
      </c>
      <c r="G79" s="7">
        <v>1.008</v>
      </c>
      <c r="H79" s="7">
        <v>0.58799999999999997</v>
      </c>
      <c r="I79" s="7">
        <v>0.41499999999999998</v>
      </c>
      <c r="J79" s="7">
        <v>1.02</v>
      </c>
      <c r="K79" s="7">
        <v>0.64200000000000002</v>
      </c>
      <c r="L79" s="7">
        <v>0.871</v>
      </c>
    </row>
    <row r="80" spans="1:12" x14ac:dyDescent="0.2">
      <c r="A80" s="1" t="s">
        <v>797</v>
      </c>
      <c r="B80" s="7">
        <v>1.056</v>
      </c>
      <c r="C80" s="7">
        <v>1.159</v>
      </c>
      <c r="D80" s="7">
        <v>1.0049999999999999</v>
      </c>
      <c r="E80" s="7">
        <v>0.873</v>
      </c>
      <c r="F80" s="7">
        <v>0.92500000000000004</v>
      </c>
      <c r="G80" s="7">
        <v>0.91800000000000004</v>
      </c>
      <c r="H80" s="7">
        <v>0.96499999999999997</v>
      </c>
      <c r="I80" s="7">
        <v>1.0609999999999999</v>
      </c>
      <c r="J80" s="7">
        <v>1.1080000000000001</v>
      </c>
      <c r="K80" s="7">
        <v>1.1779999999999999</v>
      </c>
      <c r="L80" s="7">
        <v>1.19</v>
      </c>
    </row>
    <row r="81" spans="1:12" ht="15" x14ac:dyDescent="0.25">
      <c r="A81" s="2" t="s">
        <v>911</v>
      </c>
      <c r="B81" s="31">
        <f t="shared" ref="B81:K81" si="22">SUM(B$74:B$80)</f>
        <v>7.93</v>
      </c>
      <c r="C81" s="31">
        <f t="shared" si="22"/>
        <v>9.9139999999999997</v>
      </c>
      <c r="D81" s="31">
        <f t="shared" si="22"/>
        <v>9.2689999999999984</v>
      </c>
      <c r="E81" s="31">
        <f t="shared" si="22"/>
        <v>9.5509999999999984</v>
      </c>
      <c r="F81" s="31">
        <f t="shared" si="22"/>
        <v>11.455000000000002</v>
      </c>
      <c r="G81" s="31">
        <f t="shared" si="22"/>
        <v>11.724</v>
      </c>
      <c r="H81" s="31">
        <f t="shared" si="22"/>
        <v>11.649999999999999</v>
      </c>
      <c r="I81" s="31">
        <f t="shared" si="22"/>
        <v>11.654</v>
      </c>
      <c r="J81" s="31">
        <f t="shared" si="22"/>
        <v>12.504</v>
      </c>
      <c r="K81" s="31">
        <f t="shared" si="22"/>
        <v>12.3</v>
      </c>
      <c r="L81" s="31">
        <f>SUM(L$74:L$80)</f>
        <v>12.879</v>
      </c>
    </row>
    <row r="83" spans="1:12" ht="15" x14ac:dyDescent="0.25">
      <c r="A83" s="2" t="s">
        <v>910</v>
      </c>
      <c r="B83" s="2"/>
      <c r="C83" s="14"/>
      <c r="D83" s="14"/>
      <c r="E83" s="14"/>
      <c r="F83" s="14"/>
      <c r="G83" s="14"/>
      <c r="H83" s="14"/>
      <c r="I83" s="14"/>
      <c r="J83" s="14"/>
      <c r="K83" s="14"/>
      <c r="L83" s="14"/>
    </row>
    <row r="84" spans="1:12" x14ac:dyDescent="0.2">
      <c r="A84" s="1" t="s">
        <v>321</v>
      </c>
      <c r="B84" s="7">
        <v>0.29699999999999999</v>
      </c>
      <c r="C84" s="7">
        <v>0.33</v>
      </c>
      <c r="D84" s="7">
        <v>0.33</v>
      </c>
      <c r="E84" s="7">
        <v>0.36199999999999999</v>
      </c>
      <c r="F84" s="7">
        <v>0.45800000000000002</v>
      </c>
      <c r="G84" s="7">
        <v>0.435</v>
      </c>
      <c r="H84" s="7">
        <v>0.495</v>
      </c>
      <c r="I84" s="7">
        <v>0.51</v>
      </c>
      <c r="J84" s="7">
        <v>0.437</v>
      </c>
      <c r="K84" s="7">
        <v>0.53300000000000003</v>
      </c>
      <c r="L84" s="7">
        <v>0.51300000000000001</v>
      </c>
    </row>
    <row r="85" spans="1:12" x14ac:dyDescent="0.2">
      <c r="A85" s="1" t="s">
        <v>559</v>
      </c>
      <c r="B85" s="7">
        <v>0.35</v>
      </c>
      <c r="C85" s="7">
        <v>0.33800000000000002</v>
      </c>
      <c r="D85" s="7">
        <v>2.4790000000000001</v>
      </c>
      <c r="E85" s="7">
        <v>0.70099999999999996</v>
      </c>
      <c r="F85" s="7">
        <v>1.6539999999999999</v>
      </c>
      <c r="G85" s="7">
        <v>0.59</v>
      </c>
      <c r="H85" s="7">
        <v>1.01</v>
      </c>
      <c r="I85" s="7">
        <v>1.0029999999999999</v>
      </c>
      <c r="J85" s="7">
        <v>0.92500000000000004</v>
      </c>
      <c r="K85" s="7">
        <v>1.069</v>
      </c>
      <c r="L85" s="7">
        <v>0.873</v>
      </c>
    </row>
    <row r="86" spans="1:12" x14ac:dyDescent="0.2">
      <c r="A86" s="1" t="s">
        <v>563</v>
      </c>
      <c r="B86" s="7">
        <v>1.92</v>
      </c>
      <c r="C86" s="7">
        <v>1.839</v>
      </c>
      <c r="D86" s="7">
        <v>2.008</v>
      </c>
      <c r="E86" s="7">
        <v>2.3079999999999998</v>
      </c>
      <c r="F86" s="7">
        <v>3.181</v>
      </c>
      <c r="G86" s="7">
        <v>1.9490000000000001</v>
      </c>
      <c r="H86" s="7">
        <v>4.0579999999999998</v>
      </c>
      <c r="I86" s="7">
        <v>3.915</v>
      </c>
      <c r="J86" s="7">
        <v>2.9319999999999999</v>
      </c>
      <c r="K86" s="7">
        <v>2.9</v>
      </c>
      <c r="L86" s="7">
        <v>2.7480000000000002</v>
      </c>
    </row>
    <row r="87" spans="1:12" ht="15" x14ac:dyDescent="0.25">
      <c r="A87" s="2" t="s">
        <v>912</v>
      </c>
      <c r="B87" s="31">
        <f>SUM(B$84:B$86)</f>
        <v>2.5670000000000002</v>
      </c>
      <c r="C87" s="31">
        <f t="shared" ref="C87:L87" si="23">SUM(C$84:C$86)</f>
        <v>2.5070000000000001</v>
      </c>
      <c r="D87" s="31">
        <f t="shared" si="23"/>
        <v>4.8170000000000002</v>
      </c>
      <c r="E87" s="31">
        <f t="shared" si="23"/>
        <v>3.3709999999999996</v>
      </c>
      <c r="F87" s="31">
        <f t="shared" si="23"/>
        <v>5.2930000000000001</v>
      </c>
      <c r="G87" s="31">
        <f t="shared" si="23"/>
        <v>2.9740000000000002</v>
      </c>
      <c r="H87" s="31">
        <f t="shared" si="23"/>
        <v>5.5629999999999997</v>
      </c>
      <c r="I87" s="31">
        <f t="shared" si="23"/>
        <v>5.4279999999999999</v>
      </c>
      <c r="J87" s="31">
        <f t="shared" si="23"/>
        <v>4.2940000000000005</v>
      </c>
      <c r="K87" s="31">
        <f t="shared" si="23"/>
        <v>4.5019999999999998</v>
      </c>
      <c r="L87" s="31">
        <f t="shared" si="23"/>
        <v>4.1340000000000003</v>
      </c>
    </row>
    <row r="89" spans="1:12" ht="15" x14ac:dyDescent="0.25">
      <c r="A89" s="2" t="s">
        <v>913</v>
      </c>
    </row>
    <row r="90" spans="1:12" x14ac:dyDescent="0.2">
      <c r="A90" s="1" t="s">
        <v>320</v>
      </c>
      <c r="B90" s="7">
        <v>0</v>
      </c>
      <c r="C90" s="7">
        <v>0</v>
      </c>
      <c r="D90" s="7">
        <v>0</v>
      </c>
      <c r="E90" s="7">
        <v>1.1020000000000001</v>
      </c>
      <c r="F90" s="7">
        <v>1.2809999999999999</v>
      </c>
      <c r="G90" s="7">
        <v>1.024</v>
      </c>
      <c r="H90" s="7">
        <v>1.0449999999999999</v>
      </c>
      <c r="I90" s="7">
        <v>0.69799999999999995</v>
      </c>
      <c r="J90" s="7">
        <v>0.74</v>
      </c>
      <c r="K90" s="7">
        <v>0.82799999999999996</v>
      </c>
      <c r="L90" s="7">
        <v>0.88800000000000001</v>
      </c>
    </row>
    <row r="91" spans="1:12" x14ac:dyDescent="0.2">
      <c r="A91" s="1" t="s">
        <v>573</v>
      </c>
      <c r="B91" s="7">
        <v>1.444</v>
      </c>
      <c r="C91" s="7">
        <v>1.5920000000000001</v>
      </c>
      <c r="D91" s="7">
        <v>1.595</v>
      </c>
      <c r="E91" s="7">
        <v>1.7869999999999999</v>
      </c>
      <c r="F91" s="7">
        <v>1.679</v>
      </c>
      <c r="G91" s="7">
        <v>1.782</v>
      </c>
      <c r="H91" s="7">
        <v>1.4970000000000001</v>
      </c>
      <c r="I91" s="7">
        <v>1.375</v>
      </c>
      <c r="J91" s="7">
        <v>1.238</v>
      </c>
      <c r="K91" s="7">
        <v>1.23</v>
      </c>
      <c r="L91" s="7">
        <v>1.34</v>
      </c>
    </row>
    <row r="92" spans="1:12" ht="15" x14ac:dyDescent="0.25">
      <c r="A92" s="2" t="s">
        <v>914</v>
      </c>
      <c r="B92" s="31">
        <f>SUM(B$90:B$91)</f>
        <v>1.444</v>
      </c>
      <c r="C92" s="31">
        <f t="shared" ref="C92:L92" si="24">SUM(C$90:C$91)</f>
        <v>1.5920000000000001</v>
      </c>
      <c r="D92" s="31">
        <f t="shared" si="24"/>
        <v>1.595</v>
      </c>
      <c r="E92" s="31">
        <f t="shared" si="24"/>
        <v>2.8890000000000002</v>
      </c>
      <c r="F92" s="31">
        <f t="shared" si="24"/>
        <v>2.96</v>
      </c>
      <c r="G92" s="31">
        <f t="shared" si="24"/>
        <v>2.806</v>
      </c>
      <c r="H92" s="31">
        <f t="shared" si="24"/>
        <v>2.5419999999999998</v>
      </c>
      <c r="I92" s="31">
        <f t="shared" si="24"/>
        <v>2.073</v>
      </c>
      <c r="J92" s="31">
        <f t="shared" si="24"/>
        <v>1.978</v>
      </c>
      <c r="K92" s="31">
        <f t="shared" si="24"/>
        <v>2.0579999999999998</v>
      </c>
      <c r="L92" s="31">
        <f t="shared" si="24"/>
        <v>2.2280000000000002</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zoomScaleNormal="100" workbookViewId="0">
      <pane xSplit="2" ySplit="5" topLeftCell="J6" activePane="bottomRight" state="frozen"/>
      <selection pane="topRight" activeCell="C1" sqref="C1"/>
      <selection pane="bottomLeft" activeCell="A6" sqref="A6"/>
      <selection pane="bottomRight" activeCell="N10" sqref="N10"/>
    </sheetView>
  </sheetViews>
  <sheetFormatPr defaultRowHeight="14.25" x14ac:dyDescent="0.2"/>
  <cols>
    <col min="1" max="1" width="85.7109375" style="1" customWidth="1"/>
    <col min="2" max="2" width="5.7109375" style="1" customWidth="1"/>
    <col min="3" max="18" width="10.7109375" style="1" customWidth="1"/>
    <col min="19" max="16384" width="9.140625" style="1"/>
  </cols>
  <sheetData>
    <row r="1" spans="1:18" ht="15" x14ac:dyDescent="0.25">
      <c r="A1" s="2" t="s">
        <v>106</v>
      </c>
      <c r="B1" s="2"/>
    </row>
    <row r="2" spans="1:18" ht="15" x14ac:dyDescent="0.25">
      <c r="A2" s="1" t="s">
        <v>108</v>
      </c>
      <c r="N2" s="38" t="s">
        <v>117</v>
      </c>
      <c r="O2" s="29"/>
      <c r="P2" s="29"/>
      <c r="Q2" s="29"/>
      <c r="R2" s="29"/>
    </row>
    <row r="3" spans="1:18" x14ac:dyDescent="0.2">
      <c r="N3" s="29"/>
      <c r="O3" s="29"/>
      <c r="P3" s="29"/>
      <c r="Q3" s="29"/>
      <c r="R3" s="29"/>
    </row>
    <row r="4" spans="1:18" ht="15" x14ac:dyDescent="0.25">
      <c r="A4" s="2" t="s">
        <v>13</v>
      </c>
      <c r="B4" s="2"/>
      <c r="C4" s="6" t="s">
        <v>774</v>
      </c>
      <c r="D4" s="6" t="s">
        <v>14</v>
      </c>
      <c r="E4" s="6" t="s">
        <v>15</v>
      </c>
      <c r="F4" s="6" t="s">
        <v>16</v>
      </c>
      <c r="G4" s="6" t="s">
        <v>17</v>
      </c>
      <c r="H4" s="6" t="s">
        <v>19</v>
      </c>
      <c r="I4" s="6" t="s">
        <v>18</v>
      </c>
      <c r="J4" s="6" t="s">
        <v>20</v>
      </c>
      <c r="K4" s="6" t="s">
        <v>21</v>
      </c>
      <c r="L4" s="6" t="s">
        <v>22</v>
      </c>
      <c r="M4" s="6" t="s">
        <v>23</v>
      </c>
      <c r="N4" s="37" t="s">
        <v>25</v>
      </c>
      <c r="O4" s="37" t="s">
        <v>26</v>
      </c>
      <c r="P4" s="37" t="s">
        <v>27</v>
      </c>
      <c r="Q4" s="37" t="s">
        <v>28</v>
      </c>
      <c r="R4" s="37" t="s">
        <v>29</v>
      </c>
    </row>
    <row r="5" spans="1:18" ht="15" x14ac:dyDescent="0.25">
      <c r="C5" s="2">
        <v>2005</v>
      </c>
      <c r="D5" s="2">
        <v>2006</v>
      </c>
      <c r="E5" s="2">
        <v>2007</v>
      </c>
      <c r="F5" s="2">
        <v>2008</v>
      </c>
      <c r="G5" s="2">
        <v>2009</v>
      </c>
      <c r="H5" s="2">
        <v>2010</v>
      </c>
      <c r="I5" s="2">
        <v>2011</v>
      </c>
      <c r="J5" s="2">
        <v>2012</v>
      </c>
      <c r="K5" s="2">
        <v>2013</v>
      </c>
      <c r="L5" s="2">
        <v>2014</v>
      </c>
      <c r="M5" s="2">
        <v>2015</v>
      </c>
      <c r="N5" s="38">
        <v>2016</v>
      </c>
      <c r="O5" s="38">
        <v>2017</v>
      </c>
      <c r="P5" s="38">
        <v>2018</v>
      </c>
      <c r="Q5" s="38">
        <v>2019</v>
      </c>
      <c r="R5" s="38">
        <v>2020</v>
      </c>
    </row>
    <row r="6" spans="1:18" ht="15" x14ac:dyDescent="0.25">
      <c r="A6" s="2" t="s">
        <v>114</v>
      </c>
      <c r="B6" s="2"/>
      <c r="C6" s="7">
        <v>182.33699999999999</v>
      </c>
      <c r="D6" s="7">
        <v>187.97399999999999</v>
      </c>
      <c r="E6" s="7">
        <v>194.03700000000001</v>
      </c>
      <c r="F6" s="7">
        <v>197.96</v>
      </c>
      <c r="G6" s="7">
        <v>194.25700000000001</v>
      </c>
      <c r="H6" s="7">
        <v>195.36699999999999</v>
      </c>
      <c r="I6" s="7">
        <v>197.46700000000001</v>
      </c>
      <c r="J6" s="7">
        <v>203.041</v>
      </c>
      <c r="K6" s="7">
        <v>207.709</v>
      </c>
      <c r="L6" s="7">
        <v>214.01</v>
      </c>
      <c r="M6" s="7">
        <v>221.03700000000001</v>
      </c>
      <c r="N6" s="19">
        <v>226.702</v>
      </c>
      <c r="O6" s="19">
        <v>233.34100000000001</v>
      </c>
      <c r="P6" s="19">
        <v>240.898</v>
      </c>
      <c r="Q6" s="19">
        <v>247.67099999999999</v>
      </c>
      <c r="R6" s="19">
        <v>253.83500000000001</v>
      </c>
    </row>
    <row r="7" spans="1:18" ht="15" x14ac:dyDescent="0.25">
      <c r="A7" s="2" t="s">
        <v>133</v>
      </c>
      <c r="B7" s="2"/>
      <c r="C7" s="7">
        <v>156.76</v>
      </c>
      <c r="D7" s="7">
        <v>164.614</v>
      </c>
      <c r="E7" s="7">
        <v>175.36699999999999</v>
      </c>
      <c r="F7" s="7">
        <v>189.09800000000001</v>
      </c>
      <c r="G7" s="7">
        <v>189.483</v>
      </c>
      <c r="H7" s="7">
        <v>196.70099999999999</v>
      </c>
      <c r="I7" s="7">
        <v>205.833</v>
      </c>
      <c r="J7" s="7">
        <v>215.37200000000001</v>
      </c>
      <c r="K7" s="7">
        <v>218.827</v>
      </c>
      <c r="L7" s="7">
        <v>234.96899999999999</v>
      </c>
      <c r="M7" s="7">
        <v>241.58</v>
      </c>
      <c r="N7" s="19">
        <v>250.126</v>
      </c>
      <c r="O7" s="19">
        <v>259.20800000000003</v>
      </c>
      <c r="P7" s="19">
        <v>273.61799999999999</v>
      </c>
      <c r="Q7" s="19">
        <v>287.44900000000001</v>
      </c>
      <c r="R7" s="19">
        <v>299.19</v>
      </c>
    </row>
    <row r="8" spans="1:18" ht="15" x14ac:dyDescent="0.25">
      <c r="A8" s="2" t="s">
        <v>1224</v>
      </c>
      <c r="B8" s="2"/>
      <c r="C8" s="7">
        <v>2.1385000000000001</v>
      </c>
      <c r="D8" s="7">
        <v>2.1983000000000001</v>
      </c>
      <c r="E8" s="7">
        <v>2.2334999999999998</v>
      </c>
      <c r="F8" s="7">
        <v>2.2613000000000003</v>
      </c>
      <c r="G8" s="7">
        <v>2.2865000000000002</v>
      </c>
      <c r="H8" s="7">
        <v>2.2955000000000001</v>
      </c>
      <c r="I8" s="7">
        <v>2.3278000000000003</v>
      </c>
      <c r="J8" s="7">
        <v>2.3490000000000002</v>
      </c>
      <c r="K8" s="7">
        <v>2.355</v>
      </c>
      <c r="L8" s="7">
        <v>2.4119999999999999</v>
      </c>
      <c r="M8" s="7">
        <v>2.4834999999999998</v>
      </c>
      <c r="N8" s="19">
        <v>2.5139999999999998</v>
      </c>
      <c r="O8" s="19">
        <v>2.5703</v>
      </c>
      <c r="P8" s="19">
        <v>2.6090999999999998</v>
      </c>
      <c r="Q8" s="19">
        <v>2.6486000000000001</v>
      </c>
      <c r="R8" s="19">
        <v>2.6809000000000003</v>
      </c>
    </row>
    <row r="9" spans="1:18" ht="15" x14ac:dyDescent="0.25">
      <c r="A9" s="2" t="s">
        <v>1225</v>
      </c>
      <c r="B9" s="2"/>
      <c r="C9" s="7">
        <v>3.1745999999999999</v>
      </c>
      <c r="D9" s="7">
        <v>3.2250999999999999</v>
      </c>
      <c r="E9" s="7">
        <v>3.2725999999999997</v>
      </c>
      <c r="F9" s="7">
        <v>3.3045999999999998</v>
      </c>
      <c r="G9" s="7">
        <v>3.3358000000000003</v>
      </c>
      <c r="H9" s="7">
        <v>3.3767</v>
      </c>
      <c r="I9" s="7">
        <v>3.4116</v>
      </c>
      <c r="J9" s="7">
        <v>3.4369999999999998</v>
      </c>
      <c r="K9" s="7">
        <v>3.4639000000000002</v>
      </c>
      <c r="L9" s="7">
        <v>3.5129999999999999</v>
      </c>
      <c r="M9" s="7">
        <v>3.5855999999999999</v>
      </c>
      <c r="N9" s="19">
        <v>3.6703000000000001</v>
      </c>
      <c r="O9" s="19">
        <v>3.7545000000000002</v>
      </c>
      <c r="P9" s="19">
        <v>3.8096000000000001</v>
      </c>
      <c r="Q9" s="19">
        <v>3.8504</v>
      </c>
      <c r="R9" s="19">
        <v>3.8898999999999999</v>
      </c>
    </row>
    <row r="10" spans="1:18" ht="15" x14ac:dyDescent="0.25">
      <c r="A10" s="2" t="s">
        <v>1226</v>
      </c>
      <c r="B10" s="2"/>
      <c r="C10" s="7">
        <v>4.1189</v>
      </c>
      <c r="D10" s="7">
        <v>4.1669</v>
      </c>
      <c r="E10" s="7">
        <v>4.2119999999999997</v>
      </c>
      <c r="F10" s="7">
        <v>4.2488999999999999</v>
      </c>
      <c r="G10" s="7">
        <v>4.2865000000000002</v>
      </c>
      <c r="H10" s="7">
        <v>4.3365</v>
      </c>
      <c r="I10" s="7">
        <v>4.3757999999999999</v>
      </c>
      <c r="J10" s="7">
        <v>4.4015000000000004</v>
      </c>
      <c r="K10" s="7">
        <v>4.4298999999999999</v>
      </c>
      <c r="L10" s="7">
        <v>4.4847999999999999</v>
      </c>
      <c r="M10" s="7">
        <v>4.5655000000000001</v>
      </c>
      <c r="N10" s="19">
        <v>4.6615000000000002</v>
      </c>
      <c r="O10" s="19">
        <v>4.7511000000000001</v>
      </c>
      <c r="P10" s="19">
        <v>4.8083999999999998</v>
      </c>
      <c r="Q10" s="19">
        <v>4.8523000000000005</v>
      </c>
      <c r="R10" s="19">
        <v>4.8951000000000002</v>
      </c>
    </row>
    <row r="11" spans="1:18" ht="15" x14ac:dyDescent="0.25">
      <c r="A11" s="2" t="s">
        <v>115</v>
      </c>
      <c r="B11" s="2"/>
      <c r="C11" s="14">
        <v>3.8300000000000001E-2</v>
      </c>
      <c r="D11" s="14">
        <v>3.8300000000000001E-2</v>
      </c>
      <c r="E11" s="14">
        <v>3.8300000000000001E-2</v>
      </c>
      <c r="F11" s="14">
        <v>3.73E-2</v>
      </c>
      <c r="G11" s="14">
        <v>0.05</v>
      </c>
      <c r="H11" s="14">
        <v>6.6299999999999998E-2</v>
      </c>
      <c r="I11" s="14">
        <v>6.5500000000000003E-2</v>
      </c>
      <c r="J11" s="14">
        <v>6.6299999999999998E-2</v>
      </c>
      <c r="K11" s="14">
        <v>6.6799999999999998E-2</v>
      </c>
      <c r="L11" s="14">
        <v>0.06</v>
      </c>
      <c r="M11" s="14">
        <v>5.7500000000000002E-2</v>
      </c>
      <c r="N11" s="20">
        <v>5.62E-2</v>
      </c>
      <c r="O11" s="20">
        <v>5.6799999999999996E-2</v>
      </c>
      <c r="P11" s="20">
        <v>5.28E-2</v>
      </c>
      <c r="Q11" s="20">
        <v>4.7800000000000002E-2</v>
      </c>
      <c r="R11" s="20">
        <v>4.5599999999999995E-2</v>
      </c>
    </row>
    <row r="12" spans="1:18" ht="15" x14ac:dyDescent="0.25">
      <c r="A12" s="2" t="s">
        <v>118</v>
      </c>
      <c r="B12" s="2"/>
      <c r="C12" s="13">
        <v>34.82</v>
      </c>
      <c r="D12" s="13">
        <v>34.46</v>
      </c>
      <c r="E12" s="13">
        <v>34.159999999999997</v>
      </c>
      <c r="F12" s="13">
        <v>33.72</v>
      </c>
      <c r="G12" s="13">
        <v>33.36</v>
      </c>
      <c r="H12" s="13">
        <v>33.24</v>
      </c>
      <c r="I12" s="13">
        <v>33.36</v>
      </c>
      <c r="J12" s="13">
        <v>33.21</v>
      </c>
      <c r="K12" s="13">
        <v>33.43</v>
      </c>
      <c r="L12" s="13">
        <v>33.44</v>
      </c>
      <c r="M12" s="13">
        <v>33.22</v>
      </c>
      <c r="N12" s="25">
        <v>33.36</v>
      </c>
      <c r="O12" s="25">
        <v>33.270000000000003</v>
      </c>
      <c r="P12" s="25">
        <v>33.19</v>
      </c>
      <c r="Q12" s="25">
        <v>33.17</v>
      </c>
      <c r="R12" s="25">
        <v>33.17</v>
      </c>
    </row>
    <row r="13" spans="1:18" ht="15" x14ac:dyDescent="0.25">
      <c r="A13" s="2" t="s">
        <v>116</v>
      </c>
      <c r="B13" s="2"/>
      <c r="C13" s="13">
        <v>32.31</v>
      </c>
      <c r="D13" s="13">
        <v>31.98</v>
      </c>
      <c r="E13" s="13">
        <v>32.15</v>
      </c>
      <c r="F13" s="13">
        <v>32.17</v>
      </c>
      <c r="G13" s="13">
        <v>32.07</v>
      </c>
      <c r="H13" s="13">
        <v>31.97</v>
      </c>
      <c r="I13" s="13">
        <v>32.340000000000003</v>
      </c>
      <c r="J13" s="13">
        <v>32.5</v>
      </c>
      <c r="K13" s="13">
        <v>32.67</v>
      </c>
      <c r="L13" s="13">
        <v>32.94</v>
      </c>
      <c r="M13" s="13">
        <v>32.840000000000003</v>
      </c>
      <c r="N13" s="25">
        <v>32.99</v>
      </c>
      <c r="O13" s="25">
        <v>32.89</v>
      </c>
      <c r="P13" s="25">
        <v>32.82</v>
      </c>
      <c r="Q13" s="25">
        <v>32.799999999999997</v>
      </c>
      <c r="R13" s="25">
        <v>32.79</v>
      </c>
    </row>
    <row r="14" spans="1:18" ht="15" x14ac:dyDescent="0.25">
      <c r="A14" s="2" t="s">
        <v>110</v>
      </c>
      <c r="B14" s="2"/>
      <c r="C14" s="14">
        <v>3.0000000000000001E-3</v>
      </c>
      <c r="D14" s="14">
        <v>1.3599999999999999E-2</v>
      </c>
      <c r="E14" s="14">
        <v>2.4299999999999999E-2</v>
      </c>
      <c r="F14" s="14">
        <v>2.01E-2</v>
      </c>
      <c r="G14" s="14">
        <v>-5.8999999999999999E-3</v>
      </c>
      <c r="H14" s="14">
        <v>2.2700000000000001E-2</v>
      </c>
      <c r="I14" s="14">
        <v>-7.4000000000000003E-3</v>
      </c>
      <c r="J14" s="14">
        <v>2.4299999999999999E-2</v>
      </c>
      <c r="K14" s="14">
        <v>1.43E-2</v>
      </c>
      <c r="L14" s="14">
        <v>-1.6000000000000001E-3</v>
      </c>
      <c r="M14" s="14">
        <v>7.0000000000000001E-3</v>
      </c>
      <c r="N14" s="20">
        <v>7.6E-3</v>
      </c>
      <c r="O14" s="20">
        <v>1.0200000000000001E-2</v>
      </c>
      <c r="P14" s="20">
        <v>1.52E-2</v>
      </c>
      <c r="Q14" s="20">
        <v>8.0000000000000002E-3</v>
      </c>
      <c r="R14" s="20">
        <v>1.03E-2</v>
      </c>
    </row>
    <row r="15" spans="1:18" ht="15" x14ac:dyDescent="0.25">
      <c r="A15" s="2" t="s">
        <v>111</v>
      </c>
      <c r="B15" s="2"/>
      <c r="C15" s="3">
        <v>962</v>
      </c>
      <c r="D15" s="3">
        <v>1000</v>
      </c>
      <c r="E15" s="3">
        <v>1020</v>
      </c>
      <c r="F15" s="3">
        <v>1061</v>
      </c>
      <c r="G15" s="3">
        <v>1081</v>
      </c>
      <c r="H15" s="3">
        <v>1099</v>
      </c>
      <c r="I15" s="3">
        <v>1157</v>
      </c>
      <c r="J15" s="3">
        <v>1168</v>
      </c>
      <c r="K15" s="3">
        <v>1176</v>
      </c>
      <c r="L15" s="3">
        <v>1195</v>
      </c>
      <c r="M15" s="3">
        <v>1200</v>
      </c>
      <c r="N15" s="27">
        <v>1201</v>
      </c>
      <c r="O15" s="27">
        <v>1219</v>
      </c>
      <c r="P15" s="27">
        <v>1243</v>
      </c>
      <c r="Q15" s="27">
        <v>1267</v>
      </c>
      <c r="R15" s="27">
        <v>1294</v>
      </c>
    </row>
    <row r="16" spans="1:18" ht="15" x14ac:dyDescent="0.25">
      <c r="A16" s="2" t="s">
        <v>112</v>
      </c>
      <c r="B16" s="2"/>
      <c r="C16" s="14">
        <v>3.2399999999999998E-2</v>
      </c>
      <c r="D16" s="14">
        <v>4.9700000000000001E-2</v>
      </c>
      <c r="E16" s="14">
        <v>4.8099999999999997E-2</v>
      </c>
      <c r="F16" s="14">
        <v>4.5900000000000003E-2</v>
      </c>
      <c r="G16" s="14">
        <v>5.3100000000000001E-2</v>
      </c>
      <c r="H16" s="14">
        <v>2.1899999999999999E-2</v>
      </c>
      <c r="I16" s="14">
        <v>2.1399999999999999E-2</v>
      </c>
      <c r="J16" s="14">
        <v>3.1699999999999999E-2</v>
      </c>
      <c r="K16" s="14">
        <v>2.3900000000000001E-2</v>
      </c>
      <c r="L16" s="14">
        <v>2.64E-2</v>
      </c>
      <c r="M16" s="14">
        <v>2.4500000000000001E-2</v>
      </c>
      <c r="N16" s="20">
        <v>2.0400000000000001E-2</v>
      </c>
      <c r="O16" s="20">
        <v>1.6299999999999999E-2</v>
      </c>
      <c r="P16" s="20">
        <v>1.7100000000000001E-2</v>
      </c>
      <c r="Q16" s="20">
        <v>2.1399999999999999E-2</v>
      </c>
      <c r="R16" s="20">
        <v>2.6599999999999999E-2</v>
      </c>
    </row>
    <row r="17" spans="1:18" ht="15" x14ac:dyDescent="0.25">
      <c r="A17" s="2" t="s">
        <v>113</v>
      </c>
      <c r="B17" s="2"/>
      <c r="C17" s="14">
        <v>6.0199999999999997E-2</v>
      </c>
      <c r="D17" s="14">
        <v>5.79E-2</v>
      </c>
      <c r="E17" s="14">
        <v>5.96E-2</v>
      </c>
      <c r="F17" s="14">
        <v>6.4100000000000004E-2</v>
      </c>
      <c r="G17" s="14">
        <v>5.4299999999999994E-2</v>
      </c>
      <c r="H17" s="14">
        <v>5.8200000000000002E-2</v>
      </c>
      <c r="I17" s="14">
        <v>5.4199999999999998E-2</v>
      </c>
      <c r="J17" s="14">
        <v>4.1399999999999999E-2</v>
      </c>
      <c r="K17" s="14">
        <v>3.5699999999999996E-2</v>
      </c>
      <c r="L17" s="14">
        <v>4.5499999999999999E-2</v>
      </c>
      <c r="M17" s="14">
        <v>3.7699999999999997E-2</v>
      </c>
      <c r="N17" s="20">
        <v>3.2500000000000001E-2</v>
      </c>
      <c r="O17" s="20">
        <v>3.1099999999999999E-2</v>
      </c>
      <c r="P17" s="20">
        <v>3.5900000000000001E-2</v>
      </c>
      <c r="Q17" s="20">
        <v>4.1299999999999996E-2</v>
      </c>
      <c r="R17" s="20">
        <v>4.3499999999999997E-2</v>
      </c>
    </row>
    <row r="19" spans="1:18" ht="15" x14ac:dyDescent="0.25">
      <c r="A19" s="2" t="s">
        <v>1227</v>
      </c>
      <c r="C19" s="50">
        <v>757.91</v>
      </c>
      <c r="D19" s="50">
        <v>783.98</v>
      </c>
      <c r="E19" s="50">
        <v>832.54</v>
      </c>
      <c r="F19" s="50">
        <v>861.55</v>
      </c>
      <c r="G19" s="50">
        <v>905.74</v>
      </c>
      <c r="H19" s="50">
        <v>934.78</v>
      </c>
      <c r="I19" s="50">
        <v>967.96</v>
      </c>
      <c r="J19" s="50">
        <v>994.19</v>
      </c>
      <c r="K19" s="50">
        <v>1022.88</v>
      </c>
      <c r="L19" s="50">
        <v>1051.6400000000001</v>
      </c>
      <c r="M19" s="50">
        <v>1077.5</v>
      </c>
      <c r="N19" s="51">
        <v>1111.4000000000001</v>
      </c>
      <c r="O19" s="51">
        <v>1122.94</v>
      </c>
      <c r="P19" s="51">
        <v>1139.1300000000001</v>
      </c>
      <c r="Q19" s="51">
        <v>1162.0999999999999</v>
      </c>
      <c r="R19" s="51">
        <v>1191.9100000000001</v>
      </c>
    </row>
    <row r="20" spans="1:18" ht="15" x14ac:dyDescent="0.25">
      <c r="A20" s="2" t="s">
        <v>507</v>
      </c>
      <c r="C20" s="50">
        <v>597.66999999999996</v>
      </c>
      <c r="D20" s="50">
        <v>614.05999999999995</v>
      </c>
      <c r="E20" s="50">
        <v>645.82000000000005</v>
      </c>
      <c r="F20" s="50">
        <v>664.02</v>
      </c>
      <c r="G20" s="50">
        <v>723.19</v>
      </c>
      <c r="H20" s="50">
        <v>741.53</v>
      </c>
      <c r="I20" s="50">
        <v>792.36</v>
      </c>
      <c r="J20" s="50">
        <v>813.32</v>
      </c>
      <c r="K20" s="50">
        <v>833.14</v>
      </c>
      <c r="L20" s="50">
        <v>855.33</v>
      </c>
      <c r="M20" s="50">
        <v>873.01</v>
      </c>
      <c r="N20" s="51">
        <v>896.89</v>
      </c>
      <c r="O20" s="51">
        <v>904.98</v>
      </c>
      <c r="P20" s="51">
        <v>915.83</v>
      </c>
      <c r="Q20" s="51">
        <v>931.58</v>
      </c>
      <c r="R20" s="51">
        <v>952.29</v>
      </c>
    </row>
    <row r="21" spans="1:18" ht="15" x14ac:dyDescent="0.25">
      <c r="A21" s="2" t="s">
        <v>508</v>
      </c>
      <c r="C21" s="50">
        <v>235.16</v>
      </c>
      <c r="D21" s="50">
        <v>243.06</v>
      </c>
      <c r="E21" s="50">
        <v>255.7</v>
      </c>
      <c r="F21" s="50">
        <v>264.37</v>
      </c>
      <c r="G21" s="50">
        <v>273.63</v>
      </c>
      <c r="H21" s="50">
        <v>280.62</v>
      </c>
      <c r="I21" s="50">
        <v>294.08000000000004</v>
      </c>
      <c r="J21" s="50">
        <v>302.39999999999998</v>
      </c>
      <c r="K21" s="50">
        <v>310.33999999999997</v>
      </c>
      <c r="L21" s="50">
        <v>319.23</v>
      </c>
      <c r="M21" s="50">
        <v>326.3</v>
      </c>
      <c r="N21" s="51">
        <v>335.74</v>
      </c>
      <c r="O21" s="51">
        <v>339.11</v>
      </c>
      <c r="P21" s="51">
        <v>345.54</v>
      </c>
      <c r="Q21" s="51">
        <v>351.76</v>
      </c>
      <c r="R21" s="51">
        <v>358.56</v>
      </c>
    </row>
    <row r="22" spans="1:18" ht="15" x14ac:dyDescent="0.25">
      <c r="A22" s="2" t="s">
        <v>511</v>
      </c>
      <c r="C22" s="50">
        <v>196.78</v>
      </c>
      <c r="D22" s="50">
        <v>203</v>
      </c>
      <c r="E22" s="50">
        <v>213.12</v>
      </c>
      <c r="F22" s="50">
        <v>219.9</v>
      </c>
      <c r="G22" s="50">
        <v>239.19</v>
      </c>
      <c r="H22" s="50">
        <v>244.71</v>
      </c>
      <c r="I22" s="50">
        <v>261.48</v>
      </c>
      <c r="J22" s="50">
        <v>268.39999999999998</v>
      </c>
      <c r="K22" s="50">
        <v>274.94</v>
      </c>
      <c r="L22" s="50">
        <v>282.26</v>
      </c>
      <c r="M22" s="50">
        <v>288.10000000000002</v>
      </c>
      <c r="N22" s="51">
        <v>295.97000000000003</v>
      </c>
      <c r="O22" s="51">
        <v>298.64</v>
      </c>
      <c r="P22" s="51">
        <v>304.02</v>
      </c>
      <c r="Q22" s="51">
        <v>309.19</v>
      </c>
      <c r="R22" s="51">
        <v>314.76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Display</vt:lpstr>
      <vt:lpstr>Intro</vt:lpstr>
      <vt:lpstr>Guide</vt:lpstr>
      <vt:lpstr>Sources</vt:lpstr>
      <vt:lpstr>Popn</vt:lpstr>
      <vt:lpstr>LabourForce</vt:lpstr>
      <vt:lpstr>Exogenous</vt:lpstr>
      <vt:lpstr>Actuals</vt:lpstr>
      <vt:lpstr>Economic</vt:lpstr>
      <vt:lpstr>Fiscal</vt:lpstr>
      <vt:lpstr>Allocate</vt:lpstr>
      <vt:lpstr>Assumptions</vt:lpstr>
      <vt:lpstr>Historical Spending Patterns</vt:lpstr>
      <vt:lpstr>Stabilise Net Debt</vt:lpstr>
    </vt:vector>
  </TitlesOfParts>
  <Company>NZ Government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Long-Term Fiscal Model - 2016 Statement on the Long-Term Fiscal Position - November 2016</dc:title>
  <dc:creator>New Zealand Treasury</dc:creator>
  <cp:lastModifiedBy>Gavin Hamilton [CASS]</cp:lastModifiedBy>
  <dcterms:created xsi:type="dcterms:W3CDTF">2016-04-13T00:39:01Z</dcterms:created>
  <dcterms:modified xsi:type="dcterms:W3CDTF">2016-11-21T23:29:41Z</dcterms:modified>
</cp:coreProperties>
</file>